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2025\2025-01\"/>
    </mc:Choice>
  </mc:AlternateContent>
  <xr:revisionPtr revIDLastSave="0" documentId="13_ncr:1_{2CDCA125-1537-4801-A95C-B95C48986C6F}" xr6:coauthVersionLast="47" xr6:coauthVersionMax="47" xr10:uidLastSave="{00000000-0000-0000-0000-000000000000}"/>
  <bookViews>
    <workbookView xWindow="1050" yWindow="0" windowWidth="23055" windowHeight="19890" firstSheet="19" activeTab="22" xr2:uid="{00000000-000D-0000-FFFF-FFFF00000000}"/>
  </bookViews>
  <sheets>
    <sheet name="Parameters" sheetId="1" r:id="rId1"/>
    <sheet name="1K" sheetId="29" r:id="rId2"/>
    <sheet name="Mile" sheetId="28" r:id="rId3"/>
    <sheet name="3K" sheetId="31" r:id="rId4"/>
    <sheet name="5K" sheetId="2" r:id="rId5"/>
    <sheet name="6K" sheetId="3" r:id="rId6"/>
    <sheet name="4MI" sheetId="4" r:id="rId7"/>
    <sheet name="8K" sheetId="5" r:id="rId8"/>
    <sheet name="5MI" sheetId="6" r:id="rId9"/>
    <sheet name="10K" sheetId="7" r:id="rId10"/>
    <sheet name="7MI" sheetId="30" r:id="rId11"/>
    <sheet name="12K" sheetId="8" r:id="rId12"/>
    <sheet name="15K" sheetId="9" r:id="rId13"/>
    <sheet name="10MI" sheetId="10" r:id="rId14"/>
    <sheet name="20K" sheetId="11" r:id="rId15"/>
    <sheet name="H.Marathon" sheetId="12" r:id="rId16"/>
    <sheet name="25K" sheetId="13" r:id="rId17"/>
    <sheet name="30K" sheetId="14" r:id="rId18"/>
    <sheet name="Marathon" sheetId="15" r:id="rId19"/>
    <sheet name="50K" sheetId="16" r:id="rId20"/>
    <sheet name="100K" sheetId="17" r:id="rId21"/>
    <sheet name="200K" sheetId="18" r:id="rId22"/>
    <sheet name="Age Factors" sheetId="19" r:id="rId23"/>
    <sheet name="AgeStanSec" sheetId="20" r:id="rId24"/>
    <sheet name="Age Stan HMS" sheetId="22" r:id="rId25"/>
    <sheet name="Pace" sheetId="21" r:id="rId26"/>
  </sheets>
  <externalReferences>
    <externalReference r:id="rId27"/>
  </externalReferences>
  <definedNames>
    <definedName name="AGE">'5K'!$A$7:$A$105</definedName>
    <definedName name="b">'Age Factors'!$J$3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22" l="1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35" i="22"/>
  <c r="D34" i="22"/>
  <c r="D33" i="22"/>
  <c r="D3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E4" i="22"/>
  <c r="E5" i="22" s="1"/>
  <c r="F4" i="22"/>
  <c r="F5" i="22"/>
  <c r="C5" i="19"/>
  <c r="B4" i="19"/>
  <c r="B5" i="19" s="1"/>
  <c r="C4" i="19"/>
  <c r="D4" i="19"/>
  <c r="D5" i="19" s="1"/>
  <c r="B3" i="19"/>
  <c r="C3" i="19"/>
  <c r="D3" i="19"/>
  <c r="E106" i="31" l="1"/>
  <c r="D106" i="31" s="1"/>
  <c r="E105" i="31"/>
  <c r="E104" i="31"/>
  <c r="D104" i="31" s="1"/>
  <c r="E103" i="31"/>
  <c r="D103" i="31" s="1"/>
  <c r="E102" i="31"/>
  <c r="D102" i="31" s="1"/>
  <c r="E101" i="31"/>
  <c r="D101" i="31" s="1"/>
  <c r="E100" i="31"/>
  <c r="D100" i="31" s="1"/>
  <c r="E99" i="31"/>
  <c r="D99" i="31" s="1"/>
  <c r="E98" i="31"/>
  <c r="D98" i="31" s="1"/>
  <c r="E97" i="31"/>
  <c r="E96" i="31"/>
  <c r="D96" i="31" s="1"/>
  <c r="E95" i="31"/>
  <c r="D95" i="31" s="1"/>
  <c r="E94" i="31"/>
  <c r="D94" i="31" s="1"/>
  <c r="E93" i="31"/>
  <c r="D93" i="31" s="1"/>
  <c r="E92" i="31"/>
  <c r="D92" i="31" s="1"/>
  <c r="E91" i="31"/>
  <c r="D91" i="31" s="1"/>
  <c r="E90" i="31"/>
  <c r="D90" i="31" s="1"/>
  <c r="E89" i="31"/>
  <c r="D89" i="31" s="1"/>
  <c r="E88" i="31"/>
  <c r="D88" i="31" s="1"/>
  <c r="E87" i="31"/>
  <c r="D87" i="31" s="1"/>
  <c r="E86" i="31"/>
  <c r="D86" i="31" s="1"/>
  <c r="E85" i="31"/>
  <c r="E84" i="31"/>
  <c r="D84" i="31" s="1"/>
  <c r="E83" i="31"/>
  <c r="D83" i="31" s="1"/>
  <c r="E82" i="31"/>
  <c r="D82" i="31" s="1"/>
  <c r="E81" i="31"/>
  <c r="D81" i="31" s="1"/>
  <c r="E80" i="31"/>
  <c r="D80" i="31" s="1"/>
  <c r="E79" i="31"/>
  <c r="D79" i="31" s="1"/>
  <c r="E78" i="31"/>
  <c r="D78" i="31" s="1"/>
  <c r="E77" i="31"/>
  <c r="E76" i="31"/>
  <c r="D76" i="31" s="1"/>
  <c r="E75" i="31"/>
  <c r="D75" i="31" s="1"/>
  <c r="E74" i="31"/>
  <c r="D74" i="31" s="1"/>
  <c r="E73" i="31"/>
  <c r="D73" i="31" s="1"/>
  <c r="E72" i="31"/>
  <c r="D72" i="31" s="1"/>
  <c r="E71" i="31"/>
  <c r="D71" i="31" s="1"/>
  <c r="E70" i="31"/>
  <c r="D70" i="31" s="1"/>
  <c r="E69" i="31"/>
  <c r="D69" i="31" s="1"/>
  <c r="E68" i="31"/>
  <c r="D68" i="31" s="1"/>
  <c r="E67" i="31"/>
  <c r="D67" i="31" s="1"/>
  <c r="E66" i="31"/>
  <c r="D66" i="31" s="1"/>
  <c r="E65" i="31"/>
  <c r="E64" i="31"/>
  <c r="D64" i="31" s="1"/>
  <c r="E63" i="31"/>
  <c r="D63" i="31" s="1"/>
  <c r="E62" i="31"/>
  <c r="D62" i="31" s="1"/>
  <c r="E61" i="31"/>
  <c r="D61" i="31" s="1"/>
  <c r="E60" i="31"/>
  <c r="D60" i="31" s="1"/>
  <c r="E59" i="31"/>
  <c r="D59" i="31" s="1"/>
  <c r="E58" i="31"/>
  <c r="D58" i="31" s="1"/>
  <c r="E57" i="31"/>
  <c r="E56" i="31"/>
  <c r="D56" i="31" s="1"/>
  <c r="E55" i="31"/>
  <c r="D55" i="31" s="1"/>
  <c r="E54" i="31"/>
  <c r="D54" i="31" s="1"/>
  <c r="E53" i="31"/>
  <c r="D53" i="31" s="1"/>
  <c r="E52" i="31"/>
  <c r="D52" i="31" s="1"/>
  <c r="E51" i="31"/>
  <c r="D51" i="31" s="1"/>
  <c r="E50" i="31"/>
  <c r="D50" i="31" s="1"/>
  <c r="E49" i="31"/>
  <c r="D49" i="31" s="1"/>
  <c r="E48" i="31"/>
  <c r="D48" i="31" s="1"/>
  <c r="E47" i="31"/>
  <c r="D47" i="31" s="1"/>
  <c r="E46" i="31"/>
  <c r="D46" i="31" s="1"/>
  <c r="E45" i="31"/>
  <c r="E44" i="31"/>
  <c r="D44" i="31" s="1"/>
  <c r="E43" i="31"/>
  <c r="D43" i="31" s="1"/>
  <c r="E42" i="31"/>
  <c r="D42" i="31" s="1"/>
  <c r="E41" i="31"/>
  <c r="D41" i="31" s="1"/>
  <c r="E40" i="31"/>
  <c r="D40" i="31" s="1"/>
  <c r="E39" i="31"/>
  <c r="D39" i="31" s="1"/>
  <c r="E38" i="31"/>
  <c r="D38" i="31" s="1"/>
  <c r="E37" i="31"/>
  <c r="E36" i="31"/>
  <c r="D36" i="31" s="1"/>
  <c r="E35" i="31"/>
  <c r="D35" i="31" s="1"/>
  <c r="E34" i="31"/>
  <c r="D34" i="31" s="1"/>
  <c r="E33" i="31"/>
  <c r="D33" i="31" s="1"/>
  <c r="E32" i="31"/>
  <c r="D32" i="31" s="1"/>
  <c r="E31" i="31"/>
  <c r="D31" i="31" s="1"/>
  <c r="E30" i="31"/>
  <c r="D30" i="31" s="1"/>
  <c r="E29" i="31"/>
  <c r="D29" i="31" s="1"/>
  <c r="E28" i="31"/>
  <c r="D28" i="31" s="1"/>
  <c r="E27" i="31"/>
  <c r="D27" i="31" s="1"/>
  <c r="E26" i="31"/>
  <c r="D26" i="31" s="1"/>
  <c r="E25" i="31"/>
  <c r="E24" i="31"/>
  <c r="D24" i="31" s="1"/>
  <c r="E23" i="31"/>
  <c r="D23" i="31" s="1"/>
  <c r="E22" i="31"/>
  <c r="D22" i="31" s="1"/>
  <c r="E21" i="31"/>
  <c r="D21" i="31" s="1"/>
  <c r="E20" i="31"/>
  <c r="D20" i="31" s="1"/>
  <c r="E19" i="31"/>
  <c r="D19" i="31" s="1"/>
  <c r="E18" i="31"/>
  <c r="D18" i="31" s="1"/>
  <c r="E17" i="31"/>
  <c r="E16" i="31"/>
  <c r="D16" i="31" s="1"/>
  <c r="E15" i="31"/>
  <c r="D15" i="31" s="1"/>
  <c r="E14" i="31"/>
  <c r="D14" i="31" s="1"/>
  <c r="E13" i="31"/>
  <c r="D13" i="31" s="1"/>
  <c r="E12" i="31"/>
  <c r="E11" i="31"/>
  <c r="D11" i="31" s="1"/>
  <c r="E10" i="31"/>
  <c r="D10" i="31" s="1"/>
  <c r="D105" i="31"/>
  <c r="D97" i="31"/>
  <c r="D85" i="31"/>
  <c r="D77" i="31"/>
  <c r="D65" i="31"/>
  <c r="D57" i="31"/>
  <c r="D45" i="31"/>
  <c r="D37" i="31"/>
  <c r="D25" i="31"/>
  <c r="D17" i="31"/>
  <c r="D12" i="31"/>
  <c r="D4" i="31"/>
  <c r="E4" i="31"/>
  <c r="E5" i="31" s="1"/>
  <c r="F15" i="1"/>
  <c r="H15" i="1"/>
  <c r="H13" i="1"/>
  <c r="J15" i="1"/>
  <c r="J13" i="1"/>
  <c r="D15" i="1"/>
  <c r="C15" i="1"/>
  <c r="F13" i="1"/>
  <c r="D13" i="1"/>
  <c r="C13" i="1" s="1"/>
  <c r="D4" i="29"/>
  <c r="E4" i="29"/>
  <c r="E5" i="29" s="1"/>
  <c r="K2" i="29"/>
  <c r="M30" i="1"/>
  <c r="M29" i="1"/>
  <c r="M28" i="1"/>
  <c r="M27" i="1"/>
  <c r="M26" i="1"/>
  <c r="M24" i="1"/>
  <c r="M23" i="1"/>
  <c r="M21" i="1"/>
  <c r="M11" i="1"/>
  <c r="M10" i="1"/>
  <c r="M13" i="1"/>
  <c r="M15" i="1"/>
  <c r="M14" i="1"/>
  <c r="M8" i="1"/>
  <c r="E95" i="29" l="1"/>
  <c r="E75" i="29"/>
  <c r="E55" i="29"/>
  <c r="E21" i="29"/>
  <c r="E53" i="29"/>
  <c r="E19" i="29"/>
  <c r="E52" i="29"/>
  <c r="E94" i="29"/>
  <c r="E74" i="29"/>
  <c r="E54" i="29"/>
  <c r="E20" i="29"/>
  <c r="E93" i="29"/>
  <c r="E72" i="29"/>
  <c r="E18" i="29"/>
  <c r="E69" i="29"/>
  <c r="E38" i="29"/>
  <c r="E65" i="29"/>
  <c r="E35" i="29"/>
  <c r="E62" i="29"/>
  <c r="E81" i="29"/>
  <c r="E60" i="29"/>
  <c r="E73" i="29"/>
  <c r="E12" i="29"/>
  <c r="E104" i="29"/>
  <c r="E92" i="29"/>
  <c r="E89" i="29"/>
  <c r="E31" i="29"/>
  <c r="E43" i="29"/>
  <c r="E91" i="29"/>
  <c r="E71" i="29"/>
  <c r="E51" i="29"/>
  <c r="E17" i="29"/>
  <c r="E42" i="29"/>
  <c r="E70" i="29"/>
  <c r="E16" i="29"/>
  <c r="E41" i="29"/>
  <c r="E26" i="29"/>
  <c r="E90" i="29"/>
  <c r="E50" i="29"/>
  <c r="E15" i="29"/>
  <c r="E106" i="29"/>
  <c r="E66" i="29"/>
  <c r="E46" i="29"/>
  <c r="E85" i="29"/>
  <c r="E11" i="29"/>
  <c r="E32" i="29"/>
  <c r="E40" i="29"/>
  <c r="E88" i="29"/>
  <c r="E68" i="29"/>
  <c r="E48" i="29"/>
  <c r="E14" i="29"/>
  <c r="E86" i="29"/>
  <c r="E101" i="29"/>
  <c r="E39" i="29"/>
  <c r="E87" i="29"/>
  <c r="E67" i="29"/>
  <c r="E47" i="29"/>
  <c r="E13" i="29"/>
  <c r="E44" i="29"/>
  <c r="E37" i="29"/>
  <c r="B32" i="19" s="1"/>
  <c r="B32" i="20" s="1"/>
  <c r="B32" i="22" s="1"/>
  <c r="E105" i="29"/>
  <c r="E45" i="29"/>
  <c r="E84" i="29"/>
  <c r="E102" i="29"/>
  <c r="E82" i="29"/>
  <c r="E34" i="29"/>
  <c r="E103" i="29"/>
  <c r="E83" i="29"/>
  <c r="E63" i="29"/>
  <c r="E29" i="29"/>
  <c r="E33" i="29"/>
  <c r="E27" i="29"/>
  <c r="E30" i="29"/>
  <c r="E99" i="29"/>
  <c r="E79" i="29"/>
  <c r="E59" i="29"/>
  <c r="E25" i="29"/>
  <c r="E98" i="29"/>
  <c r="E78" i="29"/>
  <c r="E58" i="29"/>
  <c r="E24" i="29"/>
  <c r="E28" i="29"/>
  <c r="E36" i="29"/>
  <c r="E97" i="29"/>
  <c r="E77" i="29"/>
  <c r="E57" i="29"/>
  <c r="E23" i="29"/>
  <c r="E76" i="29"/>
  <c r="E56" i="29"/>
  <c r="E22" i="29"/>
  <c r="E49" i="29"/>
  <c r="E100" i="29"/>
  <c r="E96" i="29"/>
  <c r="E64" i="29"/>
  <c r="E61" i="29"/>
  <c r="E80" i="29"/>
  <c r="J104" i="2"/>
  <c r="J103" i="2"/>
  <c r="C104" i="2"/>
  <c r="C103" i="2"/>
  <c r="K2" i="11"/>
  <c r="M9" i="1"/>
  <c r="M19" i="1" s="1"/>
  <c r="K2" i="5" s="1"/>
  <c r="B37" i="19" l="1"/>
  <c r="B37" i="20" s="1"/>
  <c r="B37" i="22" s="1"/>
  <c r="D42" i="29"/>
  <c r="B67" i="19"/>
  <c r="B67" i="20" s="1"/>
  <c r="B67" i="22" s="1"/>
  <c r="D72" i="29"/>
  <c r="B79" i="19"/>
  <c r="B79" i="20" s="1"/>
  <c r="B79" i="22" s="1"/>
  <c r="D84" i="29"/>
  <c r="B61" i="19"/>
  <c r="B61" i="20" s="1"/>
  <c r="B61" i="22" s="1"/>
  <c r="D66" i="29"/>
  <c r="B19" i="19"/>
  <c r="B19" i="20" s="1"/>
  <c r="B19" i="22" s="1"/>
  <c r="D24" i="29"/>
  <c r="B53" i="19"/>
  <c r="B53" i="20" s="1"/>
  <c r="B53" i="22" s="1"/>
  <c r="D58" i="29"/>
  <c r="B57" i="19"/>
  <c r="B57" i="20" s="1"/>
  <c r="B57" i="22" s="1"/>
  <c r="D62" i="29"/>
  <c r="B21" i="19"/>
  <c r="B21" i="20" s="1"/>
  <c r="B21" i="22" s="1"/>
  <c r="D26" i="29"/>
  <c r="B75" i="19"/>
  <c r="B75" i="20" s="1"/>
  <c r="B75" i="22" s="1"/>
  <c r="D80" i="29"/>
  <c r="B56" i="19"/>
  <c r="B56" i="20" s="1"/>
  <c r="B56" i="22" s="1"/>
  <c r="D61" i="29"/>
  <c r="B59" i="19"/>
  <c r="B59" i="20" s="1"/>
  <c r="B59" i="22" s="1"/>
  <c r="D64" i="29"/>
  <c r="B44" i="19"/>
  <c r="B44" i="20" s="1"/>
  <c r="B44" i="22" s="1"/>
  <c r="D49" i="29"/>
  <c r="B39" i="19"/>
  <c r="B39" i="20" s="1"/>
  <c r="B39" i="22" s="1"/>
  <c r="D44" i="29"/>
  <c r="B8" i="19"/>
  <c r="B8" i="20" s="1"/>
  <c r="B8" i="22" s="1"/>
  <c r="D13" i="29"/>
  <c r="B36" i="19"/>
  <c r="B36" i="20" s="1"/>
  <c r="B36" i="22" s="1"/>
  <c r="D41" i="29"/>
  <c r="B11" i="19"/>
  <c r="B11" i="20" s="1"/>
  <c r="B11" i="22" s="1"/>
  <c r="D16" i="29"/>
  <c r="B94" i="19"/>
  <c r="B94" i="20" s="1"/>
  <c r="B94" i="22" s="1"/>
  <c r="D99" i="29"/>
  <c r="B91" i="19"/>
  <c r="B91" i="20" s="1"/>
  <c r="B91" i="22" s="1"/>
  <c r="D96" i="29"/>
  <c r="B95" i="19"/>
  <c r="B95" i="20" s="1"/>
  <c r="B95" i="22" s="1"/>
  <c r="D100" i="29"/>
  <c r="B12" i="19"/>
  <c r="B12" i="20" s="1"/>
  <c r="B12" i="22" s="1"/>
  <c r="D17" i="29"/>
  <c r="B9" i="19"/>
  <c r="B9" i="20" s="1"/>
  <c r="B9" i="22" s="1"/>
  <c r="D14" i="29"/>
  <c r="B17" i="19"/>
  <c r="B17" i="20" s="1"/>
  <c r="B17" i="22" s="1"/>
  <c r="D22" i="29"/>
  <c r="B43" i="19"/>
  <c r="B43" i="20" s="1"/>
  <c r="B43" i="22" s="1"/>
  <c r="D48" i="29"/>
  <c r="B66" i="19"/>
  <c r="B66" i="20" s="1"/>
  <c r="B66" i="22" s="1"/>
  <c r="D71" i="29"/>
  <c r="B49" i="19"/>
  <c r="B49" i="20" s="1"/>
  <c r="B49" i="22" s="1"/>
  <c r="D54" i="29"/>
  <c r="B38" i="19"/>
  <c r="B38" i="20" s="1"/>
  <c r="B38" i="22" s="1"/>
  <c r="D43" i="29"/>
  <c r="B89" i="19"/>
  <c r="B89" i="20" s="1"/>
  <c r="B89" i="22" s="1"/>
  <c r="D94" i="29"/>
  <c r="B7" i="19"/>
  <c r="B7" i="20" s="1"/>
  <c r="B7" i="22" s="1"/>
  <c r="D12" i="29"/>
  <c r="B40" i="19"/>
  <c r="B40" i="20" s="1"/>
  <c r="B40" i="22" s="1"/>
  <c r="D45" i="29"/>
  <c r="B90" i="19"/>
  <c r="B90" i="20" s="1"/>
  <c r="B90" i="22" s="1"/>
  <c r="D95" i="29"/>
  <c r="B73" i="19"/>
  <c r="B73" i="20" s="1"/>
  <c r="B73" i="22" s="1"/>
  <c r="D78" i="29"/>
  <c r="B93" i="19"/>
  <c r="B93" i="20" s="1"/>
  <c r="B93" i="22" s="1"/>
  <c r="D98" i="29"/>
  <c r="B42" i="19"/>
  <c r="B42" i="20" s="1"/>
  <c r="B42" i="22" s="1"/>
  <c r="D47" i="29"/>
  <c r="B62" i="19"/>
  <c r="B62" i="20" s="1"/>
  <c r="B62" i="22" s="1"/>
  <c r="D67" i="29"/>
  <c r="B74" i="19"/>
  <c r="B74" i="20" s="1"/>
  <c r="B74" i="22" s="1"/>
  <c r="D79" i="29"/>
  <c r="B13" i="19"/>
  <c r="B13" i="20" s="1"/>
  <c r="B13" i="22" s="1"/>
  <c r="D18" i="29"/>
  <c r="B22" i="19"/>
  <c r="B22" i="20" s="1"/>
  <c r="B22" i="22" s="1"/>
  <c r="D27" i="29"/>
  <c r="B88" i="19"/>
  <c r="B88" i="20" s="1"/>
  <c r="B88" i="22" s="1"/>
  <c r="D93" i="29"/>
  <c r="B46" i="19"/>
  <c r="B46" i="20" s="1"/>
  <c r="B46" i="22" s="1"/>
  <c r="D51" i="29"/>
  <c r="B51" i="19"/>
  <c r="B51" i="20" s="1"/>
  <c r="B51" i="22" s="1"/>
  <c r="D56" i="29"/>
  <c r="B69" i="19"/>
  <c r="B69" i="20" s="1"/>
  <c r="B69" i="22" s="1"/>
  <c r="D74" i="29"/>
  <c r="B18" i="19"/>
  <c r="B18" i="20" s="1"/>
  <c r="B18" i="22" s="1"/>
  <c r="D23" i="29"/>
  <c r="B26" i="19"/>
  <c r="B26" i="20" s="1"/>
  <c r="B26" i="22" s="1"/>
  <c r="D31" i="29"/>
  <c r="B47" i="19"/>
  <c r="B47" i="20" s="1"/>
  <c r="B47" i="22" s="1"/>
  <c r="D52" i="29"/>
  <c r="B41" i="19"/>
  <c r="B41" i="20" s="1"/>
  <c r="B41" i="22" s="1"/>
  <c r="D46" i="29"/>
  <c r="B70" i="19"/>
  <c r="B70" i="20" s="1"/>
  <c r="B70" i="22" s="1"/>
  <c r="D75" i="29"/>
  <c r="B101" i="19"/>
  <c r="B101" i="20" s="1"/>
  <c r="B101" i="22" s="1"/>
  <c r="D106" i="29"/>
  <c r="B10" i="19"/>
  <c r="B10" i="20" s="1"/>
  <c r="B10" i="22" s="1"/>
  <c r="D15" i="29"/>
  <c r="B45" i="19"/>
  <c r="B45" i="20" s="1"/>
  <c r="B45" i="22" s="1"/>
  <c r="D50" i="29"/>
  <c r="B30" i="19"/>
  <c r="B30" i="20" s="1"/>
  <c r="B30" i="22" s="1"/>
  <c r="D35" i="29"/>
  <c r="B33" i="19"/>
  <c r="B33" i="20" s="1"/>
  <c r="B33" i="22" s="1"/>
  <c r="D38" i="29"/>
  <c r="B82" i="19"/>
  <c r="B82" i="20" s="1"/>
  <c r="B82" i="22" s="1"/>
  <c r="D87" i="29"/>
  <c r="B34" i="19"/>
  <c r="B34" i="20" s="1"/>
  <c r="B34" i="22" s="1"/>
  <c r="D39" i="29"/>
  <c r="B25" i="19"/>
  <c r="B25" i="20" s="1"/>
  <c r="B25" i="22" s="1"/>
  <c r="D30" i="29"/>
  <c r="B96" i="19"/>
  <c r="B96" i="20" s="1"/>
  <c r="B96" i="22" s="1"/>
  <c r="D101" i="29"/>
  <c r="B81" i="19"/>
  <c r="B81" i="20" s="1"/>
  <c r="B81" i="22" s="1"/>
  <c r="D86" i="29"/>
  <c r="B28" i="19"/>
  <c r="B28" i="20" s="1"/>
  <c r="B28" i="22" s="1"/>
  <c r="D33" i="29"/>
  <c r="B15" i="19"/>
  <c r="B15" i="20" s="1"/>
  <c r="B15" i="22" s="1"/>
  <c r="D20" i="29"/>
  <c r="B24" i="19"/>
  <c r="B24" i="20" s="1"/>
  <c r="B24" i="22" s="1"/>
  <c r="D29" i="29"/>
  <c r="B58" i="19"/>
  <c r="B58" i="20" s="1"/>
  <c r="B58" i="22" s="1"/>
  <c r="D63" i="29"/>
  <c r="B63" i="19"/>
  <c r="B63" i="20" s="1"/>
  <c r="B63" i="22" s="1"/>
  <c r="D68" i="29"/>
  <c r="B86" i="19"/>
  <c r="B86" i="20" s="1"/>
  <c r="B86" i="22" s="1"/>
  <c r="D91" i="29"/>
  <c r="B71" i="19"/>
  <c r="B71" i="20" s="1"/>
  <c r="B71" i="22" s="1"/>
  <c r="D76" i="29"/>
  <c r="B78" i="19"/>
  <c r="B78" i="20" s="1"/>
  <c r="B78" i="22" s="1"/>
  <c r="D83" i="29"/>
  <c r="B83" i="19"/>
  <c r="B83" i="20" s="1"/>
  <c r="B83" i="22" s="1"/>
  <c r="D88" i="29"/>
  <c r="B98" i="19"/>
  <c r="B98" i="20" s="1"/>
  <c r="B98" i="22" s="1"/>
  <c r="D103" i="29"/>
  <c r="B35" i="19"/>
  <c r="B35" i="20" s="1"/>
  <c r="B35" i="22" s="1"/>
  <c r="D40" i="29"/>
  <c r="B52" i="19"/>
  <c r="B52" i="20" s="1"/>
  <c r="B52" i="22" s="1"/>
  <c r="D57" i="29"/>
  <c r="B27" i="19"/>
  <c r="B27" i="20" s="1"/>
  <c r="B27" i="22" s="1"/>
  <c r="D32" i="29"/>
  <c r="B84" i="19"/>
  <c r="B84" i="20" s="1"/>
  <c r="B84" i="22" s="1"/>
  <c r="D89" i="29"/>
  <c r="B72" i="19"/>
  <c r="B72" i="20" s="1"/>
  <c r="B72" i="22" s="1"/>
  <c r="D77" i="29"/>
  <c r="B77" i="19"/>
  <c r="B77" i="20" s="1"/>
  <c r="B77" i="22" s="1"/>
  <c r="D82" i="29"/>
  <c r="B6" i="19"/>
  <c r="B6" i="20" s="1"/>
  <c r="B6" i="22" s="1"/>
  <c r="D11" i="29"/>
  <c r="B87" i="19"/>
  <c r="B87" i="20" s="1"/>
  <c r="B87" i="22" s="1"/>
  <c r="D92" i="29"/>
  <c r="B48" i="19"/>
  <c r="B48" i="20" s="1"/>
  <c r="B48" i="22" s="1"/>
  <c r="D53" i="29"/>
  <c r="B31" i="19"/>
  <c r="B31" i="20" s="1"/>
  <c r="B31" i="22" s="1"/>
  <c r="D36" i="29"/>
  <c r="D37" i="29"/>
  <c r="B50" i="19"/>
  <c r="B50" i="20" s="1"/>
  <c r="B50" i="22" s="1"/>
  <c r="D55" i="29"/>
  <c r="B23" i="19"/>
  <c r="B23" i="20" s="1"/>
  <c r="B23" i="22" s="1"/>
  <c r="D28" i="29"/>
  <c r="B68" i="19"/>
  <c r="B68" i="20" s="1"/>
  <c r="B68" i="22" s="1"/>
  <c r="D73" i="29"/>
  <c r="B100" i="19"/>
  <c r="B100" i="20" s="1"/>
  <c r="B100" i="22" s="1"/>
  <c r="D105" i="29"/>
  <c r="B55" i="19"/>
  <c r="B55" i="20" s="1"/>
  <c r="B55" i="22" s="1"/>
  <c r="D60" i="29"/>
  <c r="B76" i="19"/>
  <c r="B76" i="20" s="1"/>
  <c r="B76" i="22" s="1"/>
  <c r="D81" i="29"/>
  <c r="B85" i="19"/>
  <c r="B85" i="20" s="1"/>
  <c r="B85" i="22" s="1"/>
  <c r="D90" i="29"/>
  <c r="B20" i="19"/>
  <c r="B20" i="20" s="1"/>
  <c r="B20" i="22" s="1"/>
  <c r="D25" i="29"/>
  <c r="B60" i="19"/>
  <c r="B60" i="20" s="1"/>
  <c r="B60" i="22" s="1"/>
  <c r="D65" i="29"/>
  <c r="B54" i="19"/>
  <c r="B54" i="20" s="1"/>
  <c r="B54" i="22" s="1"/>
  <c r="D59" i="29"/>
  <c r="B64" i="19"/>
  <c r="B64" i="20" s="1"/>
  <c r="B64" i="22" s="1"/>
  <c r="D69" i="29"/>
  <c r="B65" i="19"/>
  <c r="B65" i="20" s="1"/>
  <c r="B65" i="22" s="1"/>
  <c r="D70" i="29"/>
  <c r="B29" i="19"/>
  <c r="B29" i="20" s="1"/>
  <c r="B29" i="22" s="1"/>
  <c r="D34" i="29"/>
  <c r="B14" i="19"/>
  <c r="B14" i="20" s="1"/>
  <c r="B14" i="22" s="1"/>
  <c r="D19" i="29"/>
  <c r="B92" i="19"/>
  <c r="B92" i="20" s="1"/>
  <c r="B92" i="22" s="1"/>
  <c r="D97" i="29"/>
  <c r="B97" i="19"/>
  <c r="B97" i="20" s="1"/>
  <c r="B97" i="22" s="1"/>
  <c r="D102" i="29"/>
  <c r="B80" i="19"/>
  <c r="B80" i="20" s="1"/>
  <c r="B80" i="22" s="1"/>
  <c r="D85" i="29"/>
  <c r="B99" i="19"/>
  <c r="B99" i="20" s="1"/>
  <c r="B99" i="22" s="1"/>
  <c r="D104" i="29"/>
  <c r="B16" i="19"/>
  <c r="B16" i="20" s="1"/>
  <c r="B16" i="22" s="1"/>
  <c r="D21" i="29"/>
  <c r="M16" i="1"/>
  <c r="K2" i="14"/>
  <c r="K2" i="13"/>
  <c r="M17" i="1"/>
  <c r="K2" i="3" s="1"/>
  <c r="K2" i="9"/>
  <c r="K2" i="8"/>
  <c r="J3" i="19"/>
  <c r="F22" i="1"/>
  <c r="D22" i="1"/>
  <c r="D4" i="30"/>
  <c r="E4" i="30"/>
  <c r="E5" i="30" s="1"/>
  <c r="H22" i="1"/>
  <c r="K4" i="22" l="1"/>
  <c r="K5" i="22" s="1"/>
  <c r="K4" i="20"/>
  <c r="K5" i="20" s="1"/>
  <c r="K4" i="19"/>
  <c r="K5" i="19" s="1"/>
  <c r="B22" i="1"/>
  <c r="H88" i="28"/>
  <c r="H87" i="28"/>
  <c r="H86" i="28"/>
  <c r="H82" i="28"/>
  <c r="H81" i="28"/>
  <c r="H80" i="28"/>
  <c r="H77" i="28"/>
  <c r="H76" i="28"/>
  <c r="H75" i="28"/>
  <c r="H74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4" i="28"/>
  <c r="H53" i="28"/>
  <c r="H52" i="28"/>
  <c r="H51" i="28"/>
  <c r="H50" i="28"/>
  <c r="H49" i="28"/>
  <c r="H48" i="28"/>
  <c r="H47" i="28"/>
  <c r="M22" i="1" l="1"/>
  <c r="K2" i="30" s="1"/>
  <c r="K3" i="19"/>
  <c r="J22" i="1"/>
  <c r="C22" i="1"/>
  <c r="E14" i="28"/>
  <c r="E13" i="28"/>
  <c r="E12" i="28"/>
  <c r="E11" i="28"/>
  <c r="E10" i="28"/>
  <c r="E27" i="28"/>
  <c r="E45" i="28"/>
  <c r="E44" i="28"/>
  <c r="E43" i="28"/>
  <c r="E42" i="28"/>
  <c r="E41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6" i="28"/>
  <c r="E25" i="28"/>
  <c r="E24" i="28"/>
  <c r="E23" i="28"/>
  <c r="E22" i="28"/>
  <c r="E21" i="28"/>
  <c r="E19" i="28"/>
  <c r="E18" i="28"/>
  <c r="E17" i="28"/>
  <c r="E16" i="28"/>
  <c r="E15" i="28"/>
  <c r="E20" i="28"/>
  <c r="H46" i="28" l="1"/>
  <c r="D4" i="28"/>
  <c r="C27" i="28" l="1"/>
  <c r="C93" i="28"/>
  <c r="C91" i="28"/>
  <c r="C79" i="28"/>
  <c r="C73" i="28"/>
  <c r="J9" i="2"/>
  <c r="J98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C94" i="12" l="1"/>
  <c r="C93" i="12"/>
  <c r="C92" i="12"/>
  <c r="D4" i="6"/>
  <c r="D4" i="3" l="1"/>
  <c r="D4" i="2"/>
  <c r="E4" i="2" s="1"/>
  <c r="F2" i="2"/>
  <c r="E12" i="2" s="1"/>
  <c r="F2" i="28"/>
  <c r="D4" i="7"/>
  <c r="E4" i="7" s="1"/>
  <c r="F2" i="7"/>
  <c r="F3" i="2"/>
  <c r="G2" i="7"/>
  <c r="E5" i="2" l="1"/>
  <c r="D12" i="2"/>
  <c r="C12" i="7"/>
  <c r="F3" i="7"/>
  <c r="E32" i="7"/>
  <c r="G3" i="12"/>
  <c r="F3" i="12"/>
  <c r="G2" i="12"/>
  <c r="F2" i="12"/>
  <c r="G3" i="9"/>
  <c r="F3" i="9"/>
  <c r="G2" i="9"/>
  <c r="F2" i="9"/>
  <c r="G3" i="2"/>
  <c r="G2" i="2"/>
  <c r="J27" i="19" l="1"/>
  <c r="J21" i="1"/>
  <c r="H21" i="1"/>
  <c r="J4" i="19" s="1"/>
  <c r="J5" i="19" s="1"/>
  <c r="C89" i="14"/>
  <c r="C88" i="14"/>
  <c r="C87" i="14"/>
  <c r="C85" i="14"/>
  <c r="C84" i="14"/>
  <c r="C85" i="13"/>
  <c r="C84" i="13"/>
  <c r="C83" i="13"/>
  <c r="C82" i="13"/>
  <c r="D20" i="1" l="1"/>
  <c r="F20" i="1"/>
  <c r="C98" i="7" l="1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J82" i="7" s="1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12" i="15" l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8" i="15"/>
  <c r="E3" i="19" l="1"/>
  <c r="F3" i="19"/>
  <c r="H3" i="19"/>
  <c r="L3" i="19"/>
  <c r="M3" i="19"/>
  <c r="O3" i="19"/>
  <c r="P3" i="19"/>
  <c r="Q3" i="19"/>
  <c r="R3" i="19"/>
  <c r="S3" i="19"/>
  <c r="T3" i="19"/>
  <c r="V3" i="19"/>
  <c r="W3" i="19"/>
  <c r="Y3" i="19"/>
  <c r="C88" i="28" l="1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F14" i="1" l="1"/>
  <c r="J98" i="15" l="1"/>
  <c r="H14" i="1" l="1"/>
  <c r="J14" i="1"/>
  <c r="D14" i="1"/>
  <c r="C14" i="1" s="1"/>
  <c r="C95" i="2" l="1"/>
  <c r="C94" i="2"/>
  <c r="C93" i="2"/>
  <c r="J94" i="2" l="1"/>
  <c r="J93" i="2"/>
  <c r="J95" i="2"/>
  <c r="C27" i="19"/>
  <c r="C27" i="20" s="1"/>
  <c r="C27" i="22" s="1"/>
  <c r="C26" i="19"/>
  <c r="C26" i="20" s="1"/>
  <c r="C26" i="22" s="1"/>
  <c r="C25" i="19"/>
  <c r="C25" i="20" s="1"/>
  <c r="C25" i="22" s="1"/>
  <c r="C24" i="19"/>
  <c r="C24" i="20" s="1"/>
  <c r="C24" i="22" s="1"/>
  <c r="C23" i="19"/>
  <c r="C23" i="20" s="1"/>
  <c r="C23" i="22" s="1"/>
  <c r="C22" i="19"/>
  <c r="C22" i="20" s="1"/>
  <c r="C22" i="22" s="1"/>
  <c r="C21" i="19"/>
  <c r="C21" i="20" s="1"/>
  <c r="C21" i="22" s="1"/>
  <c r="E4" i="28"/>
  <c r="D27" i="28" s="1"/>
  <c r="F3" i="28"/>
  <c r="C19" i="19" s="1"/>
  <c r="C19" i="20" s="1"/>
  <c r="C19" i="22" s="1"/>
  <c r="C14" i="19"/>
  <c r="C14" i="20" s="1"/>
  <c r="C14" i="22" s="1"/>
  <c r="E5" i="28" l="1"/>
  <c r="C18" i="19"/>
  <c r="C18" i="20" s="1"/>
  <c r="C18" i="22" s="1"/>
  <c r="D29" i="28"/>
  <c r="D24" i="28"/>
  <c r="D26" i="28"/>
  <c r="D30" i="28"/>
  <c r="D10" i="28"/>
  <c r="D19" i="28"/>
  <c r="D31" i="28"/>
  <c r="D28" i="28"/>
  <c r="D32" i="28"/>
  <c r="D18" i="28" l="1"/>
  <c r="C13" i="19"/>
  <c r="C13" i="20" s="1"/>
  <c r="C13" i="22" s="1"/>
  <c r="D17" i="28"/>
  <c r="C12" i="19"/>
  <c r="C12" i="20" s="1"/>
  <c r="C12" i="22" s="1"/>
  <c r="D22" i="28"/>
  <c r="C17" i="19"/>
  <c r="C17" i="20" s="1"/>
  <c r="C17" i="22" s="1"/>
  <c r="D16" i="28"/>
  <c r="C11" i="19"/>
  <c r="C11" i="20" s="1"/>
  <c r="C11" i="22" s="1"/>
  <c r="D21" i="28"/>
  <c r="C16" i="19"/>
  <c r="C16" i="20" s="1"/>
  <c r="C16" i="22" s="1"/>
  <c r="D12" i="28"/>
  <c r="C7" i="19"/>
  <c r="C7" i="20" s="1"/>
  <c r="C7" i="22" s="1"/>
  <c r="D25" i="28"/>
  <c r="C20" i="19"/>
  <c r="C20" i="20" s="1"/>
  <c r="C20" i="22" s="1"/>
  <c r="D20" i="28"/>
  <c r="C15" i="19"/>
  <c r="C15" i="20" s="1"/>
  <c r="C15" i="22" s="1"/>
  <c r="D15" i="28"/>
  <c r="C10" i="19"/>
  <c r="C10" i="20" s="1"/>
  <c r="C10" i="22" s="1"/>
  <c r="D14" i="28"/>
  <c r="C9" i="19"/>
  <c r="C9" i="20" s="1"/>
  <c r="C9" i="22" s="1"/>
  <c r="D13" i="28"/>
  <c r="C8" i="19"/>
  <c r="C8" i="20" s="1"/>
  <c r="C8" i="22" s="1"/>
  <c r="D11" i="28"/>
  <c r="C6" i="19"/>
  <c r="C6" i="20" s="1"/>
  <c r="C6" i="22" s="1"/>
  <c r="D23" i="28"/>
  <c r="C18" i="9"/>
  <c r="C16" i="9"/>
  <c r="C15" i="9"/>
  <c r="C14" i="9"/>
  <c r="C13" i="9"/>
  <c r="C11" i="12" l="1"/>
  <c r="J11" i="12" s="1"/>
  <c r="C88" i="5" l="1"/>
  <c r="C9" i="2" l="1"/>
  <c r="C100" i="2" l="1"/>
  <c r="C98" i="2"/>
  <c r="C97" i="2"/>
  <c r="C96" i="2"/>
  <c r="J96" i="2" l="1"/>
  <c r="J98" i="2"/>
  <c r="J97" i="2"/>
  <c r="J100" i="2"/>
  <c r="G3" i="15" l="1"/>
  <c r="F3" i="15"/>
  <c r="G2" i="15"/>
  <c r="E86" i="15" s="1"/>
  <c r="F2" i="15"/>
  <c r="G3" i="7"/>
  <c r="E39" i="7" s="1"/>
  <c r="E39" i="30" l="1"/>
  <c r="J34" i="19"/>
  <c r="C99" i="12"/>
  <c r="J99" i="12" s="1"/>
  <c r="J93" i="12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14" i="14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5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H36" i="1"/>
  <c r="Y4" i="19" s="1"/>
  <c r="Y5" i="19" s="1"/>
  <c r="H35" i="1"/>
  <c r="X4" i="19" s="1"/>
  <c r="X5" i="19" s="1"/>
  <c r="H34" i="1"/>
  <c r="W4" i="19" s="1"/>
  <c r="W5" i="19" s="1"/>
  <c r="H33" i="1"/>
  <c r="V4" i="19" s="1"/>
  <c r="V5" i="19" s="1"/>
  <c r="H32" i="1"/>
  <c r="U4" i="19" s="1"/>
  <c r="U5" i="19" s="1"/>
  <c r="H31" i="1"/>
  <c r="T4" i="19" s="1"/>
  <c r="T5" i="19" s="1"/>
  <c r="H30" i="1"/>
  <c r="S4" i="19" s="1"/>
  <c r="S5" i="19" s="1"/>
  <c r="H29" i="1"/>
  <c r="R4" i="19" s="1"/>
  <c r="R5" i="19" s="1"/>
  <c r="H28" i="1"/>
  <c r="Q4" i="19" s="1"/>
  <c r="Q5" i="19" s="1"/>
  <c r="H27" i="1"/>
  <c r="P4" i="19" s="1"/>
  <c r="P5" i="19" s="1"/>
  <c r="H26" i="1"/>
  <c r="O4" i="19" s="1"/>
  <c r="O5" i="19" s="1"/>
  <c r="H25" i="1"/>
  <c r="N4" i="19" s="1"/>
  <c r="N5" i="19" s="1"/>
  <c r="H24" i="1"/>
  <c r="M4" i="19" s="1"/>
  <c r="M5" i="19" s="1"/>
  <c r="H23" i="1"/>
  <c r="L4" i="19" s="1"/>
  <c r="L5" i="19" s="1"/>
  <c r="H20" i="1"/>
  <c r="I4" i="19" s="1"/>
  <c r="I5" i="19" s="1"/>
  <c r="H19" i="1"/>
  <c r="H4" i="19" s="1"/>
  <c r="H5" i="19" s="1"/>
  <c r="H18" i="1"/>
  <c r="G4" i="19" s="1"/>
  <c r="G5" i="19" s="1"/>
  <c r="H17" i="1"/>
  <c r="F4" i="19" s="1"/>
  <c r="F5" i="19" s="1"/>
  <c r="H16" i="1"/>
  <c r="E4" i="19" s="1"/>
  <c r="E5" i="19" s="1"/>
  <c r="H11" i="1"/>
  <c r="H10" i="1"/>
  <c r="H9" i="1"/>
  <c r="H7" i="1"/>
  <c r="H8" i="1"/>
  <c r="H6" i="1"/>
  <c r="H5" i="1"/>
  <c r="H4" i="1"/>
  <c r="H3" i="1"/>
  <c r="H2" i="1"/>
  <c r="D36" i="1"/>
  <c r="D35" i="1"/>
  <c r="D34" i="1"/>
  <c r="D33" i="1"/>
  <c r="C33" i="1" s="1"/>
  <c r="D32" i="1"/>
  <c r="D31" i="1"/>
  <c r="D30" i="1"/>
  <c r="D29" i="1"/>
  <c r="AO29" i="1" s="1"/>
  <c r="D28" i="1"/>
  <c r="C28" i="1" s="1"/>
  <c r="D27" i="1"/>
  <c r="AO27" i="1" s="1"/>
  <c r="D26" i="1"/>
  <c r="D25" i="1"/>
  <c r="D24" i="1"/>
  <c r="AO24" i="1" s="1"/>
  <c r="D23" i="1"/>
  <c r="AO23" i="1" s="1"/>
  <c r="D21" i="1"/>
  <c r="D19" i="1"/>
  <c r="D16" i="1"/>
  <c r="C16" i="1" s="1"/>
  <c r="D11" i="1"/>
  <c r="D10" i="1"/>
  <c r="C10" i="1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19" i="1"/>
  <c r="F16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10"/>
  <c r="E4" i="10" s="1"/>
  <c r="D4" i="8"/>
  <c r="E4" i="8" s="1"/>
  <c r="D4" i="9"/>
  <c r="E4" i="9" s="1"/>
  <c r="F2" i="18"/>
  <c r="E13" i="18" s="1"/>
  <c r="G2" i="18"/>
  <c r="F3" i="18"/>
  <c r="G3" i="18"/>
  <c r="E36" i="18" s="1"/>
  <c r="D4" i="18"/>
  <c r="E4" i="18" s="1"/>
  <c r="E5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D4" i="13"/>
  <c r="E4" i="13" s="1"/>
  <c r="D4" i="14"/>
  <c r="E4" i="14" s="1"/>
  <c r="D4" i="4"/>
  <c r="E4" i="4" s="1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9" i="3" s="1"/>
  <c r="D9" i="3" s="1"/>
  <c r="E33" i="2"/>
  <c r="E14" i="2"/>
  <c r="E14" i="3" s="1"/>
  <c r="F9" i="19" s="1"/>
  <c r="E30" i="2"/>
  <c r="E30" i="3" s="1"/>
  <c r="F25" i="19" s="1"/>
  <c r="E32" i="2"/>
  <c r="E32" i="3" s="1"/>
  <c r="F27" i="19" s="1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8" i="3" s="1"/>
  <c r="E89" i="2"/>
  <c r="E89" i="3" s="1"/>
  <c r="E94" i="2"/>
  <c r="E95" i="2"/>
  <c r="E95" i="3" s="1"/>
  <c r="E96" i="2"/>
  <c r="E100" i="2"/>
  <c r="E103" i="2"/>
  <c r="E104" i="2"/>
  <c r="E4" i="6"/>
  <c r="E4" i="3"/>
  <c r="D4" i="5"/>
  <c r="E4" i="5" s="1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D6" i="1"/>
  <c r="C6" i="1" s="1"/>
  <c r="K6" i="1"/>
  <c r="D7" i="1"/>
  <c r="C7" i="1" s="1"/>
  <c r="K7" i="1"/>
  <c r="K8" i="1"/>
  <c r="K9" i="1"/>
  <c r="K10" i="1"/>
  <c r="C11" i="1"/>
  <c r="K11" i="1"/>
  <c r="J16" i="1"/>
  <c r="AM16" i="1"/>
  <c r="AN16" i="1"/>
  <c r="J17" i="1"/>
  <c r="AM17" i="1"/>
  <c r="AN17" i="1"/>
  <c r="B18" i="1"/>
  <c r="M18" i="1" s="1"/>
  <c r="K2" i="4" s="1"/>
  <c r="AP18" i="1"/>
  <c r="C19" i="1"/>
  <c r="J19" i="1"/>
  <c r="AM19" i="1"/>
  <c r="AN19" i="1"/>
  <c r="AO19" i="1"/>
  <c r="B20" i="1"/>
  <c r="M20" i="1" s="1"/>
  <c r="K2" i="6" s="1"/>
  <c r="AP20" i="1"/>
  <c r="AM21" i="1"/>
  <c r="AN21" i="1"/>
  <c r="J23" i="1"/>
  <c r="AM23" i="1"/>
  <c r="AN23" i="1"/>
  <c r="J24" i="1"/>
  <c r="AM24" i="1"/>
  <c r="AN24" i="1"/>
  <c r="B25" i="1"/>
  <c r="AP25" i="1"/>
  <c r="J26" i="1"/>
  <c r="AM26" i="1"/>
  <c r="AN26" i="1"/>
  <c r="J27" i="1"/>
  <c r="AM27" i="1"/>
  <c r="AN27" i="1"/>
  <c r="J28" i="1"/>
  <c r="AM28" i="1"/>
  <c r="AN28" i="1"/>
  <c r="J29" i="1"/>
  <c r="AM29" i="1"/>
  <c r="AN29" i="1"/>
  <c r="J30" i="1"/>
  <c r="AM30" i="1"/>
  <c r="AN30" i="1"/>
  <c r="C31" i="1"/>
  <c r="J31" i="1"/>
  <c r="AM31" i="1"/>
  <c r="AN31" i="1"/>
  <c r="B32" i="1"/>
  <c r="AP32" i="1"/>
  <c r="J33" i="1"/>
  <c r="AM33" i="1"/>
  <c r="AN33" i="1"/>
  <c r="J34" i="1"/>
  <c r="AM34" i="1"/>
  <c r="AN34" i="1"/>
  <c r="B35" i="1"/>
  <c r="AP35" i="1"/>
  <c r="C36" i="1"/>
  <c r="J36" i="1"/>
  <c r="AM36" i="1"/>
  <c r="AN36" i="1"/>
  <c r="AO36" i="1"/>
  <c r="AO31" i="1"/>
  <c r="P4" i="21"/>
  <c r="P5" i="21" s="1"/>
  <c r="V4" i="22"/>
  <c r="V5" i="22" s="1"/>
  <c r="V4" i="20"/>
  <c r="V5" i="20" s="1"/>
  <c r="R4" i="21"/>
  <c r="R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2" i="30" s="1"/>
  <c r="E30" i="12"/>
  <c r="E28" i="12"/>
  <c r="E26" i="12"/>
  <c r="E22" i="12"/>
  <c r="E16" i="12"/>
  <c r="E15" i="12"/>
  <c r="E10" i="12"/>
  <c r="E13" i="2"/>
  <c r="E11" i="2"/>
  <c r="E11" i="3" s="1"/>
  <c r="F6" i="19" s="1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D21" i="18"/>
  <c r="D33" i="18"/>
  <c r="D18" i="18"/>
  <c r="D26" i="18"/>
  <c r="D49" i="18"/>
  <c r="E12" i="18"/>
  <c r="E15" i="18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2" i="18"/>
  <c r="D22" i="18" s="1"/>
  <c r="E17" i="18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30" i="18"/>
  <c r="D30" i="18" s="1"/>
  <c r="E25" i="18"/>
  <c r="D25" i="18" s="1"/>
  <c r="D20" i="18"/>
  <c r="E14" i="18"/>
  <c r="D14" i="18" s="1"/>
  <c r="E9" i="18"/>
  <c r="E48" i="18"/>
  <c r="D48" i="18" s="1"/>
  <c r="F48" i="18" s="1"/>
  <c r="E51" i="18"/>
  <c r="D51" i="18" s="1"/>
  <c r="F51" i="18" s="1"/>
  <c r="E57" i="18"/>
  <c r="D57" i="18" s="1"/>
  <c r="F57" i="18" s="1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43" i="7"/>
  <c r="E59" i="7"/>
  <c r="E71" i="7"/>
  <c r="E87" i="7"/>
  <c r="E99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35" i="7"/>
  <c r="E47" i="7"/>
  <c r="E63" i="7"/>
  <c r="E75" i="7"/>
  <c r="E91" i="7"/>
  <c r="E103" i="7"/>
  <c r="E51" i="7"/>
  <c r="E79" i="7"/>
  <c r="E36" i="7"/>
  <c r="E40" i="7"/>
  <c r="E44" i="7"/>
  <c r="E48" i="7"/>
  <c r="E52" i="7"/>
  <c r="E56" i="7"/>
  <c r="E60" i="7"/>
  <c r="E64" i="7"/>
  <c r="E68" i="7"/>
  <c r="E72" i="7"/>
  <c r="E76" i="7"/>
  <c r="E80" i="7"/>
  <c r="E84" i="7"/>
  <c r="E88" i="7"/>
  <c r="E92" i="7"/>
  <c r="E96" i="7"/>
  <c r="E100" i="7"/>
  <c r="E104" i="7"/>
  <c r="E55" i="7"/>
  <c r="E67" i="7"/>
  <c r="E83" i="7"/>
  <c r="E95" i="7"/>
  <c r="E9" i="7"/>
  <c r="E13" i="7"/>
  <c r="E17" i="7"/>
  <c r="E21" i="7"/>
  <c r="E25" i="7"/>
  <c r="E29" i="7"/>
  <c r="E23" i="7"/>
  <c r="E31" i="7"/>
  <c r="E10" i="7"/>
  <c r="E10" i="30" s="1"/>
  <c r="D10" i="30" s="1"/>
  <c r="E14" i="7"/>
  <c r="E18" i="7"/>
  <c r="E22" i="7"/>
  <c r="E26" i="7"/>
  <c r="E30" i="7"/>
  <c r="E19" i="7"/>
  <c r="E11" i="7"/>
  <c r="E12" i="7"/>
  <c r="E16" i="7"/>
  <c r="E20" i="7"/>
  <c r="E24" i="7"/>
  <c r="E28" i="7"/>
  <c r="E15" i="7"/>
  <c r="E27" i="7"/>
  <c r="E105" i="2"/>
  <c r="E99" i="2"/>
  <c r="E99" i="3" s="1"/>
  <c r="E91" i="2"/>
  <c r="E91" i="3" s="1"/>
  <c r="E85" i="2"/>
  <c r="E76" i="2"/>
  <c r="E76" i="3" s="1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102" i="3" s="1"/>
  <c r="E97" i="2"/>
  <c r="E93" i="2"/>
  <c r="E90" i="2"/>
  <c r="E84" i="2"/>
  <c r="E84" i="3" s="1"/>
  <c r="E78" i="2"/>
  <c r="E75" i="2"/>
  <c r="E75" i="3" s="1"/>
  <c r="E53" i="2"/>
  <c r="E50" i="2"/>
  <c r="E44" i="2"/>
  <c r="E31" i="2"/>
  <c r="E39" i="2"/>
  <c r="E39" i="3" s="1"/>
  <c r="E80" i="2"/>
  <c r="E77" i="2"/>
  <c r="E73" i="2"/>
  <c r="E71" i="2"/>
  <c r="E71" i="3" s="1"/>
  <c r="E67" i="2"/>
  <c r="E59" i="2"/>
  <c r="E54" i="2"/>
  <c r="E46" i="2"/>
  <c r="E45" i="2"/>
  <c r="E38" i="2"/>
  <c r="E38" i="3" s="1"/>
  <c r="E29" i="2"/>
  <c r="E28" i="2"/>
  <c r="E28" i="3" s="1"/>
  <c r="F23" i="19" s="1"/>
  <c r="E26" i="2"/>
  <c r="E26" i="3" s="1"/>
  <c r="F21" i="19" s="1"/>
  <c r="E69" i="2"/>
  <c r="E65" i="2"/>
  <c r="E64" i="2"/>
  <c r="E63" i="2"/>
  <c r="E62" i="2"/>
  <c r="E61" i="2"/>
  <c r="E60" i="2"/>
  <c r="E57" i="2"/>
  <c r="E57" i="3" s="1"/>
  <c r="E55" i="2"/>
  <c r="E47" i="2"/>
  <c r="E43" i="2"/>
  <c r="E42" i="2"/>
  <c r="E27" i="2"/>
  <c r="E25" i="2"/>
  <c r="E24" i="2"/>
  <c r="E24" i="3" s="1"/>
  <c r="F19" i="19" s="1"/>
  <c r="E23" i="2"/>
  <c r="E22" i="2"/>
  <c r="E22" i="3" s="1"/>
  <c r="F17" i="19" s="1"/>
  <c r="E21" i="2"/>
  <c r="E20" i="2"/>
  <c r="E20" i="3" s="1"/>
  <c r="F15" i="19" s="1"/>
  <c r="E19" i="2"/>
  <c r="E19" i="3" s="1"/>
  <c r="F14" i="19" s="1"/>
  <c r="E18" i="2"/>
  <c r="E18" i="3" s="1"/>
  <c r="F13" i="19" s="1"/>
  <c r="E17" i="2"/>
  <c r="E17" i="3" s="1"/>
  <c r="F12" i="19" s="1"/>
  <c r="E16" i="2"/>
  <c r="E15" i="2"/>
  <c r="M25" i="1" l="1"/>
  <c r="K2" i="10" s="1"/>
  <c r="C23" i="1"/>
  <c r="AO33" i="1"/>
  <c r="D3" i="21"/>
  <c r="X4" i="22"/>
  <c r="X5" i="22" s="1"/>
  <c r="K27" i="19"/>
  <c r="K27" i="20" s="1"/>
  <c r="K27" i="22" s="1"/>
  <c r="D32" i="30"/>
  <c r="E13" i="3"/>
  <c r="F8" i="19" s="1"/>
  <c r="E10" i="3"/>
  <c r="J24" i="19"/>
  <c r="E29" i="30"/>
  <c r="E29" i="3"/>
  <c r="F24" i="19" s="1"/>
  <c r="J12" i="19"/>
  <c r="E23" i="3"/>
  <c r="F18" i="19" s="1"/>
  <c r="J8" i="19"/>
  <c r="E13" i="30"/>
  <c r="J23" i="19"/>
  <c r="E28" i="30"/>
  <c r="E25" i="3"/>
  <c r="F20" i="19" s="1"/>
  <c r="J19" i="19"/>
  <c r="E24" i="30"/>
  <c r="E27" i="3"/>
  <c r="F22" i="19" s="1"/>
  <c r="J15" i="19"/>
  <c r="E20" i="30"/>
  <c r="J11" i="19"/>
  <c r="E16" i="30"/>
  <c r="J7" i="19"/>
  <c r="E12" i="30"/>
  <c r="D12" i="7"/>
  <c r="H12" i="7" s="1"/>
  <c r="E12" i="5"/>
  <c r="H7" i="19" s="1"/>
  <c r="E12" i="3"/>
  <c r="F7" i="19" s="1"/>
  <c r="J26" i="19"/>
  <c r="E31" i="30"/>
  <c r="J18" i="19"/>
  <c r="E23" i="30"/>
  <c r="J20" i="19"/>
  <c r="E25" i="30"/>
  <c r="E21" i="3"/>
  <c r="F16" i="19" s="1"/>
  <c r="J6" i="19"/>
  <c r="J14" i="19"/>
  <c r="E19" i="30"/>
  <c r="J21" i="19"/>
  <c r="E26" i="30"/>
  <c r="E31" i="3"/>
  <c r="F26" i="19" s="1"/>
  <c r="J17" i="19"/>
  <c r="E22" i="30"/>
  <c r="J13" i="19"/>
  <c r="E18" i="30"/>
  <c r="J22" i="19"/>
  <c r="E27" i="30"/>
  <c r="J10" i="19"/>
  <c r="E15" i="30"/>
  <c r="J25" i="19"/>
  <c r="E30" i="30"/>
  <c r="E15" i="3"/>
  <c r="F10" i="19" s="1"/>
  <c r="J9" i="19"/>
  <c r="E14" i="30"/>
  <c r="J16" i="19"/>
  <c r="E21" i="30"/>
  <c r="E16" i="3"/>
  <c r="F11" i="19" s="1"/>
  <c r="E65" i="3"/>
  <c r="E67" i="3"/>
  <c r="E42" i="3"/>
  <c r="E47" i="3"/>
  <c r="E87" i="3"/>
  <c r="E74" i="3"/>
  <c r="E40" i="3"/>
  <c r="E100" i="3"/>
  <c r="E69" i="3"/>
  <c r="E85" i="3"/>
  <c r="E93" i="3"/>
  <c r="E35" i="3"/>
  <c r="E34" i="3"/>
  <c r="E78" i="3"/>
  <c r="E96" i="3"/>
  <c r="E70" i="3"/>
  <c r="E45" i="3"/>
  <c r="E48" i="3"/>
  <c r="E63" i="3"/>
  <c r="E46" i="3"/>
  <c r="E106" i="3"/>
  <c r="E73" i="3"/>
  <c r="E77" i="3"/>
  <c r="E53" i="3"/>
  <c r="E58" i="3"/>
  <c r="J85" i="19"/>
  <c r="E90" i="30"/>
  <c r="J43" i="19"/>
  <c r="E48" i="30"/>
  <c r="J69" i="19"/>
  <c r="E74" i="30"/>
  <c r="J84" i="19"/>
  <c r="E89" i="30"/>
  <c r="E86" i="3"/>
  <c r="E90" i="3"/>
  <c r="J51" i="19"/>
  <c r="E56" i="30"/>
  <c r="J73" i="19"/>
  <c r="E78" i="30"/>
  <c r="J39" i="19"/>
  <c r="E44" i="30"/>
  <c r="J65" i="19"/>
  <c r="E70" i="30"/>
  <c r="J80" i="19"/>
  <c r="E85" i="30"/>
  <c r="E83" i="3"/>
  <c r="J77" i="19"/>
  <c r="E82" i="30"/>
  <c r="E97" i="3"/>
  <c r="J88" i="19"/>
  <c r="E93" i="30"/>
  <c r="E54" i="3"/>
  <c r="J61" i="19"/>
  <c r="E66" i="30"/>
  <c r="E51" i="3"/>
  <c r="J78" i="19"/>
  <c r="E83" i="30"/>
  <c r="J31" i="19"/>
  <c r="E36" i="30"/>
  <c r="J72" i="19"/>
  <c r="E77" i="30"/>
  <c r="E79" i="3"/>
  <c r="J54" i="19"/>
  <c r="E59" i="30"/>
  <c r="J96" i="19"/>
  <c r="E101" i="30"/>
  <c r="J92" i="19"/>
  <c r="E97" i="30"/>
  <c r="J47" i="19"/>
  <c r="E52" i="30"/>
  <c r="J90" i="19"/>
  <c r="E95" i="30"/>
  <c r="J35" i="19"/>
  <c r="E40" i="30"/>
  <c r="J76" i="19"/>
  <c r="E81" i="30"/>
  <c r="E81" i="3"/>
  <c r="E59" i="3"/>
  <c r="J57" i="19"/>
  <c r="E62" i="30"/>
  <c r="E66" i="3"/>
  <c r="J62" i="19"/>
  <c r="E67" i="30"/>
  <c r="J74" i="19"/>
  <c r="E79" i="30"/>
  <c r="J53" i="19"/>
  <c r="E58" i="30"/>
  <c r="J68" i="19"/>
  <c r="E73" i="30"/>
  <c r="E72" i="3"/>
  <c r="J63" i="19"/>
  <c r="E68" i="30"/>
  <c r="E94" i="3"/>
  <c r="E43" i="3"/>
  <c r="J64" i="19"/>
  <c r="E69" i="30"/>
  <c r="J45" i="19"/>
  <c r="E50" i="30"/>
  <c r="E68" i="3"/>
  <c r="E92" i="3"/>
  <c r="J91" i="19"/>
  <c r="E96" i="30"/>
  <c r="J70" i="19"/>
  <c r="E75" i="30"/>
  <c r="J37" i="19"/>
  <c r="E42" i="30"/>
  <c r="J52" i="19"/>
  <c r="E57" i="30"/>
  <c r="E52" i="3"/>
  <c r="J28" i="19"/>
  <c r="E33" i="30"/>
  <c r="J87" i="19"/>
  <c r="E92" i="30"/>
  <c r="J58" i="19"/>
  <c r="E63" i="30"/>
  <c r="J33" i="19"/>
  <c r="E38" i="30"/>
  <c r="J48" i="19"/>
  <c r="E53" i="30"/>
  <c r="E49" i="3"/>
  <c r="J100" i="19"/>
  <c r="E105" i="30"/>
  <c r="J98" i="19"/>
  <c r="E103" i="30"/>
  <c r="J95" i="19"/>
  <c r="E100" i="30"/>
  <c r="E101" i="3"/>
  <c r="J83" i="19"/>
  <c r="E88" i="30"/>
  <c r="J42" i="19"/>
  <c r="E47" i="30"/>
  <c r="J29" i="19"/>
  <c r="E34" i="30"/>
  <c r="J44" i="19"/>
  <c r="E49" i="30"/>
  <c r="E41" i="3"/>
  <c r="J67" i="19"/>
  <c r="E72" i="30"/>
  <c r="J59" i="19"/>
  <c r="E64" i="30"/>
  <c r="E33" i="3"/>
  <c r="E105" i="3"/>
  <c r="J46" i="19"/>
  <c r="E51" i="30"/>
  <c r="J99" i="19"/>
  <c r="E104" i="30"/>
  <c r="E55" i="3"/>
  <c r="J56" i="19"/>
  <c r="E61" i="30"/>
  <c r="E98" i="3"/>
  <c r="J79" i="19"/>
  <c r="E84" i="30"/>
  <c r="J30" i="19"/>
  <c r="E35" i="30"/>
  <c r="J94" i="19"/>
  <c r="E99" i="30"/>
  <c r="J40" i="19"/>
  <c r="E45" i="30"/>
  <c r="E37" i="3"/>
  <c r="J38" i="19"/>
  <c r="E43" i="30"/>
  <c r="J81" i="19"/>
  <c r="E86" i="30"/>
  <c r="J49" i="19"/>
  <c r="E54" i="30"/>
  <c r="J86" i="19"/>
  <c r="E91" i="30"/>
  <c r="E60" i="3"/>
  <c r="E50" i="3"/>
  <c r="J75" i="19"/>
  <c r="E80" i="30"/>
  <c r="J101" i="19"/>
  <c r="E106" i="30"/>
  <c r="J82" i="19"/>
  <c r="E87" i="30"/>
  <c r="E41" i="30"/>
  <c r="J36" i="19"/>
  <c r="E104" i="3"/>
  <c r="E36" i="3"/>
  <c r="J93" i="19"/>
  <c r="E98" i="30"/>
  <c r="J89" i="19"/>
  <c r="E94" i="30"/>
  <c r="J55" i="19"/>
  <c r="E60" i="30"/>
  <c r="J50" i="19"/>
  <c r="E55" i="30"/>
  <c r="E82" i="3"/>
  <c r="J60" i="19"/>
  <c r="E65" i="30"/>
  <c r="J41" i="19"/>
  <c r="E46" i="30"/>
  <c r="E56" i="3"/>
  <c r="E61" i="3"/>
  <c r="E62" i="3"/>
  <c r="E44" i="3"/>
  <c r="E64" i="3"/>
  <c r="J71" i="19"/>
  <c r="E76" i="30"/>
  <c r="J97" i="19"/>
  <c r="E102" i="30"/>
  <c r="J66" i="19"/>
  <c r="E71" i="30"/>
  <c r="J32" i="19"/>
  <c r="E37" i="30"/>
  <c r="E103" i="3"/>
  <c r="D39" i="30"/>
  <c r="K34" i="19"/>
  <c r="K34" i="20" s="1"/>
  <c r="K34" i="22" s="1"/>
  <c r="E106" i="8"/>
  <c r="E86" i="8"/>
  <c r="E101" i="8"/>
  <c r="E100" i="8"/>
  <c r="E98" i="8"/>
  <c r="E97" i="8"/>
  <c r="E90" i="8"/>
  <c r="E105" i="8"/>
  <c r="E99" i="8"/>
  <c r="E104" i="8"/>
  <c r="E103" i="8"/>
  <c r="E102" i="8"/>
  <c r="E96" i="8"/>
  <c r="E95" i="8"/>
  <c r="E94" i="8"/>
  <c r="E93" i="8"/>
  <c r="E92" i="8"/>
  <c r="E91" i="8"/>
  <c r="E87" i="8"/>
  <c r="E88" i="8"/>
  <c r="E89" i="8"/>
  <c r="D15" i="18"/>
  <c r="X3" i="19"/>
  <c r="S4" i="21"/>
  <c r="S5" i="21" s="1"/>
  <c r="N3" i="19"/>
  <c r="E25" i="4"/>
  <c r="G20" i="19" s="1"/>
  <c r="G3" i="19"/>
  <c r="C42" i="1"/>
  <c r="C27" i="1"/>
  <c r="W4" i="20"/>
  <c r="W5" i="20" s="1"/>
  <c r="D12" i="18"/>
  <c r="W4" i="22"/>
  <c r="W5" i="22" s="1"/>
  <c r="T4" i="21"/>
  <c r="T5" i="21" s="1"/>
  <c r="C20" i="1"/>
  <c r="I3" i="19"/>
  <c r="X4" i="20"/>
  <c r="X5" i="20" s="1"/>
  <c r="AM32" i="1"/>
  <c r="U3" i="19"/>
  <c r="D10" i="3"/>
  <c r="E75" i="19"/>
  <c r="E80" i="3"/>
  <c r="E10" i="19"/>
  <c r="E15" i="4"/>
  <c r="G10" i="19" s="1"/>
  <c r="E15" i="5"/>
  <c r="H10" i="19" s="1"/>
  <c r="E6" i="19"/>
  <c r="E11" i="5"/>
  <c r="H6" i="19" s="1"/>
  <c r="E8" i="19"/>
  <c r="E13" i="4"/>
  <c r="G8" i="19" s="1"/>
  <c r="E13" i="5"/>
  <c r="H8" i="19" s="1"/>
  <c r="E26" i="19"/>
  <c r="E31" i="5"/>
  <c r="H26" i="19" s="1"/>
  <c r="E11" i="19"/>
  <c r="E16" i="5"/>
  <c r="H11" i="19" s="1"/>
  <c r="E12" i="19"/>
  <c r="E17" i="5"/>
  <c r="H12" i="19" s="1"/>
  <c r="E13" i="19"/>
  <c r="E18" i="5"/>
  <c r="H13" i="19" s="1"/>
  <c r="E7" i="19"/>
  <c r="E12" i="4"/>
  <c r="G7" i="19" s="1"/>
  <c r="K12" i="2"/>
  <c r="E14" i="19"/>
  <c r="E19" i="5"/>
  <c r="H14" i="19" s="1"/>
  <c r="E19" i="19"/>
  <c r="E24" i="4"/>
  <c r="G19" i="19" s="1"/>
  <c r="E24" i="5"/>
  <c r="H19" i="19" s="1"/>
  <c r="E10" i="4"/>
  <c r="D10" i="4" s="1"/>
  <c r="E10" i="5"/>
  <c r="D10" i="5" s="1"/>
  <c r="E18" i="19"/>
  <c r="E23" i="5"/>
  <c r="H18" i="19" s="1"/>
  <c r="E20" i="19"/>
  <c r="E25" i="5"/>
  <c r="H20" i="19" s="1"/>
  <c r="E27" i="19"/>
  <c r="E32" i="5"/>
  <c r="H27" i="19" s="1"/>
  <c r="E15" i="19"/>
  <c r="E20" i="5"/>
  <c r="H15" i="19" s="1"/>
  <c r="E22" i="19"/>
  <c r="E27" i="4"/>
  <c r="G22" i="19" s="1"/>
  <c r="E27" i="5"/>
  <c r="H22" i="19" s="1"/>
  <c r="E25" i="19"/>
  <c r="E30" i="5"/>
  <c r="H25" i="19" s="1"/>
  <c r="E23" i="19"/>
  <c r="E28" i="4"/>
  <c r="G23" i="19" s="1"/>
  <c r="E28" i="5"/>
  <c r="H23" i="19" s="1"/>
  <c r="E21" i="19"/>
  <c r="E26" i="5"/>
  <c r="H21" i="19" s="1"/>
  <c r="E9" i="5"/>
  <c r="D9" i="5" s="1"/>
  <c r="E24" i="19"/>
  <c r="E29" i="5"/>
  <c r="H24" i="19" s="1"/>
  <c r="E17" i="19"/>
  <c r="E22" i="5"/>
  <c r="H17" i="19" s="1"/>
  <c r="E9" i="19"/>
  <c r="E14" i="5"/>
  <c r="H9" i="19" s="1"/>
  <c r="E16" i="19"/>
  <c r="E21" i="5"/>
  <c r="H16" i="19" s="1"/>
  <c r="E81" i="19"/>
  <c r="E86" i="5"/>
  <c r="E34" i="19"/>
  <c r="E39" i="5"/>
  <c r="E56" i="19"/>
  <c r="E61" i="5"/>
  <c r="E96" i="19"/>
  <c r="E101" i="5"/>
  <c r="E78" i="19"/>
  <c r="E83" i="5"/>
  <c r="E80" i="5"/>
  <c r="E55" i="19"/>
  <c r="E60" i="5"/>
  <c r="E57" i="19"/>
  <c r="E62" i="5"/>
  <c r="E39" i="19"/>
  <c r="E44" i="5"/>
  <c r="E29" i="19"/>
  <c r="E34" i="5"/>
  <c r="E76" i="19"/>
  <c r="E81" i="5"/>
  <c r="E52" i="19"/>
  <c r="E57" i="5"/>
  <c r="E93" i="19"/>
  <c r="E98" i="5"/>
  <c r="E58" i="19"/>
  <c r="E63" i="5"/>
  <c r="E45" i="19"/>
  <c r="E50" i="5"/>
  <c r="E43" i="19"/>
  <c r="E48" i="5"/>
  <c r="E74" i="19"/>
  <c r="E79" i="5"/>
  <c r="E59" i="19"/>
  <c r="E64" i="5"/>
  <c r="E48" i="19"/>
  <c r="E53" i="5"/>
  <c r="E53" i="19"/>
  <c r="E58" i="5"/>
  <c r="E67" i="19"/>
  <c r="E72" i="5"/>
  <c r="E60" i="19"/>
  <c r="E65" i="5"/>
  <c r="E70" i="19"/>
  <c r="E75" i="5"/>
  <c r="E71" i="19"/>
  <c r="E76" i="5"/>
  <c r="E65" i="19"/>
  <c r="E70" i="5"/>
  <c r="E64" i="19"/>
  <c r="E69" i="5"/>
  <c r="E73" i="19"/>
  <c r="E78" i="5"/>
  <c r="E80" i="19"/>
  <c r="E85" i="5"/>
  <c r="E63" i="19"/>
  <c r="E68" i="5"/>
  <c r="E51" i="19"/>
  <c r="E56" i="5"/>
  <c r="E79" i="19"/>
  <c r="E84" i="5"/>
  <c r="E85" i="19"/>
  <c r="E90" i="5"/>
  <c r="E94" i="19"/>
  <c r="E99" i="5"/>
  <c r="E47" i="19"/>
  <c r="E52" i="4"/>
  <c r="E52" i="5"/>
  <c r="E44" i="19"/>
  <c r="E49" i="5"/>
  <c r="E87" i="19"/>
  <c r="E92" i="5"/>
  <c r="E88" i="19"/>
  <c r="E93" i="5"/>
  <c r="E33" i="19"/>
  <c r="E38" i="5"/>
  <c r="E92" i="19"/>
  <c r="E97" i="5"/>
  <c r="E36" i="19"/>
  <c r="E41" i="5"/>
  <c r="E86" i="19"/>
  <c r="E91" i="5"/>
  <c r="E91" i="4"/>
  <c r="E100" i="19"/>
  <c r="E105" i="4"/>
  <c r="E105" i="5"/>
  <c r="E40" i="19"/>
  <c r="E45" i="5"/>
  <c r="E97" i="19"/>
  <c r="E102" i="5"/>
  <c r="E32" i="19"/>
  <c r="E37" i="5"/>
  <c r="E31" i="19"/>
  <c r="E36" i="5"/>
  <c r="E98" i="19"/>
  <c r="E103" i="5"/>
  <c r="E41" i="19"/>
  <c r="E46" i="5"/>
  <c r="E35" i="19"/>
  <c r="E40" i="4"/>
  <c r="E40" i="5"/>
  <c r="E54" i="19"/>
  <c r="E59" i="5"/>
  <c r="E46" i="19"/>
  <c r="E51" i="5"/>
  <c r="E95" i="19"/>
  <c r="E100" i="5"/>
  <c r="E62" i="19"/>
  <c r="E67" i="5"/>
  <c r="E61" i="19"/>
  <c r="E66" i="5"/>
  <c r="E91" i="19"/>
  <c r="E96" i="5"/>
  <c r="E99" i="19"/>
  <c r="E104" i="5"/>
  <c r="E38" i="19"/>
  <c r="E43" i="5"/>
  <c r="E66" i="19"/>
  <c r="E71" i="5"/>
  <c r="E69" i="19"/>
  <c r="E74" i="5"/>
  <c r="E90" i="19"/>
  <c r="E95" i="5"/>
  <c r="E28" i="19"/>
  <c r="E33" i="5"/>
  <c r="E49" i="19"/>
  <c r="E54" i="5"/>
  <c r="E42" i="19"/>
  <c r="E47" i="5"/>
  <c r="E68" i="19"/>
  <c r="E73" i="5"/>
  <c r="E77" i="19"/>
  <c r="E82" i="5"/>
  <c r="E89" i="19"/>
  <c r="E94" i="5"/>
  <c r="E101" i="19"/>
  <c r="E106" i="5"/>
  <c r="E37" i="19"/>
  <c r="E42" i="5"/>
  <c r="E50" i="19"/>
  <c r="E55" i="4"/>
  <c r="E55" i="5"/>
  <c r="E72" i="19"/>
  <c r="E77" i="5"/>
  <c r="E82" i="19"/>
  <c r="E87" i="5"/>
  <c r="E84" i="19"/>
  <c r="E89" i="5"/>
  <c r="E30" i="19"/>
  <c r="E35" i="5"/>
  <c r="E83" i="19"/>
  <c r="E88" i="5"/>
  <c r="P26" i="19"/>
  <c r="E31" i="11"/>
  <c r="O26" i="19" s="1"/>
  <c r="E31" i="13"/>
  <c r="Q26" i="19" s="1"/>
  <c r="E31" i="8"/>
  <c r="L26" i="19" s="1"/>
  <c r="E31" i="14"/>
  <c r="R26" i="19" s="1"/>
  <c r="E31" i="9"/>
  <c r="M26" i="19" s="1"/>
  <c r="P24" i="19"/>
  <c r="E29" i="11"/>
  <c r="O24" i="19" s="1"/>
  <c r="E29" i="13"/>
  <c r="Q24" i="19" s="1"/>
  <c r="E29" i="14"/>
  <c r="R24" i="19" s="1"/>
  <c r="E29" i="8"/>
  <c r="L24" i="19" s="1"/>
  <c r="E29" i="9"/>
  <c r="M24" i="19" s="1"/>
  <c r="P20" i="19"/>
  <c r="E25" i="14"/>
  <c r="R20" i="19" s="1"/>
  <c r="E25" i="8"/>
  <c r="L20" i="19" s="1"/>
  <c r="E25" i="11"/>
  <c r="O20" i="19" s="1"/>
  <c r="E25" i="13"/>
  <c r="Q20" i="19" s="1"/>
  <c r="E25" i="9"/>
  <c r="M20" i="19" s="1"/>
  <c r="P22" i="19"/>
  <c r="E27" i="14"/>
  <c r="R22" i="19" s="1"/>
  <c r="E27" i="8"/>
  <c r="L22" i="19" s="1"/>
  <c r="E27" i="11"/>
  <c r="O22" i="19" s="1"/>
  <c r="E27" i="13"/>
  <c r="Q22" i="19" s="1"/>
  <c r="E27" i="9"/>
  <c r="M22" i="19" s="1"/>
  <c r="P19" i="19"/>
  <c r="E24" i="14"/>
  <c r="R19" i="19" s="1"/>
  <c r="E24" i="11"/>
  <c r="O19" i="19" s="1"/>
  <c r="E24" i="13"/>
  <c r="Q19" i="19" s="1"/>
  <c r="E24" i="9"/>
  <c r="M19" i="19" s="1"/>
  <c r="E24" i="8"/>
  <c r="L19" i="19" s="1"/>
  <c r="P18" i="19"/>
  <c r="E23" i="11"/>
  <c r="O18" i="19" s="1"/>
  <c r="E23" i="9"/>
  <c r="M18" i="19" s="1"/>
  <c r="E23" i="14"/>
  <c r="R18" i="19" s="1"/>
  <c r="E23" i="8"/>
  <c r="L18" i="19" s="1"/>
  <c r="E23" i="13"/>
  <c r="Q18" i="19" s="1"/>
  <c r="P14" i="19"/>
  <c r="E19" i="13"/>
  <c r="Q14" i="19" s="1"/>
  <c r="E19" i="9"/>
  <c r="M14" i="19" s="1"/>
  <c r="E19" i="8"/>
  <c r="L14" i="19" s="1"/>
  <c r="E19" i="14"/>
  <c r="R14" i="19" s="1"/>
  <c r="E19" i="11"/>
  <c r="O14" i="19" s="1"/>
  <c r="P23" i="19"/>
  <c r="E28" i="14"/>
  <c r="R23" i="19" s="1"/>
  <c r="E28" i="11"/>
  <c r="O23" i="19" s="1"/>
  <c r="E28" i="13"/>
  <c r="Q23" i="19" s="1"/>
  <c r="E28" i="9"/>
  <c r="M23" i="19" s="1"/>
  <c r="E28" i="8"/>
  <c r="L23" i="19" s="1"/>
  <c r="P8" i="19"/>
  <c r="E13" i="13"/>
  <c r="Q8" i="19" s="1"/>
  <c r="E13" i="9"/>
  <c r="M8" i="19" s="1"/>
  <c r="E13" i="14"/>
  <c r="R8" i="19" s="1"/>
  <c r="E13" i="8"/>
  <c r="L8" i="19" s="1"/>
  <c r="E13" i="11"/>
  <c r="O8" i="19" s="1"/>
  <c r="P15" i="19"/>
  <c r="E20" i="9"/>
  <c r="M15" i="19" s="1"/>
  <c r="E20" i="14"/>
  <c r="R15" i="19" s="1"/>
  <c r="E20" i="11"/>
  <c r="O15" i="19" s="1"/>
  <c r="E20" i="13"/>
  <c r="Q15" i="19" s="1"/>
  <c r="E20" i="8"/>
  <c r="L15" i="19" s="1"/>
  <c r="P17" i="19"/>
  <c r="E22" i="9"/>
  <c r="M17" i="19" s="1"/>
  <c r="E22" i="14"/>
  <c r="R17" i="19" s="1"/>
  <c r="E22" i="11"/>
  <c r="O17" i="19" s="1"/>
  <c r="E22" i="8"/>
  <c r="L17" i="19" s="1"/>
  <c r="E22" i="13"/>
  <c r="Q17" i="19" s="1"/>
  <c r="P25" i="19"/>
  <c r="E30" i="11"/>
  <c r="O25" i="19" s="1"/>
  <c r="E30" i="13"/>
  <c r="Q25" i="19" s="1"/>
  <c r="E30" i="14"/>
  <c r="R25" i="19" s="1"/>
  <c r="E30" i="8"/>
  <c r="L25" i="19" s="1"/>
  <c r="E30" i="9"/>
  <c r="M25" i="19" s="1"/>
  <c r="P7" i="19"/>
  <c r="E12" i="11"/>
  <c r="O7" i="19" s="1"/>
  <c r="E12" i="13"/>
  <c r="Q7" i="19" s="1"/>
  <c r="E12" i="14"/>
  <c r="R7" i="19" s="1"/>
  <c r="E12" i="9"/>
  <c r="M7" i="19" s="1"/>
  <c r="E12" i="8"/>
  <c r="L7" i="19" s="1"/>
  <c r="P11" i="19"/>
  <c r="E16" i="9"/>
  <c r="M11" i="19" s="1"/>
  <c r="E16" i="13"/>
  <c r="Q11" i="19" s="1"/>
  <c r="E16" i="14"/>
  <c r="R11" i="19" s="1"/>
  <c r="E16" i="11"/>
  <c r="O11" i="19" s="1"/>
  <c r="E16" i="8"/>
  <c r="L11" i="19" s="1"/>
  <c r="P21" i="19"/>
  <c r="E26" i="14"/>
  <c r="R21" i="19" s="1"/>
  <c r="E26" i="13"/>
  <c r="Q21" i="19" s="1"/>
  <c r="E26" i="8"/>
  <c r="L21" i="19" s="1"/>
  <c r="E26" i="11"/>
  <c r="O21" i="19" s="1"/>
  <c r="E26" i="9"/>
  <c r="M21" i="19" s="1"/>
  <c r="P27" i="19"/>
  <c r="E32" i="13"/>
  <c r="Q27" i="19" s="1"/>
  <c r="E32" i="8"/>
  <c r="L27" i="19" s="1"/>
  <c r="E32" i="11"/>
  <c r="O27" i="19" s="1"/>
  <c r="E32" i="14"/>
  <c r="R27" i="19" s="1"/>
  <c r="E32" i="9"/>
  <c r="M27" i="19" s="1"/>
  <c r="P9" i="19"/>
  <c r="E14" i="14"/>
  <c r="R9" i="19" s="1"/>
  <c r="E14" i="13"/>
  <c r="Q9" i="19" s="1"/>
  <c r="E14" i="8"/>
  <c r="L9" i="19" s="1"/>
  <c r="E14" i="11"/>
  <c r="O9" i="19" s="1"/>
  <c r="E14" i="9"/>
  <c r="M9" i="19" s="1"/>
  <c r="P28" i="19"/>
  <c r="E33" i="9"/>
  <c r="M28" i="19" s="1"/>
  <c r="E33" i="13"/>
  <c r="Q28" i="19" s="1"/>
  <c r="E33" i="11"/>
  <c r="O28" i="19" s="1"/>
  <c r="E33" i="14"/>
  <c r="R28" i="19" s="1"/>
  <c r="E33" i="8"/>
  <c r="L28" i="19" s="1"/>
  <c r="E10" i="13"/>
  <c r="E10" i="8"/>
  <c r="E10" i="11"/>
  <c r="E10" i="14"/>
  <c r="E10" i="9"/>
  <c r="D10" i="9" s="1"/>
  <c r="P16" i="19"/>
  <c r="E21" i="9"/>
  <c r="M16" i="19" s="1"/>
  <c r="E21" i="11"/>
  <c r="O16" i="19" s="1"/>
  <c r="E21" i="14"/>
  <c r="R16" i="19" s="1"/>
  <c r="E21" i="13"/>
  <c r="Q16" i="19" s="1"/>
  <c r="E21" i="8"/>
  <c r="L16" i="19" s="1"/>
  <c r="P10" i="19"/>
  <c r="E15" i="9"/>
  <c r="M10" i="19" s="1"/>
  <c r="E15" i="14"/>
  <c r="R10" i="19" s="1"/>
  <c r="E15" i="11"/>
  <c r="O10" i="19" s="1"/>
  <c r="E15" i="13"/>
  <c r="Q10" i="19" s="1"/>
  <c r="E15" i="8"/>
  <c r="L10" i="19" s="1"/>
  <c r="P13" i="19"/>
  <c r="E18" i="9"/>
  <c r="M13" i="19" s="1"/>
  <c r="E18" i="8"/>
  <c r="L13" i="19" s="1"/>
  <c r="E18" i="14"/>
  <c r="R13" i="19" s="1"/>
  <c r="E18" i="11"/>
  <c r="O13" i="19" s="1"/>
  <c r="E18" i="13"/>
  <c r="Q13" i="19" s="1"/>
  <c r="E5" i="7"/>
  <c r="J4" i="22" s="1"/>
  <c r="J5" i="22" s="1"/>
  <c r="D14" i="7"/>
  <c r="D21" i="7"/>
  <c r="D9" i="7"/>
  <c r="T4" i="20"/>
  <c r="T5" i="20" s="1"/>
  <c r="T4" i="22"/>
  <c r="T5" i="22" s="1"/>
  <c r="D10" i="7"/>
  <c r="H10" i="7" s="1"/>
  <c r="C29" i="1"/>
  <c r="AO28" i="1"/>
  <c r="D20" i="7"/>
  <c r="D26" i="7"/>
  <c r="D22" i="7"/>
  <c r="D24" i="7"/>
  <c r="D11" i="7"/>
  <c r="H11" i="7" s="1"/>
  <c r="D30" i="7"/>
  <c r="D23" i="7"/>
  <c r="D29" i="7"/>
  <c r="D19" i="7"/>
  <c r="D18" i="7"/>
  <c r="D31" i="7"/>
  <c r="D25" i="7"/>
  <c r="D27" i="7"/>
  <c r="D16" i="7"/>
  <c r="D17" i="7"/>
  <c r="D15" i="7"/>
  <c r="D32" i="7"/>
  <c r="D13" i="7"/>
  <c r="D28" i="7"/>
  <c r="S97" i="19"/>
  <c r="U97" i="19"/>
  <c r="X97" i="19"/>
  <c r="W97" i="19"/>
  <c r="Y97" i="19"/>
  <c r="T97" i="19"/>
  <c r="V97" i="19"/>
  <c r="V97" i="20" s="1"/>
  <c r="R97" i="21" s="1"/>
  <c r="U44" i="19"/>
  <c r="V44" i="19"/>
  <c r="V44" i="20" s="1"/>
  <c r="W44" i="19"/>
  <c r="X44" i="19"/>
  <c r="Y44" i="19"/>
  <c r="S44" i="19"/>
  <c r="T44" i="19"/>
  <c r="S37" i="19"/>
  <c r="T37" i="19"/>
  <c r="U37" i="19"/>
  <c r="X37" i="19"/>
  <c r="W37" i="19"/>
  <c r="Y37" i="19"/>
  <c r="V37" i="19"/>
  <c r="V37" i="20" s="1"/>
  <c r="V37" i="22" s="1"/>
  <c r="V38" i="19"/>
  <c r="V38" i="20" s="1"/>
  <c r="R38" i="21" s="1"/>
  <c r="X38" i="19"/>
  <c r="W38" i="19"/>
  <c r="Y38" i="19"/>
  <c r="U38" i="19"/>
  <c r="S38" i="19"/>
  <c r="T38" i="19"/>
  <c r="S46" i="19"/>
  <c r="T46" i="19"/>
  <c r="U46" i="19"/>
  <c r="V46" i="19"/>
  <c r="V46" i="20" s="1"/>
  <c r="W46" i="19"/>
  <c r="Y46" i="19"/>
  <c r="X46" i="19"/>
  <c r="X46" i="20" s="1"/>
  <c r="X46" i="22" s="1"/>
  <c r="T80" i="19"/>
  <c r="U80" i="19"/>
  <c r="S80" i="19"/>
  <c r="V80" i="19"/>
  <c r="V80" i="20" s="1"/>
  <c r="V80" i="22" s="1"/>
  <c r="W80" i="19"/>
  <c r="X80" i="19"/>
  <c r="Y80" i="19"/>
  <c r="S47" i="19"/>
  <c r="T47" i="19"/>
  <c r="U47" i="19"/>
  <c r="X47" i="19"/>
  <c r="V47" i="19"/>
  <c r="V47" i="20" s="1"/>
  <c r="V47" i="22" s="1"/>
  <c r="W47" i="19"/>
  <c r="Y47" i="19"/>
  <c r="V78" i="19"/>
  <c r="V78" i="20" s="1"/>
  <c r="Y78" i="19"/>
  <c r="W78" i="19"/>
  <c r="X78" i="19"/>
  <c r="T78" i="19"/>
  <c r="S78" i="19"/>
  <c r="U78" i="19"/>
  <c r="S25" i="19"/>
  <c r="V25" i="19"/>
  <c r="V25" i="20" s="1"/>
  <c r="R25" i="21" s="1"/>
  <c r="T25" i="19"/>
  <c r="U25" i="19"/>
  <c r="W25" i="19"/>
  <c r="X25" i="19"/>
  <c r="Y25" i="19"/>
  <c r="V48" i="19"/>
  <c r="V48" i="20" s="1"/>
  <c r="X48" i="19"/>
  <c r="W48" i="19"/>
  <c r="Y48" i="19"/>
  <c r="S48" i="19"/>
  <c r="T48" i="19"/>
  <c r="U48" i="19"/>
  <c r="T75" i="19"/>
  <c r="S75" i="19"/>
  <c r="U75" i="19"/>
  <c r="Y75" i="19"/>
  <c r="V75" i="19"/>
  <c r="V75" i="20" s="1"/>
  <c r="V75" i="22" s="1"/>
  <c r="X75" i="19"/>
  <c r="W75" i="19"/>
  <c r="X21" i="19"/>
  <c r="Y21" i="19"/>
  <c r="W21" i="19"/>
  <c r="T21" i="19"/>
  <c r="S21" i="19"/>
  <c r="V21" i="19"/>
  <c r="V21" i="20" s="1"/>
  <c r="R21" i="21" s="1"/>
  <c r="U21" i="19"/>
  <c r="S92" i="19"/>
  <c r="U92" i="19"/>
  <c r="X92" i="19"/>
  <c r="V92" i="19"/>
  <c r="V92" i="20" s="1"/>
  <c r="V92" i="22" s="1"/>
  <c r="W92" i="19"/>
  <c r="Y92" i="19"/>
  <c r="T92" i="19"/>
  <c r="S72" i="19"/>
  <c r="T72" i="19"/>
  <c r="U72" i="19"/>
  <c r="X72" i="19"/>
  <c r="X72" i="20" s="1"/>
  <c r="X72" i="22" s="1"/>
  <c r="W72" i="19"/>
  <c r="V72" i="19"/>
  <c r="V72" i="20" s="1"/>
  <c r="V72" i="22" s="1"/>
  <c r="Y72" i="19"/>
  <c r="T19" i="19"/>
  <c r="V19" i="19"/>
  <c r="V19" i="20" s="1"/>
  <c r="Y19" i="19"/>
  <c r="U19" i="19"/>
  <c r="W19" i="19"/>
  <c r="X19" i="19"/>
  <c r="S19" i="19"/>
  <c r="T70" i="19"/>
  <c r="V70" i="19"/>
  <c r="V70" i="20" s="1"/>
  <c r="V70" i="22" s="1"/>
  <c r="W70" i="19"/>
  <c r="U70" i="19"/>
  <c r="X70" i="19"/>
  <c r="Y70" i="19"/>
  <c r="S70" i="19"/>
  <c r="V28" i="19"/>
  <c r="V28" i="20" s="1"/>
  <c r="V28" i="22" s="1"/>
  <c r="X28" i="19"/>
  <c r="X28" i="20" s="1"/>
  <c r="X28" i="22" s="1"/>
  <c r="W28" i="19"/>
  <c r="Y28" i="19"/>
  <c r="S28" i="19"/>
  <c r="T28" i="19"/>
  <c r="U28" i="19"/>
  <c r="S32" i="19"/>
  <c r="T32" i="19"/>
  <c r="U32" i="19"/>
  <c r="X32" i="19"/>
  <c r="V32" i="19"/>
  <c r="V32" i="20" s="1"/>
  <c r="R32" i="21" s="1"/>
  <c r="W32" i="19"/>
  <c r="Y32" i="19"/>
  <c r="S16" i="19"/>
  <c r="U16" i="19"/>
  <c r="V16" i="19"/>
  <c r="V16" i="20" s="1"/>
  <c r="V16" i="22" s="1"/>
  <c r="W16" i="19"/>
  <c r="X16" i="19"/>
  <c r="Y16" i="19"/>
  <c r="T16" i="19"/>
  <c r="U17" i="19"/>
  <c r="S17" i="19"/>
  <c r="T17" i="19"/>
  <c r="W17" i="19"/>
  <c r="X17" i="19"/>
  <c r="Y17" i="19"/>
  <c r="V17" i="19"/>
  <c r="V17" i="20" s="1"/>
  <c r="V17" i="22" s="1"/>
  <c r="S67" i="19"/>
  <c r="T67" i="19"/>
  <c r="U67" i="19"/>
  <c r="X67" i="19"/>
  <c r="Y67" i="19"/>
  <c r="V67" i="19"/>
  <c r="V67" i="20" s="1"/>
  <c r="V67" i="22" s="1"/>
  <c r="W67" i="19"/>
  <c r="S52" i="19"/>
  <c r="T52" i="19"/>
  <c r="U52" i="19"/>
  <c r="X52" i="19"/>
  <c r="Y52" i="19"/>
  <c r="W52" i="19"/>
  <c r="V52" i="19"/>
  <c r="V52" i="20" s="1"/>
  <c r="V52" i="22" s="1"/>
  <c r="S23" i="19"/>
  <c r="T23" i="19"/>
  <c r="V23" i="19"/>
  <c r="V23" i="20" s="1"/>
  <c r="U23" i="19"/>
  <c r="W23" i="19"/>
  <c r="Y23" i="19"/>
  <c r="X23" i="19"/>
  <c r="U27" i="19"/>
  <c r="S27" i="19"/>
  <c r="T27" i="19"/>
  <c r="W27" i="19"/>
  <c r="X27" i="19"/>
  <c r="Y27" i="19"/>
  <c r="V27" i="19"/>
  <c r="T45" i="19"/>
  <c r="W45" i="19"/>
  <c r="X45" i="19"/>
  <c r="U45" i="19"/>
  <c r="S45" i="19"/>
  <c r="V45" i="19"/>
  <c r="V45" i="20" s="1"/>
  <c r="R45" i="21" s="1"/>
  <c r="Y45" i="19"/>
  <c r="T60" i="19"/>
  <c r="X60" i="19"/>
  <c r="S60" i="19"/>
  <c r="U60" i="19"/>
  <c r="V60" i="19"/>
  <c r="V60" i="20" s="1"/>
  <c r="R60" i="21" s="1"/>
  <c r="Y60" i="19"/>
  <c r="W60" i="19"/>
  <c r="S41" i="19"/>
  <c r="T41" i="19"/>
  <c r="W41" i="19"/>
  <c r="U41" i="19"/>
  <c r="V41" i="19"/>
  <c r="V41" i="20" s="1"/>
  <c r="V41" i="22" s="1"/>
  <c r="Y41" i="19"/>
  <c r="X41" i="19"/>
  <c r="X41" i="20" s="1"/>
  <c r="T95" i="19"/>
  <c r="U95" i="19"/>
  <c r="V95" i="19"/>
  <c r="V95" i="20" s="1"/>
  <c r="R95" i="21" s="1"/>
  <c r="X95" i="19"/>
  <c r="S95" i="19"/>
  <c r="Y95" i="19"/>
  <c r="W95" i="19"/>
  <c r="S34" i="19"/>
  <c r="U34" i="19"/>
  <c r="V34" i="19"/>
  <c r="V34" i="20" s="1"/>
  <c r="W34" i="19"/>
  <c r="X34" i="19"/>
  <c r="Y34" i="19"/>
  <c r="T34" i="19"/>
  <c r="S36" i="19"/>
  <c r="T36" i="19"/>
  <c r="U36" i="19"/>
  <c r="V36" i="19"/>
  <c r="V36" i="20" s="1"/>
  <c r="W36" i="19"/>
  <c r="Y36" i="19"/>
  <c r="X36" i="19"/>
  <c r="S12" i="19"/>
  <c r="T12" i="19"/>
  <c r="U12" i="19"/>
  <c r="V12" i="19"/>
  <c r="V12" i="20" s="1"/>
  <c r="R12" i="21" s="1"/>
  <c r="W12" i="19"/>
  <c r="X12" i="19"/>
  <c r="Y12" i="19"/>
  <c r="S13" i="19"/>
  <c r="T13" i="19"/>
  <c r="V13" i="19"/>
  <c r="V13" i="20" s="1"/>
  <c r="V13" i="22" s="1"/>
  <c r="W13" i="19"/>
  <c r="Y13" i="19"/>
  <c r="U13" i="19"/>
  <c r="X13" i="19"/>
  <c r="X11" i="19"/>
  <c r="Y11" i="19"/>
  <c r="S11" i="19"/>
  <c r="W11" i="19"/>
  <c r="T11" i="19"/>
  <c r="U11" i="19"/>
  <c r="V11" i="19"/>
  <c r="V11" i="20" s="1"/>
  <c r="U49" i="19"/>
  <c r="V49" i="19"/>
  <c r="V49" i="20" s="1"/>
  <c r="V49" i="22" s="1"/>
  <c r="W49" i="19"/>
  <c r="X49" i="19"/>
  <c r="X49" i="20" s="1"/>
  <c r="Y49" i="19"/>
  <c r="S49" i="19"/>
  <c r="T49" i="19"/>
  <c r="V58" i="19"/>
  <c r="V58" i="20" s="1"/>
  <c r="R58" i="21" s="1"/>
  <c r="X58" i="19"/>
  <c r="W58" i="19"/>
  <c r="Y58" i="19"/>
  <c r="S58" i="19"/>
  <c r="T58" i="19"/>
  <c r="U58" i="19"/>
  <c r="S6" i="19"/>
  <c r="T6" i="19"/>
  <c r="U6" i="19"/>
  <c r="V6" i="19"/>
  <c r="V6" i="20" s="1"/>
  <c r="R6" i="21" s="1"/>
  <c r="W6" i="19"/>
  <c r="X6" i="19"/>
  <c r="Y6" i="19"/>
  <c r="T35" i="19"/>
  <c r="U35" i="19"/>
  <c r="W35" i="19"/>
  <c r="X35" i="19"/>
  <c r="S35" i="19"/>
  <c r="Y35" i="19"/>
  <c r="V35" i="19"/>
  <c r="V35" i="20" s="1"/>
  <c r="V35" i="22" s="1"/>
  <c r="S18" i="19"/>
  <c r="T18" i="19"/>
  <c r="U18" i="19"/>
  <c r="W18" i="19"/>
  <c r="V18" i="19"/>
  <c r="V18" i="20" s="1"/>
  <c r="V18" i="22" s="1"/>
  <c r="Y18" i="19"/>
  <c r="X18" i="19"/>
  <c r="V88" i="19"/>
  <c r="V88" i="20" s="1"/>
  <c r="V88" i="22" s="1"/>
  <c r="W88" i="19"/>
  <c r="X88" i="19"/>
  <c r="X88" i="20" s="1"/>
  <c r="Y88" i="19"/>
  <c r="S88" i="19"/>
  <c r="T88" i="19"/>
  <c r="U88" i="19"/>
  <c r="U86" i="19"/>
  <c r="S86" i="19"/>
  <c r="T86" i="19"/>
  <c r="V86" i="19"/>
  <c r="V86" i="20" s="1"/>
  <c r="V86" i="22" s="1"/>
  <c r="Y86" i="19"/>
  <c r="W86" i="19"/>
  <c r="X86" i="19"/>
  <c r="S15" i="19"/>
  <c r="T15" i="19"/>
  <c r="U15" i="19"/>
  <c r="V15" i="19"/>
  <c r="V15" i="20" s="1"/>
  <c r="V15" i="22" s="1"/>
  <c r="W15" i="19"/>
  <c r="X15" i="19"/>
  <c r="Y15" i="19"/>
  <c r="U64" i="19"/>
  <c r="V64" i="19"/>
  <c r="V64" i="20" s="1"/>
  <c r="V64" i="22" s="1"/>
  <c r="W64" i="19"/>
  <c r="X64" i="19"/>
  <c r="Y64" i="19"/>
  <c r="T64" i="19"/>
  <c r="S64" i="19"/>
  <c r="V53" i="19"/>
  <c r="V53" i="20" s="1"/>
  <c r="W53" i="19"/>
  <c r="X53" i="19"/>
  <c r="Y53" i="19"/>
  <c r="S53" i="19"/>
  <c r="T53" i="19"/>
  <c r="U53" i="19"/>
  <c r="S62" i="19"/>
  <c r="T62" i="19"/>
  <c r="U62" i="19"/>
  <c r="X62" i="19"/>
  <c r="V62" i="19"/>
  <c r="V62" i="20" s="1"/>
  <c r="R62" i="21" s="1"/>
  <c r="W62" i="19"/>
  <c r="Y62" i="19"/>
  <c r="S56" i="19"/>
  <c r="T56" i="19"/>
  <c r="U56" i="19"/>
  <c r="V56" i="19"/>
  <c r="V56" i="20" s="1"/>
  <c r="V56" i="22" s="1"/>
  <c r="Y56" i="19"/>
  <c r="W56" i="19"/>
  <c r="X56" i="19"/>
  <c r="X56" i="20" s="1"/>
  <c r="S8" i="19"/>
  <c r="T8" i="19"/>
  <c r="U8" i="19"/>
  <c r="W8" i="19"/>
  <c r="V8" i="19"/>
  <c r="V8" i="20" s="1"/>
  <c r="Y8" i="19"/>
  <c r="X8" i="19"/>
  <c r="S29" i="19"/>
  <c r="U29" i="19"/>
  <c r="V29" i="19"/>
  <c r="V29" i="20" s="1"/>
  <c r="W29" i="19"/>
  <c r="X29" i="19"/>
  <c r="Y29" i="19"/>
  <c r="T29" i="19"/>
  <c r="T22" i="19"/>
  <c r="X22" i="19"/>
  <c r="S22" i="19"/>
  <c r="V22" i="19"/>
  <c r="V22" i="20" s="1"/>
  <c r="R22" i="21" s="1"/>
  <c r="Y22" i="19"/>
  <c r="W22" i="19"/>
  <c r="U22" i="19"/>
  <c r="S42" i="19"/>
  <c r="T42" i="19"/>
  <c r="U42" i="19"/>
  <c r="X42" i="19"/>
  <c r="V42" i="19"/>
  <c r="V42" i="20" s="1"/>
  <c r="V42" i="22" s="1"/>
  <c r="Y42" i="19"/>
  <c r="W42" i="19"/>
  <c r="V91" i="19"/>
  <c r="V91" i="20" s="1"/>
  <c r="V91" i="22" s="1"/>
  <c r="S91" i="19"/>
  <c r="T91" i="19"/>
  <c r="U91" i="19"/>
  <c r="Y91" i="19"/>
  <c r="X91" i="19"/>
  <c r="X91" i="20" s="1"/>
  <c r="W91" i="19"/>
  <c r="T40" i="19"/>
  <c r="V40" i="19"/>
  <c r="V40" i="20" s="1"/>
  <c r="V40" i="22" s="1"/>
  <c r="X40" i="19"/>
  <c r="Y40" i="19"/>
  <c r="S40" i="19"/>
  <c r="W40" i="19"/>
  <c r="U40" i="19"/>
  <c r="V83" i="19"/>
  <c r="V83" i="20" s="1"/>
  <c r="V83" i="22" s="1"/>
  <c r="X83" i="19"/>
  <c r="W83" i="19"/>
  <c r="Y83" i="19"/>
  <c r="U83" i="19"/>
  <c r="T83" i="19"/>
  <c r="S83" i="19"/>
  <c r="V63" i="19"/>
  <c r="V63" i="20" s="1"/>
  <c r="W63" i="19"/>
  <c r="X63" i="19"/>
  <c r="Y63" i="19"/>
  <c r="U63" i="19"/>
  <c r="S63" i="19"/>
  <c r="T63" i="19"/>
  <c r="V20" i="19"/>
  <c r="V20" i="20" s="1"/>
  <c r="V20" i="22" s="1"/>
  <c r="W20" i="19"/>
  <c r="X20" i="19"/>
  <c r="X20" i="20" s="1"/>
  <c r="X20" i="22" s="1"/>
  <c r="Y20" i="19"/>
  <c r="U20" i="19"/>
  <c r="S20" i="19"/>
  <c r="T20" i="19"/>
  <c r="U59" i="19"/>
  <c r="V59" i="19"/>
  <c r="V59" i="20" s="1"/>
  <c r="V59" i="22" s="1"/>
  <c r="W59" i="19"/>
  <c r="X59" i="19"/>
  <c r="Y59" i="19"/>
  <c r="T59" i="19"/>
  <c r="S59" i="19"/>
  <c r="T9" i="19"/>
  <c r="V9" i="19"/>
  <c r="V9" i="20" s="1"/>
  <c r="V9" i="22" s="1"/>
  <c r="Y9" i="19"/>
  <c r="U9" i="19"/>
  <c r="W9" i="19"/>
  <c r="X9" i="19"/>
  <c r="S9" i="19"/>
  <c r="U54" i="19"/>
  <c r="V54" i="19"/>
  <c r="V54" i="20" s="1"/>
  <c r="R54" i="21" s="1"/>
  <c r="W54" i="19"/>
  <c r="X54" i="19"/>
  <c r="Y54" i="19"/>
  <c r="T54" i="19"/>
  <c r="S54" i="19"/>
  <c r="V10" i="19"/>
  <c r="V10" i="20" s="1"/>
  <c r="V10" i="22" s="1"/>
  <c r="W10" i="19"/>
  <c r="X10" i="19"/>
  <c r="Y10" i="19"/>
  <c r="T10" i="19"/>
  <c r="U10" i="19"/>
  <c r="S10" i="19"/>
  <c r="T100" i="19"/>
  <c r="Y100" i="19"/>
  <c r="U100" i="19"/>
  <c r="X100" i="19"/>
  <c r="V100" i="19"/>
  <c r="V100" i="20" s="1"/>
  <c r="R100" i="21" s="1"/>
  <c r="S100" i="19"/>
  <c r="W100" i="19"/>
  <c r="S26" i="19"/>
  <c r="U26" i="19"/>
  <c r="V26" i="19"/>
  <c r="V26" i="20" s="1"/>
  <c r="V26" i="22" s="1"/>
  <c r="W26" i="19"/>
  <c r="X26" i="19"/>
  <c r="Y26" i="19"/>
  <c r="T26" i="19"/>
  <c r="D28" i="2"/>
  <c r="K28" i="2" s="1"/>
  <c r="D48" i="2"/>
  <c r="K48" i="2" s="1"/>
  <c r="D68" i="2"/>
  <c r="K68" i="2" s="1"/>
  <c r="D88" i="2"/>
  <c r="K88" i="2" s="1"/>
  <c r="D91" i="2"/>
  <c r="K91" i="2" s="1"/>
  <c r="D74" i="2"/>
  <c r="K74" i="2" s="1"/>
  <c r="D9" i="2"/>
  <c r="K9" i="2" s="1"/>
  <c r="D29" i="2"/>
  <c r="K29" i="2" s="1"/>
  <c r="D49" i="2"/>
  <c r="K49" i="2" s="1"/>
  <c r="D69" i="2"/>
  <c r="K69" i="2" s="1"/>
  <c r="D89" i="2"/>
  <c r="K89" i="2" s="1"/>
  <c r="D10" i="2"/>
  <c r="K10" i="2" s="1"/>
  <c r="D15" i="2"/>
  <c r="K15" i="2" s="1"/>
  <c r="D35" i="2"/>
  <c r="K35" i="2" s="1"/>
  <c r="D55" i="2"/>
  <c r="K55" i="2" s="1"/>
  <c r="D75" i="2"/>
  <c r="K75" i="2" s="1"/>
  <c r="D95" i="2"/>
  <c r="K95" i="2" s="1"/>
  <c r="D58" i="2"/>
  <c r="K58" i="2" s="1"/>
  <c r="D78" i="2"/>
  <c r="K78" i="2" s="1"/>
  <c r="D19" i="2"/>
  <c r="K19" i="2" s="1"/>
  <c r="D79" i="2"/>
  <c r="K79" i="2" s="1"/>
  <c r="D99" i="2"/>
  <c r="D20" i="2"/>
  <c r="K20" i="2" s="1"/>
  <c r="D100" i="2"/>
  <c r="K100" i="2" s="1"/>
  <c r="D21" i="2"/>
  <c r="K21" i="2" s="1"/>
  <c r="D81" i="2"/>
  <c r="K81" i="2" s="1"/>
  <c r="D42" i="2"/>
  <c r="K42" i="2" s="1"/>
  <c r="D82" i="2"/>
  <c r="K82" i="2" s="1"/>
  <c r="D23" i="2"/>
  <c r="K23" i="2" s="1"/>
  <c r="D83" i="2"/>
  <c r="K83" i="2" s="1"/>
  <c r="D24" i="2"/>
  <c r="K24" i="2" s="1"/>
  <c r="D84" i="2"/>
  <c r="K84" i="2" s="1"/>
  <c r="D25" i="2"/>
  <c r="K25" i="2" s="1"/>
  <c r="D85" i="2"/>
  <c r="K85" i="2" s="1"/>
  <c r="D26" i="2"/>
  <c r="K26" i="2" s="1"/>
  <c r="D86" i="2"/>
  <c r="K86" i="2" s="1"/>
  <c r="D27" i="2"/>
  <c r="D87" i="2"/>
  <c r="K87" i="2" s="1"/>
  <c r="D70" i="2"/>
  <c r="K70" i="2" s="1"/>
  <c r="D90" i="2"/>
  <c r="K90" i="2" s="1"/>
  <c r="D11" i="2"/>
  <c r="K11" i="2" s="1"/>
  <c r="D32" i="2"/>
  <c r="K32" i="2" s="1"/>
  <c r="D72" i="2"/>
  <c r="K72" i="2" s="1"/>
  <c r="D13" i="2"/>
  <c r="K13" i="2" s="1"/>
  <c r="D73" i="2"/>
  <c r="K73" i="2" s="1"/>
  <c r="D14" i="2"/>
  <c r="K14" i="2" s="1"/>
  <c r="D94" i="2"/>
  <c r="K94" i="2" s="1"/>
  <c r="D16" i="2"/>
  <c r="K16" i="2" s="1"/>
  <c r="D36" i="2"/>
  <c r="K36" i="2" s="1"/>
  <c r="D56" i="2"/>
  <c r="K56" i="2" s="1"/>
  <c r="D76" i="2"/>
  <c r="K76" i="2" s="1"/>
  <c r="D96" i="2"/>
  <c r="K96" i="2" s="1"/>
  <c r="D38" i="2"/>
  <c r="K38" i="2" s="1"/>
  <c r="D59" i="2"/>
  <c r="K59" i="2" s="1"/>
  <c r="D60" i="2"/>
  <c r="K60" i="2" s="1"/>
  <c r="D61" i="2"/>
  <c r="K61" i="2" s="1"/>
  <c r="D62" i="2"/>
  <c r="K62" i="2" s="1"/>
  <c r="D63" i="2"/>
  <c r="K63" i="2" s="1"/>
  <c r="D44" i="2"/>
  <c r="K44" i="2" s="1"/>
  <c r="D65" i="2"/>
  <c r="K65" i="2" s="1"/>
  <c r="D66" i="2"/>
  <c r="K66" i="2" s="1"/>
  <c r="D47" i="2"/>
  <c r="K47" i="2" s="1"/>
  <c r="D30" i="2"/>
  <c r="K30" i="2" s="1"/>
  <c r="D51" i="2"/>
  <c r="K51" i="2" s="1"/>
  <c r="D52" i="2"/>
  <c r="K52" i="2" s="1"/>
  <c r="D53" i="2"/>
  <c r="K53" i="2" s="1"/>
  <c r="D34" i="2"/>
  <c r="K34" i="2" s="1"/>
  <c r="D17" i="2"/>
  <c r="K17" i="2" s="1"/>
  <c r="D37" i="2"/>
  <c r="K37" i="2" s="1"/>
  <c r="D57" i="2"/>
  <c r="K57" i="2" s="1"/>
  <c r="D77" i="2"/>
  <c r="K77" i="2" s="1"/>
  <c r="D97" i="2"/>
  <c r="K97" i="2" s="1"/>
  <c r="D18" i="2"/>
  <c r="K18" i="2" s="1"/>
  <c r="D98" i="2"/>
  <c r="K98" i="2" s="1"/>
  <c r="D39" i="2"/>
  <c r="K39" i="2" s="1"/>
  <c r="D40" i="2"/>
  <c r="K40" i="2" s="1"/>
  <c r="D80" i="2"/>
  <c r="K80" i="2" s="1"/>
  <c r="D41" i="2"/>
  <c r="K41" i="2" s="1"/>
  <c r="D101" i="2"/>
  <c r="D22" i="2"/>
  <c r="K22" i="2" s="1"/>
  <c r="D102" i="2"/>
  <c r="H102" i="2" s="1"/>
  <c r="D43" i="2"/>
  <c r="K43" i="2" s="1"/>
  <c r="D103" i="2"/>
  <c r="D64" i="2"/>
  <c r="K64" i="2" s="1"/>
  <c r="D104" i="2"/>
  <c r="D45" i="2"/>
  <c r="K45" i="2" s="1"/>
  <c r="D105" i="2"/>
  <c r="H105" i="2" s="1"/>
  <c r="D46" i="2"/>
  <c r="K46" i="2" s="1"/>
  <c r="D106" i="2"/>
  <c r="H106" i="2" s="1"/>
  <c r="D67" i="2"/>
  <c r="K67" i="2" s="1"/>
  <c r="D50" i="2"/>
  <c r="K50" i="2" s="1"/>
  <c r="D31" i="2"/>
  <c r="K31" i="2" s="1"/>
  <c r="D71" i="2"/>
  <c r="K71" i="2" s="1"/>
  <c r="D92" i="2"/>
  <c r="K92" i="2" s="1"/>
  <c r="D33" i="2"/>
  <c r="K33" i="2" s="1"/>
  <c r="D93" i="2"/>
  <c r="K93" i="2" s="1"/>
  <c r="D54" i="2"/>
  <c r="K54" i="2" s="1"/>
  <c r="J51" i="2"/>
  <c r="J91" i="2"/>
  <c r="J12" i="2"/>
  <c r="J72" i="2"/>
  <c r="J13" i="2"/>
  <c r="J73" i="2"/>
  <c r="J74" i="2"/>
  <c r="J15" i="2"/>
  <c r="J75" i="2"/>
  <c r="J56" i="2"/>
  <c r="J57" i="2"/>
  <c r="J78" i="2"/>
  <c r="J11" i="2"/>
  <c r="J71" i="2"/>
  <c r="J32" i="2"/>
  <c r="J92" i="2"/>
  <c r="J33" i="2"/>
  <c r="J54" i="2"/>
  <c r="J35" i="2"/>
  <c r="J55" i="2"/>
  <c r="J16" i="2"/>
  <c r="J36" i="2"/>
  <c r="J76" i="2"/>
  <c r="J17" i="2"/>
  <c r="J37" i="2"/>
  <c r="J77" i="2"/>
  <c r="J18" i="2"/>
  <c r="J38" i="2"/>
  <c r="J58" i="2"/>
  <c r="J19" i="2"/>
  <c r="J39" i="2"/>
  <c r="J59" i="2"/>
  <c r="J79" i="2"/>
  <c r="J20" i="2"/>
  <c r="J40" i="2"/>
  <c r="J60" i="2"/>
  <c r="J80" i="2"/>
  <c r="J21" i="2"/>
  <c r="J41" i="2"/>
  <c r="J61" i="2"/>
  <c r="J81" i="2"/>
  <c r="J22" i="2"/>
  <c r="J42" i="2"/>
  <c r="J62" i="2"/>
  <c r="J82" i="2"/>
  <c r="J23" i="2"/>
  <c r="J43" i="2"/>
  <c r="J63" i="2"/>
  <c r="J83" i="2"/>
  <c r="J53" i="2"/>
  <c r="J31" i="2"/>
  <c r="J24" i="2"/>
  <c r="J44" i="2"/>
  <c r="J64" i="2"/>
  <c r="J84" i="2"/>
  <c r="J25" i="2"/>
  <c r="J45" i="2"/>
  <c r="J65" i="2"/>
  <c r="J85" i="2"/>
  <c r="J26" i="2"/>
  <c r="J46" i="2"/>
  <c r="J66" i="2"/>
  <c r="J86" i="2"/>
  <c r="J27" i="2"/>
  <c r="J47" i="2"/>
  <c r="J67" i="2"/>
  <c r="J87" i="2"/>
  <c r="J52" i="2"/>
  <c r="J14" i="2"/>
  <c r="J34" i="2"/>
  <c r="J48" i="2"/>
  <c r="J68" i="2"/>
  <c r="J88" i="2"/>
  <c r="J29" i="2"/>
  <c r="J49" i="2"/>
  <c r="J69" i="2"/>
  <c r="J89" i="2"/>
  <c r="J10" i="2"/>
  <c r="J30" i="2"/>
  <c r="J50" i="2"/>
  <c r="J70" i="2"/>
  <c r="J90" i="2"/>
  <c r="D85" i="7"/>
  <c r="D100" i="7"/>
  <c r="D61" i="7"/>
  <c r="D96" i="7"/>
  <c r="D75" i="7"/>
  <c r="D42" i="7"/>
  <c r="D57" i="7"/>
  <c r="D83" i="7"/>
  <c r="D91" i="7"/>
  <c r="D46" i="7"/>
  <c r="D92" i="7"/>
  <c r="D63" i="7"/>
  <c r="D38" i="7"/>
  <c r="D53" i="7"/>
  <c r="D40" i="7"/>
  <c r="D62" i="7"/>
  <c r="D79" i="7"/>
  <c r="D104" i="7"/>
  <c r="D76" i="7"/>
  <c r="D102" i="7"/>
  <c r="D71" i="7"/>
  <c r="D37" i="7"/>
  <c r="D67" i="7"/>
  <c r="D73" i="7"/>
  <c r="D54" i="7"/>
  <c r="D34" i="7"/>
  <c r="D99" i="7"/>
  <c r="D41" i="7"/>
  <c r="D72" i="7"/>
  <c r="D98" i="7"/>
  <c r="D59" i="7"/>
  <c r="D33" i="7"/>
  <c r="D77" i="7"/>
  <c r="D55" i="7"/>
  <c r="D69" i="7"/>
  <c r="D35" i="7"/>
  <c r="D68" i="7"/>
  <c r="D94" i="7"/>
  <c r="D43" i="7"/>
  <c r="D65" i="7"/>
  <c r="D88" i="7"/>
  <c r="D64" i="7"/>
  <c r="D90" i="7"/>
  <c r="D105" i="7"/>
  <c r="D49" i="7"/>
  <c r="D60" i="7"/>
  <c r="D86" i="7"/>
  <c r="D101" i="7"/>
  <c r="D70" i="7"/>
  <c r="D51" i="7"/>
  <c r="D84" i="7"/>
  <c r="D106" i="7"/>
  <c r="D56" i="7"/>
  <c r="D82" i="7"/>
  <c r="D97" i="7"/>
  <c r="D44" i="7"/>
  <c r="D66" i="7"/>
  <c r="D50" i="7"/>
  <c r="D45" i="7"/>
  <c r="D87" i="7"/>
  <c r="D52" i="7"/>
  <c r="D78" i="7"/>
  <c r="D93" i="7"/>
  <c r="K93" i="7" s="1"/>
  <c r="D95" i="7"/>
  <c r="D81" i="7"/>
  <c r="D36" i="7"/>
  <c r="D58" i="7"/>
  <c r="D39" i="7"/>
  <c r="D103" i="7"/>
  <c r="D47" i="7"/>
  <c r="D80" i="7"/>
  <c r="D48" i="7"/>
  <c r="D74" i="7"/>
  <c r="D89" i="7"/>
  <c r="V27" i="20"/>
  <c r="D100" i="15"/>
  <c r="H100" i="15" s="1"/>
  <c r="D88" i="15"/>
  <c r="H88" i="15" s="1"/>
  <c r="D15" i="12"/>
  <c r="E5" i="12"/>
  <c r="P4" i="22" s="1"/>
  <c r="P5" i="22" s="1"/>
  <c r="D22" i="12"/>
  <c r="D28" i="12"/>
  <c r="D20" i="12"/>
  <c r="D26" i="12"/>
  <c r="D32" i="12"/>
  <c r="D77" i="15"/>
  <c r="H77" i="15" s="1"/>
  <c r="D50" i="15"/>
  <c r="D97" i="15"/>
  <c r="H97" i="15" s="1"/>
  <c r="F3" i="21"/>
  <c r="J20" i="1"/>
  <c r="E4" i="20"/>
  <c r="B4" i="21"/>
  <c r="B5" i="21" s="1"/>
  <c r="C4" i="12"/>
  <c r="E21" i="16"/>
  <c r="E13" i="16"/>
  <c r="E22" i="16"/>
  <c r="E14" i="16"/>
  <c r="C24" i="1"/>
  <c r="AO16" i="1"/>
  <c r="E43" i="18"/>
  <c r="E38" i="18"/>
  <c r="D38" i="18" s="1"/>
  <c r="E41" i="16"/>
  <c r="E47" i="18"/>
  <c r="E42" i="18"/>
  <c r="E37" i="18"/>
  <c r="E17" i="16"/>
  <c r="E9" i="16"/>
  <c r="E18" i="16"/>
  <c r="E50" i="18"/>
  <c r="D50" i="18" s="1"/>
  <c r="E46" i="18"/>
  <c r="E41" i="18"/>
  <c r="D41" i="18" s="1"/>
  <c r="E35" i="18"/>
  <c r="D35" i="18" s="1"/>
  <c r="D64" i="15"/>
  <c r="H64" i="15" s="1"/>
  <c r="D40" i="15"/>
  <c r="H40" i="15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67" i="15"/>
  <c r="D59" i="15"/>
  <c r="D45" i="15"/>
  <c r="D52" i="15"/>
  <c r="D65" i="15"/>
  <c r="H65" i="15" s="1"/>
  <c r="AN32" i="1"/>
  <c r="D102" i="15"/>
  <c r="H102" i="15" s="1"/>
  <c r="D80" i="15"/>
  <c r="H80" i="15" s="1"/>
  <c r="D68" i="15"/>
  <c r="H68" i="15" s="1"/>
  <c r="D46" i="15"/>
  <c r="H46" i="15" s="1"/>
  <c r="D43" i="18"/>
  <c r="D57" i="15"/>
  <c r="D43" i="15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K96" i="15" s="1"/>
  <c r="D49" i="15"/>
  <c r="D39" i="15"/>
  <c r="D105" i="15"/>
  <c r="H105" i="15" s="1"/>
  <c r="D83" i="15"/>
  <c r="H83" i="15" s="1"/>
  <c r="D72" i="15"/>
  <c r="H72" i="15" s="1"/>
  <c r="D51" i="15"/>
  <c r="C26" i="1"/>
  <c r="AO26" i="1"/>
  <c r="C30" i="1"/>
  <c r="AO30" i="1"/>
  <c r="Q4" i="21"/>
  <c r="Q5" i="21" s="1"/>
  <c r="U4" i="22"/>
  <c r="U5" i="22" s="1"/>
  <c r="U4" i="20"/>
  <c r="U5" i="20" s="1"/>
  <c r="AO21" i="1"/>
  <c r="C21" i="1"/>
  <c r="C34" i="1"/>
  <c r="AO34" i="1"/>
  <c r="Y4" i="22"/>
  <c r="Y5" i="22" s="1"/>
  <c r="Y4" i="20"/>
  <c r="U4" i="21"/>
  <c r="U5" i="21" s="1"/>
  <c r="D30" i="12"/>
  <c r="D16" i="12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4" i="1" s="1"/>
  <c r="AU24" i="1" s="1"/>
  <c r="E106" i="18"/>
  <c r="E90" i="18"/>
  <c r="E74" i="18"/>
  <c r="D74" i="18" s="1"/>
  <c r="E58" i="18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28" i="16"/>
  <c r="D33" i="16"/>
  <c r="F33" i="16" s="1"/>
  <c r="D65" i="16"/>
  <c r="D72" i="16"/>
  <c r="D73" i="16"/>
  <c r="F73" i="16" s="1"/>
  <c r="D78" i="16"/>
  <c r="D106" i="16"/>
  <c r="AM20" i="1"/>
  <c r="AN20" i="1"/>
  <c r="AM18" i="1"/>
  <c r="J18" i="1"/>
  <c r="AN18" i="1"/>
  <c r="D103" i="16"/>
  <c r="D61" i="16"/>
  <c r="F61" i="16" s="1"/>
  <c r="AN35" i="1"/>
  <c r="E5" i="6"/>
  <c r="D44" i="16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85" i="16"/>
  <c r="D17" i="16"/>
  <c r="E5" i="16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5" i="1"/>
  <c r="AO35" i="1"/>
  <c r="T3" i="21"/>
  <c r="AO32" i="1"/>
  <c r="AO25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5" i="1"/>
  <c r="AM35" i="1"/>
  <c r="J32" i="1"/>
  <c r="AN25" i="1"/>
  <c r="Q3" i="21"/>
  <c r="J3" i="21"/>
  <c r="C35" i="1"/>
  <c r="C32" i="1"/>
  <c r="AM25" i="1"/>
  <c r="C25" i="1"/>
  <c r="D92" i="16"/>
  <c r="D84" i="16"/>
  <c r="D80" i="16"/>
  <c r="D76" i="16"/>
  <c r="F76" i="16" s="1"/>
  <c r="D75" i="16"/>
  <c r="D62" i="16"/>
  <c r="E5" i="5"/>
  <c r="E5" i="4"/>
  <c r="D17" i="3"/>
  <c r="D18" i="3"/>
  <c r="D26" i="3"/>
  <c r="E5" i="3"/>
  <c r="D19" i="3"/>
  <c r="D12" i="3"/>
  <c r="D20" i="3"/>
  <c r="D28" i="3"/>
  <c r="D11" i="3"/>
  <c r="D14" i="3"/>
  <c r="D22" i="3"/>
  <c r="D30" i="3"/>
  <c r="D24" i="3"/>
  <c r="D32" i="3"/>
  <c r="E5" i="14"/>
  <c r="E5" i="8"/>
  <c r="E5" i="9"/>
  <c r="E5" i="10"/>
  <c r="E5" i="11"/>
  <c r="D13" i="3"/>
  <c r="E5" i="13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E103" i="15"/>
  <c r="E99" i="15"/>
  <c r="E94" i="15"/>
  <c r="E90" i="15"/>
  <c r="E82" i="15"/>
  <c r="E78" i="15"/>
  <c r="E74" i="15"/>
  <c r="E70" i="15"/>
  <c r="E62" i="15"/>
  <c r="E55" i="15"/>
  <c r="E44" i="15"/>
  <c r="E29" i="15"/>
  <c r="E9" i="12"/>
  <c r="E9" i="30" s="1"/>
  <c r="D9" i="30" s="1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1" i="30" s="1"/>
  <c r="E17" i="12"/>
  <c r="E17" i="30" s="1"/>
  <c r="X54" i="20" l="1"/>
  <c r="X54" i="22" s="1"/>
  <c r="X35" i="20"/>
  <c r="X35" i="22" s="1"/>
  <c r="X12" i="20"/>
  <c r="X12" i="22" s="1"/>
  <c r="X75" i="20"/>
  <c r="X17" i="20"/>
  <c r="X17" i="22" s="1"/>
  <c r="X21" i="20"/>
  <c r="X21" i="22" s="1"/>
  <c r="X37" i="20"/>
  <c r="T37" i="21" s="1"/>
  <c r="X26" i="20"/>
  <c r="T26" i="21" s="1"/>
  <c r="D23" i="3"/>
  <c r="X53" i="20"/>
  <c r="X60" i="20"/>
  <c r="X60" i="22" s="1"/>
  <c r="D29" i="3"/>
  <c r="X83" i="20"/>
  <c r="T83" i="21" s="1"/>
  <c r="D21" i="3"/>
  <c r="X42" i="20"/>
  <c r="T42" i="21" s="1"/>
  <c r="X86" i="20"/>
  <c r="T86" i="21" s="1"/>
  <c r="X58" i="20"/>
  <c r="T58" i="21" s="1"/>
  <c r="K12" i="7"/>
  <c r="X40" i="20"/>
  <c r="X40" i="22" s="1"/>
  <c r="X95" i="20"/>
  <c r="T95" i="21" s="1"/>
  <c r="X78" i="20"/>
  <c r="X78" i="22" s="1"/>
  <c r="X9" i="20"/>
  <c r="X9" i="22" s="1"/>
  <c r="X22" i="20"/>
  <c r="X22" i="22" s="1"/>
  <c r="X64" i="20"/>
  <c r="X64" i="22" s="1"/>
  <c r="X6" i="20"/>
  <c r="X6" i="22" s="1"/>
  <c r="X45" i="20"/>
  <c r="X45" i="22" s="1"/>
  <c r="X52" i="20"/>
  <c r="X52" i="22" s="1"/>
  <c r="X16" i="20"/>
  <c r="X16" i="22" s="1"/>
  <c r="X44" i="20"/>
  <c r="X44" i="22" s="1"/>
  <c r="X100" i="20"/>
  <c r="X36" i="20"/>
  <c r="X36" i="22" s="1"/>
  <c r="X70" i="20"/>
  <c r="X70" i="22" s="1"/>
  <c r="X15" i="20"/>
  <c r="X15" i="22" s="1"/>
  <c r="X18" i="20"/>
  <c r="X18" i="22" s="1"/>
  <c r="X27" i="20"/>
  <c r="T27" i="21" s="1"/>
  <c r="X47" i="20"/>
  <c r="X47" i="22" s="1"/>
  <c r="X10" i="20"/>
  <c r="X10" i="22" s="1"/>
  <c r="X59" i="20"/>
  <c r="X59" i="22" s="1"/>
  <c r="X8" i="20"/>
  <c r="T8" i="21" s="1"/>
  <c r="X25" i="20"/>
  <c r="X25" i="22" s="1"/>
  <c r="X34" i="20"/>
  <c r="X23" i="20"/>
  <c r="X80" i="20"/>
  <c r="D27" i="3"/>
  <c r="D16" i="3"/>
  <c r="D25" i="3"/>
  <c r="K26" i="7"/>
  <c r="H26" i="7"/>
  <c r="K7" i="19"/>
  <c r="K7" i="20" s="1"/>
  <c r="K7" i="22" s="1"/>
  <c r="D12" i="30"/>
  <c r="K20" i="7"/>
  <c r="H20" i="7"/>
  <c r="K17" i="19"/>
  <c r="K17" i="20" s="1"/>
  <c r="K17" i="22" s="1"/>
  <c r="D22" i="30"/>
  <c r="D19" i="30"/>
  <c r="K14" i="19"/>
  <c r="K14" i="20" s="1"/>
  <c r="K14" i="22" s="1"/>
  <c r="K15" i="7"/>
  <c r="H15" i="7"/>
  <c r="K17" i="7"/>
  <c r="H17" i="7"/>
  <c r="K19" i="19"/>
  <c r="K19" i="20" s="1"/>
  <c r="K19" i="22" s="1"/>
  <c r="D24" i="30"/>
  <c r="D31" i="3"/>
  <c r="K16" i="7"/>
  <c r="H16" i="7"/>
  <c r="K21" i="7"/>
  <c r="H21" i="7"/>
  <c r="D21" i="30"/>
  <c r="K16" i="19"/>
  <c r="K16" i="20" s="1"/>
  <c r="K16" i="22" s="1"/>
  <c r="K6" i="19"/>
  <c r="K6" i="20" s="1"/>
  <c r="K6" i="22" s="1"/>
  <c r="D11" i="30"/>
  <c r="D20" i="30"/>
  <c r="K15" i="19"/>
  <c r="K15" i="20" s="1"/>
  <c r="K15" i="22" s="1"/>
  <c r="K27" i="7"/>
  <c r="H27" i="7"/>
  <c r="K14" i="7"/>
  <c r="H14" i="7"/>
  <c r="K21" i="19"/>
  <c r="K21" i="20" s="1"/>
  <c r="K21" i="22" s="1"/>
  <c r="D26" i="30"/>
  <c r="K25" i="7"/>
  <c r="H25" i="7"/>
  <c r="D14" i="30"/>
  <c r="K9" i="19"/>
  <c r="K9" i="20" s="1"/>
  <c r="K9" i="22" s="1"/>
  <c r="K23" i="19"/>
  <c r="K23" i="20" s="1"/>
  <c r="K23" i="22" s="1"/>
  <c r="D28" i="30"/>
  <c r="K13" i="7"/>
  <c r="H13" i="7"/>
  <c r="K32" i="7"/>
  <c r="H32" i="7"/>
  <c r="K31" i="7"/>
  <c r="H31" i="7"/>
  <c r="K20" i="19"/>
  <c r="K20" i="20" s="1"/>
  <c r="K20" i="22" s="1"/>
  <c r="D25" i="30"/>
  <c r="K23" i="7"/>
  <c r="H23" i="7"/>
  <c r="D15" i="30"/>
  <c r="K10" i="19"/>
  <c r="K10" i="20" s="1"/>
  <c r="K10" i="22" s="1"/>
  <c r="K26" i="19"/>
  <c r="K26" i="20" s="1"/>
  <c r="K26" i="22" s="1"/>
  <c r="D31" i="30"/>
  <c r="D17" i="30"/>
  <c r="K12" i="19"/>
  <c r="K12" i="20" s="1"/>
  <c r="K12" i="22" s="1"/>
  <c r="K28" i="7"/>
  <c r="H28" i="7"/>
  <c r="D23" i="30"/>
  <c r="K18" i="19"/>
  <c r="K18" i="20" s="1"/>
  <c r="K18" i="22" s="1"/>
  <c r="K29" i="7"/>
  <c r="H29" i="7"/>
  <c r="K18" i="7"/>
  <c r="H18" i="7"/>
  <c r="D30" i="30"/>
  <c r="K25" i="19"/>
  <c r="K25" i="20" s="1"/>
  <c r="K25" i="22" s="1"/>
  <c r="D27" i="30"/>
  <c r="K22" i="19"/>
  <c r="K22" i="20" s="1"/>
  <c r="K22" i="22" s="1"/>
  <c r="D16" i="30"/>
  <c r="K11" i="19"/>
  <c r="K11" i="20" s="1"/>
  <c r="K11" i="22" s="1"/>
  <c r="D13" i="30"/>
  <c r="K8" i="19"/>
  <c r="K8" i="20" s="1"/>
  <c r="K8" i="22" s="1"/>
  <c r="K19" i="7"/>
  <c r="H19" i="7"/>
  <c r="K24" i="7"/>
  <c r="H24" i="7"/>
  <c r="D29" i="30"/>
  <c r="K24" i="19"/>
  <c r="K24" i="20" s="1"/>
  <c r="K24" i="22" s="1"/>
  <c r="K30" i="7"/>
  <c r="H30" i="7"/>
  <c r="D15" i="3"/>
  <c r="K22" i="7"/>
  <c r="H22" i="7"/>
  <c r="K13" i="19"/>
  <c r="K13" i="20" s="1"/>
  <c r="K13" i="22" s="1"/>
  <c r="D18" i="30"/>
  <c r="K72" i="7"/>
  <c r="H72" i="7"/>
  <c r="K87" i="7"/>
  <c r="H87" i="7"/>
  <c r="K65" i="7"/>
  <c r="H65" i="7"/>
  <c r="D37" i="30"/>
  <c r="K32" i="19"/>
  <c r="K32" i="20" s="1"/>
  <c r="K32" i="22" s="1"/>
  <c r="K55" i="19"/>
  <c r="K55" i="20" s="1"/>
  <c r="K55" i="22" s="1"/>
  <c r="D60" i="30"/>
  <c r="K49" i="19"/>
  <c r="K49" i="20" s="1"/>
  <c r="K49" i="22" s="1"/>
  <c r="D54" i="30"/>
  <c r="K74" i="19"/>
  <c r="K74" i="20" s="1"/>
  <c r="K74" i="22" s="1"/>
  <c r="D79" i="30"/>
  <c r="K80" i="19"/>
  <c r="K80" i="20" s="1"/>
  <c r="K80" i="22" s="1"/>
  <c r="D85" i="30"/>
  <c r="K45" i="7"/>
  <c r="H45" i="7"/>
  <c r="K43" i="7"/>
  <c r="H43" i="7"/>
  <c r="K76" i="7"/>
  <c r="H76" i="7"/>
  <c r="K46" i="19"/>
  <c r="K46" i="20" s="1"/>
  <c r="K46" i="22" s="1"/>
  <c r="D51" i="30"/>
  <c r="D103" i="30"/>
  <c r="K98" i="19"/>
  <c r="K98" i="20" s="1"/>
  <c r="K98" i="22" s="1"/>
  <c r="K70" i="19"/>
  <c r="K70" i="20" s="1"/>
  <c r="K70" i="22" s="1"/>
  <c r="D75" i="30"/>
  <c r="D59" i="30"/>
  <c r="K54" i="19"/>
  <c r="K54" i="20" s="1"/>
  <c r="K54" i="22" s="1"/>
  <c r="D71" i="30"/>
  <c r="K66" i="19"/>
  <c r="K66" i="20" s="1"/>
  <c r="K66" i="22" s="1"/>
  <c r="D67" i="30"/>
  <c r="K62" i="19"/>
  <c r="K62" i="20" s="1"/>
  <c r="K62" i="22" s="1"/>
  <c r="D70" i="30"/>
  <c r="K65" i="19"/>
  <c r="K65" i="20" s="1"/>
  <c r="K65" i="22" s="1"/>
  <c r="K66" i="7"/>
  <c r="H66" i="7"/>
  <c r="K68" i="7"/>
  <c r="H68" i="7"/>
  <c r="K79" i="7"/>
  <c r="H79" i="7"/>
  <c r="D105" i="30"/>
  <c r="K100" i="19"/>
  <c r="K100" i="20" s="1"/>
  <c r="K100" i="22" s="1"/>
  <c r="D96" i="30"/>
  <c r="K91" i="19"/>
  <c r="K91" i="20" s="1"/>
  <c r="K91" i="22" s="1"/>
  <c r="K62" i="7"/>
  <c r="H62" i="7"/>
  <c r="K38" i="19"/>
  <c r="K38" i="20" s="1"/>
  <c r="K38" i="22" s="1"/>
  <c r="D43" i="30"/>
  <c r="K72" i="19"/>
  <c r="K72" i="20" s="1"/>
  <c r="K72" i="22" s="1"/>
  <c r="D77" i="30"/>
  <c r="D44" i="30"/>
  <c r="K39" i="19"/>
  <c r="K39" i="20" s="1"/>
  <c r="K39" i="22" s="1"/>
  <c r="K69" i="7"/>
  <c r="H69" i="7"/>
  <c r="K40" i="7"/>
  <c r="H40" i="7"/>
  <c r="D64" i="30"/>
  <c r="K59" i="19"/>
  <c r="K59" i="20" s="1"/>
  <c r="K59" i="22" s="1"/>
  <c r="D62" i="30"/>
  <c r="K57" i="19"/>
  <c r="K57" i="20" s="1"/>
  <c r="K57" i="22" s="1"/>
  <c r="K94" i="7"/>
  <c r="H94" i="7"/>
  <c r="K89" i="7"/>
  <c r="H89" i="7"/>
  <c r="K82" i="7"/>
  <c r="H82" i="7"/>
  <c r="K55" i="7"/>
  <c r="H55" i="7"/>
  <c r="K53" i="7"/>
  <c r="H53" i="7"/>
  <c r="D76" i="30"/>
  <c r="K71" i="19"/>
  <c r="K71" i="20" s="1"/>
  <c r="K71" i="22" s="1"/>
  <c r="K48" i="19"/>
  <c r="K48" i="20" s="1"/>
  <c r="K48" i="22" s="1"/>
  <c r="D53" i="30"/>
  <c r="D36" i="30"/>
  <c r="K31" i="19"/>
  <c r="K31" i="20" s="1"/>
  <c r="K31" i="22" s="1"/>
  <c r="K73" i="19"/>
  <c r="K73" i="20" s="1"/>
  <c r="K73" i="22" s="1"/>
  <c r="D78" i="30"/>
  <c r="D94" i="30"/>
  <c r="K89" i="19"/>
  <c r="K89" i="20" s="1"/>
  <c r="K89" i="22" s="1"/>
  <c r="K35" i="7"/>
  <c r="H35" i="7"/>
  <c r="K74" i="7"/>
  <c r="H74" i="7"/>
  <c r="D50" i="30"/>
  <c r="K45" i="19"/>
  <c r="K45" i="20" s="1"/>
  <c r="K45" i="22" s="1"/>
  <c r="D102" i="30"/>
  <c r="K97" i="19"/>
  <c r="K97" i="20" s="1"/>
  <c r="K97" i="22" s="1"/>
  <c r="K56" i="7"/>
  <c r="H56" i="7"/>
  <c r="K48" i="7"/>
  <c r="H48" i="7"/>
  <c r="K33" i="7"/>
  <c r="H33" i="7"/>
  <c r="K63" i="7"/>
  <c r="H63" i="7"/>
  <c r="D38" i="30"/>
  <c r="K33" i="19"/>
  <c r="K33" i="20" s="1"/>
  <c r="K33" i="22" s="1"/>
  <c r="D83" i="30"/>
  <c r="K78" i="19"/>
  <c r="K78" i="20" s="1"/>
  <c r="K78" i="22" s="1"/>
  <c r="D56" i="30"/>
  <c r="K51" i="19"/>
  <c r="K51" i="20" s="1"/>
  <c r="K51" i="22" s="1"/>
  <c r="K50" i="7"/>
  <c r="H50" i="7"/>
  <c r="D86" i="30"/>
  <c r="K81" i="19"/>
  <c r="K81" i="20" s="1"/>
  <c r="K81" i="22" s="1"/>
  <c r="K38" i="7"/>
  <c r="H38" i="7"/>
  <c r="D72" i="30"/>
  <c r="K67" i="19"/>
  <c r="K67" i="20" s="1"/>
  <c r="K67" i="22" s="1"/>
  <c r="K80" i="7"/>
  <c r="H80" i="7"/>
  <c r="K59" i="7"/>
  <c r="H59" i="7"/>
  <c r="D41" i="30"/>
  <c r="K36" i="19"/>
  <c r="K36" i="20" s="1"/>
  <c r="K36" i="22" s="1"/>
  <c r="D99" i="30"/>
  <c r="K94" i="19"/>
  <c r="K94" i="20" s="1"/>
  <c r="K94" i="22" s="1"/>
  <c r="D69" i="30"/>
  <c r="K64" i="19"/>
  <c r="K64" i="20" s="1"/>
  <c r="K64" i="22" s="1"/>
  <c r="D81" i="30"/>
  <c r="K76" i="19"/>
  <c r="K76" i="20" s="1"/>
  <c r="K76" i="22" s="1"/>
  <c r="K44" i="7"/>
  <c r="H44" i="7"/>
  <c r="D98" i="30"/>
  <c r="K93" i="19"/>
  <c r="K93" i="20" s="1"/>
  <c r="K93" i="22" s="1"/>
  <c r="K77" i="7"/>
  <c r="H77" i="7"/>
  <c r="D45" i="30"/>
  <c r="K40" i="19"/>
  <c r="K40" i="20" s="1"/>
  <c r="K40" i="22" s="1"/>
  <c r="K84" i="7"/>
  <c r="H84" i="7"/>
  <c r="K92" i="7"/>
  <c r="H92" i="7"/>
  <c r="K47" i="7"/>
  <c r="H47" i="7"/>
  <c r="K51" i="7"/>
  <c r="H51" i="7"/>
  <c r="K98" i="7"/>
  <c r="H98" i="7"/>
  <c r="K46" i="7"/>
  <c r="H46" i="7"/>
  <c r="K82" i="19"/>
  <c r="K82" i="20" s="1"/>
  <c r="K82" i="22" s="1"/>
  <c r="D87" i="30"/>
  <c r="D49" i="30"/>
  <c r="K44" i="19"/>
  <c r="K44" i="20" s="1"/>
  <c r="K44" i="22" s="1"/>
  <c r="K58" i="19"/>
  <c r="K58" i="20" s="1"/>
  <c r="K58" i="22" s="1"/>
  <c r="D63" i="30"/>
  <c r="K91" i="7"/>
  <c r="H91" i="7"/>
  <c r="K101" i="19"/>
  <c r="K101" i="20" s="1"/>
  <c r="K101" i="22" s="1"/>
  <c r="D106" i="30"/>
  <c r="K29" i="19"/>
  <c r="K29" i="20" s="1"/>
  <c r="K29" i="22" s="1"/>
  <c r="D34" i="30"/>
  <c r="K87" i="19"/>
  <c r="K87" i="20" s="1"/>
  <c r="K87" i="22" s="1"/>
  <c r="D92" i="30"/>
  <c r="D89" i="30"/>
  <c r="K84" i="19"/>
  <c r="K84" i="20" s="1"/>
  <c r="K84" i="22" s="1"/>
  <c r="K83" i="7"/>
  <c r="H83" i="7"/>
  <c r="K57" i="7"/>
  <c r="H57" i="7"/>
  <c r="K79" i="19"/>
  <c r="K79" i="20" s="1"/>
  <c r="K79" i="22" s="1"/>
  <c r="D84" i="30"/>
  <c r="K70" i="7"/>
  <c r="H70" i="7"/>
  <c r="K86" i="7"/>
  <c r="H86" i="7"/>
  <c r="K34" i="7"/>
  <c r="H34" i="7"/>
  <c r="K42" i="7"/>
  <c r="H42" i="7"/>
  <c r="D80" i="30"/>
  <c r="K75" i="19"/>
  <c r="K75" i="20" s="1"/>
  <c r="K75" i="22" s="1"/>
  <c r="K42" i="19"/>
  <c r="K42" i="20" s="1"/>
  <c r="K42" i="22" s="1"/>
  <c r="D47" i="30"/>
  <c r="D33" i="30"/>
  <c r="K28" i="19"/>
  <c r="K28" i="20" s="1"/>
  <c r="K28" i="22" s="1"/>
  <c r="D93" i="30"/>
  <c r="K88" i="19"/>
  <c r="K88" i="20" s="1"/>
  <c r="K88" i="22" s="1"/>
  <c r="K69" i="19"/>
  <c r="K69" i="20" s="1"/>
  <c r="K69" i="22" s="1"/>
  <c r="D74" i="30"/>
  <c r="D35" i="30"/>
  <c r="K30" i="19"/>
  <c r="K30" i="20" s="1"/>
  <c r="K30" i="22" s="1"/>
  <c r="D95" i="30"/>
  <c r="K90" i="19"/>
  <c r="K90" i="20" s="1"/>
  <c r="K90" i="22" s="1"/>
  <c r="K36" i="7"/>
  <c r="H36" i="7"/>
  <c r="K60" i="7"/>
  <c r="H60" i="7"/>
  <c r="K81" i="7"/>
  <c r="H81" i="7"/>
  <c r="K49" i="7"/>
  <c r="H49" i="7"/>
  <c r="K54" i="7"/>
  <c r="H54" i="7"/>
  <c r="K75" i="7"/>
  <c r="H75" i="7"/>
  <c r="D65" i="30"/>
  <c r="K60" i="19"/>
  <c r="K60" i="20" s="1"/>
  <c r="K60" i="22" s="1"/>
  <c r="K47" i="19"/>
  <c r="K47" i="20" s="1"/>
  <c r="K47" i="22" s="1"/>
  <c r="D52" i="30"/>
  <c r="K39" i="7"/>
  <c r="H39" i="7"/>
  <c r="K58" i="7"/>
  <c r="H58" i="7"/>
  <c r="K63" i="19"/>
  <c r="K63" i="20" s="1"/>
  <c r="K63" i="22" s="1"/>
  <c r="D68" i="30"/>
  <c r="K95" i="7"/>
  <c r="H95" i="7"/>
  <c r="K73" i="7"/>
  <c r="H73" i="7"/>
  <c r="K96" i="7"/>
  <c r="H96" i="7"/>
  <c r="D61" i="30"/>
  <c r="K56" i="19"/>
  <c r="K56" i="20" s="1"/>
  <c r="K56" i="22" s="1"/>
  <c r="D88" i="30"/>
  <c r="K83" i="19"/>
  <c r="K83" i="20" s="1"/>
  <c r="K83" i="22" s="1"/>
  <c r="K68" i="19"/>
  <c r="K68" i="20" s="1"/>
  <c r="K68" i="22" s="1"/>
  <c r="D73" i="30"/>
  <c r="K43" i="19"/>
  <c r="K43" i="20" s="1"/>
  <c r="K43" i="22" s="1"/>
  <c r="D48" i="30"/>
  <c r="K61" i="19"/>
  <c r="K61" i="20" s="1"/>
  <c r="K61" i="22" s="1"/>
  <c r="D66" i="30"/>
  <c r="K41" i="7"/>
  <c r="H41" i="7"/>
  <c r="K41" i="19"/>
  <c r="K41" i="20" s="1"/>
  <c r="K41" i="22" s="1"/>
  <c r="D46" i="30"/>
  <c r="K52" i="19"/>
  <c r="K52" i="20" s="1"/>
  <c r="K52" i="22" s="1"/>
  <c r="D57" i="30"/>
  <c r="K92" i="19"/>
  <c r="K92" i="20" s="1"/>
  <c r="K92" i="22" s="1"/>
  <c r="D97" i="30"/>
  <c r="K77" i="19"/>
  <c r="K77" i="20" s="1"/>
  <c r="K77" i="22" s="1"/>
  <c r="D82" i="30"/>
  <c r="K90" i="7"/>
  <c r="H90" i="7"/>
  <c r="K61" i="7"/>
  <c r="H61" i="7"/>
  <c r="D55" i="30"/>
  <c r="K50" i="19"/>
  <c r="K50" i="20" s="1"/>
  <c r="K50" i="22" s="1"/>
  <c r="D91" i="30"/>
  <c r="K86" i="19"/>
  <c r="K86" i="20" s="1"/>
  <c r="K86" i="22" s="1"/>
  <c r="K53" i="19"/>
  <c r="K53" i="20" s="1"/>
  <c r="K53" i="22" s="1"/>
  <c r="D58" i="30"/>
  <c r="D90" i="30"/>
  <c r="K85" i="19"/>
  <c r="K85" i="20" s="1"/>
  <c r="K85" i="22" s="1"/>
  <c r="K35" i="19"/>
  <c r="K35" i="20" s="1"/>
  <c r="K35" i="22" s="1"/>
  <c r="D40" i="30"/>
  <c r="K67" i="7"/>
  <c r="H67" i="7"/>
  <c r="K78" i="7"/>
  <c r="H78" i="7"/>
  <c r="K64" i="7"/>
  <c r="H64" i="7"/>
  <c r="K37" i="7"/>
  <c r="H37" i="7"/>
  <c r="K52" i="7"/>
  <c r="H52" i="7"/>
  <c r="K88" i="7"/>
  <c r="H88" i="7"/>
  <c r="K71" i="7"/>
  <c r="H71" i="7"/>
  <c r="K85" i="7"/>
  <c r="H85" i="7"/>
  <c r="D104" i="30"/>
  <c r="K99" i="19"/>
  <c r="K99" i="20" s="1"/>
  <c r="K99" i="22" s="1"/>
  <c r="K95" i="19"/>
  <c r="K95" i="20" s="1"/>
  <c r="K95" i="22" s="1"/>
  <c r="D100" i="30"/>
  <c r="D42" i="30"/>
  <c r="K37" i="19"/>
  <c r="K37" i="20" s="1"/>
  <c r="K37" i="22" s="1"/>
  <c r="K96" i="19"/>
  <c r="K96" i="20" s="1"/>
  <c r="K96" i="22" s="1"/>
  <c r="D101" i="30"/>
  <c r="H104" i="2"/>
  <c r="K104" i="2"/>
  <c r="H103" i="2"/>
  <c r="K103" i="2"/>
  <c r="R17" i="5"/>
  <c r="X63" i="20"/>
  <c r="X29" i="20"/>
  <c r="X29" i="22" s="1"/>
  <c r="T6" i="20"/>
  <c r="P6" i="21" s="1"/>
  <c r="X92" i="20"/>
  <c r="T92" i="21" s="1"/>
  <c r="X62" i="20"/>
  <c r="X62" i="22" s="1"/>
  <c r="X11" i="20"/>
  <c r="T11" i="21" s="1"/>
  <c r="X48" i="20"/>
  <c r="X48" i="22" s="1"/>
  <c r="E97" i="4"/>
  <c r="D27" i="5"/>
  <c r="F27" i="5" s="1"/>
  <c r="X13" i="20"/>
  <c r="T13" i="21" s="1"/>
  <c r="X67" i="20"/>
  <c r="X67" i="22" s="1"/>
  <c r="X19" i="20"/>
  <c r="X19" i="22" s="1"/>
  <c r="X32" i="20"/>
  <c r="X32" i="22" s="1"/>
  <c r="X38" i="20"/>
  <c r="X38" i="22" s="1"/>
  <c r="X97" i="20"/>
  <c r="T97" i="21" s="1"/>
  <c r="U6" i="20"/>
  <c r="U6" i="22" s="1"/>
  <c r="E81" i="4"/>
  <c r="E104" i="4"/>
  <c r="E86" i="4"/>
  <c r="E36" i="4"/>
  <c r="D29" i="14"/>
  <c r="F29" i="14" s="1"/>
  <c r="E66" i="4"/>
  <c r="E64" i="4"/>
  <c r="E54" i="4"/>
  <c r="E69" i="4"/>
  <c r="E53" i="4"/>
  <c r="E33" i="4"/>
  <c r="E62" i="4"/>
  <c r="W6" i="20"/>
  <c r="W6" i="22" s="1"/>
  <c r="Y6" i="20"/>
  <c r="AT30" i="1"/>
  <c r="AU30" i="1" s="1"/>
  <c r="AT19" i="1"/>
  <c r="AU19" i="1" s="1"/>
  <c r="AT23" i="1"/>
  <c r="AU23" i="1" s="1"/>
  <c r="AT17" i="1"/>
  <c r="AU17" i="1" s="1"/>
  <c r="AT16" i="1"/>
  <c r="AU16" i="1" s="1"/>
  <c r="AT28" i="1"/>
  <c r="AU28" i="1" s="1"/>
  <c r="E46" i="4"/>
  <c r="E99" i="4"/>
  <c r="E11" i="4"/>
  <c r="G6" i="19" s="1"/>
  <c r="E47" i="4"/>
  <c r="E96" i="4"/>
  <c r="E41" i="4"/>
  <c r="E70" i="4"/>
  <c r="R24" i="5"/>
  <c r="E103" i="4"/>
  <c r="E90" i="4"/>
  <c r="E30" i="4"/>
  <c r="G25" i="19" s="1"/>
  <c r="E60" i="4"/>
  <c r="E68" i="4"/>
  <c r="E80" i="4"/>
  <c r="E18" i="4"/>
  <c r="G13" i="19" s="1"/>
  <c r="D29" i="9"/>
  <c r="F29" i="9" s="1"/>
  <c r="E106" i="4"/>
  <c r="E74" i="4"/>
  <c r="E92" i="4"/>
  <c r="E98" i="4"/>
  <c r="E22" i="4"/>
  <c r="G17" i="19" s="1"/>
  <c r="E42" i="4"/>
  <c r="E72" i="4"/>
  <c r="E88" i="4"/>
  <c r="E94" i="4"/>
  <c r="E45" i="4"/>
  <c r="E85" i="4"/>
  <c r="E14" i="4"/>
  <c r="G9" i="19" s="1"/>
  <c r="E63" i="4"/>
  <c r="E83" i="4"/>
  <c r="E67" i="4"/>
  <c r="E20" i="4"/>
  <c r="G15" i="19" s="1"/>
  <c r="E65" i="4"/>
  <c r="E35" i="4"/>
  <c r="E78" i="4"/>
  <c r="E57" i="4"/>
  <c r="E101" i="4"/>
  <c r="T59" i="20"/>
  <c r="T59" i="22" s="1"/>
  <c r="T58" i="20"/>
  <c r="P58" i="21" s="1"/>
  <c r="T41" i="20"/>
  <c r="T41" i="22" s="1"/>
  <c r="T27" i="20"/>
  <c r="P27" i="21" s="1"/>
  <c r="T47" i="20"/>
  <c r="T47" i="22" s="1"/>
  <c r="T64" i="20"/>
  <c r="T64" i="22" s="1"/>
  <c r="T53" i="20"/>
  <c r="T53" i="22" s="1"/>
  <c r="T10" i="20"/>
  <c r="T10" i="22" s="1"/>
  <c r="T35" i="20"/>
  <c r="T35" i="22" s="1"/>
  <c r="T16" i="20"/>
  <c r="T16" i="22" s="1"/>
  <c r="T26" i="20"/>
  <c r="T26" i="22" s="1"/>
  <c r="E37" i="4"/>
  <c r="E29" i="4"/>
  <c r="G24" i="19" s="1"/>
  <c r="T63" i="20"/>
  <c r="T63" i="22" s="1"/>
  <c r="T40" i="20"/>
  <c r="T40" i="22" s="1"/>
  <c r="T92" i="20"/>
  <c r="T92" i="22" s="1"/>
  <c r="E82" i="4"/>
  <c r="G77" i="19" s="1"/>
  <c r="E71" i="4"/>
  <c r="E38" i="4"/>
  <c r="E84" i="4"/>
  <c r="E79" i="4"/>
  <c r="E34" i="4"/>
  <c r="E61" i="4"/>
  <c r="W100" i="20"/>
  <c r="S100" i="21" s="1"/>
  <c r="W20" i="20"/>
  <c r="W20" i="22" s="1"/>
  <c r="E89" i="4"/>
  <c r="E76" i="4"/>
  <c r="W11" i="20"/>
  <c r="S11" i="21" s="1"/>
  <c r="W52" i="20"/>
  <c r="S52" i="21" s="1"/>
  <c r="W46" i="20"/>
  <c r="S46" i="21" s="1"/>
  <c r="W78" i="20"/>
  <c r="W78" i="22" s="1"/>
  <c r="T29" i="20"/>
  <c r="T29" i="22" s="1"/>
  <c r="T45" i="20"/>
  <c r="P45" i="21" s="1"/>
  <c r="T52" i="20"/>
  <c r="P52" i="21" s="1"/>
  <c r="W92" i="20"/>
  <c r="S92" i="21" s="1"/>
  <c r="T48" i="20"/>
  <c r="T48" i="22" s="1"/>
  <c r="E51" i="4"/>
  <c r="E102" i="4"/>
  <c r="E9" i="4"/>
  <c r="E16" i="4"/>
  <c r="G11" i="19" s="1"/>
  <c r="E100" i="4"/>
  <c r="W88" i="20"/>
  <c r="S88" i="21" s="1"/>
  <c r="W36" i="20"/>
  <c r="S36" i="21" s="1"/>
  <c r="W70" i="20"/>
  <c r="W70" i="22" s="1"/>
  <c r="W47" i="20"/>
  <c r="W47" i="22" s="1"/>
  <c r="T38" i="20"/>
  <c r="P38" i="21" s="1"/>
  <c r="E73" i="4"/>
  <c r="E43" i="4"/>
  <c r="E93" i="4"/>
  <c r="E39" i="4"/>
  <c r="E23" i="4"/>
  <c r="G18" i="19" s="1"/>
  <c r="T88" i="20"/>
  <c r="T88" i="22" s="1"/>
  <c r="E17" i="4"/>
  <c r="G12" i="19" s="1"/>
  <c r="D15" i="4"/>
  <c r="AT18" i="1"/>
  <c r="AU18" i="1" s="1"/>
  <c r="T100" i="20"/>
  <c r="P100" i="21" s="1"/>
  <c r="W62" i="20"/>
  <c r="S62" i="21" s="1"/>
  <c r="W67" i="20"/>
  <c r="W67" i="22" s="1"/>
  <c r="E87" i="4"/>
  <c r="E59" i="4"/>
  <c r="E75" i="4"/>
  <c r="E48" i="4"/>
  <c r="E44" i="4"/>
  <c r="E26" i="4"/>
  <c r="G21" i="19" s="1"/>
  <c r="T12" i="20"/>
  <c r="T12" i="22" s="1"/>
  <c r="D24" i="5"/>
  <c r="F24" i="5" s="1"/>
  <c r="T9" i="20"/>
  <c r="P9" i="21" s="1"/>
  <c r="T91" i="20"/>
  <c r="T91" i="22" s="1"/>
  <c r="T70" i="20"/>
  <c r="T70" i="22" s="1"/>
  <c r="T97" i="20"/>
  <c r="T97" i="22" s="1"/>
  <c r="W9" i="20"/>
  <c r="W9" i="22" s="1"/>
  <c r="W91" i="20"/>
  <c r="S91" i="21" s="1"/>
  <c r="T22" i="20"/>
  <c r="P22" i="21" s="1"/>
  <c r="T56" i="20"/>
  <c r="T56" i="22" s="1"/>
  <c r="W64" i="20"/>
  <c r="S64" i="21" s="1"/>
  <c r="T95" i="20"/>
  <c r="P95" i="21" s="1"/>
  <c r="W45" i="20"/>
  <c r="S45" i="21" s="1"/>
  <c r="W16" i="20"/>
  <c r="S16" i="21" s="1"/>
  <c r="T46" i="20"/>
  <c r="T46" i="22" s="1"/>
  <c r="W44" i="20"/>
  <c r="S44" i="21" s="1"/>
  <c r="W15" i="20"/>
  <c r="W15" i="22" s="1"/>
  <c r="T36" i="20"/>
  <c r="T36" i="22" s="1"/>
  <c r="W41" i="20"/>
  <c r="W41" i="22" s="1"/>
  <c r="W27" i="20"/>
  <c r="S27" i="21" s="1"/>
  <c r="W32" i="20"/>
  <c r="S32" i="21" s="1"/>
  <c r="Y97" i="20"/>
  <c r="U97" i="21" s="1"/>
  <c r="W38" i="20"/>
  <c r="S38" i="21" s="1"/>
  <c r="W97" i="20"/>
  <c r="S97" i="21" s="1"/>
  <c r="W63" i="20"/>
  <c r="S63" i="21" s="1"/>
  <c r="W19" i="20"/>
  <c r="W19" i="22" s="1"/>
  <c r="T15" i="20"/>
  <c r="T15" i="22" s="1"/>
  <c r="Y58" i="20"/>
  <c r="Y58" i="22" s="1"/>
  <c r="W60" i="20"/>
  <c r="W60" i="22" s="1"/>
  <c r="T67" i="20"/>
  <c r="T67" i="22" s="1"/>
  <c r="Y11" i="20"/>
  <c r="U11" i="21" s="1"/>
  <c r="T83" i="20"/>
  <c r="T83" i="22" s="1"/>
  <c r="W42" i="20"/>
  <c r="S42" i="21" s="1"/>
  <c r="T62" i="20"/>
  <c r="P62" i="21" s="1"/>
  <c r="W18" i="20"/>
  <c r="S18" i="21" s="1"/>
  <c r="T34" i="20"/>
  <c r="T34" i="22" s="1"/>
  <c r="D68" i="17"/>
  <c r="W10" i="20"/>
  <c r="S10" i="21" s="1"/>
  <c r="W59" i="20"/>
  <c r="W59" i="22" s="1"/>
  <c r="T18" i="20"/>
  <c r="P18" i="21" s="1"/>
  <c r="W58" i="20"/>
  <c r="W58" i="22" s="1"/>
  <c r="W13" i="20"/>
  <c r="S13" i="21" s="1"/>
  <c r="T32" i="20"/>
  <c r="T32" i="22" s="1"/>
  <c r="T21" i="20"/>
  <c r="T21" i="22" s="1"/>
  <c r="W25" i="20"/>
  <c r="W25" i="22" s="1"/>
  <c r="D37" i="17"/>
  <c r="W83" i="20"/>
  <c r="S83" i="21" s="1"/>
  <c r="W34" i="20"/>
  <c r="W34" i="22" s="1"/>
  <c r="W80" i="20"/>
  <c r="W80" i="22" s="1"/>
  <c r="W8" i="20"/>
  <c r="W8" i="22" s="1"/>
  <c r="W86" i="20"/>
  <c r="S86" i="21" s="1"/>
  <c r="T13" i="20"/>
  <c r="P13" i="21" s="1"/>
  <c r="W23" i="20"/>
  <c r="S23" i="21" s="1"/>
  <c r="Y17" i="20"/>
  <c r="U17" i="21" s="1"/>
  <c r="T19" i="20"/>
  <c r="T19" i="22" s="1"/>
  <c r="T25" i="20"/>
  <c r="P25" i="21" s="1"/>
  <c r="W37" i="20"/>
  <c r="W37" i="22" s="1"/>
  <c r="Y48" i="20"/>
  <c r="Y48" i="22" s="1"/>
  <c r="W21" i="20"/>
  <c r="S21" i="21" s="1"/>
  <c r="T11" i="20"/>
  <c r="T11" i="22" s="1"/>
  <c r="D54" i="17"/>
  <c r="T54" i="20"/>
  <c r="T54" i="22" s="1"/>
  <c r="T20" i="20"/>
  <c r="P20" i="21" s="1"/>
  <c r="T42" i="20"/>
  <c r="P42" i="21" s="1"/>
  <c r="T49" i="20"/>
  <c r="T49" i="22" s="1"/>
  <c r="T28" i="20"/>
  <c r="T28" i="22" s="1"/>
  <c r="E19" i="4"/>
  <c r="G14" i="19" s="1"/>
  <c r="W48" i="20"/>
  <c r="S48" i="21" s="1"/>
  <c r="W26" i="20"/>
  <c r="S26" i="21" s="1"/>
  <c r="T8" i="20"/>
  <c r="P8" i="21" s="1"/>
  <c r="W17" i="20"/>
  <c r="W17" i="22" s="1"/>
  <c r="W75" i="20"/>
  <c r="W75" i="22" s="1"/>
  <c r="W40" i="20"/>
  <c r="W40" i="22" s="1"/>
  <c r="W53" i="20"/>
  <c r="W53" i="22" s="1"/>
  <c r="T86" i="20"/>
  <c r="T86" i="22" s="1"/>
  <c r="W95" i="20"/>
  <c r="S95" i="21" s="1"/>
  <c r="T60" i="20"/>
  <c r="T60" i="22" s="1"/>
  <c r="T23" i="20"/>
  <c r="T23" i="22" s="1"/>
  <c r="T17" i="20"/>
  <c r="P17" i="21" s="1"/>
  <c r="W72" i="20"/>
  <c r="W72" i="22" s="1"/>
  <c r="T80" i="20"/>
  <c r="T80" i="22" s="1"/>
  <c r="E77" i="4"/>
  <c r="E95" i="4"/>
  <c r="E58" i="4"/>
  <c r="E50" i="4"/>
  <c r="E21" i="4"/>
  <c r="G16" i="19" s="1"/>
  <c r="E32" i="4"/>
  <c r="G27" i="19" s="1"/>
  <c r="E31" i="4"/>
  <c r="G26" i="19" s="1"/>
  <c r="Y91" i="20"/>
  <c r="U91" i="21" s="1"/>
  <c r="W29" i="20"/>
  <c r="W29" i="22" s="1"/>
  <c r="J4" i="20"/>
  <c r="J81" i="20" s="1"/>
  <c r="J81" i="22" s="1"/>
  <c r="E11" i="10"/>
  <c r="G4" i="21"/>
  <c r="G5" i="21" s="1"/>
  <c r="W54" i="20"/>
  <c r="W54" i="22" s="1"/>
  <c r="W22" i="20"/>
  <c r="W22" i="22" s="1"/>
  <c r="W35" i="20"/>
  <c r="W35" i="22" s="1"/>
  <c r="W12" i="20"/>
  <c r="W12" i="22" s="1"/>
  <c r="W28" i="20"/>
  <c r="W28" i="22" s="1"/>
  <c r="E49" i="4"/>
  <c r="E56" i="4"/>
  <c r="W56" i="20"/>
  <c r="W56" i="22" s="1"/>
  <c r="W49" i="20"/>
  <c r="S49" i="21" s="1"/>
  <c r="T78" i="20"/>
  <c r="T78" i="22" s="1"/>
  <c r="Y46" i="20"/>
  <c r="Y46" i="22" s="1"/>
  <c r="R23" i="5"/>
  <c r="D15" i="5"/>
  <c r="F15" i="5" s="1"/>
  <c r="D17" i="5"/>
  <c r="F17" i="5" s="1"/>
  <c r="D27" i="4"/>
  <c r="D13" i="4"/>
  <c r="K27" i="2"/>
  <c r="J28" i="2"/>
  <c r="D28" i="13"/>
  <c r="F28" i="13" s="1"/>
  <c r="D29" i="13"/>
  <c r="F29" i="13" s="1"/>
  <c r="D29" i="8"/>
  <c r="F29" i="8" s="1"/>
  <c r="D24" i="13"/>
  <c r="F24" i="13" s="1"/>
  <c r="D24" i="9"/>
  <c r="F24" i="9" s="1"/>
  <c r="D25" i="9"/>
  <c r="F25" i="9" s="1"/>
  <c r="D31" i="13"/>
  <c r="F31" i="13" s="1"/>
  <c r="D18" i="13"/>
  <c r="F18" i="13" s="1"/>
  <c r="D22" i="14"/>
  <c r="D31" i="9"/>
  <c r="F31" i="9" s="1"/>
  <c r="D13" i="11"/>
  <c r="F13" i="11" s="1"/>
  <c r="D13" i="14"/>
  <c r="D32" i="9"/>
  <c r="F32" i="9" s="1"/>
  <c r="D23" i="13"/>
  <c r="F23" i="13" s="1"/>
  <c r="D20" i="9"/>
  <c r="F20" i="9" s="1"/>
  <c r="D27" i="14"/>
  <c r="F27" i="14" s="1"/>
  <c r="D31" i="8"/>
  <c r="F31" i="8" s="1"/>
  <c r="D13" i="8"/>
  <c r="F13" i="8" s="1"/>
  <c r="D19" i="13"/>
  <c r="F19" i="13" s="1"/>
  <c r="D26" i="14"/>
  <c r="F26" i="14" s="1"/>
  <c r="D23" i="8"/>
  <c r="F23" i="8" s="1"/>
  <c r="D20" i="8"/>
  <c r="F20" i="8" s="1"/>
  <c r="D15" i="9"/>
  <c r="D18" i="11"/>
  <c r="D26" i="9"/>
  <c r="F26" i="9" s="1"/>
  <c r="D33" i="11"/>
  <c r="F33" i="11" s="1"/>
  <c r="D30" i="14"/>
  <c r="F30" i="14" s="1"/>
  <c r="D28" i="14"/>
  <c r="F28" i="14" s="1"/>
  <c r="D18" i="14"/>
  <c r="D12" i="9"/>
  <c r="D22" i="9"/>
  <c r="F22" i="9" s="1"/>
  <c r="D16" i="9"/>
  <c r="D24" i="11"/>
  <c r="F24" i="11" s="1"/>
  <c r="D18" i="8"/>
  <c r="F18" i="8" s="1"/>
  <c r="D19" i="9"/>
  <c r="F19" i="9" s="1"/>
  <c r="D27" i="13"/>
  <c r="F27" i="13" s="1"/>
  <c r="D15" i="8"/>
  <c r="F15" i="8" s="1"/>
  <c r="D33" i="14"/>
  <c r="F33" i="14" s="1"/>
  <c r="D31" i="14"/>
  <c r="F31" i="14" s="1"/>
  <c r="D30" i="8"/>
  <c r="F30" i="8" s="1"/>
  <c r="D31" i="11"/>
  <c r="F31" i="11" s="1"/>
  <c r="D33" i="13"/>
  <c r="F33" i="13" s="1"/>
  <c r="D32" i="13"/>
  <c r="F32" i="13" s="1"/>
  <c r="D26" i="8"/>
  <c r="F26" i="8" s="1"/>
  <c r="D26" i="13"/>
  <c r="F26" i="13" s="1"/>
  <c r="D19" i="14"/>
  <c r="D32" i="11"/>
  <c r="F32" i="11" s="1"/>
  <c r="D26" i="11"/>
  <c r="F26" i="11" s="1"/>
  <c r="D19" i="11"/>
  <c r="F19" i="11" s="1"/>
  <c r="D27" i="11"/>
  <c r="F27" i="11" s="1"/>
  <c r="D33" i="8"/>
  <c r="F33" i="8" s="1"/>
  <c r="D27" i="8"/>
  <c r="F27" i="8" s="1"/>
  <c r="D33" i="9"/>
  <c r="F33" i="9" s="1"/>
  <c r="D30" i="9"/>
  <c r="F30" i="9" s="1"/>
  <c r="D12" i="11"/>
  <c r="D29" i="11"/>
  <c r="F29" i="11" s="1"/>
  <c r="D27" i="9"/>
  <c r="F27" i="9" s="1"/>
  <c r="D20" i="13"/>
  <c r="D29" i="5"/>
  <c r="F29" i="5" s="1"/>
  <c r="D25" i="4"/>
  <c r="D12" i="4"/>
  <c r="D28" i="4"/>
  <c r="D14" i="5"/>
  <c r="F14" i="5" s="1"/>
  <c r="R14" i="5"/>
  <c r="S11" i="5"/>
  <c r="D11" i="5"/>
  <c r="R15" i="5"/>
  <c r="D30" i="5"/>
  <c r="F30" i="5" s="1"/>
  <c r="D13" i="5"/>
  <c r="F13" i="5" s="1"/>
  <c r="R13" i="5"/>
  <c r="D12" i="5"/>
  <c r="F12" i="5" s="1"/>
  <c r="R12" i="5"/>
  <c r="D23" i="5"/>
  <c r="F23" i="5" s="1"/>
  <c r="R18" i="5"/>
  <c r="D28" i="5"/>
  <c r="F28" i="5" s="1"/>
  <c r="R19" i="5"/>
  <c r="D25" i="5"/>
  <c r="F25" i="5" s="1"/>
  <c r="R21" i="5"/>
  <c r="D22" i="5"/>
  <c r="F22" i="5" s="1"/>
  <c r="D32" i="5"/>
  <c r="F32" i="5" s="1"/>
  <c r="D18" i="5"/>
  <c r="F18" i="5" s="1"/>
  <c r="R25" i="5"/>
  <c r="D31" i="5"/>
  <c r="F31" i="5" s="1"/>
  <c r="R16" i="5"/>
  <c r="D24" i="4"/>
  <c r="R20" i="5"/>
  <c r="R22" i="5"/>
  <c r="D19" i="5"/>
  <c r="F19" i="5" s="1"/>
  <c r="D26" i="5"/>
  <c r="F26" i="5" s="1"/>
  <c r="D21" i="5"/>
  <c r="F21" i="5" s="1"/>
  <c r="D16" i="5"/>
  <c r="F16" i="5" s="1"/>
  <c r="D20" i="5"/>
  <c r="F20" i="5" s="1"/>
  <c r="D15" i="14"/>
  <c r="D15" i="11"/>
  <c r="D14" i="14"/>
  <c r="F14" i="14" s="1"/>
  <c r="D16" i="13"/>
  <c r="D20" i="14"/>
  <c r="D25" i="11"/>
  <c r="F25" i="11" s="1"/>
  <c r="D12" i="14"/>
  <c r="D14" i="9"/>
  <c r="F14" i="9" s="1"/>
  <c r="D13" i="13"/>
  <c r="D28" i="11"/>
  <c r="F28" i="11" s="1"/>
  <c r="D18" i="9"/>
  <c r="F18" i="9" s="1"/>
  <c r="D23" i="9"/>
  <c r="F23" i="9" s="1"/>
  <c r="D21" i="9"/>
  <c r="F21" i="9" s="1"/>
  <c r="D19" i="8"/>
  <c r="F19" i="8" s="1"/>
  <c r="E9" i="13"/>
  <c r="E9" i="11"/>
  <c r="E9" i="14"/>
  <c r="E9" i="8"/>
  <c r="E9" i="9"/>
  <c r="D20" i="11"/>
  <c r="F20" i="11" s="1"/>
  <c r="D22" i="13"/>
  <c r="F22" i="13" s="1"/>
  <c r="D14" i="11"/>
  <c r="D21" i="14"/>
  <c r="D32" i="14"/>
  <c r="F32" i="14" s="1"/>
  <c r="D16" i="11"/>
  <c r="D14" i="13"/>
  <c r="D25" i="14"/>
  <c r="F25" i="14" s="1"/>
  <c r="D28" i="8"/>
  <c r="F28" i="8" s="1"/>
  <c r="P12" i="19"/>
  <c r="E17" i="9"/>
  <c r="E17" i="13"/>
  <c r="E17" i="8"/>
  <c r="E17" i="14"/>
  <c r="E17" i="11"/>
  <c r="D21" i="13"/>
  <c r="F21" i="13" s="1"/>
  <c r="P6" i="19"/>
  <c r="E11" i="13"/>
  <c r="E11" i="8"/>
  <c r="E11" i="14"/>
  <c r="E11" i="11"/>
  <c r="E11" i="9"/>
  <c r="D22" i="8"/>
  <c r="F22" i="8" s="1"/>
  <c r="D25" i="13"/>
  <c r="F25" i="13" s="1"/>
  <c r="D30" i="13"/>
  <c r="F30" i="13" s="1"/>
  <c r="D13" i="9"/>
  <c r="F13" i="9" s="1"/>
  <c r="D16" i="8"/>
  <c r="F16" i="8" s="1"/>
  <c r="D21" i="8"/>
  <c r="F21" i="8" s="1"/>
  <c r="D21" i="11"/>
  <c r="F21" i="11" s="1"/>
  <c r="D14" i="8"/>
  <c r="F14" i="8" s="1"/>
  <c r="D12" i="13"/>
  <c r="D24" i="8"/>
  <c r="F24" i="8" s="1"/>
  <c r="D12" i="8"/>
  <c r="F12" i="8" s="1"/>
  <c r="D32" i="8"/>
  <c r="F32" i="8" s="1"/>
  <c r="D28" i="9"/>
  <c r="F28" i="9" s="1"/>
  <c r="D15" i="13"/>
  <c r="F15" i="13" s="1"/>
  <c r="D16" i="14"/>
  <c r="D23" i="14"/>
  <c r="F23" i="14" s="1"/>
  <c r="D22" i="11"/>
  <c r="F22" i="11" s="1"/>
  <c r="D30" i="11"/>
  <c r="F30" i="11" s="1"/>
  <c r="D24" i="14"/>
  <c r="F24" i="14" s="1"/>
  <c r="D25" i="8"/>
  <c r="F25" i="8" s="1"/>
  <c r="D23" i="11"/>
  <c r="F23" i="11" s="1"/>
  <c r="T44" i="20"/>
  <c r="T44" i="22" s="1"/>
  <c r="T37" i="20"/>
  <c r="T37" i="22" s="1"/>
  <c r="T72" i="20"/>
  <c r="T72" i="22" s="1"/>
  <c r="T75" i="20"/>
  <c r="T75" i="22" s="1"/>
  <c r="U69" i="19"/>
  <c r="U69" i="20" s="1"/>
  <c r="U69" i="22" s="1"/>
  <c r="V69" i="19"/>
  <c r="V69" i="20" s="1"/>
  <c r="V69" i="22" s="1"/>
  <c r="W69" i="19"/>
  <c r="W69" i="20" s="1"/>
  <c r="W69" i="22" s="1"/>
  <c r="X69" i="19"/>
  <c r="X69" i="20" s="1"/>
  <c r="X69" i="22" s="1"/>
  <c r="Y69" i="19"/>
  <c r="Y69" i="20" s="1"/>
  <c r="S69" i="19"/>
  <c r="T69" i="19"/>
  <c r="T69" i="20" s="1"/>
  <c r="T69" i="22" s="1"/>
  <c r="V81" i="19"/>
  <c r="V81" i="20" s="1"/>
  <c r="V81" i="22" s="1"/>
  <c r="S81" i="19"/>
  <c r="T81" i="19"/>
  <c r="T81" i="20" s="1"/>
  <c r="T81" i="22" s="1"/>
  <c r="U81" i="19"/>
  <c r="U81" i="20" s="1"/>
  <c r="U81" i="22" s="1"/>
  <c r="Y81" i="19"/>
  <c r="Y81" i="20" s="1"/>
  <c r="U81" i="21" s="1"/>
  <c r="W81" i="19"/>
  <c r="W81" i="20" s="1"/>
  <c r="W81" i="22" s="1"/>
  <c r="X81" i="19"/>
  <c r="X81" i="20" s="1"/>
  <c r="T81" i="21" s="1"/>
  <c r="S24" i="19"/>
  <c r="T24" i="19"/>
  <c r="T24" i="20" s="1"/>
  <c r="U24" i="19"/>
  <c r="U24" i="20" s="1"/>
  <c r="V24" i="19"/>
  <c r="V24" i="20" s="1"/>
  <c r="X24" i="19"/>
  <c r="X24" i="20" s="1"/>
  <c r="Y24" i="19"/>
  <c r="Y24" i="20" s="1"/>
  <c r="W24" i="19"/>
  <c r="W24" i="20" s="1"/>
  <c r="S31" i="19"/>
  <c r="T31" i="19"/>
  <c r="T31" i="20" s="1"/>
  <c r="W31" i="19"/>
  <c r="W31" i="20" s="1"/>
  <c r="U31" i="19"/>
  <c r="U31" i="20" s="1"/>
  <c r="V31" i="19"/>
  <c r="V31" i="20" s="1"/>
  <c r="Y31" i="19"/>
  <c r="Y31" i="20" s="1"/>
  <c r="X31" i="19"/>
  <c r="X31" i="20" s="1"/>
  <c r="V43" i="19"/>
  <c r="V43" i="20" s="1"/>
  <c r="X43" i="19"/>
  <c r="X43" i="20" s="1"/>
  <c r="W43" i="19"/>
  <c r="W43" i="20" s="1"/>
  <c r="Y43" i="19"/>
  <c r="Y43" i="20" s="1"/>
  <c r="S43" i="19"/>
  <c r="T43" i="19"/>
  <c r="T43" i="20" s="1"/>
  <c r="U43" i="19"/>
  <c r="U43" i="20" s="1"/>
  <c r="U89" i="19"/>
  <c r="U89" i="20" s="1"/>
  <c r="U89" i="22" s="1"/>
  <c r="V89" i="19"/>
  <c r="V89" i="20" s="1"/>
  <c r="V89" i="22" s="1"/>
  <c r="W89" i="19"/>
  <c r="W89" i="20" s="1"/>
  <c r="S89" i="21" s="1"/>
  <c r="Y89" i="19"/>
  <c r="Y89" i="20" s="1"/>
  <c r="U89" i="21" s="1"/>
  <c r="S89" i="19"/>
  <c r="T89" i="19"/>
  <c r="T89" i="20" s="1"/>
  <c r="T89" i="22" s="1"/>
  <c r="X89" i="19"/>
  <c r="X89" i="20" s="1"/>
  <c r="T89" i="21" s="1"/>
  <c r="S39" i="19"/>
  <c r="U39" i="19"/>
  <c r="U39" i="20" s="1"/>
  <c r="V39" i="19"/>
  <c r="V39" i="20" s="1"/>
  <c r="W39" i="19"/>
  <c r="W39" i="20" s="1"/>
  <c r="X39" i="19"/>
  <c r="X39" i="20" s="1"/>
  <c r="Y39" i="19"/>
  <c r="Y39" i="20" s="1"/>
  <c r="T39" i="19"/>
  <c r="T39" i="20" s="1"/>
  <c r="S57" i="19"/>
  <c r="U57" i="19"/>
  <c r="U57" i="20" s="1"/>
  <c r="X57" i="19"/>
  <c r="X57" i="20" s="1"/>
  <c r="V57" i="19"/>
  <c r="V57" i="20" s="1"/>
  <c r="T57" i="19"/>
  <c r="T57" i="20" s="1"/>
  <c r="W57" i="19"/>
  <c r="W57" i="20" s="1"/>
  <c r="Y57" i="19"/>
  <c r="Y57" i="20" s="1"/>
  <c r="V33" i="19"/>
  <c r="V33" i="20" s="1"/>
  <c r="X33" i="19"/>
  <c r="X33" i="20" s="1"/>
  <c r="X33" i="22" s="1"/>
  <c r="W33" i="19"/>
  <c r="W33" i="20" s="1"/>
  <c r="W33" i="22" s="1"/>
  <c r="Y33" i="19"/>
  <c r="Y33" i="20" s="1"/>
  <c r="T33" i="19"/>
  <c r="T33" i="20" s="1"/>
  <c r="S33" i="19"/>
  <c r="U33" i="19"/>
  <c r="U33" i="20" s="1"/>
  <c r="U33" i="22" s="1"/>
  <c r="V73" i="19"/>
  <c r="V73" i="20" s="1"/>
  <c r="V73" i="22" s="1"/>
  <c r="W73" i="19"/>
  <c r="W73" i="20" s="1"/>
  <c r="W73" i="22" s="1"/>
  <c r="X73" i="19"/>
  <c r="X73" i="20" s="1"/>
  <c r="X73" i="22" s="1"/>
  <c r="Y73" i="19"/>
  <c r="Y73" i="20" s="1"/>
  <c r="U73" i="21" s="1"/>
  <c r="S73" i="19"/>
  <c r="T73" i="19"/>
  <c r="T73" i="20" s="1"/>
  <c r="T73" i="22" s="1"/>
  <c r="U73" i="19"/>
  <c r="U73" i="20" s="1"/>
  <c r="U73" i="22" s="1"/>
  <c r="T85" i="19"/>
  <c r="T85" i="20" s="1"/>
  <c r="T85" i="22" s="1"/>
  <c r="W85" i="19"/>
  <c r="W85" i="20" s="1"/>
  <c r="S85" i="21" s="1"/>
  <c r="S85" i="19"/>
  <c r="U85" i="19"/>
  <c r="U85" i="20" s="1"/>
  <c r="U85" i="22" s="1"/>
  <c r="V85" i="19"/>
  <c r="V85" i="20" s="1"/>
  <c r="V85" i="22" s="1"/>
  <c r="X85" i="19"/>
  <c r="X85" i="20" s="1"/>
  <c r="T85" i="21" s="1"/>
  <c r="Y85" i="19"/>
  <c r="Y85" i="20" s="1"/>
  <c r="U85" i="21" s="1"/>
  <c r="T55" i="19"/>
  <c r="T55" i="20" s="1"/>
  <c r="S55" i="19"/>
  <c r="V55" i="19"/>
  <c r="V55" i="20" s="1"/>
  <c r="W55" i="19"/>
  <c r="W55" i="20" s="1"/>
  <c r="U55" i="19"/>
  <c r="U55" i="20" s="1"/>
  <c r="X55" i="19"/>
  <c r="X55" i="20" s="1"/>
  <c r="Y55" i="19"/>
  <c r="Y55" i="20" s="1"/>
  <c r="U94" i="19"/>
  <c r="U94" i="20" s="1"/>
  <c r="U94" i="22" s="1"/>
  <c r="V94" i="19"/>
  <c r="V94" i="20" s="1"/>
  <c r="R94" i="21" s="1"/>
  <c r="W94" i="19"/>
  <c r="W94" i="20" s="1"/>
  <c r="S94" i="21" s="1"/>
  <c r="Y94" i="19"/>
  <c r="Y94" i="20" s="1"/>
  <c r="U94" i="21" s="1"/>
  <c r="T94" i="19"/>
  <c r="T94" i="20" s="1"/>
  <c r="T94" i="22" s="1"/>
  <c r="S94" i="19"/>
  <c r="X94" i="19"/>
  <c r="X94" i="20" s="1"/>
  <c r="T94" i="21" s="1"/>
  <c r="S66" i="19"/>
  <c r="T66" i="19"/>
  <c r="T66" i="20" s="1"/>
  <c r="T66" i="22" s="1"/>
  <c r="U66" i="19"/>
  <c r="U66" i="20" s="1"/>
  <c r="U66" i="22" s="1"/>
  <c r="V66" i="19"/>
  <c r="V66" i="20" s="1"/>
  <c r="V66" i="22" s="1"/>
  <c r="Y66" i="19"/>
  <c r="Y66" i="20" s="1"/>
  <c r="Y66" i="22" s="1"/>
  <c r="X66" i="19"/>
  <c r="X66" i="20" s="1"/>
  <c r="X66" i="22" s="1"/>
  <c r="W66" i="19"/>
  <c r="W66" i="20" s="1"/>
  <c r="W66" i="22" s="1"/>
  <c r="U74" i="19"/>
  <c r="U74" i="20" s="1"/>
  <c r="U74" i="22" s="1"/>
  <c r="V74" i="19"/>
  <c r="V74" i="20" s="1"/>
  <c r="V74" i="22" s="1"/>
  <c r="W74" i="19"/>
  <c r="W74" i="20" s="1"/>
  <c r="W74" i="22" s="1"/>
  <c r="Y74" i="19"/>
  <c r="Y74" i="20" s="1"/>
  <c r="U74" i="21" s="1"/>
  <c r="X74" i="19"/>
  <c r="X74" i="20" s="1"/>
  <c r="X74" i="22" s="1"/>
  <c r="S74" i="19"/>
  <c r="T74" i="19"/>
  <c r="T74" i="20" s="1"/>
  <c r="T74" i="22" s="1"/>
  <c r="T50" i="19"/>
  <c r="T50" i="20" s="1"/>
  <c r="W50" i="19"/>
  <c r="W50" i="20" s="1"/>
  <c r="Y50" i="19"/>
  <c r="Y50" i="20" s="1"/>
  <c r="S50" i="19"/>
  <c r="U50" i="19"/>
  <c r="U50" i="20" s="1"/>
  <c r="V50" i="19"/>
  <c r="V50" i="20" s="1"/>
  <c r="X50" i="19"/>
  <c r="X50" i="20" s="1"/>
  <c r="S77" i="19"/>
  <c r="U77" i="19"/>
  <c r="U77" i="20" s="1"/>
  <c r="U77" i="22" s="1"/>
  <c r="X77" i="19"/>
  <c r="X77" i="20" s="1"/>
  <c r="X77" i="22" s="1"/>
  <c r="W77" i="19"/>
  <c r="W77" i="20" s="1"/>
  <c r="W77" i="22" s="1"/>
  <c r="T77" i="19"/>
  <c r="T77" i="20" s="1"/>
  <c r="T77" i="22" s="1"/>
  <c r="V77" i="19"/>
  <c r="V77" i="20" s="1"/>
  <c r="V77" i="22" s="1"/>
  <c r="Y77" i="19"/>
  <c r="Y77" i="20" s="1"/>
  <c r="U77" i="21" s="1"/>
  <c r="T71" i="19"/>
  <c r="T71" i="20" s="1"/>
  <c r="T71" i="22" s="1"/>
  <c r="S71" i="19"/>
  <c r="U71" i="19"/>
  <c r="U71" i="20" s="1"/>
  <c r="U71" i="22" s="1"/>
  <c r="V71" i="19"/>
  <c r="V71" i="20" s="1"/>
  <c r="V71" i="22" s="1"/>
  <c r="Y71" i="19"/>
  <c r="Y71" i="20" s="1"/>
  <c r="U71" i="21" s="1"/>
  <c r="W71" i="19"/>
  <c r="W71" i="20" s="1"/>
  <c r="W71" i="22" s="1"/>
  <c r="X71" i="19"/>
  <c r="X71" i="20" s="1"/>
  <c r="X71" i="22" s="1"/>
  <c r="T90" i="19"/>
  <c r="T90" i="20" s="1"/>
  <c r="T90" i="22" s="1"/>
  <c r="Y90" i="19"/>
  <c r="Y90" i="20" s="1"/>
  <c r="U90" i="21" s="1"/>
  <c r="W90" i="19"/>
  <c r="W90" i="20" s="1"/>
  <c r="S90" i="21" s="1"/>
  <c r="S90" i="19"/>
  <c r="X90" i="19"/>
  <c r="X90" i="20" s="1"/>
  <c r="T90" i="21" s="1"/>
  <c r="U90" i="19"/>
  <c r="U90" i="20" s="1"/>
  <c r="U90" i="22" s="1"/>
  <c r="V90" i="19"/>
  <c r="V90" i="20" s="1"/>
  <c r="V90" i="22" s="1"/>
  <c r="U7" i="19"/>
  <c r="U7" i="20" s="1"/>
  <c r="S7" i="19"/>
  <c r="T7" i="19"/>
  <c r="T7" i="20" s="1"/>
  <c r="P7" i="21" s="1"/>
  <c r="W7" i="19"/>
  <c r="W7" i="20" s="1"/>
  <c r="X7" i="19"/>
  <c r="X7" i="20" s="1"/>
  <c r="T7" i="21" s="1"/>
  <c r="Y7" i="19"/>
  <c r="Y7" i="20" s="1"/>
  <c r="V7" i="19"/>
  <c r="V7" i="20" s="1"/>
  <c r="T30" i="19"/>
  <c r="T30" i="20" s="1"/>
  <c r="Y30" i="19"/>
  <c r="Y30" i="20" s="1"/>
  <c r="S30" i="19"/>
  <c r="X30" i="19"/>
  <c r="X30" i="20" s="1"/>
  <c r="W30" i="19"/>
  <c r="W30" i="20" s="1"/>
  <c r="U30" i="19"/>
  <c r="U30" i="20" s="1"/>
  <c r="V30" i="19"/>
  <c r="V30" i="20" s="1"/>
  <c r="S87" i="19"/>
  <c r="U87" i="19"/>
  <c r="U87" i="20" s="1"/>
  <c r="U87" i="22" s="1"/>
  <c r="X87" i="19"/>
  <c r="X87" i="20" s="1"/>
  <c r="T87" i="21" s="1"/>
  <c r="Y87" i="19"/>
  <c r="Y87" i="20" s="1"/>
  <c r="U87" i="21" s="1"/>
  <c r="W87" i="19"/>
  <c r="W87" i="20" s="1"/>
  <c r="S87" i="21" s="1"/>
  <c r="T87" i="19"/>
  <c r="T87" i="20" s="1"/>
  <c r="T87" i="22" s="1"/>
  <c r="V87" i="19"/>
  <c r="V87" i="20" s="1"/>
  <c r="V87" i="22" s="1"/>
  <c r="S96" i="19"/>
  <c r="T96" i="19"/>
  <c r="T96" i="20" s="1"/>
  <c r="T96" i="22" s="1"/>
  <c r="U96" i="19"/>
  <c r="U96" i="20" s="1"/>
  <c r="U96" i="22" s="1"/>
  <c r="V96" i="19"/>
  <c r="V96" i="20" s="1"/>
  <c r="R96" i="21" s="1"/>
  <c r="Y96" i="19"/>
  <c r="Y96" i="20" s="1"/>
  <c r="U96" i="21" s="1"/>
  <c r="X96" i="19"/>
  <c r="X96" i="20" s="1"/>
  <c r="T96" i="21" s="1"/>
  <c r="W96" i="19"/>
  <c r="W96" i="20" s="1"/>
  <c r="S96" i="21" s="1"/>
  <c r="S82" i="19"/>
  <c r="U82" i="19"/>
  <c r="U82" i="20" s="1"/>
  <c r="U82" i="22" s="1"/>
  <c r="X82" i="19"/>
  <c r="X82" i="20" s="1"/>
  <c r="T82" i="21" s="1"/>
  <c r="Y82" i="19"/>
  <c r="Y82" i="20" s="1"/>
  <c r="U82" i="21" s="1"/>
  <c r="T82" i="19"/>
  <c r="T82" i="20" s="1"/>
  <c r="T82" i="22" s="1"/>
  <c r="V82" i="19"/>
  <c r="V82" i="20" s="1"/>
  <c r="V82" i="22" s="1"/>
  <c r="W82" i="19"/>
  <c r="W82" i="20" s="1"/>
  <c r="S82" i="21" s="1"/>
  <c r="V51" i="19"/>
  <c r="V51" i="20" s="1"/>
  <c r="S51" i="19"/>
  <c r="T51" i="19"/>
  <c r="T51" i="20" s="1"/>
  <c r="U51" i="19"/>
  <c r="U51" i="20" s="1"/>
  <c r="Y51" i="19"/>
  <c r="Y51" i="20" s="1"/>
  <c r="W51" i="19"/>
  <c r="W51" i="20" s="1"/>
  <c r="X51" i="19"/>
  <c r="X51" i="20" s="1"/>
  <c r="V93" i="19"/>
  <c r="V93" i="20" s="1"/>
  <c r="R93" i="21" s="1"/>
  <c r="X93" i="19"/>
  <c r="X93" i="20" s="1"/>
  <c r="T93" i="21" s="1"/>
  <c r="Y93" i="19"/>
  <c r="Y93" i="20" s="1"/>
  <c r="U93" i="21" s="1"/>
  <c r="W93" i="19"/>
  <c r="W93" i="20" s="1"/>
  <c r="S93" i="21" s="1"/>
  <c r="S93" i="19"/>
  <c r="T93" i="19"/>
  <c r="T93" i="20" s="1"/>
  <c r="T93" i="22" s="1"/>
  <c r="U93" i="19"/>
  <c r="U93" i="20" s="1"/>
  <c r="U93" i="22" s="1"/>
  <c r="U84" i="19"/>
  <c r="U84" i="20" s="1"/>
  <c r="U84" i="22" s="1"/>
  <c r="V84" i="19"/>
  <c r="V84" i="20" s="1"/>
  <c r="V84" i="22" s="1"/>
  <c r="W84" i="19"/>
  <c r="W84" i="20" s="1"/>
  <c r="S84" i="21" s="1"/>
  <c r="Y84" i="19"/>
  <c r="Y84" i="20" s="1"/>
  <c r="U84" i="21" s="1"/>
  <c r="S84" i="19"/>
  <c r="X84" i="19"/>
  <c r="X84" i="20" s="1"/>
  <c r="T84" i="21" s="1"/>
  <c r="T84" i="19"/>
  <c r="T84" i="20" s="1"/>
  <c r="T84" i="22" s="1"/>
  <c r="T101" i="19"/>
  <c r="T101" i="20" s="1"/>
  <c r="U101" i="19"/>
  <c r="U101" i="20" s="1"/>
  <c r="Q101" i="21" s="1"/>
  <c r="S101" i="19"/>
  <c r="V101" i="19"/>
  <c r="V101" i="20" s="1"/>
  <c r="R101" i="21" s="1"/>
  <c r="Y101" i="19"/>
  <c r="Y101" i="20" s="1"/>
  <c r="U101" i="21" s="1"/>
  <c r="W101" i="19"/>
  <c r="W101" i="20" s="1"/>
  <c r="S101" i="21" s="1"/>
  <c r="X101" i="19"/>
  <c r="X101" i="20" s="1"/>
  <c r="T101" i="21" s="1"/>
  <c r="S14" i="19"/>
  <c r="T14" i="19"/>
  <c r="T14" i="20" s="1"/>
  <c r="U14" i="19"/>
  <c r="U14" i="20" s="1"/>
  <c r="V14" i="19"/>
  <c r="V14" i="20" s="1"/>
  <c r="X14" i="19"/>
  <c r="X14" i="20" s="1"/>
  <c r="Y14" i="19"/>
  <c r="Y14" i="20" s="1"/>
  <c r="W14" i="19"/>
  <c r="W14" i="20" s="1"/>
  <c r="U99" i="19"/>
  <c r="U99" i="20" s="1"/>
  <c r="Q99" i="21" s="1"/>
  <c r="V99" i="19"/>
  <c r="V99" i="20" s="1"/>
  <c r="R99" i="21" s="1"/>
  <c r="W99" i="19"/>
  <c r="W99" i="20" s="1"/>
  <c r="S99" i="21" s="1"/>
  <c r="Y99" i="19"/>
  <c r="Y99" i="20" s="1"/>
  <c r="U99" i="21" s="1"/>
  <c r="X99" i="19"/>
  <c r="X99" i="20" s="1"/>
  <c r="T99" i="21" s="1"/>
  <c r="T99" i="19"/>
  <c r="T99" i="20" s="1"/>
  <c r="S99" i="19"/>
  <c r="U79" i="19"/>
  <c r="U79" i="20" s="1"/>
  <c r="U79" i="22" s="1"/>
  <c r="V79" i="19"/>
  <c r="V79" i="20" s="1"/>
  <c r="V79" i="22" s="1"/>
  <c r="W79" i="19"/>
  <c r="W79" i="20" s="1"/>
  <c r="W79" i="22" s="1"/>
  <c r="Y79" i="19"/>
  <c r="Y79" i="20" s="1"/>
  <c r="U79" i="21" s="1"/>
  <c r="T79" i="19"/>
  <c r="T79" i="20" s="1"/>
  <c r="T79" i="22" s="1"/>
  <c r="X79" i="19"/>
  <c r="X79" i="20" s="1"/>
  <c r="T79" i="21" s="1"/>
  <c r="S79" i="19"/>
  <c r="T65" i="19"/>
  <c r="T65" i="20" s="1"/>
  <c r="W65" i="19"/>
  <c r="W65" i="20" s="1"/>
  <c r="X65" i="19"/>
  <c r="X65" i="20" s="1"/>
  <c r="Y65" i="19"/>
  <c r="Y65" i="20" s="1"/>
  <c r="U65" i="19"/>
  <c r="U65" i="20" s="1"/>
  <c r="S65" i="19"/>
  <c r="V65" i="19"/>
  <c r="V65" i="20" s="1"/>
  <c r="V98" i="19"/>
  <c r="V98" i="20" s="1"/>
  <c r="R98" i="21" s="1"/>
  <c r="W98" i="19"/>
  <c r="W98" i="20" s="1"/>
  <c r="S98" i="21" s="1"/>
  <c r="X98" i="19"/>
  <c r="X98" i="20" s="1"/>
  <c r="T98" i="21" s="1"/>
  <c r="Y98" i="19"/>
  <c r="Y98" i="20" s="1"/>
  <c r="U98" i="21" s="1"/>
  <c r="U98" i="19"/>
  <c r="U98" i="20" s="1"/>
  <c r="Q98" i="21" s="1"/>
  <c r="S98" i="19"/>
  <c r="T98" i="19"/>
  <c r="T98" i="20" s="1"/>
  <c r="S76" i="19"/>
  <c r="T76" i="19"/>
  <c r="T76" i="20" s="1"/>
  <c r="T76" i="22" s="1"/>
  <c r="U76" i="19"/>
  <c r="U76" i="20" s="1"/>
  <c r="U76" i="22" s="1"/>
  <c r="V76" i="19"/>
  <c r="V76" i="20" s="1"/>
  <c r="V76" i="22" s="1"/>
  <c r="Y76" i="19"/>
  <c r="Y76" i="20" s="1"/>
  <c r="U76" i="21" s="1"/>
  <c r="W76" i="19"/>
  <c r="W76" i="20" s="1"/>
  <c r="W76" i="22" s="1"/>
  <c r="X76" i="19"/>
  <c r="X76" i="20" s="1"/>
  <c r="X76" i="22" s="1"/>
  <c r="S61" i="19"/>
  <c r="T61" i="19"/>
  <c r="T61" i="20" s="1"/>
  <c r="V61" i="19"/>
  <c r="V61" i="20" s="1"/>
  <c r="U61" i="19"/>
  <c r="U61" i="20" s="1"/>
  <c r="Y61" i="19"/>
  <c r="Y61" i="20" s="1"/>
  <c r="X61" i="19"/>
  <c r="X61" i="20" s="1"/>
  <c r="W61" i="19"/>
  <c r="W61" i="20" s="1"/>
  <c r="V68" i="19"/>
  <c r="V68" i="20" s="1"/>
  <c r="V68" i="22" s="1"/>
  <c r="W68" i="19"/>
  <c r="W68" i="20" s="1"/>
  <c r="W68" i="22" s="1"/>
  <c r="X68" i="19"/>
  <c r="X68" i="20" s="1"/>
  <c r="X68" i="22" s="1"/>
  <c r="Y68" i="19"/>
  <c r="Y68" i="20" s="1"/>
  <c r="U68" i="19"/>
  <c r="U68" i="20" s="1"/>
  <c r="U68" i="22" s="1"/>
  <c r="S68" i="19"/>
  <c r="T68" i="19"/>
  <c r="T68" i="20" s="1"/>
  <c r="T68" i="22" s="1"/>
  <c r="P4" i="20"/>
  <c r="P18" i="20" s="1"/>
  <c r="L18" i="21" s="1"/>
  <c r="H86" i="2"/>
  <c r="R16" i="21"/>
  <c r="R18" i="21"/>
  <c r="Y42" i="20"/>
  <c r="Y42" i="22" s="1"/>
  <c r="V25" i="22"/>
  <c r="K41" i="15"/>
  <c r="H41" i="15"/>
  <c r="K59" i="15"/>
  <c r="H59" i="15"/>
  <c r="K39" i="15"/>
  <c r="H39" i="15"/>
  <c r="K43" i="15"/>
  <c r="H43" i="15"/>
  <c r="K49" i="15"/>
  <c r="H49" i="15"/>
  <c r="H96" i="15"/>
  <c r="K47" i="15"/>
  <c r="H47" i="15"/>
  <c r="K63" i="15"/>
  <c r="H63" i="15"/>
  <c r="K52" i="15"/>
  <c r="H52" i="15"/>
  <c r="K61" i="15"/>
  <c r="H61" i="15"/>
  <c r="K50" i="15"/>
  <c r="H50" i="15"/>
  <c r="K51" i="15"/>
  <c r="H51" i="15"/>
  <c r="K69" i="15"/>
  <c r="H69" i="15"/>
  <c r="K67" i="15"/>
  <c r="H67" i="15"/>
  <c r="K53" i="15"/>
  <c r="H53" i="15"/>
  <c r="K57" i="15"/>
  <c r="H57" i="15"/>
  <c r="K45" i="15"/>
  <c r="H45" i="15"/>
  <c r="K22" i="15"/>
  <c r="H22" i="15"/>
  <c r="K13" i="15"/>
  <c r="H13" i="15"/>
  <c r="K23" i="15"/>
  <c r="H23" i="15"/>
  <c r="K15" i="15"/>
  <c r="H15" i="15"/>
  <c r="K30" i="15"/>
  <c r="H30" i="15"/>
  <c r="K14" i="15"/>
  <c r="H14" i="15"/>
  <c r="K21" i="15"/>
  <c r="H21" i="15"/>
  <c r="K28" i="15"/>
  <c r="H28" i="15"/>
  <c r="K33" i="15"/>
  <c r="H33" i="15"/>
  <c r="K20" i="15"/>
  <c r="H20" i="15"/>
  <c r="K25" i="15"/>
  <c r="H25" i="15"/>
  <c r="V22" i="22"/>
  <c r="R15" i="21"/>
  <c r="K17" i="15"/>
  <c r="H17" i="15"/>
  <c r="K24" i="15"/>
  <c r="H24" i="15"/>
  <c r="K27" i="15"/>
  <c r="H27" i="15"/>
  <c r="K13" i="12"/>
  <c r="H13" i="12"/>
  <c r="K14" i="12"/>
  <c r="H14" i="12"/>
  <c r="K32" i="12"/>
  <c r="H32" i="12"/>
  <c r="K12" i="12"/>
  <c r="H12" i="12"/>
  <c r="K26" i="12"/>
  <c r="H26" i="12"/>
  <c r="K18" i="12"/>
  <c r="H18" i="12"/>
  <c r="K25" i="12"/>
  <c r="H25" i="12"/>
  <c r="K28" i="12"/>
  <c r="H28" i="12"/>
  <c r="K19" i="12"/>
  <c r="H19" i="12"/>
  <c r="K22" i="12"/>
  <c r="H22" i="12"/>
  <c r="K21" i="12"/>
  <c r="H21" i="12"/>
  <c r="K16" i="12"/>
  <c r="H16" i="12"/>
  <c r="K30" i="12"/>
  <c r="H30" i="12"/>
  <c r="K20" i="12"/>
  <c r="H20" i="12"/>
  <c r="K15" i="12"/>
  <c r="H15" i="12"/>
  <c r="V34" i="22"/>
  <c r="R34" i="21"/>
  <c r="D78" i="15"/>
  <c r="H78" i="15" s="1"/>
  <c r="D94" i="15"/>
  <c r="H94" i="15" s="1"/>
  <c r="D66" i="15"/>
  <c r="D89" i="15"/>
  <c r="H89" i="15" s="1"/>
  <c r="D38" i="15"/>
  <c r="H38" i="15" s="1"/>
  <c r="D48" i="15"/>
  <c r="D81" i="15"/>
  <c r="H81" i="15" s="1"/>
  <c r="D62" i="15"/>
  <c r="H62" i="15" s="1"/>
  <c r="D82" i="15"/>
  <c r="H82" i="15" s="1"/>
  <c r="D99" i="15"/>
  <c r="H99" i="15" s="1"/>
  <c r="D73" i="15"/>
  <c r="H73" i="15" s="1"/>
  <c r="D95" i="15"/>
  <c r="D60" i="15"/>
  <c r="D87" i="15"/>
  <c r="H87" i="15" s="1"/>
  <c r="D29" i="15"/>
  <c r="H29" i="15" s="1"/>
  <c r="D70" i="15"/>
  <c r="H70" i="15" s="1"/>
  <c r="D86" i="15"/>
  <c r="H86" i="15" s="1"/>
  <c r="D103" i="15"/>
  <c r="H103" i="15" s="1"/>
  <c r="D35" i="15"/>
  <c r="H35" i="15" s="1"/>
  <c r="D79" i="15"/>
  <c r="H79" i="15" s="1"/>
  <c r="D101" i="15"/>
  <c r="H101" i="15" s="1"/>
  <c r="D19" i="15"/>
  <c r="H19" i="15" s="1"/>
  <c r="D71" i="15"/>
  <c r="D92" i="15"/>
  <c r="H92" i="15" s="1"/>
  <c r="D44" i="15"/>
  <c r="H44" i="15" s="1"/>
  <c r="D74" i="15"/>
  <c r="H74" i="15" s="1"/>
  <c r="D90" i="15"/>
  <c r="H90" i="15" s="1"/>
  <c r="D56" i="15"/>
  <c r="H56" i="15" s="1"/>
  <c r="D84" i="15"/>
  <c r="H84" i="15" s="1"/>
  <c r="D106" i="15"/>
  <c r="H106" i="15" s="1"/>
  <c r="D36" i="15"/>
  <c r="H36" i="15" s="1"/>
  <c r="D76" i="15"/>
  <c r="H76" i="15" s="1"/>
  <c r="D98" i="15"/>
  <c r="V12" i="22"/>
  <c r="R9" i="21"/>
  <c r="D104" i="15"/>
  <c r="H104" i="15" s="1"/>
  <c r="H26" i="2"/>
  <c r="H30" i="2"/>
  <c r="H28" i="2"/>
  <c r="H31" i="2"/>
  <c r="H25" i="2"/>
  <c r="H52" i="2"/>
  <c r="H74" i="2"/>
  <c r="H77" i="2"/>
  <c r="H41" i="2"/>
  <c r="H51" i="2"/>
  <c r="H64" i="2"/>
  <c r="H82" i="2"/>
  <c r="H45" i="2"/>
  <c r="H56" i="2"/>
  <c r="H85" i="2"/>
  <c r="H73" i="2"/>
  <c r="H68" i="2"/>
  <c r="H39" i="2"/>
  <c r="H94" i="2"/>
  <c r="H78" i="2"/>
  <c r="H55" i="2"/>
  <c r="H72" i="2"/>
  <c r="H95" i="2"/>
  <c r="H23" i="2"/>
  <c r="H29" i="2"/>
  <c r="H20" i="2"/>
  <c r="H27" i="2"/>
  <c r="H17" i="2"/>
  <c r="H91" i="2"/>
  <c r="H93" i="2"/>
  <c r="H38" i="2"/>
  <c r="H81" i="2"/>
  <c r="H43" i="2"/>
  <c r="H97" i="2"/>
  <c r="H57" i="2"/>
  <c r="H79" i="2"/>
  <c r="H34" i="2"/>
  <c r="H54" i="2"/>
  <c r="H89" i="2"/>
  <c r="H60" i="2"/>
  <c r="H58" i="2"/>
  <c r="H67" i="2"/>
  <c r="H99" i="2"/>
  <c r="H92" i="2"/>
  <c r="H71" i="2"/>
  <c r="H13" i="2"/>
  <c r="H19" i="2"/>
  <c r="H21" i="2"/>
  <c r="H14" i="2"/>
  <c r="H22" i="2"/>
  <c r="H24" i="2"/>
  <c r="H48" i="2"/>
  <c r="H75" i="2"/>
  <c r="H69" i="2"/>
  <c r="H100" i="2"/>
  <c r="H53" i="2"/>
  <c r="H49" i="2"/>
  <c r="H50" i="2"/>
  <c r="H35" i="2"/>
  <c r="H88" i="2"/>
  <c r="H66" i="2"/>
  <c r="H65" i="2"/>
  <c r="H33" i="2"/>
  <c r="H101" i="2"/>
  <c r="H63" i="2"/>
  <c r="H84" i="2"/>
  <c r="H36" i="2"/>
  <c r="H12" i="2"/>
  <c r="H15" i="2"/>
  <c r="H32" i="2"/>
  <c r="H10" i="2"/>
  <c r="H18" i="2"/>
  <c r="H16" i="2"/>
  <c r="H98" i="2"/>
  <c r="H44" i="2"/>
  <c r="H62" i="2"/>
  <c r="H76" i="2"/>
  <c r="H46" i="2"/>
  <c r="H83" i="2"/>
  <c r="H80" i="2"/>
  <c r="H37" i="2"/>
  <c r="H96" i="2"/>
  <c r="H90" i="2"/>
  <c r="H47" i="2"/>
  <c r="H87" i="2"/>
  <c r="H70" i="2"/>
  <c r="H40" i="2"/>
  <c r="H42" i="2"/>
  <c r="H11" i="2"/>
  <c r="H59" i="2"/>
  <c r="H61" i="2"/>
  <c r="Y36" i="20"/>
  <c r="U36" i="21" s="1"/>
  <c r="Y23" i="20"/>
  <c r="Y23" i="22" s="1"/>
  <c r="Y8" i="20"/>
  <c r="Y8" i="22" s="1"/>
  <c r="Y67" i="20"/>
  <c r="Y67" i="22" s="1"/>
  <c r="Y78" i="20"/>
  <c r="U78" i="21" s="1"/>
  <c r="Y75" i="20"/>
  <c r="U75" i="21" s="1"/>
  <c r="Y56" i="20"/>
  <c r="U56" i="21" s="1"/>
  <c r="Y100" i="20"/>
  <c r="U100" i="21" s="1"/>
  <c r="Y27" i="20"/>
  <c r="Y27" i="22" s="1"/>
  <c r="Y19" i="20"/>
  <c r="U19" i="21" s="1"/>
  <c r="Y53" i="20"/>
  <c r="Y53" i="22" s="1"/>
  <c r="Y80" i="20"/>
  <c r="U80" i="21" s="1"/>
  <c r="Y37" i="20"/>
  <c r="U37" i="21" s="1"/>
  <c r="Y44" i="20"/>
  <c r="U44" i="21" s="1"/>
  <c r="Y12" i="20"/>
  <c r="Y12" i="22" s="1"/>
  <c r="Y29" i="20"/>
  <c r="Y29" i="22" s="1"/>
  <c r="Y70" i="20"/>
  <c r="U70" i="21" s="1"/>
  <c r="Y32" i="20"/>
  <c r="Y32" i="22" s="1"/>
  <c r="E8" i="20"/>
  <c r="E8" i="22" s="1"/>
  <c r="E9" i="20"/>
  <c r="E9" i="22" s="1"/>
  <c r="E6" i="20"/>
  <c r="E6" i="22" s="1"/>
  <c r="E7" i="20"/>
  <c r="U9" i="20"/>
  <c r="Q9" i="21" s="1"/>
  <c r="Y16" i="20"/>
  <c r="U16" i="21" s="1"/>
  <c r="Y25" i="20"/>
  <c r="U25" i="21" s="1"/>
  <c r="Y26" i="20"/>
  <c r="U26" i="21" s="1"/>
  <c r="Y18" i="20"/>
  <c r="U18" i="21" s="1"/>
  <c r="R28" i="21"/>
  <c r="R10" i="21"/>
  <c r="R17" i="21"/>
  <c r="V21" i="22"/>
  <c r="R13" i="21"/>
  <c r="R26" i="21"/>
  <c r="R20" i="21"/>
  <c r="L4" i="21"/>
  <c r="L5" i="21" s="1"/>
  <c r="U25" i="20"/>
  <c r="U25" i="22" s="1"/>
  <c r="D94" i="17"/>
  <c r="D62" i="17"/>
  <c r="D21" i="17"/>
  <c r="D61" i="17"/>
  <c r="F61" i="17" s="1"/>
  <c r="D11" i="17"/>
  <c r="D15" i="17"/>
  <c r="U95" i="20"/>
  <c r="U95" i="22" s="1"/>
  <c r="D88" i="17"/>
  <c r="D40" i="17"/>
  <c r="E26" i="20"/>
  <c r="E26" i="22" s="1"/>
  <c r="E17" i="20"/>
  <c r="B17" i="21" s="1"/>
  <c r="E20" i="20"/>
  <c r="E20" i="22" s="1"/>
  <c r="E19" i="20"/>
  <c r="B19" i="21" s="1"/>
  <c r="E47" i="20"/>
  <c r="B47" i="21" s="1"/>
  <c r="E43" i="20"/>
  <c r="B43" i="21" s="1"/>
  <c r="E69" i="20"/>
  <c r="E69" i="22" s="1"/>
  <c r="E79" i="20"/>
  <c r="E79" i="22" s="1"/>
  <c r="E46" i="20"/>
  <c r="B46" i="21" s="1"/>
  <c r="E48" i="20"/>
  <c r="E48" i="22" s="1"/>
  <c r="E59" i="20"/>
  <c r="E59" i="22" s="1"/>
  <c r="E44" i="20"/>
  <c r="E44" i="22" s="1"/>
  <c r="E77" i="20"/>
  <c r="E77" i="22" s="1"/>
  <c r="E45" i="20"/>
  <c r="E45" i="22" s="1"/>
  <c r="E40" i="20"/>
  <c r="B40" i="21" s="1"/>
  <c r="E56" i="20"/>
  <c r="E56" i="22" s="1"/>
  <c r="E87" i="20"/>
  <c r="B87" i="21" s="1"/>
  <c r="E101" i="20"/>
  <c r="E101" i="22" s="1"/>
  <c r="V6" i="22"/>
  <c r="E25" i="20"/>
  <c r="E25" i="22" s="1"/>
  <c r="E70" i="20"/>
  <c r="B70" i="21" s="1"/>
  <c r="E64" i="20"/>
  <c r="E64" i="22" s="1"/>
  <c r="E76" i="20"/>
  <c r="B76" i="21" s="1"/>
  <c r="E32" i="20"/>
  <c r="B32" i="21" s="1"/>
  <c r="E91" i="20"/>
  <c r="E91" i="22" s="1"/>
  <c r="E85" i="20"/>
  <c r="E85" i="22" s="1"/>
  <c r="E42" i="20"/>
  <c r="B42" i="21" s="1"/>
  <c r="E82" i="20"/>
  <c r="E82" i="22" s="1"/>
  <c r="E65" i="20"/>
  <c r="E65" i="22" s="1"/>
  <c r="E35" i="20"/>
  <c r="E35" i="22" s="1"/>
  <c r="E50" i="20"/>
  <c r="B50" i="21" s="1"/>
  <c r="E16" i="20"/>
  <c r="B16" i="21" s="1"/>
  <c r="E94" i="20"/>
  <c r="E94" i="22" s="1"/>
  <c r="E72" i="20"/>
  <c r="E72" i="22" s="1"/>
  <c r="E52" i="20"/>
  <c r="B52" i="21" s="1"/>
  <c r="E71" i="20"/>
  <c r="E71" i="22" s="1"/>
  <c r="E74" i="20"/>
  <c r="E74" i="22" s="1"/>
  <c r="E29" i="20"/>
  <c r="E29" i="22" s="1"/>
  <c r="E49" i="20"/>
  <c r="B49" i="21" s="1"/>
  <c r="E84" i="20"/>
  <c r="E84" i="22" s="1"/>
  <c r="E55" i="20"/>
  <c r="B55" i="21" s="1"/>
  <c r="E53" i="20"/>
  <c r="E53" i="22" s="1"/>
  <c r="E62" i="20"/>
  <c r="E62" i="22" s="1"/>
  <c r="E37" i="20"/>
  <c r="B37" i="21" s="1"/>
  <c r="E67" i="20"/>
  <c r="E67" i="22" s="1"/>
  <c r="E14" i="20"/>
  <c r="B14" i="21" s="1"/>
  <c r="E5" i="20"/>
  <c r="E22" i="20"/>
  <c r="E22" i="22" s="1"/>
  <c r="E13" i="20"/>
  <c r="B13" i="21" s="1"/>
  <c r="E12" i="20"/>
  <c r="E12" i="22" s="1"/>
  <c r="E11" i="20"/>
  <c r="B11" i="21" s="1"/>
  <c r="E86" i="20"/>
  <c r="E86" i="22" s="1"/>
  <c r="E93" i="20"/>
  <c r="B93" i="21" s="1"/>
  <c r="E98" i="20"/>
  <c r="E98" i="22" s="1"/>
  <c r="E97" i="20"/>
  <c r="E97" i="22" s="1"/>
  <c r="E41" i="20"/>
  <c r="E41" i="22" s="1"/>
  <c r="E38" i="20"/>
  <c r="B38" i="21" s="1"/>
  <c r="E78" i="20"/>
  <c r="B78" i="21" s="1"/>
  <c r="E92" i="20"/>
  <c r="B92" i="21" s="1"/>
  <c r="E75" i="20"/>
  <c r="E75" i="22" s="1"/>
  <c r="E54" i="20"/>
  <c r="E54" i="22" s="1"/>
  <c r="E81" i="20"/>
  <c r="E81" i="22" s="1"/>
  <c r="E21" i="20"/>
  <c r="B21" i="21" s="1"/>
  <c r="E23" i="20"/>
  <c r="E23" i="22" s="1"/>
  <c r="E31" i="20"/>
  <c r="E31" i="22" s="1"/>
  <c r="E18" i="20"/>
  <c r="E18" i="22" s="1"/>
  <c r="E10" i="20"/>
  <c r="E10" i="22" s="1"/>
  <c r="E24" i="20"/>
  <c r="E24" i="22" s="1"/>
  <c r="E27" i="20"/>
  <c r="E27" i="22" s="1"/>
  <c r="E15" i="20"/>
  <c r="E15" i="22" s="1"/>
  <c r="E88" i="20"/>
  <c r="E88" i="22" s="1"/>
  <c r="E39" i="20"/>
  <c r="E39" i="22" s="1"/>
  <c r="E33" i="20"/>
  <c r="E33" i="22" s="1"/>
  <c r="E57" i="20"/>
  <c r="E57" i="22" s="1"/>
  <c r="E36" i="20"/>
  <c r="E36" i="22" s="1"/>
  <c r="E95" i="20"/>
  <c r="B95" i="21" s="1"/>
  <c r="E30" i="20"/>
  <c r="E30" i="22" s="1"/>
  <c r="E51" i="20"/>
  <c r="E51" i="22" s="1"/>
  <c r="E83" i="20"/>
  <c r="E83" i="22" s="1"/>
  <c r="E80" i="20"/>
  <c r="E80" i="22" s="1"/>
  <c r="E61" i="20"/>
  <c r="E61" i="22" s="1"/>
  <c r="E68" i="20"/>
  <c r="E68" i="22" s="1"/>
  <c r="E60" i="20"/>
  <c r="E60" i="22" s="1"/>
  <c r="E63" i="20"/>
  <c r="E63" i="22" s="1"/>
  <c r="E100" i="20"/>
  <c r="E100" i="22" s="1"/>
  <c r="E34" i="20"/>
  <c r="B34" i="21" s="1"/>
  <c r="E28" i="20"/>
  <c r="E28" i="22" s="1"/>
  <c r="E89" i="20"/>
  <c r="B89" i="21" s="1"/>
  <c r="E96" i="20"/>
  <c r="B96" i="21" s="1"/>
  <c r="E73" i="20"/>
  <c r="E73" i="22" s="1"/>
  <c r="E58" i="20"/>
  <c r="E58" i="22" s="1"/>
  <c r="E66" i="20"/>
  <c r="B66" i="21" s="1"/>
  <c r="E90" i="20"/>
  <c r="E90" i="22" s="1"/>
  <c r="E99" i="20"/>
  <c r="E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Y38" i="20"/>
  <c r="U38" i="21" s="1"/>
  <c r="Y62" i="20"/>
  <c r="Y62" i="22" s="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9" i="1"/>
  <c r="AU29" i="1" s="1"/>
  <c r="AT21" i="1"/>
  <c r="AU21" i="1" s="1"/>
  <c r="C30" i="19"/>
  <c r="C29" i="19"/>
  <c r="C28" i="19"/>
  <c r="C31" i="19"/>
  <c r="D12" i="15"/>
  <c r="H12" i="15" s="1"/>
  <c r="D93" i="17"/>
  <c r="D14" i="17"/>
  <c r="D25" i="17"/>
  <c r="D58" i="17"/>
  <c r="D79" i="17"/>
  <c r="D84" i="17"/>
  <c r="D103" i="17"/>
  <c r="D106" i="17"/>
  <c r="E5" i="17"/>
  <c r="D52" i="17"/>
  <c r="D32" i="17"/>
  <c r="J30" i="20"/>
  <c r="J30" i="22" s="1"/>
  <c r="J67" i="20"/>
  <c r="J67" i="22" s="1"/>
  <c r="U75" i="20"/>
  <c r="U75" i="22" s="1"/>
  <c r="U23" i="20"/>
  <c r="Q23" i="21" s="1"/>
  <c r="U70" i="20"/>
  <c r="U70" i="22" s="1"/>
  <c r="U78" i="20"/>
  <c r="U78" i="22" s="1"/>
  <c r="U18" i="20"/>
  <c r="Q18" i="21" s="1"/>
  <c r="U16" i="20"/>
  <c r="Y13" i="20"/>
  <c r="Y21" i="20"/>
  <c r="Y15" i="20"/>
  <c r="Y47" i="20"/>
  <c r="U47" i="21" s="1"/>
  <c r="U56" i="20"/>
  <c r="Q56" i="21" s="1"/>
  <c r="U47" i="20"/>
  <c r="U47" i="22" s="1"/>
  <c r="Y52" i="20"/>
  <c r="U52" i="21" s="1"/>
  <c r="Y45" i="20"/>
  <c r="U45" i="21" s="1"/>
  <c r="Y35" i="20"/>
  <c r="U35" i="21" s="1"/>
  <c r="Y92" i="20"/>
  <c r="U92" i="21" s="1"/>
  <c r="Y72" i="20"/>
  <c r="U72" i="21" s="1"/>
  <c r="U59" i="20"/>
  <c r="U59" i="22" s="1"/>
  <c r="U67" i="20"/>
  <c r="U67" i="22" s="1"/>
  <c r="U100" i="20"/>
  <c r="Q100" i="21" s="1"/>
  <c r="U12" i="20"/>
  <c r="Q12" i="21" s="1"/>
  <c r="U11" i="20"/>
  <c r="U11" i="22" s="1"/>
  <c r="U34" i="20"/>
  <c r="U34" i="22" s="1"/>
  <c r="U86" i="20"/>
  <c r="U86" i="22" s="1"/>
  <c r="U20" i="20"/>
  <c r="U20" i="22" s="1"/>
  <c r="Y63" i="20"/>
  <c r="U63" i="21" s="1"/>
  <c r="Y22" i="20"/>
  <c r="Y22" i="22" s="1"/>
  <c r="Y64" i="20"/>
  <c r="Y64" i="22" s="1"/>
  <c r="Y60" i="20"/>
  <c r="Y60" i="22" s="1"/>
  <c r="U62" i="20"/>
  <c r="U62" i="22" s="1"/>
  <c r="U54" i="20"/>
  <c r="U54" i="22" s="1"/>
  <c r="Y83" i="20"/>
  <c r="U83" i="21" s="1"/>
  <c r="Y40" i="20"/>
  <c r="U40" i="21" s="1"/>
  <c r="Y95" i="20"/>
  <c r="U95" i="21" s="1"/>
  <c r="U37" i="20"/>
  <c r="Q37" i="21" s="1"/>
  <c r="U17" i="20"/>
  <c r="U26" i="20"/>
  <c r="T41" i="21"/>
  <c r="Y34" i="20"/>
  <c r="Y34" i="22" s="1"/>
  <c r="Y86" i="20"/>
  <c r="U86" i="21" s="1"/>
  <c r="U38" i="20"/>
  <c r="Q38" i="21" s="1"/>
  <c r="Y88" i="20"/>
  <c r="U88" i="21" s="1"/>
  <c r="Y41" i="20"/>
  <c r="Y41" i="22" s="1"/>
  <c r="F31" i="19"/>
  <c r="F69" i="19"/>
  <c r="G47" i="19"/>
  <c r="R92" i="21"/>
  <c r="R59" i="21"/>
  <c r="V54" i="22"/>
  <c r="R52" i="21"/>
  <c r="R72" i="21"/>
  <c r="R83" i="21"/>
  <c r="V62" i="22"/>
  <c r="R40" i="21"/>
  <c r="V45" i="22"/>
  <c r="Y54" i="20"/>
  <c r="Y54" i="22" s="1"/>
  <c r="R35" i="21"/>
  <c r="V60" i="22"/>
  <c r="R47" i="21"/>
  <c r="R49" i="21"/>
  <c r="V32" i="22"/>
  <c r="R41" i="21"/>
  <c r="R67" i="21"/>
  <c r="R78" i="21"/>
  <c r="V78" i="22"/>
  <c r="D55" i="15"/>
  <c r="R64" i="21"/>
  <c r="R86" i="21"/>
  <c r="V38" i="22"/>
  <c r="T75" i="21"/>
  <c r="X75" i="22"/>
  <c r="R75" i="21"/>
  <c r="T100" i="21"/>
  <c r="T54" i="21"/>
  <c r="D64" i="17"/>
  <c r="D33" i="17"/>
  <c r="F33" i="17" s="1"/>
  <c r="D101" i="17"/>
  <c r="D23" i="17"/>
  <c r="D28" i="17"/>
  <c r="D34" i="17"/>
  <c r="D12" i="17"/>
  <c r="D73" i="17"/>
  <c r="U92" i="20"/>
  <c r="U92" i="22" s="1"/>
  <c r="U83" i="20"/>
  <c r="U83" i="22" s="1"/>
  <c r="T64" i="21"/>
  <c r="T20" i="21"/>
  <c r="U27" i="20"/>
  <c r="U27" i="22" s="1"/>
  <c r="T9" i="21"/>
  <c r="T17" i="21"/>
  <c r="U19" i="20"/>
  <c r="U19" i="22" s="1"/>
  <c r="R56" i="21"/>
  <c r="U53" i="20"/>
  <c r="U53" i="22" s="1"/>
  <c r="U48" i="20"/>
  <c r="R42" i="21"/>
  <c r="V58" i="22"/>
  <c r="U64" i="20"/>
  <c r="U42" i="20"/>
  <c r="Q42" i="21" s="1"/>
  <c r="U63" i="20"/>
  <c r="U63" i="22" s="1"/>
  <c r="X41" i="22"/>
  <c r="T91" i="21"/>
  <c r="T6" i="21"/>
  <c r="U97" i="20"/>
  <c r="Q97" i="21" s="1"/>
  <c r="U8" i="20"/>
  <c r="U8" i="22" s="1"/>
  <c r="U40" i="20"/>
  <c r="U40" i="22" s="1"/>
  <c r="U45" i="20"/>
  <c r="U10" i="20"/>
  <c r="U88" i="20"/>
  <c r="U88" i="22" s="1"/>
  <c r="U28" i="20"/>
  <c r="U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D35" i="17"/>
  <c r="AT26" i="1"/>
  <c r="AU26" i="1" s="1"/>
  <c r="U13" i="20"/>
  <c r="AT27" i="1"/>
  <c r="AU27" i="1" s="1"/>
  <c r="T12" i="21"/>
  <c r="T21" i="21"/>
  <c r="T18" i="21"/>
  <c r="U91" i="20"/>
  <c r="U91" i="22" s="1"/>
  <c r="U36" i="20"/>
  <c r="U36" i="22" s="1"/>
  <c r="U44" i="20"/>
  <c r="Q44" i="21" s="1"/>
  <c r="U58" i="20"/>
  <c r="U58" i="22" s="1"/>
  <c r="T35" i="21"/>
  <c r="T80" i="21"/>
  <c r="U80" i="20"/>
  <c r="U80" i="22" s="1"/>
  <c r="U29" i="20"/>
  <c r="Q29" i="21" s="1"/>
  <c r="T88" i="21"/>
  <c r="U49" i="20"/>
  <c r="Q49" i="21" s="1"/>
  <c r="U41" i="20"/>
  <c r="Q41" i="21" s="1"/>
  <c r="U46" i="20"/>
  <c r="U32" i="20"/>
  <c r="U15" i="20"/>
  <c r="U21" i="20"/>
  <c r="U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U72" i="20"/>
  <c r="U72" i="22" s="1"/>
  <c r="D44" i="17"/>
  <c r="D31" i="17"/>
  <c r="U35" i="20"/>
  <c r="U35" i="22" s="1"/>
  <c r="AT20" i="1"/>
  <c r="AU20" i="1" s="1"/>
  <c r="U60" i="20"/>
  <c r="U22" i="20"/>
  <c r="U22" i="22" s="1"/>
  <c r="Y9" i="20"/>
  <c r="Y49" i="20"/>
  <c r="Y10" i="20"/>
  <c r="Y59" i="20"/>
  <c r="Y20" i="20"/>
  <c r="Y28" i="20"/>
  <c r="Y5" i="20"/>
  <c r="T22" i="21"/>
  <c r="I4" i="20"/>
  <c r="I4" i="22"/>
  <c r="I5" i="22" s="1"/>
  <c r="F4" i="21"/>
  <c r="F5" i="21" s="1"/>
  <c r="AT25" i="1"/>
  <c r="AU25" i="1" s="1"/>
  <c r="V63" i="22"/>
  <c r="R63" i="21"/>
  <c r="T72" i="21"/>
  <c r="T28" i="21"/>
  <c r="D4" i="21"/>
  <c r="D5" i="21" s="1"/>
  <c r="H4" i="20"/>
  <c r="H6" i="20" s="1"/>
  <c r="E4" i="21"/>
  <c r="E5" i="21" s="1"/>
  <c r="H4" i="22"/>
  <c r="H5" i="22" s="1"/>
  <c r="G4" i="20"/>
  <c r="G4" i="22"/>
  <c r="G5" i="22" s="1"/>
  <c r="C4" i="21"/>
  <c r="C5" i="21" s="1"/>
  <c r="F4" i="20"/>
  <c r="R4" i="22"/>
  <c r="R5" i="22" s="1"/>
  <c r="N4" i="21"/>
  <c r="N5" i="21" s="1"/>
  <c r="R4" i="20"/>
  <c r="L4" i="22"/>
  <c r="L5" i="22" s="1"/>
  <c r="L4" i="20"/>
  <c r="H4" i="21"/>
  <c r="H5" i="21" s="1"/>
  <c r="M4" i="22"/>
  <c r="M5" i="22" s="1"/>
  <c r="M4" i="20"/>
  <c r="M11" i="20" s="1"/>
  <c r="I4" i="21"/>
  <c r="I5" i="21" s="1"/>
  <c r="N4" i="20"/>
  <c r="J4" i="21"/>
  <c r="J5" i="21" s="1"/>
  <c r="N4" i="22"/>
  <c r="N5" i="22" s="1"/>
  <c r="O4" i="22"/>
  <c r="O5" i="22" s="1"/>
  <c r="O4" i="20"/>
  <c r="K4" i="21"/>
  <c r="K5" i="21" s="1"/>
  <c r="X56" i="22"/>
  <c r="T56" i="21"/>
  <c r="X63" i="22"/>
  <c r="T63" i="21"/>
  <c r="T46" i="21"/>
  <c r="T78" i="21"/>
  <c r="X34" i="22"/>
  <c r="T34" i="21"/>
  <c r="R88" i="21"/>
  <c r="X49" i="22"/>
  <c r="T49" i="21"/>
  <c r="R48" i="21"/>
  <c r="V48" i="22"/>
  <c r="Q4" i="20"/>
  <c r="M4" i="21"/>
  <c r="M5" i="21" s="1"/>
  <c r="Q4" i="22"/>
  <c r="Q5" i="22" s="1"/>
  <c r="V11" i="22"/>
  <c r="R11" i="21"/>
  <c r="V46" i="22"/>
  <c r="R46" i="21"/>
  <c r="R19" i="21"/>
  <c r="V19" i="22"/>
  <c r="V53" i="22"/>
  <c r="R53" i="21"/>
  <c r="R70" i="21"/>
  <c r="V8" i="22"/>
  <c r="R8" i="21"/>
  <c r="T23" i="21"/>
  <c r="X23" i="22"/>
  <c r="R44" i="21"/>
  <c r="V44" i="22"/>
  <c r="V36" i="22"/>
  <c r="R36" i="21"/>
  <c r="R80" i="21"/>
  <c r="V23" i="22"/>
  <c r="R23" i="21"/>
  <c r="R91" i="21"/>
  <c r="X53" i="22"/>
  <c r="T53" i="21"/>
  <c r="V29" i="22"/>
  <c r="R29" i="21"/>
  <c r="K37" i="15"/>
  <c r="K32" i="15"/>
  <c r="K64" i="15"/>
  <c r="K54" i="15"/>
  <c r="K93" i="15"/>
  <c r="K46" i="15"/>
  <c r="R37" i="21"/>
  <c r="V27" i="22"/>
  <c r="R27" i="21"/>
  <c r="K16" i="15"/>
  <c r="K40" i="15"/>
  <c r="K77" i="15"/>
  <c r="K65" i="15"/>
  <c r="K85" i="15"/>
  <c r="K18" i="15"/>
  <c r="K68" i="15"/>
  <c r="K80" i="15"/>
  <c r="K58" i="15"/>
  <c r="K83" i="15"/>
  <c r="K34" i="15"/>
  <c r="K42" i="15"/>
  <c r="K26" i="15"/>
  <c r="K88" i="15"/>
  <c r="K72" i="15"/>
  <c r="K91" i="15"/>
  <c r="K75" i="15"/>
  <c r="O4" i="21"/>
  <c r="O5" i="21" s="1"/>
  <c r="S4" i="20"/>
  <c r="S6" i="20" s="1"/>
  <c r="S4" i="22"/>
  <c r="S5" i="22" s="1"/>
  <c r="K31" i="15"/>
  <c r="D17" i="12"/>
  <c r="K33" i="12"/>
  <c r="K23" i="12"/>
  <c r="K31" i="12"/>
  <c r="K29" i="12"/>
  <c r="K27" i="12"/>
  <c r="K24" i="12"/>
  <c r="D11" i="12"/>
  <c r="B7" i="21" l="1"/>
  <c r="E7" i="22"/>
  <c r="T27" i="22"/>
  <c r="J53" i="20"/>
  <c r="T44" i="21"/>
  <c r="J99" i="20"/>
  <c r="G99" i="21" s="1"/>
  <c r="J36" i="20"/>
  <c r="J75" i="20"/>
  <c r="J75" i="22" s="1"/>
  <c r="J100" i="20"/>
  <c r="J100" i="22" s="1"/>
  <c r="X37" i="22"/>
  <c r="J40" i="20"/>
  <c r="G40" i="21" s="1"/>
  <c r="J33" i="20"/>
  <c r="J33" i="22" s="1"/>
  <c r="J61" i="20"/>
  <c r="G61" i="21" s="1"/>
  <c r="X26" i="22"/>
  <c r="T52" i="21"/>
  <c r="J66" i="20"/>
  <c r="J66" i="22" s="1"/>
  <c r="T45" i="21"/>
  <c r="T47" i="21"/>
  <c r="J87" i="20"/>
  <c r="G87" i="21" s="1"/>
  <c r="X27" i="22"/>
  <c r="J49" i="20"/>
  <c r="G49" i="21" s="1"/>
  <c r="J94" i="20"/>
  <c r="J94" i="22" s="1"/>
  <c r="X8" i="22"/>
  <c r="X11" i="22"/>
  <c r="X42" i="22"/>
  <c r="J21" i="20"/>
  <c r="G21" i="21" s="1"/>
  <c r="J80" i="20"/>
  <c r="J16" i="20"/>
  <c r="J16" i="22" s="1"/>
  <c r="J24" i="20"/>
  <c r="J24" i="22" s="1"/>
  <c r="X58" i="22"/>
  <c r="T10" i="21"/>
  <c r="P64" i="21"/>
  <c r="J91" i="20"/>
  <c r="G91" i="21" s="1"/>
  <c r="J65" i="20"/>
  <c r="J13" i="20"/>
  <c r="G13" i="21" s="1"/>
  <c r="J42" i="20"/>
  <c r="J42" i="22" s="1"/>
  <c r="J23" i="20"/>
  <c r="J23" i="22" s="1"/>
  <c r="J12" i="20"/>
  <c r="J12" i="22" s="1"/>
  <c r="J35" i="20"/>
  <c r="G35" i="21" s="1"/>
  <c r="J95" i="20"/>
  <c r="J95" i="22" s="1"/>
  <c r="J78" i="20"/>
  <c r="J78" i="22" s="1"/>
  <c r="J52" i="20"/>
  <c r="G52" i="21" s="1"/>
  <c r="J76" i="20"/>
  <c r="J76" i="22" s="1"/>
  <c r="J86" i="20"/>
  <c r="T25" i="21"/>
  <c r="J51" i="20"/>
  <c r="G51" i="21" s="1"/>
  <c r="J27" i="20"/>
  <c r="J88" i="20"/>
  <c r="J77" i="20"/>
  <c r="J77" i="22" s="1"/>
  <c r="J62" i="20"/>
  <c r="J9" i="20"/>
  <c r="J9" i="22" s="1"/>
  <c r="J22" i="20"/>
  <c r="G22" i="21" s="1"/>
  <c r="J74" i="20"/>
  <c r="G74" i="21" s="1"/>
  <c r="J82" i="20"/>
  <c r="J82" i="22" s="1"/>
  <c r="J11" i="20"/>
  <c r="G11" i="21" s="1"/>
  <c r="J45" i="20"/>
  <c r="J45" i="22" s="1"/>
  <c r="J68" i="20"/>
  <c r="J68" i="22" s="1"/>
  <c r="J73" i="20"/>
  <c r="J97" i="20"/>
  <c r="J97" i="22" s="1"/>
  <c r="J84" i="20"/>
  <c r="G84" i="21" s="1"/>
  <c r="J20" i="20"/>
  <c r="G20" i="21" s="1"/>
  <c r="T59" i="21"/>
  <c r="J7" i="20"/>
  <c r="J7" i="22" s="1"/>
  <c r="J79" i="20"/>
  <c r="G79" i="21" s="1"/>
  <c r="J8" i="20"/>
  <c r="J8" i="22" s="1"/>
  <c r="J58" i="20"/>
  <c r="G58" i="21" s="1"/>
  <c r="J50" i="20"/>
  <c r="J50" i="22" s="1"/>
  <c r="J70" i="20"/>
  <c r="J70" i="22" s="1"/>
  <c r="J25" i="20"/>
  <c r="G25" i="21" s="1"/>
  <c r="J10" i="20"/>
  <c r="G10" i="21" s="1"/>
  <c r="J31" i="20"/>
  <c r="J56" i="20"/>
  <c r="J39" i="20"/>
  <c r="J39" i="22" s="1"/>
  <c r="J93" i="20"/>
  <c r="G93" i="21" s="1"/>
  <c r="T60" i="21"/>
  <c r="J92" i="20"/>
  <c r="J92" i="22" s="1"/>
  <c r="J85" i="20"/>
  <c r="J85" i="22" s="1"/>
  <c r="J59" i="20"/>
  <c r="G59" i="21" s="1"/>
  <c r="J71" i="20"/>
  <c r="J71" i="22" s="1"/>
  <c r="J19" i="20"/>
  <c r="J19" i="22" s="1"/>
  <c r="J41" i="20"/>
  <c r="J41" i="22" s="1"/>
  <c r="J69" i="20"/>
  <c r="G69" i="21" s="1"/>
  <c r="T16" i="21"/>
  <c r="J90" i="20"/>
  <c r="G90" i="21" s="1"/>
  <c r="J46" i="20"/>
  <c r="J46" i="22" s="1"/>
  <c r="J72" i="20"/>
  <c r="G72" i="21" s="1"/>
  <c r="T36" i="21"/>
  <c r="T70" i="21"/>
  <c r="T29" i="21"/>
  <c r="T15" i="21"/>
  <c r="J34" i="20"/>
  <c r="G34" i="21" s="1"/>
  <c r="J15" i="20"/>
  <c r="J15" i="22" s="1"/>
  <c r="J48" i="20"/>
  <c r="G48" i="21" s="1"/>
  <c r="J44" i="20"/>
  <c r="J44" i="22" s="1"/>
  <c r="P10" i="21"/>
  <c r="T40" i="21"/>
  <c r="J83" i="20"/>
  <c r="J83" i="22" s="1"/>
  <c r="J47" i="20"/>
  <c r="G47" i="21" s="1"/>
  <c r="J37" i="20"/>
  <c r="J37" i="22" s="1"/>
  <c r="J28" i="20"/>
  <c r="G28" i="21" s="1"/>
  <c r="J98" i="20"/>
  <c r="J98" i="22" s="1"/>
  <c r="J96" i="20"/>
  <c r="J96" i="22" s="1"/>
  <c r="J64" i="20"/>
  <c r="G64" i="21" s="1"/>
  <c r="J89" i="20"/>
  <c r="G89" i="21" s="1"/>
  <c r="J32" i="20"/>
  <c r="G32" i="21" s="1"/>
  <c r="J29" i="20"/>
  <c r="G29" i="21" s="1"/>
  <c r="J14" i="20"/>
  <c r="G14" i="21" s="1"/>
  <c r="T62" i="21"/>
  <c r="J18" i="20"/>
  <c r="J18" i="22" s="1"/>
  <c r="J43" i="20"/>
  <c r="G43" i="21" s="1"/>
  <c r="J60" i="20"/>
  <c r="J60" i="22" s="1"/>
  <c r="J38" i="20"/>
  <c r="G38" i="21" s="1"/>
  <c r="J57" i="20"/>
  <c r="G57" i="21" s="1"/>
  <c r="J26" i="20"/>
  <c r="G26" i="21" s="1"/>
  <c r="J54" i="20"/>
  <c r="J54" i="22" s="1"/>
  <c r="J63" i="20"/>
  <c r="J63" i="22" s="1"/>
  <c r="W64" i="22"/>
  <c r="P86" i="21"/>
  <c r="P46" i="21"/>
  <c r="T38" i="21"/>
  <c r="T32" i="21"/>
  <c r="T67" i="21"/>
  <c r="D11" i="4"/>
  <c r="Y11" i="22"/>
  <c r="P41" i="21"/>
  <c r="T48" i="21"/>
  <c r="T19" i="21"/>
  <c r="X13" i="22"/>
  <c r="S17" i="21"/>
  <c r="S53" i="21"/>
  <c r="T95" i="22"/>
  <c r="P53" i="21"/>
  <c r="P59" i="21"/>
  <c r="D14" i="4"/>
  <c r="P34" i="21"/>
  <c r="P47" i="21"/>
  <c r="D23" i="4"/>
  <c r="S70" i="21"/>
  <c r="S41" i="21"/>
  <c r="T58" i="22"/>
  <c r="U58" i="21"/>
  <c r="S75" i="21"/>
  <c r="P83" i="21"/>
  <c r="P6" i="20"/>
  <c r="L6" i="21" s="1"/>
  <c r="W23" i="22"/>
  <c r="D20" i="4"/>
  <c r="W45" i="22"/>
  <c r="D17" i="4"/>
  <c r="D22" i="4"/>
  <c r="D30" i="4"/>
  <c r="G6" i="20"/>
  <c r="P97" i="21"/>
  <c r="T62" i="22"/>
  <c r="J5" i="20"/>
  <c r="J6" i="20"/>
  <c r="G6" i="21" s="1"/>
  <c r="P35" i="21"/>
  <c r="S8" i="21"/>
  <c r="S78" i="21"/>
  <c r="P56" i="21"/>
  <c r="S29" i="21"/>
  <c r="P26" i="21"/>
  <c r="E9" i="10"/>
  <c r="D18" i="4"/>
  <c r="E17" i="10"/>
  <c r="D17" i="10" s="1"/>
  <c r="D29" i="4"/>
  <c r="W49" i="22"/>
  <c r="P29" i="21"/>
  <c r="P88" i="21"/>
  <c r="W38" i="22"/>
  <c r="T22" i="22"/>
  <c r="P16" i="21"/>
  <c r="S19" i="21"/>
  <c r="T45" i="22"/>
  <c r="P91" i="21"/>
  <c r="T42" i="22"/>
  <c r="P15" i="21"/>
  <c r="W26" i="22"/>
  <c r="S6" i="21"/>
  <c r="P49" i="21"/>
  <c r="P21" i="21"/>
  <c r="S34" i="21"/>
  <c r="T20" i="22"/>
  <c r="P78" i="21"/>
  <c r="P40" i="21"/>
  <c r="P32" i="21"/>
  <c r="S25" i="21"/>
  <c r="U46" i="21"/>
  <c r="W63" i="22"/>
  <c r="S80" i="21"/>
  <c r="S60" i="21"/>
  <c r="T52" i="22"/>
  <c r="T6" i="22"/>
  <c r="P28" i="21"/>
  <c r="P63" i="21"/>
  <c r="D16" i="4"/>
  <c r="D31" i="4"/>
  <c r="J101" i="20"/>
  <c r="G101" i="21" s="1"/>
  <c r="W48" i="22"/>
  <c r="T9" i="22"/>
  <c r="S59" i="21"/>
  <c r="W11" i="22"/>
  <c r="P67" i="21"/>
  <c r="W44" i="22"/>
  <c r="W42" i="22"/>
  <c r="W52" i="22"/>
  <c r="S67" i="21"/>
  <c r="S40" i="21"/>
  <c r="S22" i="21"/>
  <c r="W62" i="22"/>
  <c r="W16" i="22"/>
  <c r="T8" i="22"/>
  <c r="W36" i="22"/>
  <c r="Y17" i="22"/>
  <c r="P92" i="21"/>
  <c r="S12" i="21"/>
  <c r="P23" i="21"/>
  <c r="P12" i="21"/>
  <c r="W46" i="22"/>
  <c r="T13" i="22"/>
  <c r="P70" i="21"/>
  <c r="S15" i="21"/>
  <c r="U48" i="21"/>
  <c r="P11" i="20"/>
  <c r="P11" i="22" s="1"/>
  <c r="T38" i="22"/>
  <c r="P19" i="21"/>
  <c r="S47" i="21"/>
  <c r="P16" i="20"/>
  <c r="L16" i="21" s="1"/>
  <c r="D32" i="4"/>
  <c r="P14" i="20"/>
  <c r="L14" i="21" s="1"/>
  <c r="S9" i="21"/>
  <c r="S37" i="21"/>
  <c r="S54" i="21"/>
  <c r="P60" i="21"/>
  <c r="T25" i="22"/>
  <c r="W10" i="22"/>
  <c r="W32" i="22"/>
  <c r="S20" i="21"/>
  <c r="P48" i="21"/>
  <c r="P36" i="21"/>
  <c r="D21" i="4"/>
  <c r="D19" i="4"/>
  <c r="S35" i="21"/>
  <c r="W18" i="22"/>
  <c r="D26" i="4"/>
  <c r="W27" i="22"/>
  <c r="P11" i="21"/>
  <c r="S72" i="21"/>
  <c r="T17" i="22"/>
  <c r="E26" i="10"/>
  <c r="E33" i="10"/>
  <c r="E30" i="10"/>
  <c r="E15" i="10"/>
  <c r="E27" i="10"/>
  <c r="E25" i="10"/>
  <c r="E31" i="10"/>
  <c r="E19" i="10"/>
  <c r="E20" i="10"/>
  <c r="E12" i="10"/>
  <c r="E24" i="10"/>
  <c r="E22" i="10"/>
  <c r="E18" i="10"/>
  <c r="E21" i="10"/>
  <c r="E32" i="10"/>
  <c r="E28" i="10"/>
  <c r="E29" i="10"/>
  <c r="E10" i="10"/>
  <c r="E16" i="10"/>
  <c r="E23" i="10"/>
  <c r="E14" i="10"/>
  <c r="E13" i="10"/>
  <c r="P54" i="21"/>
  <c r="S56" i="21"/>
  <c r="W13" i="22"/>
  <c r="W21" i="22"/>
  <c r="P80" i="21"/>
  <c r="T18" i="22"/>
  <c r="J55" i="20"/>
  <c r="G55" i="21" s="1"/>
  <c r="S28" i="21"/>
  <c r="J17" i="20"/>
  <c r="J17" i="22" s="1"/>
  <c r="E14" i="6"/>
  <c r="E68" i="6"/>
  <c r="E40" i="6"/>
  <c r="E13" i="6"/>
  <c r="E12" i="6"/>
  <c r="E28" i="6"/>
  <c r="E101" i="6"/>
  <c r="E23" i="6"/>
  <c r="E21" i="6"/>
  <c r="E50" i="6"/>
  <c r="E58" i="6"/>
  <c r="E26" i="6"/>
  <c r="E34" i="6"/>
  <c r="E70" i="6"/>
  <c r="E49" i="6"/>
  <c r="E41" i="6"/>
  <c r="E37" i="6"/>
  <c r="E59" i="6"/>
  <c r="E96" i="6"/>
  <c r="E82" i="6"/>
  <c r="E19" i="6"/>
  <c r="E56" i="6"/>
  <c r="E95" i="6"/>
  <c r="E77" i="6"/>
  <c r="E20" i="6"/>
  <c r="E91" i="6"/>
  <c r="E33" i="6"/>
  <c r="E22" i="6"/>
  <c r="E46" i="6"/>
  <c r="E31" i="6"/>
  <c r="E32" i="6"/>
  <c r="E83" i="6"/>
  <c r="E27" i="6"/>
  <c r="E61" i="6"/>
  <c r="E38" i="6"/>
  <c r="E72" i="6"/>
  <c r="E36" i="6"/>
  <c r="E51" i="6"/>
  <c r="E86" i="6"/>
  <c r="D86" i="6" s="1"/>
  <c r="E69" i="6"/>
  <c r="E94" i="6"/>
  <c r="E87" i="6"/>
  <c r="E18" i="6"/>
  <c r="E16" i="6"/>
  <c r="E24" i="6"/>
  <c r="E9" i="6"/>
  <c r="D9" i="6" s="1"/>
  <c r="E80" i="6"/>
  <c r="E81" i="6"/>
  <c r="E48" i="6"/>
  <c r="E84" i="6"/>
  <c r="E92" i="6"/>
  <c r="E104" i="6"/>
  <c r="E75" i="6"/>
  <c r="E85" i="6"/>
  <c r="E98" i="6"/>
  <c r="E42" i="6"/>
  <c r="E64" i="6"/>
  <c r="E99" i="6"/>
  <c r="E45" i="6"/>
  <c r="E67" i="6"/>
  <c r="E71" i="6"/>
  <c r="E35" i="6"/>
  <c r="E60" i="6"/>
  <c r="E57" i="6"/>
  <c r="E65" i="6"/>
  <c r="E78" i="6"/>
  <c r="E90" i="6"/>
  <c r="E93" i="6"/>
  <c r="E54" i="6"/>
  <c r="E106" i="6"/>
  <c r="E10" i="6"/>
  <c r="D10" i="6" s="1"/>
  <c r="E47" i="6"/>
  <c r="E105" i="6"/>
  <c r="E100" i="6"/>
  <c r="E89" i="6"/>
  <c r="E15" i="6"/>
  <c r="E17" i="6"/>
  <c r="E29" i="6"/>
  <c r="E39" i="6"/>
  <c r="E79" i="6"/>
  <c r="E103" i="6"/>
  <c r="E43" i="6"/>
  <c r="E62" i="6"/>
  <c r="E11" i="6"/>
  <c r="E30" i="6"/>
  <c r="E44" i="6"/>
  <c r="E63" i="6"/>
  <c r="E53" i="6"/>
  <c r="I48" i="19" s="1"/>
  <c r="E76" i="6"/>
  <c r="E52" i="6"/>
  <c r="E66" i="6"/>
  <c r="E55" i="6"/>
  <c r="E88" i="6"/>
  <c r="E25" i="6"/>
  <c r="E97" i="6"/>
  <c r="E102" i="6"/>
  <c r="E74" i="6"/>
  <c r="E73" i="6"/>
  <c r="S58" i="21"/>
  <c r="P44" i="21"/>
  <c r="P75" i="21"/>
  <c r="P37" i="21"/>
  <c r="P72" i="21"/>
  <c r="M6" i="19"/>
  <c r="M6" i="20" s="1"/>
  <c r="D11" i="9"/>
  <c r="O6" i="19"/>
  <c r="O6" i="20" s="1"/>
  <c r="D11" i="11"/>
  <c r="L6" i="19"/>
  <c r="L6" i="20" s="1"/>
  <c r="D11" i="8"/>
  <c r="F11" i="8" s="1"/>
  <c r="Q6" i="19"/>
  <c r="Q6" i="20" s="1"/>
  <c r="D11" i="13"/>
  <c r="N6" i="19"/>
  <c r="N6" i="20" s="1"/>
  <c r="D11" i="10"/>
  <c r="O12" i="19"/>
  <c r="O12" i="20" s="1"/>
  <c r="D17" i="11"/>
  <c r="R12" i="19"/>
  <c r="R12" i="20" s="1"/>
  <c r="D17" i="14"/>
  <c r="R6" i="19"/>
  <c r="R6" i="20" s="1"/>
  <c r="D11" i="14"/>
  <c r="L12" i="19"/>
  <c r="L12" i="20" s="1"/>
  <c r="D17" i="8"/>
  <c r="F17" i="8" s="1"/>
  <c r="Q12" i="19"/>
  <c r="Q12" i="20" s="1"/>
  <c r="D17" i="13"/>
  <c r="M12" i="19"/>
  <c r="M12" i="20" s="1"/>
  <c r="D17" i="9"/>
  <c r="F28" i="19"/>
  <c r="F28" i="20" s="1"/>
  <c r="G28" i="19"/>
  <c r="G28" i="20" s="1"/>
  <c r="P15" i="20"/>
  <c r="P15" i="22" s="1"/>
  <c r="P7" i="20"/>
  <c r="P7" i="22" s="1"/>
  <c r="P24" i="20"/>
  <c r="L24" i="21" s="1"/>
  <c r="P10" i="20"/>
  <c r="P10" i="22" s="1"/>
  <c r="P23" i="20"/>
  <c r="P23" i="22" s="1"/>
  <c r="P19" i="20"/>
  <c r="P19" i="22" s="1"/>
  <c r="P25" i="20"/>
  <c r="P25" i="22" s="1"/>
  <c r="P20" i="20"/>
  <c r="P20" i="22" s="1"/>
  <c r="P18" i="22"/>
  <c r="P28" i="20"/>
  <c r="L28" i="21" s="1"/>
  <c r="P13" i="20"/>
  <c r="P13" i="22" s="1"/>
  <c r="P5" i="20"/>
  <c r="P17" i="20"/>
  <c r="P17" i="22" s="1"/>
  <c r="P9" i="20"/>
  <c r="L9" i="21" s="1"/>
  <c r="P22" i="20"/>
  <c r="P22" i="22" s="1"/>
  <c r="P8" i="20"/>
  <c r="L8" i="21" s="1"/>
  <c r="P21" i="20"/>
  <c r="P21" i="22" s="1"/>
  <c r="P12" i="20"/>
  <c r="P12" i="22" s="1"/>
  <c r="P27" i="20"/>
  <c r="P27" i="22" s="1"/>
  <c r="P26" i="20"/>
  <c r="P26" i="22" s="1"/>
  <c r="G29" i="19"/>
  <c r="G29" i="20" s="1"/>
  <c r="F30" i="19"/>
  <c r="F30" i="20" s="1"/>
  <c r="H98" i="15"/>
  <c r="K98" i="15"/>
  <c r="H95" i="15"/>
  <c r="K95" i="15"/>
  <c r="U32" i="21"/>
  <c r="U7" i="21"/>
  <c r="Y7" i="22"/>
  <c r="Y44" i="22"/>
  <c r="U6" i="21"/>
  <c r="Y6" i="22"/>
  <c r="D33" i="28"/>
  <c r="C28" i="20"/>
  <c r="C28" i="22" s="1"/>
  <c r="D34" i="28"/>
  <c r="C29" i="20"/>
  <c r="C29" i="22" s="1"/>
  <c r="D35" i="28"/>
  <c r="C30" i="20"/>
  <c r="C30" i="22" s="1"/>
  <c r="D36" i="28"/>
  <c r="C31" i="20"/>
  <c r="C31" i="22" s="1"/>
  <c r="Y19" i="22"/>
  <c r="U53" i="21"/>
  <c r="K36" i="15"/>
  <c r="U42" i="21"/>
  <c r="Y36" i="22"/>
  <c r="K19" i="15"/>
  <c r="Q20" i="21"/>
  <c r="U23" i="21"/>
  <c r="K84" i="15"/>
  <c r="K76" i="15"/>
  <c r="K79" i="15"/>
  <c r="K92" i="15"/>
  <c r="K87" i="15"/>
  <c r="K56" i="15"/>
  <c r="K89" i="15"/>
  <c r="Y56" i="22"/>
  <c r="K55" i="15"/>
  <c r="H55" i="15"/>
  <c r="K66" i="15"/>
  <c r="H66" i="15"/>
  <c r="K71" i="15"/>
  <c r="H71" i="15"/>
  <c r="K60" i="15"/>
  <c r="H60" i="15"/>
  <c r="Y37" i="22"/>
  <c r="K48" i="15"/>
  <c r="H48" i="15"/>
  <c r="K81" i="15"/>
  <c r="K38" i="15"/>
  <c r="U12" i="21"/>
  <c r="U8" i="21"/>
  <c r="Y26" i="22"/>
  <c r="K11" i="12"/>
  <c r="H11" i="12"/>
  <c r="K17" i="12"/>
  <c r="H17" i="12"/>
  <c r="R7" i="21"/>
  <c r="V7" i="22"/>
  <c r="U27" i="21"/>
  <c r="Y16" i="22"/>
  <c r="Y70" i="22"/>
  <c r="U29" i="21"/>
  <c r="U67" i="21"/>
  <c r="Y18" i="22"/>
  <c r="U9" i="22"/>
  <c r="Y25" i="22"/>
  <c r="U23" i="22"/>
  <c r="X7" i="22"/>
  <c r="Q19" i="21"/>
  <c r="Q22" i="21"/>
  <c r="Q8" i="21"/>
  <c r="U41" i="21"/>
  <c r="G30" i="19"/>
  <c r="B8" i="21"/>
  <c r="B6" i="21"/>
  <c r="E32" i="22"/>
  <c r="E87" i="22"/>
  <c r="Y35" i="22"/>
  <c r="U56" i="22"/>
  <c r="U37" i="22"/>
  <c r="Q54" i="21"/>
  <c r="Q62" i="21"/>
  <c r="Y40" i="22"/>
  <c r="U60" i="21"/>
  <c r="Q67" i="21"/>
  <c r="Q27" i="21"/>
  <c r="Q78" i="21"/>
  <c r="Y63" i="22"/>
  <c r="Y47" i="22"/>
  <c r="Q75" i="21"/>
  <c r="Q34" i="21"/>
  <c r="T7" i="22"/>
  <c r="B26" i="21"/>
  <c r="U12" i="22"/>
  <c r="Q25" i="21"/>
  <c r="U64" i="21"/>
  <c r="Q95" i="21"/>
  <c r="Y52" i="22"/>
  <c r="U62" i="21"/>
  <c r="B73" i="21"/>
  <c r="B59" i="21"/>
  <c r="B44" i="21"/>
  <c r="G69" i="19"/>
  <c r="E19" i="22"/>
  <c r="B20" i="21"/>
  <c r="E40" i="22"/>
  <c r="B69" i="21"/>
  <c r="B65" i="21"/>
  <c r="B94" i="21"/>
  <c r="E43" i="22"/>
  <c r="E47" i="22"/>
  <c r="B48" i="21"/>
  <c r="B56" i="21"/>
  <c r="B25" i="21"/>
  <c r="B68" i="21"/>
  <c r="E17" i="22"/>
  <c r="B72" i="21"/>
  <c r="B36" i="21"/>
  <c r="B75" i="21"/>
  <c r="B101" i="21"/>
  <c r="B29" i="21"/>
  <c r="B58" i="21"/>
  <c r="B88" i="21"/>
  <c r="B74" i="21"/>
  <c r="B45" i="21"/>
  <c r="B53" i="21"/>
  <c r="E14" i="22"/>
  <c r="B82" i="21"/>
  <c r="B77" i="21"/>
  <c r="B79" i="21"/>
  <c r="E46" i="22"/>
  <c r="B67" i="21"/>
  <c r="E70" i="22"/>
  <c r="B41" i="21"/>
  <c r="E55" i="22"/>
  <c r="B28" i="21"/>
  <c r="B91" i="21"/>
  <c r="B57" i="21"/>
  <c r="E38" i="22"/>
  <c r="G58" i="19"/>
  <c r="G76" i="19"/>
  <c r="B22" i="21"/>
  <c r="E11" i="22"/>
  <c r="G78" i="19"/>
  <c r="E95" i="22"/>
  <c r="B9" i="21"/>
  <c r="B64" i="21"/>
  <c r="B35" i="21"/>
  <c r="G51" i="19"/>
  <c r="G81" i="19"/>
  <c r="B71" i="21"/>
  <c r="G86" i="19"/>
  <c r="G79" i="19"/>
  <c r="B33" i="21"/>
  <c r="F36" i="19"/>
  <c r="B24" i="21"/>
  <c r="E66" i="22"/>
  <c r="G64" i="19"/>
  <c r="E13" i="22"/>
  <c r="E76" i="22"/>
  <c r="B62" i="21"/>
  <c r="B54" i="21"/>
  <c r="F48" i="19"/>
  <c r="B98" i="21"/>
  <c r="E50" i="22"/>
  <c r="B30" i="21"/>
  <c r="E52" i="22"/>
  <c r="B27" i="21"/>
  <c r="E49" i="22"/>
  <c r="B85" i="21"/>
  <c r="E16" i="22"/>
  <c r="B84" i="21"/>
  <c r="E42" i="22"/>
  <c r="E37" i="22"/>
  <c r="F42" i="19"/>
  <c r="B81" i="21"/>
  <c r="H96" i="19"/>
  <c r="B61" i="21"/>
  <c r="B39" i="21"/>
  <c r="B80" i="21"/>
  <c r="B63" i="21"/>
  <c r="E89" i="22"/>
  <c r="E96" i="22"/>
  <c r="B12" i="21"/>
  <c r="B90" i="21"/>
  <c r="E78" i="22"/>
  <c r="E93" i="22"/>
  <c r="B31" i="21"/>
  <c r="B100" i="21"/>
  <c r="B23" i="21"/>
  <c r="E21" i="22"/>
  <c r="B18" i="21"/>
  <c r="E92" i="22"/>
  <c r="E34" i="22"/>
  <c r="B83" i="21"/>
  <c r="B10" i="21"/>
  <c r="B99" i="21"/>
  <c r="B86" i="21"/>
  <c r="B97" i="21"/>
  <c r="B60" i="21"/>
  <c r="B15" i="21"/>
  <c r="B51" i="21"/>
  <c r="F73" i="19"/>
  <c r="F46" i="19"/>
  <c r="F45" i="19"/>
  <c r="F32" i="19"/>
  <c r="F38" i="19"/>
  <c r="F44" i="19"/>
  <c r="F40" i="19"/>
  <c r="F49" i="19"/>
  <c r="F41" i="19"/>
  <c r="F34" i="19"/>
  <c r="G68" i="19"/>
  <c r="G96" i="19"/>
  <c r="G90" i="19"/>
  <c r="G101" i="19"/>
  <c r="F37" i="19"/>
  <c r="F47" i="19"/>
  <c r="F35" i="19"/>
  <c r="D33" i="3"/>
  <c r="Y38" i="22"/>
  <c r="U38" i="22"/>
  <c r="F74" i="19"/>
  <c r="F72" i="19"/>
  <c r="Q47" i="21"/>
  <c r="U18" i="22"/>
  <c r="G100" i="21"/>
  <c r="G30" i="21"/>
  <c r="F63" i="19"/>
  <c r="F93" i="19"/>
  <c r="Q86" i="21"/>
  <c r="U22" i="21"/>
  <c r="U54" i="21"/>
  <c r="F50" i="19"/>
  <c r="D35" i="3"/>
  <c r="J79" i="22"/>
  <c r="G100" i="19"/>
  <c r="G75" i="19"/>
  <c r="G94" i="19"/>
  <c r="G72" i="19"/>
  <c r="G99" i="19"/>
  <c r="G91" i="19"/>
  <c r="G89" i="19"/>
  <c r="G66" i="19"/>
  <c r="G98" i="19"/>
  <c r="G65" i="19"/>
  <c r="G71" i="19"/>
  <c r="G93" i="19"/>
  <c r="G61" i="19"/>
  <c r="G84" i="19"/>
  <c r="G52" i="19"/>
  <c r="G54" i="19"/>
  <c r="G73" i="19"/>
  <c r="G80" i="19"/>
  <c r="G83" i="19"/>
  <c r="G59" i="19"/>
  <c r="G57" i="19"/>
  <c r="G74" i="19"/>
  <c r="G95" i="19"/>
  <c r="G63" i="19"/>
  <c r="G85" i="19"/>
  <c r="G53" i="19"/>
  <c r="G3" i="28"/>
  <c r="G2" i="28"/>
  <c r="G92" i="19"/>
  <c r="G60" i="19"/>
  <c r="G70" i="19"/>
  <c r="G56" i="19"/>
  <c r="G88" i="19"/>
  <c r="G67" i="19"/>
  <c r="G62" i="19"/>
  <c r="G50" i="19"/>
  <c r="G82" i="19"/>
  <c r="G97" i="19"/>
  <c r="G87" i="19"/>
  <c r="G55" i="19"/>
  <c r="G81" i="21"/>
  <c r="G67" i="21"/>
  <c r="Q16" i="21"/>
  <c r="U16" i="22"/>
  <c r="Q11" i="21"/>
  <c r="Q28" i="21"/>
  <c r="Y45" i="22"/>
  <c r="F51" i="19"/>
  <c r="F55" i="19"/>
  <c r="F97" i="19"/>
  <c r="F83" i="19"/>
  <c r="F66" i="19"/>
  <c r="F64" i="19"/>
  <c r="F85" i="19"/>
  <c r="Q17" i="21"/>
  <c r="U17" i="22"/>
  <c r="Y15" i="22"/>
  <c r="U15" i="21"/>
  <c r="Q59" i="21"/>
  <c r="F58" i="19"/>
  <c r="F100" i="19"/>
  <c r="F71" i="19"/>
  <c r="F76" i="19"/>
  <c r="F54" i="19"/>
  <c r="F61" i="19"/>
  <c r="F33" i="19"/>
  <c r="Y21" i="22"/>
  <c r="U21" i="21"/>
  <c r="U26" i="22"/>
  <c r="Q26" i="21"/>
  <c r="Q70" i="21"/>
  <c r="U34" i="21"/>
  <c r="F57" i="19"/>
  <c r="F68" i="19"/>
  <c r="F94" i="19"/>
  <c r="F60" i="19"/>
  <c r="F96" i="19"/>
  <c r="F70" i="19"/>
  <c r="F53" i="19"/>
  <c r="Y13" i="22"/>
  <c r="U13" i="21"/>
  <c r="F89" i="19"/>
  <c r="F90" i="19"/>
  <c r="F91" i="19"/>
  <c r="F59" i="19"/>
  <c r="F81" i="19"/>
  <c r="F84" i="19"/>
  <c r="F78" i="19"/>
  <c r="F79" i="19"/>
  <c r="F82" i="19"/>
  <c r="F88" i="19"/>
  <c r="F56" i="19"/>
  <c r="F86" i="19"/>
  <c r="F77" i="19"/>
  <c r="F87" i="19"/>
  <c r="F67" i="19"/>
  <c r="F62" i="19"/>
  <c r="F75" i="19"/>
  <c r="F65" i="19"/>
  <c r="F52" i="19"/>
  <c r="F92" i="19"/>
  <c r="F95" i="19"/>
  <c r="F98" i="19"/>
  <c r="F80" i="19"/>
  <c r="F99" i="19"/>
  <c r="F101" i="19"/>
  <c r="G47" i="20"/>
  <c r="D52" i="4"/>
  <c r="G38" i="19"/>
  <c r="D33" i="4"/>
  <c r="G40" i="19"/>
  <c r="G33" i="19"/>
  <c r="G34" i="19"/>
  <c r="G39" i="19"/>
  <c r="G46" i="19"/>
  <c r="G36" i="19"/>
  <c r="G48" i="19"/>
  <c r="G42" i="19"/>
  <c r="G31" i="19"/>
  <c r="F43" i="19"/>
  <c r="G43" i="19"/>
  <c r="G45" i="19"/>
  <c r="G49" i="19"/>
  <c r="G44" i="19"/>
  <c r="F31" i="20"/>
  <c r="D36" i="3"/>
  <c r="D34" i="4"/>
  <c r="G35" i="19"/>
  <c r="G32" i="19"/>
  <c r="G41" i="19"/>
  <c r="G37" i="19"/>
  <c r="F39" i="19"/>
  <c r="G39" i="21"/>
  <c r="G50" i="21"/>
  <c r="J90" i="22"/>
  <c r="G77" i="20"/>
  <c r="D82" i="4"/>
  <c r="F69" i="20"/>
  <c r="D74" i="3"/>
  <c r="Q63" i="21"/>
  <c r="U49" i="22"/>
  <c r="Q72" i="21"/>
  <c r="Q36" i="21"/>
  <c r="Q40" i="21"/>
  <c r="U29" i="22"/>
  <c r="Q91" i="21"/>
  <c r="Q53" i="21"/>
  <c r="U42" i="22"/>
  <c r="Q58" i="21"/>
  <c r="Q35" i="21"/>
  <c r="U68" i="21"/>
  <c r="Y68" i="22"/>
  <c r="U44" i="22"/>
  <c r="Q80" i="21"/>
  <c r="U41" i="22"/>
  <c r="Q83" i="21"/>
  <c r="U69" i="21"/>
  <c r="Y69" i="22"/>
  <c r="Q92" i="21"/>
  <c r="Q6" i="21"/>
  <c r="J61" i="22"/>
  <c r="J93" i="22"/>
  <c r="G66" i="21"/>
  <c r="G85" i="21"/>
  <c r="J40" i="22"/>
  <c r="G54" i="21"/>
  <c r="G82" i="21"/>
  <c r="J99" i="22"/>
  <c r="J87" i="22"/>
  <c r="J51" i="22"/>
  <c r="G68" i="21"/>
  <c r="G56" i="21"/>
  <c r="J56" i="22"/>
  <c r="G23" i="21"/>
  <c r="J73" i="22"/>
  <c r="G73" i="21"/>
  <c r="J86" i="22"/>
  <c r="G86" i="21"/>
  <c r="G36" i="21"/>
  <c r="J36" i="22"/>
  <c r="J34" i="22"/>
  <c r="J43" i="22"/>
  <c r="G37" i="21"/>
  <c r="J74" i="22"/>
  <c r="G77" i="21"/>
  <c r="J80" i="22"/>
  <c r="G80" i="21"/>
  <c r="J35" i="22"/>
  <c r="J27" i="22"/>
  <c r="G27" i="21"/>
  <c r="J88" i="22"/>
  <c r="G88" i="21"/>
  <c r="J10" i="22"/>
  <c r="J31" i="22"/>
  <c r="G31" i="21"/>
  <c r="G33" i="21"/>
  <c r="G12" i="21"/>
  <c r="G7" i="21"/>
  <c r="G53" i="21"/>
  <c r="J53" i="22"/>
  <c r="G65" i="21"/>
  <c r="J65" i="22"/>
  <c r="G45" i="21"/>
  <c r="G62" i="21"/>
  <c r="J62" i="22"/>
  <c r="J38" i="22"/>
  <c r="G83" i="21"/>
  <c r="J49" i="22"/>
  <c r="Y20" i="22"/>
  <c r="U20" i="21"/>
  <c r="Y9" i="22"/>
  <c r="U9" i="21"/>
  <c r="U60" i="22"/>
  <c r="Q60" i="21"/>
  <c r="U52" i="22"/>
  <c r="Q52" i="21"/>
  <c r="U46" i="22"/>
  <c r="Q46" i="21"/>
  <c r="Q88" i="21"/>
  <c r="U48" i="22"/>
  <c r="Q48" i="21"/>
  <c r="U59" i="21"/>
  <c r="Y59" i="22"/>
  <c r="U21" i="22"/>
  <c r="Q21" i="21"/>
  <c r="U10" i="22"/>
  <c r="Q10" i="21"/>
  <c r="Y10" i="22"/>
  <c r="U10" i="21"/>
  <c r="U15" i="22"/>
  <c r="Q15" i="21"/>
  <c r="Q13" i="21"/>
  <c r="U13" i="22"/>
  <c r="U45" i="22"/>
  <c r="Q45" i="21"/>
  <c r="U64" i="22"/>
  <c r="Q64" i="21"/>
  <c r="U28" i="21"/>
  <c r="Y28" i="22"/>
  <c r="U49" i="21"/>
  <c r="Y49" i="22"/>
  <c r="U32" i="22"/>
  <c r="Q32" i="21"/>
  <c r="Q33" i="21"/>
  <c r="M18" i="20"/>
  <c r="I18" i="21" s="1"/>
  <c r="I5" i="20"/>
  <c r="O22" i="20"/>
  <c r="O22" i="22" s="1"/>
  <c r="H12" i="20"/>
  <c r="H8" i="20"/>
  <c r="H10" i="20"/>
  <c r="H10" i="22" s="1"/>
  <c r="H14" i="20"/>
  <c r="H18" i="20"/>
  <c r="H16" i="20"/>
  <c r="H25" i="20"/>
  <c r="H26" i="20"/>
  <c r="H5" i="20"/>
  <c r="H24" i="20"/>
  <c r="H19" i="20"/>
  <c r="H22" i="20"/>
  <c r="H23" i="20"/>
  <c r="H11" i="20"/>
  <c r="H17" i="20"/>
  <c r="H9" i="20"/>
  <c r="H7" i="20"/>
  <c r="H13" i="20"/>
  <c r="H27" i="20"/>
  <c r="H21" i="20"/>
  <c r="H15" i="20"/>
  <c r="H20" i="20"/>
  <c r="G9" i="20"/>
  <c r="G23" i="20"/>
  <c r="G13" i="20"/>
  <c r="G25" i="20"/>
  <c r="G27" i="20"/>
  <c r="G5" i="20"/>
  <c r="G17" i="20"/>
  <c r="G21" i="20"/>
  <c r="G26" i="20"/>
  <c r="G22" i="20"/>
  <c r="G11" i="20"/>
  <c r="G18" i="20"/>
  <c r="G10" i="20"/>
  <c r="G24" i="20"/>
  <c r="G20" i="20"/>
  <c r="G8" i="20"/>
  <c r="G12" i="20"/>
  <c r="G15" i="20"/>
  <c r="G19" i="20"/>
  <c r="G7" i="20"/>
  <c r="G16" i="20"/>
  <c r="G14" i="20"/>
  <c r="F5" i="20"/>
  <c r="F11" i="20"/>
  <c r="F23" i="20"/>
  <c r="F7" i="20"/>
  <c r="F7" i="22" s="1"/>
  <c r="F18" i="20"/>
  <c r="F27" i="20"/>
  <c r="F25" i="20"/>
  <c r="F9" i="20"/>
  <c r="F22" i="20"/>
  <c r="F10" i="20"/>
  <c r="F26" i="20"/>
  <c r="F21" i="20"/>
  <c r="F14" i="20"/>
  <c r="F20" i="20"/>
  <c r="F12" i="20"/>
  <c r="F6" i="20"/>
  <c r="F6" i="22" s="1"/>
  <c r="F13" i="20"/>
  <c r="F19" i="20"/>
  <c r="F8" i="20"/>
  <c r="F17" i="20"/>
  <c r="F24" i="20"/>
  <c r="F15" i="20"/>
  <c r="F16" i="20"/>
  <c r="R8" i="20"/>
  <c r="R26" i="20"/>
  <c r="R14" i="20"/>
  <c r="R19" i="20"/>
  <c r="R22" i="20"/>
  <c r="R5" i="20"/>
  <c r="R11" i="20"/>
  <c r="R28" i="20"/>
  <c r="R21" i="20"/>
  <c r="R10" i="20"/>
  <c r="R13" i="20"/>
  <c r="R7" i="20"/>
  <c r="R20" i="20"/>
  <c r="R24" i="20"/>
  <c r="R25" i="20"/>
  <c r="R27" i="20"/>
  <c r="R15" i="20"/>
  <c r="R23" i="20"/>
  <c r="R17" i="20"/>
  <c r="R18" i="20"/>
  <c r="R9" i="20"/>
  <c r="R16" i="20"/>
  <c r="L7" i="20"/>
  <c r="L17" i="20"/>
  <c r="L9" i="20"/>
  <c r="L19" i="20"/>
  <c r="L13" i="20"/>
  <c r="L24" i="20"/>
  <c r="L5" i="20"/>
  <c r="L15" i="20"/>
  <c r="L28" i="20"/>
  <c r="L20" i="20"/>
  <c r="L26" i="20"/>
  <c r="L21" i="20"/>
  <c r="L8" i="20"/>
  <c r="L11" i="20"/>
  <c r="L18" i="20"/>
  <c r="L25" i="20"/>
  <c r="L10" i="20"/>
  <c r="L27" i="20"/>
  <c r="L14" i="20"/>
  <c r="L22" i="20"/>
  <c r="L23" i="20"/>
  <c r="L16" i="20"/>
  <c r="I11" i="21"/>
  <c r="M11" i="22"/>
  <c r="M27" i="20"/>
  <c r="M13" i="20"/>
  <c r="M21" i="20"/>
  <c r="M8" i="20"/>
  <c r="M14" i="20"/>
  <c r="M23" i="20"/>
  <c r="M9" i="20"/>
  <c r="M15" i="20"/>
  <c r="M25" i="20"/>
  <c r="M5" i="20"/>
  <c r="M20" i="20"/>
  <c r="M26" i="20"/>
  <c r="M10" i="20"/>
  <c r="M7" i="20"/>
  <c r="M16" i="20"/>
  <c r="M22" i="20"/>
  <c r="M28" i="20"/>
  <c r="M19" i="20"/>
  <c r="M17" i="20"/>
  <c r="M24" i="20"/>
  <c r="N5" i="20"/>
  <c r="O5" i="20"/>
  <c r="O26" i="20"/>
  <c r="O21" i="20"/>
  <c r="O7" i="20"/>
  <c r="O8" i="20"/>
  <c r="O9" i="20"/>
  <c r="O17" i="20"/>
  <c r="O16" i="20"/>
  <c r="O28" i="20"/>
  <c r="O27" i="20"/>
  <c r="O13" i="20"/>
  <c r="O18" i="20"/>
  <c r="O10" i="20"/>
  <c r="O20" i="20"/>
  <c r="O24" i="20"/>
  <c r="O25" i="20"/>
  <c r="O14" i="20"/>
  <c r="O23" i="20"/>
  <c r="O15" i="20"/>
  <c r="O19" i="20"/>
  <c r="O11" i="20"/>
  <c r="Q8" i="20"/>
  <c r="Q16" i="20"/>
  <c r="Q20" i="20"/>
  <c r="Q5" i="20"/>
  <c r="Q9" i="20"/>
  <c r="Q13" i="20"/>
  <c r="Q17" i="20"/>
  <c r="Q21" i="20"/>
  <c r="Q25" i="20"/>
  <c r="Q10" i="20"/>
  <c r="Q14" i="20"/>
  <c r="Q18" i="20"/>
  <c r="Q22" i="20"/>
  <c r="Q15" i="20"/>
  <c r="Q26" i="20"/>
  <c r="Q19" i="20"/>
  <c r="Q27" i="20"/>
  <c r="Q7" i="20"/>
  <c r="Q23" i="20"/>
  <c r="Q28" i="20"/>
  <c r="Q11" i="20"/>
  <c r="Q24" i="20"/>
  <c r="T33" i="21"/>
  <c r="S33" i="21"/>
  <c r="K12" i="15"/>
  <c r="P66" i="21"/>
  <c r="U66" i="21"/>
  <c r="W14" i="22"/>
  <c r="S14" i="21"/>
  <c r="V14" i="22"/>
  <c r="R14" i="21"/>
  <c r="Y33" i="22"/>
  <c r="U33" i="21"/>
  <c r="R84" i="21"/>
  <c r="R82" i="21"/>
  <c r="W55" i="22"/>
  <c r="S55" i="21"/>
  <c r="U55" i="22"/>
  <c r="Q55" i="21"/>
  <c r="S79" i="21"/>
  <c r="R51" i="21"/>
  <c r="V51" i="22"/>
  <c r="K35" i="15"/>
  <c r="R76" i="21"/>
  <c r="T43" i="22"/>
  <c r="P43" i="21"/>
  <c r="P74" i="21"/>
  <c r="Q30" i="21"/>
  <c r="U30" i="22"/>
  <c r="T30" i="22"/>
  <c r="P30" i="21"/>
  <c r="P93" i="21"/>
  <c r="S71" i="21"/>
  <c r="U31" i="22"/>
  <c r="Q31" i="21"/>
  <c r="R90" i="21"/>
  <c r="R68" i="21"/>
  <c r="R66" i="21"/>
  <c r="S66" i="21"/>
  <c r="Q14" i="21"/>
  <c r="U14" i="22"/>
  <c r="T14" i="22"/>
  <c r="P14" i="21"/>
  <c r="T33" i="22"/>
  <c r="P33" i="21"/>
  <c r="W61" i="22"/>
  <c r="S61" i="21"/>
  <c r="Y61" i="22"/>
  <c r="U61" i="21"/>
  <c r="K73" i="15"/>
  <c r="Q82" i="21"/>
  <c r="P55" i="21"/>
  <c r="T55" i="22"/>
  <c r="U7" i="22"/>
  <c r="Q7" i="21"/>
  <c r="Q79" i="21"/>
  <c r="U51" i="22"/>
  <c r="Q51" i="21"/>
  <c r="T51" i="22"/>
  <c r="P51" i="21"/>
  <c r="T76" i="21"/>
  <c r="W43" i="22"/>
  <c r="S43" i="21"/>
  <c r="Y43" i="22"/>
  <c r="U43" i="21"/>
  <c r="Q96" i="21"/>
  <c r="T74" i="21"/>
  <c r="W30" i="22"/>
  <c r="S30" i="21"/>
  <c r="Y30" i="22"/>
  <c r="U30" i="21"/>
  <c r="Q93" i="21"/>
  <c r="R71" i="21"/>
  <c r="T31" i="22"/>
  <c r="P31" i="21"/>
  <c r="W31" i="22"/>
  <c r="S31" i="21"/>
  <c r="Q90" i="21"/>
  <c r="R87" i="21"/>
  <c r="Q87" i="21"/>
  <c r="Q66" i="21"/>
  <c r="R33" i="21"/>
  <c r="V33" i="22"/>
  <c r="Q84" i="21"/>
  <c r="V61" i="22"/>
  <c r="R61" i="21"/>
  <c r="X61" i="22"/>
  <c r="T61" i="21"/>
  <c r="P82" i="21"/>
  <c r="Y55" i="22"/>
  <c r="U55" i="21"/>
  <c r="S7" i="21"/>
  <c r="W7" i="22"/>
  <c r="P79" i="21"/>
  <c r="W51" i="22"/>
  <c r="S51" i="21"/>
  <c r="P76" i="21"/>
  <c r="Q76" i="21"/>
  <c r="X43" i="22"/>
  <c r="T43" i="21"/>
  <c r="R43" i="21"/>
  <c r="V43" i="22"/>
  <c r="P96" i="21"/>
  <c r="R74" i="21"/>
  <c r="X30" i="22"/>
  <c r="T30" i="21"/>
  <c r="V30" i="22"/>
  <c r="R30" i="21"/>
  <c r="T71" i="21"/>
  <c r="P71" i="21"/>
  <c r="Y31" i="22"/>
  <c r="U31" i="21"/>
  <c r="T31" i="21"/>
  <c r="X31" i="22"/>
  <c r="S68" i="21"/>
  <c r="Q68" i="21"/>
  <c r="P87" i="21"/>
  <c r="T66" i="21"/>
  <c r="Y14" i="22"/>
  <c r="U14" i="21"/>
  <c r="T14" i="21"/>
  <c r="X14" i="22"/>
  <c r="P84" i="21"/>
  <c r="T61" i="22"/>
  <c r="P61" i="21"/>
  <c r="U61" i="22"/>
  <c r="Q61" i="21"/>
  <c r="X55" i="22"/>
  <c r="T55" i="21"/>
  <c r="V55" i="22"/>
  <c r="R55" i="21"/>
  <c r="P101" i="21"/>
  <c r="R79" i="21"/>
  <c r="Y51" i="22"/>
  <c r="U51" i="21"/>
  <c r="X51" i="22"/>
  <c r="T51" i="21"/>
  <c r="T99" i="22"/>
  <c r="P99" i="21"/>
  <c r="S76" i="21"/>
  <c r="U43" i="22"/>
  <c r="Q43" i="21"/>
  <c r="S74" i="21"/>
  <c r="Q74" i="21"/>
  <c r="Q71" i="21"/>
  <c r="V31" i="22"/>
  <c r="R31" i="21"/>
  <c r="P90" i="21"/>
  <c r="P68" i="21"/>
  <c r="T68" i="21"/>
  <c r="K29" i="15"/>
  <c r="S8" i="20"/>
  <c r="S12" i="20"/>
  <c r="S17" i="20"/>
  <c r="S25" i="20"/>
  <c r="S41" i="20"/>
  <c r="S57" i="20"/>
  <c r="S73" i="20"/>
  <c r="S73" i="22" s="1"/>
  <c r="S89" i="20"/>
  <c r="S89" i="22" s="1"/>
  <c r="S32" i="20"/>
  <c r="S48" i="20"/>
  <c r="S64" i="20"/>
  <c r="S80" i="20"/>
  <c r="S80" i="22" s="1"/>
  <c r="S96" i="20"/>
  <c r="S96" i="22" s="1"/>
  <c r="S22" i="20"/>
  <c r="S35" i="20"/>
  <c r="S51" i="20"/>
  <c r="S67" i="20"/>
  <c r="S67" i="22" s="1"/>
  <c r="S83" i="20"/>
  <c r="S83" i="22" s="1"/>
  <c r="S98" i="20"/>
  <c r="S26" i="20"/>
  <c r="S42" i="20"/>
  <c r="S58" i="20"/>
  <c r="S74" i="20"/>
  <c r="S74" i="22" s="1"/>
  <c r="S90" i="20"/>
  <c r="S90" i="22" s="1"/>
  <c r="S9" i="20"/>
  <c r="S13" i="20"/>
  <c r="S19" i="20"/>
  <c r="S29" i="20"/>
  <c r="S45" i="20"/>
  <c r="S61" i="20"/>
  <c r="S77" i="20"/>
  <c r="S77" i="22" s="1"/>
  <c r="S93" i="20"/>
  <c r="S93" i="22" s="1"/>
  <c r="S36" i="20"/>
  <c r="S52" i="20"/>
  <c r="S68" i="20"/>
  <c r="S68" i="22" s="1"/>
  <c r="S84" i="20"/>
  <c r="S84" i="22" s="1"/>
  <c r="S16" i="20"/>
  <c r="S24" i="20"/>
  <c r="S39" i="20"/>
  <c r="S55" i="20"/>
  <c r="S71" i="20"/>
  <c r="S71" i="22" s="1"/>
  <c r="S87" i="20"/>
  <c r="S87" i="22" s="1"/>
  <c r="S99" i="20"/>
  <c r="S30" i="20"/>
  <c r="S46" i="20"/>
  <c r="S62" i="20"/>
  <c r="S78" i="20"/>
  <c r="S78" i="22" s="1"/>
  <c r="S94" i="20"/>
  <c r="S94" i="22" s="1"/>
  <c r="S5" i="20"/>
  <c r="S10" i="20"/>
  <c r="S14" i="20"/>
  <c r="S21" i="20"/>
  <c r="S33" i="20"/>
  <c r="S49" i="20"/>
  <c r="S65" i="20"/>
  <c r="S81" i="20"/>
  <c r="S81" i="22" s="1"/>
  <c r="S97" i="20"/>
  <c r="S40" i="20"/>
  <c r="S56" i="20"/>
  <c r="S72" i="20"/>
  <c r="S72" i="22" s="1"/>
  <c r="S88" i="20"/>
  <c r="S88" i="22" s="1"/>
  <c r="S18" i="20"/>
  <c r="S27" i="20"/>
  <c r="S43" i="20"/>
  <c r="S59" i="20"/>
  <c r="S75" i="20"/>
  <c r="S75" i="22" s="1"/>
  <c r="S91" i="20"/>
  <c r="S91" i="22" s="1"/>
  <c r="S100" i="20"/>
  <c r="S34" i="20"/>
  <c r="S50" i="20"/>
  <c r="S66" i="20"/>
  <c r="S66" i="22" s="1"/>
  <c r="S82" i="20"/>
  <c r="S82" i="22" s="1"/>
  <c r="S23" i="20"/>
  <c r="S85" i="20"/>
  <c r="S85" i="22" s="1"/>
  <c r="S76" i="20"/>
  <c r="S76" i="22" s="1"/>
  <c r="S47" i="20"/>
  <c r="S101" i="20"/>
  <c r="S86" i="20"/>
  <c r="S86" i="22" s="1"/>
  <c r="S7" i="20"/>
  <c r="S37" i="20"/>
  <c r="S28" i="20"/>
  <c r="S92" i="20"/>
  <c r="S92" i="22" s="1"/>
  <c r="S63" i="20"/>
  <c r="S38" i="20"/>
  <c r="S11" i="20"/>
  <c r="S53" i="20"/>
  <c r="S44" i="20"/>
  <c r="S20" i="20"/>
  <c r="S79" i="20"/>
  <c r="S79" i="22" s="1"/>
  <c r="S54" i="20"/>
  <c r="S15" i="20"/>
  <c r="S69" i="20"/>
  <c r="S69" i="22" s="1"/>
  <c r="S60" i="20"/>
  <c r="S31" i="20"/>
  <c r="S95" i="20"/>
  <c r="S95" i="22" s="1"/>
  <c r="S70" i="20"/>
  <c r="S70" i="22" s="1"/>
  <c r="P81" i="21"/>
  <c r="S81" i="21"/>
  <c r="W65" i="22"/>
  <c r="S65" i="21"/>
  <c r="W24" i="22"/>
  <c r="S24" i="21"/>
  <c r="U24" i="21"/>
  <c r="Y24" i="22"/>
  <c r="P77" i="21"/>
  <c r="R57" i="21"/>
  <c r="V57" i="22"/>
  <c r="R89" i="21"/>
  <c r="Q89" i="21"/>
  <c r="Q73" i="21"/>
  <c r="T73" i="21"/>
  <c r="P50" i="21"/>
  <c r="T50" i="22"/>
  <c r="W50" i="22"/>
  <c r="S50" i="21"/>
  <c r="P69" i="21"/>
  <c r="Y39" i="22"/>
  <c r="U39" i="21"/>
  <c r="T39" i="21"/>
  <c r="X39" i="22"/>
  <c r="Q81" i="21"/>
  <c r="R81" i="21"/>
  <c r="U65" i="22"/>
  <c r="Q65" i="21"/>
  <c r="K70" i="15"/>
  <c r="X24" i="22"/>
  <c r="T24" i="21"/>
  <c r="R24" i="21"/>
  <c r="V24" i="22"/>
  <c r="P94" i="21"/>
  <c r="Q77" i="21"/>
  <c r="U57" i="22"/>
  <c r="Q57" i="21"/>
  <c r="S57" i="21"/>
  <c r="W57" i="22"/>
  <c r="P89" i="21"/>
  <c r="P73" i="21"/>
  <c r="U50" i="21"/>
  <c r="Y50" i="22"/>
  <c r="X50" i="22"/>
  <c r="T50" i="21"/>
  <c r="K90" i="15"/>
  <c r="P85" i="21"/>
  <c r="K74" i="15"/>
  <c r="Q69" i="21"/>
  <c r="V39" i="22"/>
  <c r="R39" i="21"/>
  <c r="K44" i="15"/>
  <c r="P98" i="21"/>
  <c r="T98" i="22"/>
  <c r="P65" i="21"/>
  <c r="T65" i="22"/>
  <c r="X65" i="22"/>
  <c r="T65" i="21"/>
  <c r="Q24" i="21"/>
  <c r="U24" i="22"/>
  <c r="Q94" i="21"/>
  <c r="K82" i="15"/>
  <c r="S77" i="21"/>
  <c r="K62" i="15"/>
  <c r="T57" i="22"/>
  <c r="P57" i="21"/>
  <c r="R73" i="21"/>
  <c r="V50" i="22"/>
  <c r="R50" i="21"/>
  <c r="S69" i="21"/>
  <c r="T69" i="21"/>
  <c r="U39" i="22"/>
  <c r="Q39" i="21"/>
  <c r="K86" i="15"/>
  <c r="R65" i="21"/>
  <c r="V65" i="22"/>
  <c r="Y65" i="22"/>
  <c r="U65" i="21"/>
  <c r="T24" i="22"/>
  <c r="P24" i="21"/>
  <c r="T77" i="21"/>
  <c r="R77" i="21"/>
  <c r="X57" i="22"/>
  <c r="T57" i="21"/>
  <c r="Y57" i="22"/>
  <c r="U57" i="21"/>
  <c r="K94" i="15"/>
  <c r="S73" i="21"/>
  <c r="K78" i="15"/>
  <c r="U50" i="22"/>
  <c r="Q50" i="21"/>
  <c r="Q85" i="21"/>
  <c r="R85" i="21"/>
  <c r="R69" i="21"/>
  <c r="S39" i="21"/>
  <c r="W39" i="22"/>
  <c r="P39" i="21"/>
  <c r="T39" i="22"/>
  <c r="J59" i="22" l="1"/>
  <c r="G97" i="21"/>
  <c r="G75" i="21"/>
  <c r="G94" i="21"/>
  <c r="G70" i="21"/>
  <c r="G16" i="21"/>
  <c r="J72" i="22"/>
  <c r="G96" i="21"/>
  <c r="G18" i="21"/>
  <c r="G63" i="21"/>
  <c r="J21" i="22"/>
  <c r="G92" i="21"/>
  <c r="J58" i="22"/>
  <c r="G71" i="21"/>
  <c r="J26" i="22"/>
  <c r="J69" i="22"/>
  <c r="J52" i="22"/>
  <c r="J13" i="22"/>
  <c r="G41" i="21"/>
  <c r="J11" i="22"/>
  <c r="J25" i="22"/>
  <c r="J20" i="22"/>
  <c r="G42" i="21"/>
  <c r="G78" i="21"/>
  <c r="J6" i="22"/>
  <c r="G9" i="21"/>
  <c r="G24" i="21"/>
  <c r="G60" i="21"/>
  <c r="J91" i="22"/>
  <c r="J84" i="22"/>
  <c r="J22" i="22"/>
  <c r="J64" i="22"/>
  <c r="G98" i="21"/>
  <c r="J48" i="22"/>
  <c r="G95" i="21"/>
  <c r="J57" i="22"/>
  <c r="G19" i="21"/>
  <c r="G46" i="21"/>
  <c r="G8" i="21"/>
  <c r="G76" i="21"/>
  <c r="J28" i="22"/>
  <c r="J29" i="22"/>
  <c r="J32" i="22"/>
  <c r="J47" i="22"/>
  <c r="G15" i="21"/>
  <c r="J89" i="22"/>
  <c r="G44" i="21"/>
  <c r="J14" i="22"/>
  <c r="N12" i="19"/>
  <c r="N12" i="20" s="1"/>
  <c r="N12" i="22" s="1"/>
  <c r="J101" i="22"/>
  <c r="L11" i="21"/>
  <c r="L21" i="21"/>
  <c r="P16" i="22"/>
  <c r="P14" i="22"/>
  <c r="J55" i="22"/>
  <c r="N19" i="19"/>
  <c r="N19" i="20" s="1"/>
  <c r="N19" i="22" s="1"/>
  <c r="D24" i="10"/>
  <c r="F24" i="10" s="1"/>
  <c r="I25" i="19"/>
  <c r="I25" i="20" s="1"/>
  <c r="F25" i="21" s="1"/>
  <c r="D30" i="6"/>
  <c r="I6" i="19"/>
  <c r="I6" i="20" s="1"/>
  <c r="F6" i="21" s="1"/>
  <c r="D11" i="6"/>
  <c r="I14" i="19"/>
  <c r="I14" i="20" s="1"/>
  <c r="I14" i="22" s="1"/>
  <c r="D19" i="6"/>
  <c r="N7" i="19"/>
  <c r="N7" i="20" s="1"/>
  <c r="N7" i="22" s="1"/>
  <c r="D12" i="10"/>
  <c r="I11" i="19"/>
  <c r="I11" i="20" s="1"/>
  <c r="I11" i="22" s="1"/>
  <c r="D16" i="6"/>
  <c r="I13" i="19"/>
  <c r="I13" i="20" s="1"/>
  <c r="F13" i="21" s="1"/>
  <c r="D18" i="6"/>
  <c r="N13" i="19"/>
  <c r="N13" i="20" s="1"/>
  <c r="N13" i="22" s="1"/>
  <c r="D18" i="10"/>
  <c r="F18" i="10" s="1"/>
  <c r="I24" i="19"/>
  <c r="I24" i="20" s="1"/>
  <c r="I24" i="22" s="1"/>
  <c r="D29" i="6"/>
  <c r="N15" i="19"/>
  <c r="N15" i="20" s="1"/>
  <c r="J15" i="21" s="1"/>
  <c r="D20" i="10"/>
  <c r="F20" i="10" s="1"/>
  <c r="I12" i="19"/>
  <c r="I12" i="20" s="1"/>
  <c r="F12" i="21" s="1"/>
  <c r="D17" i="6"/>
  <c r="N14" i="19"/>
  <c r="N14" i="20" s="1"/>
  <c r="N14" i="22" s="1"/>
  <c r="D19" i="10"/>
  <c r="F19" i="10" s="1"/>
  <c r="I8" i="19"/>
  <c r="I8" i="20" s="1"/>
  <c r="I8" i="22" s="1"/>
  <c r="D13" i="6"/>
  <c r="G17" i="21"/>
  <c r="I10" i="19"/>
  <c r="I10" i="20" s="1"/>
  <c r="F10" i="21" s="1"/>
  <c r="D15" i="6"/>
  <c r="N26" i="19"/>
  <c r="N26" i="20" s="1"/>
  <c r="N26" i="22" s="1"/>
  <c r="D31" i="10"/>
  <c r="F31" i="10" s="1"/>
  <c r="N20" i="19"/>
  <c r="N20" i="20" s="1"/>
  <c r="J20" i="21" s="1"/>
  <c r="D25" i="10"/>
  <c r="F25" i="10" s="1"/>
  <c r="N27" i="19"/>
  <c r="N27" i="20" s="1"/>
  <c r="N27" i="22" s="1"/>
  <c r="D32" i="10"/>
  <c r="F32" i="10" s="1"/>
  <c r="I20" i="19"/>
  <c r="I20" i="20" s="1"/>
  <c r="I20" i="22" s="1"/>
  <c r="D25" i="6"/>
  <c r="N22" i="19"/>
  <c r="N22" i="20" s="1"/>
  <c r="N22" i="22" s="1"/>
  <c r="D27" i="10"/>
  <c r="F27" i="10" s="1"/>
  <c r="I22" i="19"/>
  <c r="I22" i="20" s="1"/>
  <c r="I22" i="22" s="1"/>
  <c r="D27" i="6"/>
  <c r="N10" i="19"/>
  <c r="N10" i="20" s="1"/>
  <c r="N10" i="22" s="1"/>
  <c r="D15" i="10"/>
  <c r="F15" i="10" s="1"/>
  <c r="I7" i="19"/>
  <c r="I7" i="20" s="1"/>
  <c r="I7" i="22" s="1"/>
  <c r="D12" i="6"/>
  <c r="I21" i="19"/>
  <c r="I21" i="20" s="1"/>
  <c r="F21" i="21" s="1"/>
  <c r="D26" i="6"/>
  <c r="N25" i="19"/>
  <c r="N25" i="20" s="1"/>
  <c r="N25" i="22" s="1"/>
  <c r="D30" i="10"/>
  <c r="F30" i="10" s="1"/>
  <c r="I27" i="19"/>
  <c r="I27" i="20" s="1"/>
  <c r="I27" i="22" s="1"/>
  <c r="D32" i="6"/>
  <c r="N8" i="19"/>
  <c r="N8" i="20" s="1"/>
  <c r="N8" i="22" s="1"/>
  <c r="D13" i="10"/>
  <c r="F13" i="10" s="1"/>
  <c r="N28" i="19"/>
  <c r="N28" i="20" s="1"/>
  <c r="N28" i="22" s="1"/>
  <c r="D33" i="10"/>
  <c r="F33" i="10" s="1"/>
  <c r="I26" i="19"/>
  <c r="I26" i="20" s="1"/>
  <c r="I26" i="22" s="1"/>
  <c r="D31" i="6"/>
  <c r="N9" i="19"/>
  <c r="N9" i="20" s="1"/>
  <c r="N9" i="22" s="1"/>
  <c r="D14" i="10"/>
  <c r="F14" i="10" s="1"/>
  <c r="N21" i="19"/>
  <c r="N21" i="20" s="1"/>
  <c r="N21" i="22" s="1"/>
  <c r="D26" i="10"/>
  <c r="F26" i="10" s="1"/>
  <c r="N23" i="19"/>
  <c r="N23" i="20" s="1"/>
  <c r="J23" i="21" s="1"/>
  <c r="D28" i="10"/>
  <c r="F28" i="10" s="1"/>
  <c r="I16" i="19"/>
  <c r="I16" i="20" s="1"/>
  <c r="I16" i="22" s="1"/>
  <c r="D21" i="6"/>
  <c r="N18" i="19"/>
  <c r="N18" i="20" s="1"/>
  <c r="N18" i="22" s="1"/>
  <c r="D23" i="10"/>
  <c r="F23" i="10" s="1"/>
  <c r="I15" i="19"/>
  <c r="I15" i="20" s="1"/>
  <c r="I15" i="22" s="1"/>
  <c r="D20" i="6"/>
  <c r="N17" i="19"/>
  <c r="N17" i="20" s="1"/>
  <c r="N17" i="22" s="1"/>
  <c r="D22" i="10"/>
  <c r="F22" i="10" s="1"/>
  <c r="I17" i="19"/>
  <c r="I17" i="20" s="1"/>
  <c r="I17" i="22" s="1"/>
  <c r="D22" i="6"/>
  <c r="I18" i="19"/>
  <c r="I18" i="20" s="1"/>
  <c r="I18" i="22" s="1"/>
  <c r="D23" i="6"/>
  <c r="N11" i="19"/>
  <c r="N11" i="20" s="1"/>
  <c r="N11" i="22" s="1"/>
  <c r="D16" i="10"/>
  <c r="I19" i="19"/>
  <c r="I19" i="20" s="1"/>
  <c r="I19" i="22" s="1"/>
  <c r="D24" i="6"/>
  <c r="N16" i="19"/>
  <c r="N16" i="20" s="1"/>
  <c r="J16" i="21" s="1"/>
  <c r="D21" i="10"/>
  <c r="F21" i="10" s="1"/>
  <c r="I9" i="19"/>
  <c r="I9" i="20" s="1"/>
  <c r="F9" i="21" s="1"/>
  <c r="D14" i="6"/>
  <c r="I23" i="19"/>
  <c r="I23" i="20" s="1"/>
  <c r="I23" i="22" s="1"/>
  <c r="D28" i="6"/>
  <c r="N24" i="19"/>
  <c r="N24" i="20" s="1"/>
  <c r="J24" i="21" s="1"/>
  <c r="D29" i="10"/>
  <c r="F29" i="10" s="1"/>
  <c r="L15" i="21"/>
  <c r="L7" i="21"/>
  <c r="P24" i="22"/>
  <c r="L13" i="21"/>
  <c r="L19" i="21"/>
  <c r="P28" i="22"/>
  <c r="L23" i="21"/>
  <c r="L10" i="21"/>
  <c r="F29" i="19"/>
  <c r="F29" i="20" s="1"/>
  <c r="C29" i="21" s="1"/>
  <c r="D34" i="3"/>
  <c r="P9" i="22"/>
  <c r="L20" i="21"/>
  <c r="P6" i="22"/>
  <c r="L22" i="21"/>
  <c r="L25" i="21"/>
  <c r="L27" i="21"/>
  <c r="L17" i="21"/>
  <c r="L12" i="21"/>
  <c r="P8" i="22"/>
  <c r="L26" i="21"/>
  <c r="H53" i="19"/>
  <c r="H53" i="20" s="1"/>
  <c r="I28" i="19"/>
  <c r="I28" i="20" s="1"/>
  <c r="I53" i="19"/>
  <c r="I53" i="20" s="1"/>
  <c r="F53" i="21" s="1"/>
  <c r="H101" i="19"/>
  <c r="H101" i="20" s="1"/>
  <c r="E101" i="21" s="1"/>
  <c r="F80" i="20"/>
  <c r="C80" i="21" s="1"/>
  <c r="F56" i="20"/>
  <c r="C56" i="21" s="1"/>
  <c r="D65" i="3"/>
  <c r="F64" i="20"/>
  <c r="G82" i="20"/>
  <c r="D90" i="4"/>
  <c r="G85" i="20"/>
  <c r="D85" i="21" s="1"/>
  <c r="G61" i="20"/>
  <c r="G100" i="20"/>
  <c r="G90" i="20"/>
  <c r="F46" i="20"/>
  <c r="F46" i="22" s="1"/>
  <c r="G51" i="20"/>
  <c r="F98" i="20"/>
  <c r="F65" i="20"/>
  <c r="C65" i="21" s="1"/>
  <c r="F87" i="20"/>
  <c r="F88" i="20"/>
  <c r="F84" i="20"/>
  <c r="F84" i="22" s="1"/>
  <c r="F90" i="20"/>
  <c r="C90" i="21" s="1"/>
  <c r="F53" i="20"/>
  <c r="C53" i="21" s="1"/>
  <c r="F94" i="20"/>
  <c r="F94" i="22" s="1"/>
  <c r="F76" i="20"/>
  <c r="F76" i="22" s="1"/>
  <c r="F66" i="20"/>
  <c r="C66" i="21" s="1"/>
  <c r="F51" i="20"/>
  <c r="F51" i="22" s="1"/>
  <c r="G55" i="20"/>
  <c r="G50" i="20"/>
  <c r="D50" i="21" s="1"/>
  <c r="G56" i="20"/>
  <c r="D56" i="21" s="1"/>
  <c r="G63" i="20"/>
  <c r="D63" i="21" s="1"/>
  <c r="G59" i="20"/>
  <c r="G59" i="22" s="1"/>
  <c r="G54" i="20"/>
  <c r="D54" i="21" s="1"/>
  <c r="D98" i="4"/>
  <c r="G93" i="20"/>
  <c r="G93" i="22" s="1"/>
  <c r="D71" i="4"/>
  <c r="G66" i="20"/>
  <c r="G66" i="22" s="1"/>
  <c r="D77" i="4"/>
  <c r="D68" i="3"/>
  <c r="F63" i="20"/>
  <c r="C63" i="21" s="1"/>
  <c r="F47" i="20"/>
  <c r="C47" i="21" s="1"/>
  <c r="D101" i="4"/>
  <c r="G96" i="20"/>
  <c r="D96" i="21" s="1"/>
  <c r="D54" i="3"/>
  <c r="F49" i="20"/>
  <c r="C49" i="21" s="1"/>
  <c r="F32" i="20"/>
  <c r="F32" i="22" s="1"/>
  <c r="D78" i="3"/>
  <c r="F73" i="20"/>
  <c r="C73" i="21" s="1"/>
  <c r="D47" i="3"/>
  <c r="F42" i="20"/>
  <c r="C42" i="21" s="1"/>
  <c r="G86" i="20"/>
  <c r="G78" i="20"/>
  <c r="D63" i="4"/>
  <c r="G58" i="20"/>
  <c r="D58" i="21" s="1"/>
  <c r="F67" i="20"/>
  <c r="F67" i="22" s="1"/>
  <c r="F78" i="20"/>
  <c r="F78" i="22" s="1"/>
  <c r="F58" i="20"/>
  <c r="F58" i="22" s="1"/>
  <c r="D60" i="3"/>
  <c r="G88" i="20"/>
  <c r="D88" i="21" s="1"/>
  <c r="G57" i="20"/>
  <c r="G57" i="22" s="1"/>
  <c r="D103" i="4"/>
  <c r="G98" i="20"/>
  <c r="D98" i="21" s="1"/>
  <c r="F50" i="20"/>
  <c r="C50" i="21" s="1"/>
  <c r="D40" i="3"/>
  <c r="F35" i="20"/>
  <c r="C35" i="21" s="1"/>
  <c r="F38" i="20"/>
  <c r="C38" i="21" s="1"/>
  <c r="D84" i="4"/>
  <c r="G79" i="20"/>
  <c r="G79" i="22" s="1"/>
  <c r="F101" i="20"/>
  <c r="C101" i="21" s="1"/>
  <c r="F95" i="20"/>
  <c r="C95" i="21" s="1"/>
  <c r="F75" i="20"/>
  <c r="F75" i="22" s="1"/>
  <c r="D82" i="3"/>
  <c r="F77" i="20"/>
  <c r="F77" i="22" s="1"/>
  <c r="D87" i="3"/>
  <c r="F82" i="20"/>
  <c r="F82" i="22" s="1"/>
  <c r="D86" i="3"/>
  <c r="F81" i="20"/>
  <c r="F81" i="22" s="1"/>
  <c r="D94" i="3"/>
  <c r="F89" i="20"/>
  <c r="F89" i="22" s="1"/>
  <c r="F70" i="20"/>
  <c r="F68" i="20"/>
  <c r="D38" i="3"/>
  <c r="F33" i="20"/>
  <c r="C33" i="21" s="1"/>
  <c r="F71" i="20"/>
  <c r="F71" i="22" s="1"/>
  <c r="F83" i="20"/>
  <c r="C83" i="21" s="1"/>
  <c r="G87" i="20"/>
  <c r="G87" i="22" s="1"/>
  <c r="G62" i="20"/>
  <c r="D62" i="21" s="1"/>
  <c r="G70" i="20"/>
  <c r="D70" i="21" s="1"/>
  <c r="D100" i="4"/>
  <c r="G95" i="20"/>
  <c r="G95" i="22" s="1"/>
  <c r="G83" i="20"/>
  <c r="D83" i="21" s="1"/>
  <c r="D57" i="4"/>
  <c r="G52" i="20"/>
  <c r="D52" i="21" s="1"/>
  <c r="G71" i="20"/>
  <c r="D94" i="4"/>
  <c r="G94" i="20"/>
  <c r="D94" i="21" s="1"/>
  <c r="F72" i="20"/>
  <c r="F72" i="22" s="1"/>
  <c r="D42" i="3"/>
  <c r="F37" i="20"/>
  <c r="F37" i="22" s="1"/>
  <c r="G68" i="20"/>
  <c r="D68" i="21" s="1"/>
  <c r="D45" i="3"/>
  <c r="F40" i="20"/>
  <c r="C40" i="21" s="1"/>
  <c r="D50" i="3"/>
  <c r="F48" i="20"/>
  <c r="C48" i="21" s="1"/>
  <c r="F36" i="20"/>
  <c r="D57" i="3"/>
  <c r="F52" i="20"/>
  <c r="C52" i="21" s="1"/>
  <c r="F91" i="20"/>
  <c r="F54" i="20"/>
  <c r="C54" i="21" s="1"/>
  <c r="G92" i="20"/>
  <c r="G73" i="20"/>
  <c r="G99" i="20"/>
  <c r="F93" i="20"/>
  <c r="F41" i="20"/>
  <c r="C41" i="21" s="1"/>
  <c r="D81" i="4"/>
  <c r="G76" i="20"/>
  <c r="G76" i="22" s="1"/>
  <c r="D35" i="4"/>
  <c r="G30" i="20"/>
  <c r="D30" i="21" s="1"/>
  <c r="F99" i="20"/>
  <c r="C99" i="21" s="1"/>
  <c r="F92" i="20"/>
  <c r="F62" i="20"/>
  <c r="F86" i="20"/>
  <c r="C86" i="21" s="1"/>
  <c r="F79" i="20"/>
  <c r="C79" i="21" s="1"/>
  <c r="D64" i="3"/>
  <c r="F59" i="20"/>
  <c r="F59" i="22" s="1"/>
  <c r="F96" i="20"/>
  <c r="F96" i="22" s="1"/>
  <c r="D62" i="3"/>
  <c r="F57" i="20"/>
  <c r="C57" i="21" s="1"/>
  <c r="F61" i="20"/>
  <c r="F61" i="22" s="1"/>
  <c r="F100" i="20"/>
  <c r="F100" i="22" s="1"/>
  <c r="D90" i="3"/>
  <c r="F85" i="20"/>
  <c r="F85" i="22" s="1"/>
  <c r="D102" i="3"/>
  <c r="F97" i="20"/>
  <c r="C97" i="21" s="1"/>
  <c r="G97" i="20"/>
  <c r="G67" i="20"/>
  <c r="G60" i="20"/>
  <c r="D60" i="21" s="1"/>
  <c r="G53" i="20"/>
  <c r="D53" i="21" s="1"/>
  <c r="D79" i="4"/>
  <c r="G74" i="20"/>
  <c r="D74" i="21" s="1"/>
  <c r="G80" i="20"/>
  <c r="G80" i="22" s="1"/>
  <c r="G84" i="20"/>
  <c r="G65" i="20"/>
  <c r="G65" i="22" s="1"/>
  <c r="G91" i="20"/>
  <c r="G91" i="22" s="1"/>
  <c r="G75" i="20"/>
  <c r="D79" i="3"/>
  <c r="F74" i="20"/>
  <c r="C74" i="21" s="1"/>
  <c r="G101" i="20"/>
  <c r="F34" i="20"/>
  <c r="C34" i="21" s="1"/>
  <c r="F44" i="20"/>
  <c r="C44" i="21" s="1"/>
  <c r="H96" i="20"/>
  <c r="H96" i="22" s="1"/>
  <c r="D69" i="4"/>
  <c r="G64" i="20"/>
  <c r="G64" i="22" s="1"/>
  <c r="G81" i="20"/>
  <c r="D81" i="21" s="1"/>
  <c r="D74" i="4"/>
  <c r="G69" i="20"/>
  <c r="G69" i="22" s="1"/>
  <c r="I48" i="20"/>
  <c r="F48" i="21" s="1"/>
  <c r="C34" i="19"/>
  <c r="C32" i="19"/>
  <c r="C33" i="19"/>
  <c r="H29" i="19"/>
  <c r="I29" i="19"/>
  <c r="I46" i="19"/>
  <c r="I32" i="19"/>
  <c r="I43" i="19"/>
  <c r="I49" i="19"/>
  <c r="I40" i="19"/>
  <c r="D53" i="6"/>
  <c r="I45" i="19"/>
  <c r="I42" i="19"/>
  <c r="I37" i="19"/>
  <c r="I44" i="19"/>
  <c r="I36" i="19"/>
  <c r="I39" i="19"/>
  <c r="I33" i="19"/>
  <c r="I31" i="19"/>
  <c r="I41" i="19"/>
  <c r="I38" i="19"/>
  <c r="I47" i="19"/>
  <c r="I34" i="19"/>
  <c r="I35" i="19"/>
  <c r="D91" i="4"/>
  <c r="D83" i="4"/>
  <c r="D68" i="4"/>
  <c r="D66" i="3"/>
  <c r="H52" i="19"/>
  <c r="H66" i="19"/>
  <c r="D101" i="5"/>
  <c r="D56" i="4"/>
  <c r="H47" i="19"/>
  <c r="H81" i="19"/>
  <c r="H84" i="19"/>
  <c r="H83" i="19"/>
  <c r="D86" i="4"/>
  <c r="I61" i="19"/>
  <c r="H44" i="19"/>
  <c r="H34" i="19"/>
  <c r="D46" i="3"/>
  <c r="H82" i="19"/>
  <c r="H69" i="19"/>
  <c r="D95" i="3"/>
  <c r="D66" i="4"/>
  <c r="D41" i="3"/>
  <c r="H36" i="19"/>
  <c r="H72" i="19"/>
  <c r="H56" i="19"/>
  <c r="H31" i="19"/>
  <c r="H79" i="19"/>
  <c r="H99" i="19"/>
  <c r="H94" i="19"/>
  <c r="D95" i="4"/>
  <c r="D64" i="4"/>
  <c r="D58" i="5"/>
  <c r="F58" i="5" s="1"/>
  <c r="D76" i="3"/>
  <c r="G72" i="20"/>
  <c r="G72" i="22" s="1"/>
  <c r="H33" i="19"/>
  <c r="D53" i="3"/>
  <c r="H45" i="19"/>
  <c r="D52" i="3"/>
  <c r="H39" i="19"/>
  <c r="H51" i="19"/>
  <c r="H68" i="19"/>
  <c r="H80" i="19"/>
  <c r="H71" i="19"/>
  <c r="H59" i="19"/>
  <c r="I91" i="19"/>
  <c r="D59" i="4"/>
  <c r="H43" i="19"/>
  <c r="D49" i="3"/>
  <c r="H78" i="19"/>
  <c r="H55" i="19"/>
  <c r="H62" i="19"/>
  <c r="H63" i="19"/>
  <c r="H73" i="19"/>
  <c r="H92" i="19"/>
  <c r="D106" i="3"/>
  <c r="D51" i="3"/>
  <c r="F45" i="20"/>
  <c r="C45" i="21" s="1"/>
  <c r="D58" i="3"/>
  <c r="I85" i="19"/>
  <c r="I90" i="19"/>
  <c r="H37" i="19"/>
  <c r="H49" i="19"/>
  <c r="H30" i="19"/>
  <c r="H40" i="19"/>
  <c r="H41" i="19"/>
  <c r="H76" i="19"/>
  <c r="H91" i="19"/>
  <c r="H89" i="19"/>
  <c r="H54" i="19"/>
  <c r="H87" i="19"/>
  <c r="H93" i="19"/>
  <c r="H88" i="19"/>
  <c r="H86" i="19"/>
  <c r="H58" i="19"/>
  <c r="H61" i="19"/>
  <c r="H64" i="19"/>
  <c r="H90" i="19"/>
  <c r="H77" i="19"/>
  <c r="D65" i="4"/>
  <c r="I88" i="19"/>
  <c r="H35" i="19"/>
  <c r="H46" i="19"/>
  <c r="H48" i="19"/>
  <c r="H38" i="19"/>
  <c r="H32" i="19"/>
  <c r="D39" i="3"/>
  <c r="H50" i="19"/>
  <c r="H67" i="19"/>
  <c r="H75" i="19"/>
  <c r="H85" i="19"/>
  <c r="H74" i="19"/>
  <c r="H98" i="19"/>
  <c r="H95" i="19"/>
  <c r="H100" i="19"/>
  <c r="H57" i="19"/>
  <c r="H70" i="19"/>
  <c r="H60" i="19"/>
  <c r="H97" i="19"/>
  <c r="H65" i="19"/>
  <c r="D43" i="3"/>
  <c r="D106" i="5"/>
  <c r="D98" i="3"/>
  <c r="D106" i="4"/>
  <c r="I73" i="19"/>
  <c r="I86" i="19"/>
  <c r="F55" i="20"/>
  <c r="F55" i="22" s="1"/>
  <c r="D92" i="3"/>
  <c r="I82" i="19"/>
  <c r="I92" i="19"/>
  <c r="I81" i="19"/>
  <c r="D37" i="3"/>
  <c r="D77" i="3"/>
  <c r="D93" i="3"/>
  <c r="D73" i="4"/>
  <c r="D89" i="4"/>
  <c r="D55" i="3"/>
  <c r="D84" i="3"/>
  <c r="D93" i="4"/>
  <c r="I94" i="19"/>
  <c r="I64" i="19"/>
  <c r="I74" i="19"/>
  <c r="D78" i="4"/>
  <c r="D69" i="3"/>
  <c r="D105" i="4"/>
  <c r="D100" i="3"/>
  <c r="I101" i="19"/>
  <c r="I71" i="19"/>
  <c r="I83" i="19"/>
  <c r="I89" i="19"/>
  <c r="I98" i="19"/>
  <c r="I96" i="19"/>
  <c r="I93" i="19"/>
  <c r="I59" i="19"/>
  <c r="I72" i="19"/>
  <c r="I63" i="19"/>
  <c r="I77" i="19"/>
  <c r="I95" i="19"/>
  <c r="I58" i="19"/>
  <c r="I80" i="19"/>
  <c r="I60" i="19"/>
  <c r="D62" i="4"/>
  <c r="D104" i="4"/>
  <c r="D80" i="3"/>
  <c r="D87" i="4"/>
  <c r="D97" i="4"/>
  <c r="D99" i="3"/>
  <c r="I62" i="19"/>
  <c r="I51" i="19"/>
  <c r="I76" i="19"/>
  <c r="I50" i="19"/>
  <c r="I79" i="19"/>
  <c r="I68" i="19"/>
  <c r="I70" i="19"/>
  <c r="I84" i="19"/>
  <c r="I65" i="19"/>
  <c r="I99" i="19"/>
  <c r="I87" i="19"/>
  <c r="I69" i="19"/>
  <c r="I78" i="19"/>
  <c r="I56" i="19"/>
  <c r="I57" i="19"/>
  <c r="I66" i="19"/>
  <c r="I75" i="19"/>
  <c r="I52" i="19"/>
  <c r="I55" i="19"/>
  <c r="I54" i="19"/>
  <c r="I97" i="19"/>
  <c r="I67" i="19"/>
  <c r="I100" i="19"/>
  <c r="D76" i="4"/>
  <c r="G89" i="20"/>
  <c r="G89" i="22" s="1"/>
  <c r="D75" i="4"/>
  <c r="D58" i="4"/>
  <c r="D81" i="3"/>
  <c r="D102" i="4"/>
  <c r="D96" i="4"/>
  <c r="D80" i="4"/>
  <c r="D67" i="4"/>
  <c r="F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C47" i="19"/>
  <c r="C43" i="19"/>
  <c r="C39" i="19"/>
  <c r="C35" i="19"/>
  <c r="C44" i="19"/>
  <c r="C46" i="19"/>
  <c r="C42" i="19"/>
  <c r="C38" i="19"/>
  <c r="C40" i="19"/>
  <c r="C45" i="19"/>
  <c r="C41" i="19"/>
  <c r="C37" i="19"/>
  <c r="C36" i="19"/>
  <c r="C99" i="19"/>
  <c r="C95" i="19"/>
  <c r="C91" i="19"/>
  <c r="C87" i="19"/>
  <c r="C83" i="19"/>
  <c r="C79" i="19"/>
  <c r="C75" i="19"/>
  <c r="C71" i="19"/>
  <c r="C67" i="19"/>
  <c r="C63" i="19"/>
  <c r="C59" i="19"/>
  <c r="C55" i="19"/>
  <c r="C51" i="19"/>
  <c r="C92" i="19"/>
  <c r="C80" i="19"/>
  <c r="C68" i="19"/>
  <c r="C56" i="19"/>
  <c r="C98" i="19"/>
  <c r="C94" i="19"/>
  <c r="C90" i="19"/>
  <c r="C86" i="19"/>
  <c r="C82" i="19"/>
  <c r="C78" i="19"/>
  <c r="C74" i="19"/>
  <c r="C70" i="19"/>
  <c r="C66" i="19"/>
  <c r="C62" i="19"/>
  <c r="C58" i="19"/>
  <c r="C54" i="19"/>
  <c r="C50" i="19"/>
  <c r="C100" i="19"/>
  <c r="C88" i="19"/>
  <c r="C76" i="19"/>
  <c r="C64" i="19"/>
  <c r="C52" i="19"/>
  <c r="C101" i="19"/>
  <c r="C97" i="19"/>
  <c r="C93" i="19"/>
  <c r="C89" i="19"/>
  <c r="C85" i="19"/>
  <c r="C81" i="19"/>
  <c r="C77" i="19"/>
  <c r="C73" i="19"/>
  <c r="C69" i="19"/>
  <c r="C65" i="19"/>
  <c r="C61" i="19"/>
  <c r="C57" i="19"/>
  <c r="C53" i="19"/>
  <c r="C49" i="19"/>
  <c r="C96" i="19"/>
  <c r="C84" i="19"/>
  <c r="C72" i="19"/>
  <c r="C60" i="19"/>
  <c r="C48" i="19"/>
  <c r="D105" i="3"/>
  <c r="D89" i="3"/>
  <c r="D71" i="3"/>
  <c r="D75" i="3"/>
  <c r="D91" i="3"/>
  <c r="D103" i="3"/>
  <c r="D70" i="3"/>
  <c r="D104" i="3"/>
  <c r="D97" i="3"/>
  <c r="D67" i="3"/>
  <c r="D61" i="3"/>
  <c r="D83" i="3"/>
  <c r="D96" i="3"/>
  <c r="F39" i="20"/>
  <c r="F39" i="22" s="1"/>
  <c r="D44" i="3"/>
  <c r="G35" i="20"/>
  <c r="G35" i="22" s="1"/>
  <c r="D40" i="4"/>
  <c r="G49" i="20"/>
  <c r="G49" i="22" s="1"/>
  <c r="D54" i="4"/>
  <c r="G46" i="20"/>
  <c r="D46" i="21" s="1"/>
  <c r="D51" i="4"/>
  <c r="G39" i="20"/>
  <c r="G39" i="22" s="1"/>
  <c r="D44" i="4"/>
  <c r="G37" i="20"/>
  <c r="G37" i="22" s="1"/>
  <c r="D42" i="4"/>
  <c r="G45" i="20"/>
  <c r="D45" i="21" s="1"/>
  <c r="D50" i="4"/>
  <c r="F43" i="20"/>
  <c r="C43" i="21" s="1"/>
  <c r="D48" i="3"/>
  <c r="G34" i="20"/>
  <c r="G34" i="22" s="1"/>
  <c r="D39" i="4"/>
  <c r="G41" i="20"/>
  <c r="G41" i="22" s="1"/>
  <c r="D46" i="4"/>
  <c r="G43" i="20"/>
  <c r="G43" i="22" s="1"/>
  <c r="D48" i="4"/>
  <c r="G31" i="20"/>
  <c r="D31" i="21" s="1"/>
  <c r="D36" i="4"/>
  <c r="G48" i="20"/>
  <c r="G48" i="22" s="1"/>
  <c r="D53" i="4"/>
  <c r="G33" i="20"/>
  <c r="D33" i="21" s="1"/>
  <c r="D38" i="4"/>
  <c r="G38" i="20"/>
  <c r="D38" i="21" s="1"/>
  <c r="D43" i="4"/>
  <c r="G32" i="20"/>
  <c r="D32" i="21" s="1"/>
  <c r="D37" i="4"/>
  <c r="G44" i="20"/>
  <c r="G44" i="22" s="1"/>
  <c r="D49" i="4"/>
  <c r="G42" i="20"/>
  <c r="G42" i="22" s="1"/>
  <c r="D47" i="4"/>
  <c r="G36" i="20"/>
  <c r="G36" i="22" s="1"/>
  <c r="D41" i="4"/>
  <c r="G40" i="20"/>
  <c r="G40" i="22" s="1"/>
  <c r="D45" i="4"/>
  <c r="M18" i="22"/>
  <c r="E10" i="21"/>
  <c r="K22" i="21"/>
  <c r="H8" i="22"/>
  <c r="E8" i="21"/>
  <c r="H12" i="22"/>
  <c r="E12" i="21"/>
  <c r="H20" i="22"/>
  <c r="E20" i="21"/>
  <c r="E13" i="21"/>
  <c r="H13" i="22"/>
  <c r="E7" i="21"/>
  <c r="H7" i="22"/>
  <c r="H11" i="22"/>
  <c r="E11" i="21"/>
  <c r="E19" i="21"/>
  <c r="H19" i="22"/>
  <c r="E24" i="21"/>
  <c r="H24" i="22"/>
  <c r="E6" i="21"/>
  <c r="H6" i="22"/>
  <c r="E16" i="21"/>
  <c r="H16" i="22"/>
  <c r="H14" i="22"/>
  <c r="E14" i="21"/>
  <c r="H26" i="22"/>
  <c r="E26" i="21"/>
  <c r="E27" i="21"/>
  <c r="H27" i="22"/>
  <c r="E9" i="21"/>
  <c r="H9" i="22"/>
  <c r="E23" i="21"/>
  <c r="H23" i="22"/>
  <c r="H22" i="22"/>
  <c r="E22" i="21"/>
  <c r="H25" i="22"/>
  <c r="E25" i="21"/>
  <c r="E21" i="21"/>
  <c r="H21" i="22"/>
  <c r="E15" i="21"/>
  <c r="H15" i="22"/>
  <c r="E17" i="21"/>
  <c r="H17" i="22"/>
  <c r="H18" i="22"/>
  <c r="E18" i="21"/>
  <c r="G16" i="22"/>
  <c r="D16" i="21"/>
  <c r="G24" i="22"/>
  <c r="D24" i="21"/>
  <c r="D11" i="21"/>
  <c r="G11" i="22"/>
  <c r="D26" i="21"/>
  <c r="G26" i="22"/>
  <c r="G15" i="22"/>
  <c r="D15" i="21"/>
  <c r="G20" i="22"/>
  <c r="D20" i="21"/>
  <c r="G18" i="22"/>
  <c r="D18" i="21"/>
  <c r="G29" i="22"/>
  <c r="D29" i="21"/>
  <c r="D27" i="21"/>
  <c r="G27" i="22"/>
  <c r="G28" i="22"/>
  <c r="D28" i="21"/>
  <c r="G19" i="22"/>
  <c r="D19" i="21"/>
  <c r="G8" i="22"/>
  <c r="D8" i="21"/>
  <c r="G21" i="22"/>
  <c r="D21" i="21"/>
  <c r="D77" i="21"/>
  <c r="G77" i="22"/>
  <c r="G17" i="22"/>
  <c r="D17" i="21"/>
  <c r="G25" i="22"/>
  <c r="D25" i="21"/>
  <c r="D23" i="21"/>
  <c r="G23" i="22"/>
  <c r="D14" i="21"/>
  <c r="G14" i="22"/>
  <c r="G7" i="22"/>
  <c r="D7" i="21"/>
  <c r="G12" i="22"/>
  <c r="D12" i="21"/>
  <c r="D10" i="21"/>
  <c r="G10" i="22"/>
  <c r="G22" i="22"/>
  <c r="D22" i="21"/>
  <c r="D6" i="21"/>
  <c r="G6" i="22"/>
  <c r="D47" i="21"/>
  <c r="G47" i="22"/>
  <c r="G13" i="22"/>
  <c r="D13" i="21"/>
  <c r="G9" i="22"/>
  <c r="D9" i="21"/>
  <c r="C8" i="21"/>
  <c r="F8" i="22"/>
  <c r="C6" i="21"/>
  <c r="F10" i="22"/>
  <c r="C10" i="21"/>
  <c r="F22" i="22"/>
  <c r="C22" i="21"/>
  <c r="C69" i="21"/>
  <c r="F69" i="22"/>
  <c r="C15" i="21"/>
  <c r="F15" i="22"/>
  <c r="C30" i="21"/>
  <c r="F30" i="22"/>
  <c r="F17" i="22"/>
  <c r="C17" i="21"/>
  <c r="C28" i="21"/>
  <c r="F28" i="22"/>
  <c r="F14" i="22"/>
  <c r="C14" i="21"/>
  <c r="F21" i="22"/>
  <c r="C21" i="21"/>
  <c r="C9" i="21"/>
  <c r="F9" i="22"/>
  <c r="C18" i="21"/>
  <c r="F18" i="22"/>
  <c r="F13" i="22"/>
  <c r="C13" i="21"/>
  <c r="F20" i="22"/>
  <c r="C20" i="21"/>
  <c r="C31" i="21"/>
  <c r="F31" i="22"/>
  <c r="C25" i="21"/>
  <c r="F25" i="22"/>
  <c r="C7" i="21"/>
  <c r="F11" i="22"/>
  <c r="C11" i="21"/>
  <c r="C16" i="21"/>
  <c r="F16" i="22"/>
  <c r="C24" i="21"/>
  <c r="F24" i="22"/>
  <c r="F19" i="22"/>
  <c r="C19" i="21"/>
  <c r="C12" i="21"/>
  <c r="F12" i="22"/>
  <c r="F26" i="22"/>
  <c r="C26" i="21"/>
  <c r="F27" i="22"/>
  <c r="C27" i="21"/>
  <c r="F23" i="22"/>
  <c r="C23" i="21"/>
  <c r="R16" i="22"/>
  <c r="N16" i="21"/>
  <c r="N23" i="21"/>
  <c r="R23" i="22"/>
  <c r="R11" i="22"/>
  <c r="N11" i="21"/>
  <c r="R9" i="22"/>
  <c r="N9" i="21"/>
  <c r="N15" i="21"/>
  <c r="R15" i="22"/>
  <c r="R24" i="22"/>
  <c r="N24" i="21"/>
  <c r="R10" i="22"/>
  <c r="N10" i="21"/>
  <c r="N18" i="21"/>
  <c r="R18" i="22"/>
  <c r="N27" i="21"/>
  <c r="R27" i="22"/>
  <c r="N7" i="21"/>
  <c r="R7" i="22"/>
  <c r="N21" i="21"/>
  <c r="R21" i="22"/>
  <c r="R22" i="22"/>
  <c r="N22" i="21"/>
  <c r="R26" i="22"/>
  <c r="N26" i="21"/>
  <c r="R12" i="22"/>
  <c r="N12" i="21"/>
  <c r="R17" i="22"/>
  <c r="N17" i="21"/>
  <c r="N25" i="21"/>
  <c r="R25" i="22"/>
  <c r="R20" i="22"/>
  <c r="N20" i="21"/>
  <c r="R13" i="22"/>
  <c r="N13" i="21"/>
  <c r="R28" i="22"/>
  <c r="N28" i="21"/>
  <c r="N6" i="21"/>
  <c r="R6" i="22"/>
  <c r="R19" i="22"/>
  <c r="N19" i="21"/>
  <c r="R14" i="22"/>
  <c r="N14" i="21"/>
  <c r="N8" i="21"/>
  <c r="R8" i="22"/>
  <c r="H16" i="21"/>
  <c r="L16" i="22"/>
  <c r="H27" i="21"/>
  <c r="L27" i="22"/>
  <c r="L10" i="22"/>
  <c r="H10" i="21"/>
  <c r="L11" i="22"/>
  <c r="H11" i="21"/>
  <c r="L26" i="22"/>
  <c r="H26" i="21"/>
  <c r="L12" i="22"/>
  <c r="H12" i="21"/>
  <c r="L20" i="22"/>
  <c r="H20" i="21"/>
  <c r="L28" i="22"/>
  <c r="H28" i="21"/>
  <c r="L22" i="22"/>
  <c r="H22" i="21"/>
  <c r="H18" i="21"/>
  <c r="L18" i="22"/>
  <c r="H8" i="21"/>
  <c r="L8" i="22"/>
  <c r="H21" i="21"/>
  <c r="L21" i="22"/>
  <c r="L15" i="22"/>
  <c r="H15" i="21"/>
  <c r="H24" i="21"/>
  <c r="L24" i="22"/>
  <c r="L19" i="22"/>
  <c r="H19" i="21"/>
  <c r="L17" i="22"/>
  <c r="H17" i="21"/>
  <c r="L23" i="22"/>
  <c r="H23" i="21"/>
  <c r="L14" i="22"/>
  <c r="H14" i="21"/>
  <c r="L25" i="22"/>
  <c r="H25" i="21"/>
  <c r="H6" i="21"/>
  <c r="L6" i="22"/>
  <c r="L13" i="22"/>
  <c r="H13" i="21"/>
  <c r="L9" i="22"/>
  <c r="H9" i="21"/>
  <c r="L7" i="22"/>
  <c r="H7" i="21"/>
  <c r="M19" i="22"/>
  <c r="I19" i="21"/>
  <c r="I17" i="21"/>
  <c r="M17" i="22"/>
  <c r="I22" i="21"/>
  <c r="M22" i="22"/>
  <c r="I20" i="21"/>
  <c r="M20" i="22"/>
  <c r="M8" i="22"/>
  <c r="I8" i="21"/>
  <c r="I13" i="21"/>
  <c r="M13" i="22"/>
  <c r="I28" i="21"/>
  <c r="M28" i="22"/>
  <c r="M16" i="22"/>
  <c r="I16" i="21"/>
  <c r="M10" i="22"/>
  <c r="I10" i="21"/>
  <c r="I26" i="21"/>
  <c r="M26" i="22"/>
  <c r="M12" i="22"/>
  <c r="I12" i="21"/>
  <c r="M25" i="22"/>
  <c r="I25" i="21"/>
  <c r="I6" i="21"/>
  <c r="M6" i="22"/>
  <c r="M15" i="22"/>
  <c r="I15" i="21"/>
  <c r="I23" i="21"/>
  <c r="M23" i="22"/>
  <c r="M27" i="22"/>
  <c r="I27" i="21"/>
  <c r="M24" i="22"/>
  <c r="I24" i="21"/>
  <c r="M7" i="22"/>
  <c r="I7" i="21"/>
  <c r="M9" i="22"/>
  <c r="I9" i="21"/>
  <c r="I14" i="21"/>
  <c r="M14" i="22"/>
  <c r="M21" i="22"/>
  <c r="I21" i="21"/>
  <c r="J6" i="21"/>
  <c r="N6" i="22"/>
  <c r="O15" i="22"/>
  <c r="K15" i="21"/>
  <c r="O11" i="22"/>
  <c r="K11" i="21"/>
  <c r="O19" i="22"/>
  <c r="K19" i="21"/>
  <c r="O24" i="22"/>
  <c r="K24" i="21"/>
  <c r="K13" i="21"/>
  <c r="O13" i="22"/>
  <c r="K7" i="21"/>
  <c r="O7" i="22"/>
  <c r="K23" i="21"/>
  <c r="O23" i="22"/>
  <c r="O20" i="22"/>
  <c r="K20" i="21"/>
  <c r="K28" i="21"/>
  <c r="O28" i="22"/>
  <c r="K9" i="21"/>
  <c r="O9" i="22"/>
  <c r="O21" i="22"/>
  <c r="K21" i="21"/>
  <c r="K14" i="21"/>
  <c r="O14" i="22"/>
  <c r="O10" i="22"/>
  <c r="K10" i="21"/>
  <c r="O16" i="22"/>
  <c r="K16" i="21"/>
  <c r="O17" i="22"/>
  <c r="K17" i="21"/>
  <c r="K12" i="21"/>
  <c r="O12" i="22"/>
  <c r="O26" i="22"/>
  <c r="K26" i="21"/>
  <c r="K25" i="21"/>
  <c r="O25" i="22"/>
  <c r="O18" i="22"/>
  <c r="K18" i="21"/>
  <c r="O27" i="22"/>
  <c r="K27" i="21"/>
  <c r="O6" i="22"/>
  <c r="K6" i="21"/>
  <c r="O8" i="22"/>
  <c r="K8" i="21"/>
  <c r="M19" i="21"/>
  <c r="Q19" i="22"/>
  <c r="M17" i="21"/>
  <c r="Q17" i="22"/>
  <c r="Q23" i="22"/>
  <c r="M23" i="21"/>
  <c r="Q26" i="22"/>
  <c r="M26" i="21"/>
  <c r="M14" i="21"/>
  <c r="Q14" i="22"/>
  <c r="Q13" i="22"/>
  <c r="M13" i="21"/>
  <c r="M16" i="21"/>
  <c r="Q16" i="22"/>
  <c r="Q7" i="22"/>
  <c r="M7" i="21"/>
  <c r="Q15" i="22"/>
  <c r="M15" i="21"/>
  <c r="Q10" i="22"/>
  <c r="M10" i="21"/>
  <c r="M25" i="21"/>
  <c r="Q25" i="22"/>
  <c r="M9" i="21"/>
  <c r="Q9" i="22"/>
  <c r="Q12" i="22"/>
  <c r="M12" i="21"/>
  <c r="M11" i="21"/>
  <c r="Q11" i="22"/>
  <c r="Q28" i="22"/>
  <c r="M28" i="21"/>
  <c r="Q18" i="22"/>
  <c r="M18" i="21"/>
  <c r="Q20" i="22"/>
  <c r="M20" i="21"/>
  <c r="M24" i="21"/>
  <c r="Q24" i="22"/>
  <c r="M27" i="21"/>
  <c r="Q27" i="22"/>
  <c r="M22" i="21"/>
  <c r="Q22" i="22"/>
  <c r="Q6" i="22"/>
  <c r="M6" i="21"/>
  <c r="Q21" i="22"/>
  <c r="M21" i="21"/>
  <c r="M8" i="21"/>
  <c r="Q8" i="22"/>
  <c r="S31" i="22"/>
  <c r="O31" i="21"/>
  <c r="O53" i="21"/>
  <c r="S53" i="22"/>
  <c r="S7" i="22"/>
  <c r="O7" i="21"/>
  <c r="O76" i="21"/>
  <c r="O91" i="21"/>
  <c r="S56" i="22"/>
  <c r="O56" i="21"/>
  <c r="S14" i="22"/>
  <c r="O14" i="21"/>
  <c r="O99" i="21"/>
  <c r="S99" i="22"/>
  <c r="O68" i="21"/>
  <c r="O74" i="21"/>
  <c r="S60" i="22"/>
  <c r="O60" i="21"/>
  <c r="O79" i="21"/>
  <c r="O11" i="21"/>
  <c r="S11" i="22"/>
  <c r="O92" i="21"/>
  <c r="O86" i="21"/>
  <c r="O85" i="21"/>
  <c r="S50" i="22"/>
  <c r="O50" i="21"/>
  <c r="O75" i="21"/>
  <c r="S18" i="22"/>
  <c r="O18" i="21"/>
  <c r="S40" i="22"/>
  <c r="O40" i="21"/>
  <c r="S49" i="22"/>
  <c r="O49" i="21"/>
  <c r="S10" i="22"/>
  <c r="O10" i="21"/>
  <c r="S62" i="22"/>
  <c r="O62" i="21"/>
  <c r="O87" i="21"/>
  <c r="S24" i="22"/>
  <c r="O24" i="21"/>
  <c r="S52" i="22"/>
  <c r="O52" i="21"/>
  <c r="S61" i="22"/>
  <c r="O61" i="21"/>
  <c r="S13" i="22"/>
  <c r="O13" i="21"/>
  <c r="S58" i="22"/>
  <c r="O58" i="21"/>
  <c r="O83" i="21"/>
  <c r="S22" i="22"/>
  <c r="O22" i="21"/>
  <c r="S48" i="22"/>
  <c r="O48" i="21"/>
  <c r="S57" i="22"/>
  <c r="O57" i="21"/>
  <c r="S12" i="22"/>
  <c r="O12" i="21"/>
  <c r="O70" i="21"/>
  <c r="O69" i="21"/>
  <c r="O20" i="21"/>
  <c r="S20" i="22"/>
  <c r="O6" i="21"/>
  <c r="S6" i="22"/>
  <c r="S28" i="22"/>
  <c r="O28" i="21"/>
  <c r="O101" i="21"/>
  <c r="O23" i="21"/>
  <c r="S23" i="22"/>
  <c r="S34" i="22"/>
  <c r="O34" i="21"/>
  <c r="S59" i="22"/>
  <c r="O59" i="21"/>
  <c r="O88" i="21"/>
  <c r="S97" i="22"/>
  <c r="O97" i="21"/>
  <c r="S33" i="22"/>
  <c r="O33" i="21"/>
  <c r="O46" i="21"/>
  <c r="S46" i="22"/>
  <c r="O71" i="21"/>
  <c r="O16" i="21"/>
  <c r="S16" i="22"/>
  <c r="O36" i="21"/>
  <c r="S36" i="22"/>
  <c r="O45" i="21"/>
  <c r="S45" i="22"/>
  <c r="O9" i="21"/>
  <c r="S9" i="22"/>
  <c r="S42" i="22"/>
  <c r="O42" i="21"/>
  <c r="O67" i="21"/>
  <c r="O96" i="21"/>
  <c r="S32" i="22"/>
  <c r="O32" i="21"/>
  <c r="S41" i="22"/>
  <c r="O41" i="21"/>
  <c r="S8" i="22"/>
  <c r="O8" i="21"/>
  <c r="O95" i="21"/>
  <c r="S15" i="22"/>
  <c r="O15" i="21"/>
  <c r="O44" i="21"/>
  <c r="S44" i="22"/>
  <c r="S38" i="22"/>
  <c r="O38" i="21"/>
  <c r="S37" i="22"/>
  <c r="O37" i="21"/>
  <c r="O47" i="21"/>
  <c r="S47" i="22"/>
  <c r="O82" i="21"/>
  <c r="O100" i="21"/>
  <c r="S43" i="22"/>
  <c r="O43" i="21"/>
  <c r="O72" i="21"/>
  <c r="O81" i="21"/>
  <c r="S21" i="22"/>
  <c r="O21" i="21"/>
  <c r="O94" i="21"/>
  <c r="S30" i="22"/>
  <c r="O30" i="21"/>
  <c r="S55" i="22"/>
  <c r="O55" i="21"/>
  <c r="O84" i="21"/>
  <c r="O93" i="21"/>
  <c r="S29" i="22"/>
  <c r="O29" i="21"/>
  <c r="O90" i="21"/>
  <c r="S26" i="22"/>
  <c r="O26" i="21"/>
  <c r="S51" i="22"/>
  <c r="O51" i="21"/>
  <c r="O80" i="21"/>
  <c r="O89" i="21"/>
  <c r="S25" i="22"/>
  <c r="O25" i="21"/>
  <c r="O54" i="21"/>
  <c r="S54" i="22"/>
  <c r="S63" i="22"/>
  <c r="O63" i="21"/>
  <c r="O66" i="21"/>
  <c r="S27" i="22"/>
  <c r="O27" i="21"/>
  <c r="S65" i="22"/>
  <c r="O65" i="21"/>
  <c r="O78" i="21"/>
  <c r="O39" i="21"/>
  <c r="S39" i="22"/>
  <c r="O77" i="21"/>
  <c r="O19" i="21"/>
  <c r="S19" i="22"/>
  <c r="S98" i="22"/>
  <c r="O98" i="21"/>
  <c r="S35" i="22"/>
  <c r="O35" i="21"/>
  <c r="S64" i="22"/>
  <c r="O64" i="21"/>
  <c r="O73" i="21"/>
  <c r="S17" i="22"/>
  <c r="O17" i="21"/>
  <c r="J12" i="21" l="1"/>
  <c r="F19" i="21"/>
  <c r="I6" i="22"/>
  <c r="N23" i="22"/>
  <c r="N15" i="22"/>
  <c r="F8" i="21"/>
  <c r="J18" i="21"/>
  <c r="N24" i="22"/>
  <c r="J19" i="21"/>
  <c r="I12" i="22"/>
  <c r="I9" i="22"/>
  <c r="J7" i="21"/>
  <c r="J26" i="21"/>
  <c r="F14" i="21"/>
  <c r="F23" i="21"/>
  <c r="I21" i="22"/>
  <c r="I25" i="22"/>
  <c r="F16" i="21"/>
  <c r="F27" i="21"/>
  <c r="F7" i="21"/>
  <c r="N20" i="22"/>
  <c r="F18" i="21"/>
  <c r="J27" i="21"/>
  <c r="J8" i="21"/>
  <c r="I10" i="22"/>
  <c r="J14" i="21"/>
  <c r="J10" i="21"/>
  <c r="I13" i="22"/>
  <c r="F11" i="21"/>
  <c r="F17" i="21"/>
  <c r="F26" i="21"/>
  <c r="J11" i="21"/>
  <c r="J28" i="21"/>
  <c r="F20" i="21"/>
  <c r="J13" i="21"/>
  <c r="F15" i="21"/>
  <c r="J25" i="21"/>
  <c r="J17" i="21"/>
  <c r="J21" i="21"/>
  <c r="F22" i="21"/>
  <c r="F24" i="21"/>
  <c r="N16" i="22"/>
  <c r="J9" i="21"/>
  <c r="J22" i="21"/>
  <c r="F29" i="22"/>
  <c r="D58" i="6"/>
  <c r="D33" i="6"/>
  <c r="H28" i="19"/>
  <c r="H28" i="20" s="1"/>
  <c r="D33" i="5"/>
  <c r="F33" i="5" s="1"/>
  <c r="D47" i="5"/>
  <c r="F47" i="5" s="1"/>
  <c r="H42" i="19"/>
  <c r="H42" i="20" s="1"/>
  <c r="H42" i="22" s="1"/>
  <c r="F95" i="22"/>
  <c r="I30" i="19"/>
  <c r="I30" i="20" s="1"/>
  <c r="F41" i="22"/>
  <c r="C61" i="21"/>
  <c r="D59" i="21"/>
  <c r="D77" i="28"/>
  <c r="I77" i="28" s="1"/>
  <c r="C72" i="20"/>
  <c r="C72" i="22" s="1"/>
  <c r="D58" i="28"/>
  <c r="I58" i="28" s="1"/>
  <c r="C53" i="20"/>
  <c r="C53" i="22" s="1"/>
  <c r="D74" i="28"/>
  <c r="I74" i="28" s="1"/>
  <c r="C69" i="20"/>
  <c r="C69" i="22" s="1"/>
  <c r="D90" i="28"/>
  <c r="C85" i="20"/>
  <c r="C85" i="22" s="1"/>
  <c r="D106" i="28"/>
  <c r="C101" i="20"/>
  <c r="C101" i="22" s="1"/>
  <c r="D93" i="28"/>
  <c r="I93" i="28" s="1"/>
  <c r="C88" i="20"/>
  <c r="C88" i="22" s="1"/>
  <c r="D63" i="28"/>
  <c r="I63" i="28" s="1"/>
  <c r="C58" i="20"/>
  <c r="C58" i="22" s="1"/>
  <c r="D79" i="28"/>
  <c r="I79" i="28" s="1"/>
  <c r="C74" i="20"/>
  <c r="C74" i="22" s="1"/>
  <c r="D95" i="28"/>
  <c r="C90" i="20"/>
  <c r="C90" i="22" s="1"/>
  <c r="D73" i="28"/>
  <c r="I73" i="28" s="1"/>
  <c r="C68" i="20"/>
  <c r="C68" i="22" s="1"/>
  <c r="D60" i="28"/>
  <c r="I60" i="28" s="1"/>
  <c r="C55" i="20"/>
  <c r="C55" i="22" s="1"/>
  <c r="D76" i="28"/>
  <c r="I76" i="28" s="1"/>
  <c r="C71" i="20"/>
  <c r="C71" i="22" s="1"/>
  <c r="D92" i="28"/>
  <c r="C87" i="20"/>
  <c r="C87" i="22" s="1"/>
  <c r="D41" i="28"/>
  <c r="C36" i="20"/>
  <c r="C36" i="22" s="1"/>
  <c r="D45" i="28"/>
  <c r="C40" i="20"/>
  <c r="C40" i="22" s="1"/>
  <c r="D49" i="28"/>
  <c r="I49" i="28" s="1"/>
  <c r="C44" i="20"/>
  <c r="C44" i="22" s="1"/>
  <c r="D52" i="28"/>
  <c r="I52" i="28" s="1"/>
  <c r="C47" i="20"/>
  <c r="C47" i="22" s="1"/>
  <c r="D89" i="28"/>
  <c r="C84" i="20"/>
  <c r="C84" i="22" s="1"/>
  <c r="D62" i="28"/>
  <c r="I62" i="28" s="1"/>
  <c r="C57" i="20"/>
  <c r="C57" i="22" s="1"/>
  <c r="D78" i="28"/>
  <c r="C73" i="20"/>
  <c r="C73" i="22" s="1"/>
  <c r="D94" i="28"/>
  <c r="C89" i="20"/>
  <c r="C89" i="22" s="1"/>
  <c r="D57" i="28"/>
  <c r="I57" i="28" s="1"/>
  <c r="C52" i="20"/>
  <c r="C52" i="22" s="1"/>
  <c r="D105" i="28"/>
  <c r="C100" i="20"/>
  <c r="C100" i="22" s="1"/>
  <c r="D67" i="28"/>
  <c r="I67" i="28" s="1"/>
  <c r="C62" i="20"/>
  <c r="C62" i="22" s="1"/>
  <c r="D83" i="28"/>
  <c r="C78" i="20"/>
  <c r="C78" i="22" s="1"/>
  <c r="D99" i="28"/>
  <c r="C94" i="20"/>
  <c r="C94" i="22" s="1"/>
  <c r="D85" i="28"/>
  <c r="C80" i="20"/>
  <c r="C80" i="22" s="1"/>
  <c r="D64" i="28"/>
  <c r="I64" i="28" s="1"/>
  <c r="C59" i="20"/>
  <c r="C59" i="22" s="1"/>
  <c r="D80" i="28"/>
  <c r="I80" i="28" s="1"/>
  <c r="C75" i="20"/>
  <c r="C75" i="22" s="1"/>
  <c r="D96" i="28"/>
  <c r="C91" i="20"/>
  <c r="C91" i="22" s="1"/>
  <c r="D42" i="28"/>
  <c r="C37" i="20"/>
  <c r="C37" i="22" s="1"/>
  <c r="D43" i="28"/>
  <c r="C38" i="20"/>
  <c r="C38" i="22" s="1"/>
  <c r="D40" i="28"/>
  <c r="C35" i="20"/>
  <c r="C35" i="22" s="1"/>
  <c r="D38" i="28"/>
  <c r="C33" i="20"/>
  <c r="C33" i="22" s="1"/>
  <c r="D53" i="28"/>
  <c r="I53" i="28" s="1"/>
  <c r="C48" i="20"/>
  <c r="C48" i="22" s="1"/>
  <c r="D101" i="28"/>
  <c r="C96" i="20"/>
  <c r="C96" i="22" s="1"/>
  <c r="D66" i="28"/>
  <c r="I66" i="28" s="1"/>
  <c r="C61" i="20"/>
  <c r="C61" i="22" s="1"/>
  <c r="D82" i="28"/>
  <c r="I82" i="28" s="1"/>
  <c r="C77" i="20"/>
  <c r="C77" i="22" s="1"/>
  <c r="D98" i="28"/>
  <c r="C93" i="20"/>
  <c r="C93" i="22" s="1"/>
  <c r="D69" i="28"/>
  <c r="I69" i="28" s="1"/>
  <c r="C64" i="20"/>
  <c r="C64" i="22" s="1"/>
  <c r="D55" i="28"/>
  <c r="C50" i="20"/>
  <c r="C50" i="22" s="1"/>
  <c r="D71" i="28"/>
  <c r="I71" i="28" s="1"/>
  <c r="C66" i="20"/>
  <c r="C66" i="22" s="1"/>
  <c r="D87" i="28"/>
  <c r="I87" i="28" s="1"/>
  <c r="C82" i="20"/>
  <c r="C82" i="22" s="1"/>
  <c r="D103" i="28"/>
  <c r="C98" i="20"/>
  <c r="C98" i="22" s="1"/>
  <c r="D97" i="28"/>
  <c r="C92" i="20"/>
  <c r="C92" i="22" s="1"/>
  <c r="D68" i="28"/>
  <c r="I68" i="28" s="1"/>
  <c r="C63" i="20"/>
  <c r="C63" i="22" s="1"/>
  <c r="D84" i="28"/>
  <c r="C79" i="20"/>
  <c r="C79" i="22" s="1"/>
  <c r="D100" i="28"/>
  <c r="C95" i="20"/>
  <c r="C95" i="22" s="1"/>
  <c r="D46" i="28"/>
  <c r="I46" i="28" s="1"/>
  <c r="C41" i="20"/>
  <c r="C41" i="22" s="1"/>
  <c r="D47" i="28"/>
  <c r="I47" i="28" s="1"/>
  <c r="C42" i="20"/>
  <c r="C42" i="22" s="1"/>
  <c r="D44" i="28"/>
  <c r="C39" i="20"/>
  <c r="C39" i="22" s="1"/>
  <c r="D37" i="28"/>
  <c r="C32" i="20"/>
  <c r="C32" i="22" s="1"/>
  <c r="D65" i="28"/>
  <c r="I65" i="28" s="1"/>
  <c r="C60" i="20"/>
  <c r="C60" i="22" s="1"/>
  <c r="D54" i="28"/>
  <c r="I54" i="28" s="1"/>
  <c r="C49" i="20"/>
  <c r="C49" i="22" s="1"/>
  <c r="D70" i="28"/>
  <c r="I70" i="28" s="1"/>
  <c r="C65" i="20"/>
  <c r="C65" i="22" s="1"/>
  <c r="D86" i="28"/>
  <c r="I86" i="28" s="1"/>
  <c r="C81" i="20"/>
  <c r="C81" i="22" s="1"/>
  <c r="D102" i="28"/>
  <c r="C97" i="20"/>
  <c r="C97" i="22" s="1"/>
  <c r="D81" i="28"/>
  <c r="I81" i="28" s="1"/>
  <c r="C76" i="20"/>
  <c r="C76" i="22" s="1"/>
  <c r="D59" i="28"/>
  <c r="I59" i="28" s="1"/>
  <c r="C54" i="20"/>
  <c r="C54" i="22" s="1"/>
  <c r="D75" i="28"/>
  <c r="I75" i="28" s="1"/>
  <c r="C70" i="20"/>
  <c r="C70" i="22" s="1"/>
  <c r="D91" i="28"/>
  <c r="I91" i="28" s="1"/>
  <c r="C86" i="20"/>
  <c r="C86" i="22" s="1"/>
  <c r="D61" i="28"/>
  <c r="I61" i="28" s="1"/>
  <c r="C56" i="20"/>
  <c r="C56" i="22" s="1"/>
  <c r="D56" i="28"/>
  <c r="I56" i="28" s="1"/>
  <c r="C51" i="20"/>
  <c r="C51" i="22" s="1"/>
  <c r="D72" i="28"/>
  <c r="I72" i="28" s="1"/>
  <c r="C67" i="20"/>
  <c r="C67" i="22" s="1"/>
  <c r="D88" i="28"/>
  <c r="I88" i="28" s="1"/>
  <c r="C83" i="20"/>
  <c r="C83" i="22" s="1"/>
  <c r="D104" i="28"/>
  <c r="C99" i="20"/>
  <c r="C99" i="22" s="1"/>
  <c r="D50" i="28"/>
  <c r="I50" i="28" s="1"/>
  <c r="C45" i="20"/>
  <c r="C45" i="22" s="1"/>
  <c r="D51" i="28"/>
  <c r="I51" i="28" s="1"/>
  <c r="C46" i="20"/>
  <c r="C46" i="22" s="1"/>
  <c r="D48" i="28"/>
  <c r="I48" i="28" s="1"/>
  <c r="C43" i="20"/>
  <c r="C43" i="22" s="1"/>
  <c r="D39" i="28"/>
  <c r="C34" i="20"/>
  <c r="C34" i="22" s="1"/>
  <c r="F83" i="22"/>
  <c r="C67" i="21"/>
  <c r="F44" i="22"/>
  <c r="C78" i="21"/>
  <c r="C72" i="21"/>
  <c r="F79" i="22"/>
  <c r="F86" i="22"/>
  <c r="G53" i="22"/>
  <c r="C96" i="21"/>
  <c r="C94" i="21"/>
  <c r="G94" i="22"/>
  <c r="F38" i="22"/>
  <c r="C76" i="21"/>
  <c r="F56" i="22"/>
  <c r="C84" i="21"/>
  <c r="G68" i="22"/>
  <c r="F34" i="22"/>
  <c r="C46" i="21"/>
  <c r="F90" i="22"/>
  <c r="C51" i="21"/>
  <c r="C75" i="21"/>
  <c r="D79" i="21"/>
  <c r="E96" i="21"/>
  <c r="C58" i="21"/>
  <c r="F65" i="22"/>
  <c r="F66" i="22"/>
  <c r="F47" i="22"/>
  <c r="C71" i="21"/>
  <c r="G81" i="22"/>
  <c r="D91" i="21"/>
  <c r="G83" i="22"/>
  <c r="G62" i="22"/>
  <c r="H101" i="22"/>
  <c r="F54" i="22"/>
  <c r="F50" i="22"/>
  <c r="F48" i="22"/>
  <c r="D65" i="21"/>
  <c r="D87" i="21"/>
  <c r="G56" i="22"/>
  <c r="D57" i="21"/>
  <c r="G88" i="22"/>
  <c r="I48" i="22"/>
  <c r="D35" i="6"/>
  <c r="C100" i="21"/>
  <c r="F80" i="22"/>
  <c r="F99" i="22"/>
  <c r="G54" i="22"/>
  <c r="G50" i="22"/>
  <c r="G30" i="22"/>
  <c r="I81" i="20"/>
  <c r="I81" i="22" s="1"/>
  <c r="D74" i="5"/>
  <c r="F74" i="5" s="1"/>
  <c r="H69" i="20"/>
  <c r="I41" i="20"/>
  <c r="G75" i="22"/>
  <c r="D75" i="21"/>
  <c r="C62" i="21"/>
  <c r="F62" i="22"/>
  <c r="F68" i="22"/>
  <c r="C68" i="21"/>
  <c r="C87" i="21"/>
  <c r="F87" i="22"/>
  <c r="F101" i="22"/>
  <c r="D80" i="21"/>
  <c r="I90" i="20"/>
  <c r="H73" i="20"/>
  <c r="H78" i="20"/>
  <c r="I91" i="20"/>
  <c r="D73" i="5"/>
  <c r="F73" i="5" s="1"/>
  <c r="H68" i="20"/>
  <c r="H68" i="22" s="1"/>
  <c r="D36" i="5"/>
  <c r="F36" i="5" s="1"/>
  <c r="H31" i="20"/>
  <c r="E31" i="21" s="1"/>
  <c r="G101" i="22"/>
  <c r="D101" i="21"/>
  <c r="G67" i="22"/>
  <c r="D67" i="21"/>
  <c r="C92" i="21"/>
  <c r="F92" i="22"/>
  <c r="G99" i="22"/>
  <c r="D99" i="21"/>
  <c r="F36" i="22"/>
  <c r="C36" i="21"/>
  <c r="F70" i="22"/>
  <c r="C70" i="21"/>
  <c r="G90" i="22"/>
  <c r="D90" i="21"/>
  <c r="D40" i="6"/>
  <c r="I35" i="20"/>
  <c r="I35" i="22" s="1"/>
  <c r="I45" i="20"/>
  <c r="C93" i="21"/>
  <c r="F93" i="22"/>
  <c r="C32" i="21"/>
  <c r="G60" i="22"/>
  <c r="I53" i="22"/>
  <c r="I97" i="20"/>
  <c r="I97" i="22" s="1"/>
  <c r="I75" i="20"/>
  <c r="I78" i="20"/>
  <c r="I78" i="22" s="1"/>
  <c r="D70" i="6"/>
  <c r="I65" i="20"/>
  <c r="I65" i="22" s="1"/>
  <c r="D84" i="6"/>
  <c r="I79" i="20"/>
  <c r="F79" i="21" s="1"/>
  <c r="D67" i="6"/>
  <c r="I62" i="20"/>
  <c r="I62" i="22" s="1"/>
  <c r="D82" i="6"/>
  <c r="I77" i="20"/>
  <c r="I77" i="22" s="1"/>
  <c r="I93" i="20"/>
  <c r="I83" i="20"/>
  <c r="F83" i="21" s="1"/>
  <c r="I64" i="20"/>
  <c r="H48" i="20"/>
  <c r="H61" i="20"/>
  <c r="H93" i="20"/>
  <c r="E93" i="21" s="1"/>
  <c r="H91" i="20"/>
  <c r="H30" i="20"/>
  <c r="E30" i="21" s="1"/>
  <c r="H53" i="22"/>
  <c r="E53" i="21"/>
  <c r="D97" i="21"/>
  <c r="G97" i="22"/>
  <c r="G73" i="22"/>
  <c r="D73" i="21"/>
  <c r="F91" i="22"/>
  <c r="C91" i="21"/>
  <c r="G71" i="22"/>
  <c r="D71" i="21"/>
  <c r="D78" i="21"/>
  <c r="G78" i="22"/>
  <c r="C98" i="21"/>
  <c r="F98" i="22"/>
  <c r="G100" i="22"/>
  <c r="D100" i="21"/>
  <c r="G82" i="22"/>
  <c r="D82" i="21"/>
  <c r="D49" i="5"/>
  <c r="F49" i="5" s="1"/>
  <c r="H44" i="20"/>
  <c r="E44" i="21" s="1"/>
  <c r="I36" i="20"/>
  <c r="I43" i="20"/>
  <c r="I43" i="22" s="1"/>
  <c r="I28" i="22"/>
  <c r="F28" i="21"/>
  <c r="F53" i="22"/>
  <c r="G70" i="22"/>
  <c r="G63" i="22"/>
  <c r="D102" i="5"/>
  <c r="H97" i="20"/>
  <c r="E97" i="21" s="1"/>
  <c r="H100" i="20"/>
  <c r="H85" i="20"/>
  <c r="D88" i="5"/>
  <c r="F88" i="5" s="1"/>
  <c r="H83" i="20"/>
  <c r="H83" i="22" s="1"/>
  <c r="D57" i="5"/>
  <c r="F57" i="5" s="1"/>
  <c r="H52" i="20"/>
  <c r="H52" i="22" s="1"/>
  <c r="D84" i="21"/>
  <c r="G84" i="22"/>
  <c r="D92" i="21"/>
  <c r="G92" i="22"/>
  <c r="G86" i="22"/>
  <c r="D86" i="21"/>
  <c r="D55" i="21"/>
  <c r="G55" i="22"/>
  <c r="F88" i="22"/>
  <c r="C88" i="21"/>
  <c r="G51" i="22"/>
  <c r="D51" i="21"/>
  <c r="G61" i="22"/>
  <c r="D61" i="21"/>
  <c r="F64" i="22"/>
  <c r="C64" i="21"/>
  <c r="I54" i="20"/>
  <c r="I66" i="20"/>
  <c r="D74" i="6"/>
  <c r="I69" i="20"/>
  <c r="I69" i="22" s="1"/>
  <c r="D89" i="6"/>
  <c r="I84" i="20"/>
  <c r="F84" i="21" s="1"/>
  <c r="D55" i="6"/>
  <c r="I50" i="20"/>
  <c r="I50" i="22" s="1"/>
  <c r="I80" i="20"/>
  <c r="D68" i="6"/>
  <c r="I96" i="20"/>
  <c r="I71" i="20"/>
  <c r="I71" i="22" s="1"/>
  <c r="D99" i="6"/>
  <c r="I94" i="20"/>
  <c r="F94" i="21" s="1"/>
  <c r="I92" i="20"/>
  <c r="I92" i="22" s="1"/>
  <c r="H95" i="20"/>
  <c r="H75" i="20"/>
  <c r="H32" i="20"/>
  <c r="D51" i="5"/>
  <c r="F51" i="5" s="1"/>
  <c r="H46" i="20"/>
  <c r="H46" i="22" s="1"/>
  <c r="H58" i="20"/>
  <c r="H87" i="20"/>
  <c r="H76" i="20"/>
  <c r="D90" i="6"/>
  <c r="I85" i="20"/>
  <c r="F85" i="21" s="1"/>
  <c r="H63" i="20"/>
  <c r="H59" i="20"/>
  <c r="H51" i="20"/>
  <c r="D50" i="5"/>
  <c r="F50" i="5" s="1"/>
  <c r="H45" i="20"/>
  <c r="E45" i="21" s="1"/>
  <c r="D99" i="5"/>
  <c r="H94" i="20"/>
  <c r="H94" i="22" s="1"/>
  <c r="D61" i="5"/>
  <c r="F61" i="5" s="1"/>
  <c r="H56" i="20"/>
  <c r="E56" i="21" s="1"/>
  <c r="H82" i="20"/>
  <c r="I61" i="20"/>
  <c r="H84" i="20"/>
  <c r="D39" i="6"/>
  <c r="I34" i="20"/>
  <c r="F34" i="21" s="1"/>
  <c r="D36" i="6"/>
  <c r="I31" i="20"/>
  <c r="F31" i="21" s="1"/>
  <c r="I44" i="20"/>
  <c r="I44" i="22" s="1"/>
  <c r="D37" i="6"/>
  <c r="I32" i="20"/>
  <c r="I32" i="22" s="1"/>
  <c r="I100" i="20"/>
  <c r="D60" i="6"/>
  <c r="I55" i="20"/>
  <c r="I55" i="22" s="1"/>
  <c r="I57" i="20"/>
  <c r="I87" i="20"/>
  <c r="D75" i="6"/>
  <c r="I70" i="20"/>
  <c r="I70" i="22" s="1"/>
  <c r="D81" i="6"/>
  <c r="I76" i="20"/>
  <c r="I58" i="20"/>
  <c r="I72" i="20"/>
  <c r="I98" i="20"/>
  <c r="I101" i="20"/>
  <c r="I82" i="20"/>
  <c r="I86" i="20"/>
  <c r="D75" i="5"/>
  <c r="F75" i="5" s="1"/>
  <c r="H70" i="20"/>
  <c r="E70" i="21" s="1"/>
  <c r="H98" i="20"/>
  <c r="H67" i="20"/>
  <c r="D40" i="5"/>
  <c r="F40" i="5" s="1"/>
  <c r="H35" i="20"/>
  <c r="E35" i="21" s="1"/>
  <c r="D91" i="5"/>
  <c r="F91" i="5" s="1"/>
  <c r="H86" i="20"/>
  <c r="H86" i="22" s="1"/>
  <c r="H54" i="20"/>
  <c r="D46" i="5"/>
  <c r="F46" i="5" s="1"/>
  <c r="H41" i="20"/>
  <c r="H41" i="22" s="1"/>
  <c r="D54" i="5"/>
  <c r="F54" i="5" s="1"/>
  <c r="H49" i="20"/>
  <c r="H49" i="22" s="1"/>
  <c r="H62" i="20"/>
  <c r="H43" i="20"/>
  <c r="H71" i="20"/>
  <c r="D104" i="5"/>
  <c r="H99" i="20"/>
  <c r="E99" i="21" s="1"/>
  <c r="H72" i="20"/>
  <c r="D86" i="5"/>
  <c r="F86" i="5" s="1"/>
  <c r="H81" i="20"/>
  <c r="E81" i="21" s="1"/>
  <c r="D52" i="6"/>
  <c r="I47" i="20"/>
  <c r="F47" i="21" s="1"/>
  <c r="I33" i="20"/>
  <c r="D42" i="6"/>
  <c r="I37" i="20"/>
  <c r="I37" i="22" s="1"/>
  <c r="I40" i="20"/>
  <c r="I46" i="20"/>
  <c r="I67" i="20"/>
  <c r="I56" i="20"/>
  <c r="D104" i="6"/>
  <c r="I99" i="20"/>
  <c r="I99" i="22" s="1"/>
  <c r="D56" i="6"/>
  <c r="I51" i="20"/>
  <c r="I60" i="20"/>
  <c r="D64" i="6"/>
  <c r="I59" i="20"/>
  <c r="F59" i="21" s="1"/>
  <c r="I89" i="20"/>
  <c r="I74" i="20"/>
  <c r="I73" i="20"/>
  <c r="H65" i="20"/>
  <c r="D62" i="5"/>
  <c r="F62" i="5" s="1"/>
  <c r="H57" i="20"/>
  <c r="H57" i="22" s="1"/>
  <c r="H74" i="20"/>
  <c r="H50" i="20"/>
  <c r="H38" i="20"/>
  <c r="D93" i="6"/>
  <c r="I88" i="20"/>
  <c r="I88" i="22" s="1"/>
  <c r="H88" i="20"/>
  <c r="H89" i="20"/>
  <c r="E89" i="21" s="1"/>
  <c r="H40" i="20"/>
  <c r="H37" i="20"/>
  <c r="H92" i="20"/>
  <c r="H55" i="20"/>
  <c r="E55" i="21" s="1"/>
  <c r="D85" i="5"/>
  <c r="F85" i="5" s="1"/>
  <c r="H80" i="20"/>
  <c r="H80" i="22" s="1"/>
  <c r="D44" i="5"/>
  <c r="F44" i="5" s="1"/>
  <c r="H39" i="20"/>
  <c r="E39" i="21" s="1"/>
  <c r="D38" i="5"/>
  <c r="F38" i="5" s="1"/>
  <c r="H33" i="20"/>
  <c r="H33" i="22" s="1"/>
  <c r="H79" i="20"/>
  <c r="H36" i="20"/>
  <c r="H34" i="20"/>
  <c r="H47" i="20"/>
  <c r="H66" i="20"/>
  <c r="E66" i="21" s="1"/>
  <c r="I38" i="20"/>
  <c r="I39" i="20"/>
  <c r="I42" i="20"/>
  <c r="I49" i="20"/>
  <c r="D34" i="6"/>
  <c r="I29" i="20"/>
  <c r="H29" i="20"/>
  <c r="D34" i="5"/>
  <c r="F34" i="5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F63" i="22"/>
  <c r="D39" i="5"/>
  <c r="F39" i="5" s="1"/>
  <c r="G58" i="22"/>
  <c r="D37" i="5"/>
  <c r="F37" i="5" s="1"/>
  <c r="D100" i="5"/>
  <c r="D52" i="5"/>
  <c r="F52" i="5" s="1"/>
  <c r="D41" i="5"/>
  <c r="F41" i="5" s="1"/>
  <c r="D69" i="21"/>
  <c r="D84" i="5"/>
  <c r="F84" i="5" s="1"/>
  <c r="D92" i="5"/>
  <c r="D81" i="5"/>
  <c r="F81" i="5" s="1"/>
  <c r="G96" i="22"/>
  <c r="F73" i="22"/>
  <c r="D71" i="5"/>
  <c r="F71" i="5" s="1"/>
  <c r="D97" i="5"/>
  <c r="F49" i="22"/>
  <c r="F45" i="22"/>
  <c r="D64" i="21"/>
  <c r="F35" i="22"/>
  <c r="F42" i="22"/>
  <c r="D72" i="21"/>
  <c r="D68" i="5"/>
  <c r="F68" i="5" s="1"/>
  <c r="C37" i="21"/>
  <c r="D94" i="6"/>
  <c r="D89" i="5"/>
  <c r="F89" i="5" s="1"/>
  <c r="D80" i="5"/>
  <c r="F80" i="5" s="1"/>
  <c r="D63" i="5"/>
  <c r="F63" i="5" s="1"/>
  <c r="D83" i="5"/>
  <c r="F83" i="5" s="1"/>
  <c r="D93" i="21"/>
  <c r="D96" i="6"/>
  <c r="D77" i="5"/>
  <c r="F77" i="5" s="1"/>
  <c r="D56" i="5"/>
  <c r="F56" i="5" s="1"/>
  <c r="D87" i="5"/>
  <c r="D65" i="6"/>
  <c r="C39" i="21"/>
  <c r="D66" i="6"/>
  <c r="D67" i="5"/>
  <c r="F67" i="5" s="1"/>
  <c r="D64" i="5"/>
  <c r="F64" i="5" s="1"/>
  <c r="F40" i="22"/>
  <c r="D48" i="5"/>
  <c r="F48" i="5" s="1"/>
  <c r="D87" i="6"/>
  <c r="D76" i="5"/>
  <c r="F76" i="5" s="1"/>
  <c r="D60" i="5"/>
  <c r="F60" i="5" s="1"/>
  <c r="F97" i="22"/>
  <c r="D95" i="21"/>
  <c r="D59" i="5"/>
  <c r="F59" i="5" s="1"/>
  <c r="D78" i="5"/>
  <c r="F78" i="5" s="1"/>
  <c r="D103" i="5"/>
  <c r="D72" i="5"/>
  <c r="F72" i="5" s="1"/>
  <c r="D69" i="6"/>
  <c r="G31" i="22"/>
  <c r="D95" i="6"/>
  <c r="D63" i="6"/>
  <c r="C55" i="21"/>
  <c r="D94" i="5"/>
  <c r="D55" i="5"/>
  <c r="F55" i="5" s="1"/>
  <c r="D79" i="5"/>
  <c r="F79" i="5" s="1"/>
  <c r="D35" i="5"/>
  <c r="F35" i="5" s="1"/>
  <c r="D53" i="5"/>
  <c r="F53" i="5" s="1"/>
  <c r="D45" i="5"/>
  <c r="F45" i="5" s="1"/>
  <c r="D43" i="5"/>
  <c r="F43" i="5" s="1"/>
  <c r="D42" i="5"/>
  <c r="F42" i="5" s="1"/>
  <c r="D71" i="6"/>
  <c r="D93" i="5"/>
  <c r="D96" i="5"/>
  <c r="D66" i="5"/>
  <c r="F66" i="5" s="1"/>
  <c r="D105" i="5"/>
  <c r="H60" i="20"/>
  <c r="D65" i="5"/>
  <c r="F65" i="5" s="1"/>
  <c r="H77" i="20"/>
  <c r="D82" i="5"/>
  <c r="F82" i="5" s="1"/>
  <c r="D69" i="5"/>
  <c r="F69" i="5" s="1"/>
  <c r="H64" i="20"/>
  <c r="D98" i="6"/>
  <c r="D98" i="5"/>
  <c r="D90" i="5"/>
  <c r="F90" i="5" s="1"/>
  <c r="D70" i="5"/>
  <c r="F70" i="5" s="1"/>
  <c r="D95" i="5"/>
  <c r="H90" i="20"/>
  <c r="G85" i="22"/>
  <c r="G46" i="22"/>
  <c r="C85" i="21"/>
  <c r="D66" i="21"/>
  <c r="D36" i="21"/>
  <c r="D89" i="21"/>
  <c r="G74" i="22"/>
  <c r="G98" i="22"/>
  <c r="F74" i="22"/>
  <c r="C82" i="21"/>
  <c r="C77" i="21"/>
  <c r="C81" i="21"/>
  <c r="C59" i="21"/>
  <c r="F52" i="22"/>
  <c r="F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F57" i="22"/>
  <c r="D103" i="6"/>
  <c r="D106" i="6"/>
  <c r="D83" i="6"/>
  <c r="D72" i="6"/>
  <c r="I63" i="20"/>
  <c r="F63" i="21" s="1"/>
  <c r="D76" i="6"/>
  <c r="I52" i="20"/>
  <c r="D57" i="6"/>
  <c r="D73" i="6"/>
  <c r="I68" i="20"/>
  <c r="D100" i="6"/>
  <c r="I95" i="20"/>
  <c r="D92" i="6"/>
  <c r="D85" i="6"/>
  <c r="F60" i="22"/>
  <c r="G52" i="22"/>
  <c r="D34" i="21"/>
  <c r="D49" i="21"/>
  <c r="D40" i="21"/>
  <c r="D44" i="21"/>
  <c r="D37" i="21"/>
  <c r="D48" i="21"/>
  <c r="G45" i="22"/>
  <c r="D35" i="21"/>
  <c r="G38" i="22"/>
  <c r="D42" i="21"/>
  <c r="D41" i="21"/>
  <c r="G33" i="22"/>
  <c r="D39" i="21"/>
  <c r="F43" i="22"/>
  <c r="G32" i="22"/>
  <c r="D43" i="21"/>
  <c r="H28" i="22" l="1"/>
  <c r="E28" i="21"/>
  <c r="I30" i="22"/>
  <c r="F30" i="21"/>
  <c r="I101" i="22"/>
  <c r="F101" i="21"/>
  <c r="E100" i="21"/>
  <c r="H100" i="22"/>
  <c r="I73" i="22"/>
  <c r="F73" i="21"/>
  <c r="F49" i="21"/>
  <c r="I49" i="22"/>
  <c r="I33" i="22"/>
  <c r="F33" i="21"/>
  <c r="I86" i="22"/>
  <c r="F86" i="21"/>
  <c r="H59" i="22"/>
  <c r="E59" i="21"/>
  <c r="E79" i="21"/>
  <c r="H79" i="22"/>
  <c r="F60" i="21"/>
  <c r="I60" i="22"/>
  <c r="F40" i="21"/>
  <c r="I40" i="22"/>
  <c r="H43" i="22"/>
  <c r="E43" i="21"/>
  <c r="E98" i="21"/>
  <c r="H98" i="22"/>
  <c r="I72" i="22"/>
  <c r="F72" i="21"/>
  <c r="E87" i="21"/>
  <c r="H87" i="22"/>
  <c r="I54" i="22"/>
  <c r="F54" i="21"/>
  <c r="I39" i="22"/>
  <c r="F39" i="21"/>
  <c r="E37" i="21"/>
  <c r="H37" i="22"/>
  <c r="H50" i="22"/>
  <c r="E50" i="21"/>
  <c r="F89" i="21"/>
  <c r="I89" i="22"/>
  <c r="H75" i="22"/>
  <c r="E75" i="21"/>
  <c r="H34" i="22"/>
  <c r="E34" i="21"/>
  <c r="F67" i="21"/>
  <c r="I67" i="22"/>
  <c r="E54" i="21"/>
  <c r="H54" i="22"/>
  <c r="F87" i="21"/>
  <c r="I87" i="22"/>
  <c r="F61" i="21"/>
  <c r="I61" i="22"/>
  <c r="E48" i="21"/>
  <c r="H48" i="22"/>
  <c r="F44" i="21"/>
  <c r="H89" i="22"/>
  <c r="H66" i="22"/>
  <c r="E42" i="21"/>
  <c r="F71" i="21"/>
  <c r="F92" i="21"/>
  <c r="H88" i="22"/>
  <c r="E88" i="21"/>
  <c r="F98" i="21"/>
  <c r="I98" i="22"/>
  <c r="I75" i="22"/>
  <c r="F75" i="21"/>
  <c r="I45" i="22"/>
  <c r="F45" i="21"/>
  <c r="I90" i="22"/>
  <c r="F90" i="21"/>
  <c r="F38" i="21"/>
  <c r="I38" i="22"/>
  <c r="H40" i="22"/>
  <c r="E40" i="21"/>
  <c r="H65" i="22"/>
  <c r="E65" i="21"/>
  <c r="H72" i="22"/>
  <c r="E72" i="21"/>
  <c r="I82" i="22"/>
  <c r="F82" i="21"/>
  <c r="F100" i="21"/>
  <c r="I100" i="22"/>
  <c r="H63" i="22"/>
  <c r="E63" i="21"/>
  <c r="E95" i="21"/>
  <c r="H95" i="22"/>
  <c r="H85" i="22"/>
  <c r="E85" i="21"/>
  <c r="F36" i="21"/>
  <c r="I36" i="22"/>
  <c r="F93" i="21"/>
  <c r="I93" i="22"/>
  <c r="I91" i="22"/>
  <c r="F91" i="21"/>
  <c r="F74" i="21"/>
  <c r="I74" i="22"/>
  <c r="I96" i="22"/>
  <c r="F96" i="21"/>
  <c r="F42" i="21"/>
  <c r="I42" i="22"/>
  <c r="I46" i="22"/>
  <c r="F46" i="21"/>
  <c r="H67" i="22"/>
  <c r="E67" i="21"/>
  <c r="I57" i="22"/>
  <c r="F57" i="21"/>
  <c r="E51" i="21"/>
  <c r="H51" i="22"/>
  <c r="H32" i="22"/>
  <c r="E32" i="21"/>
  <c r="F66" i="21"/>
  <c r="I66" i="22"/>
  <c r="I64" i="22"/>
  <c r="F64" i="21"/>
  <c r="E78" i="21"/>
  <c r="H78" i="22"/>
  <c r="H47" i="22"/>
  <c r="E47" i="21"/>
  <c r="H71" i="22"/>
  <c r="E71" i="21"/>
  <c r="E84" i="21"/>
  <c r="H84" i="22"/>
  <c r="E76" i="21"/>
  <c r="H76" i="22"/>
  <c r="E91" i="21"/>
  <c r="H91" i="22"/>
  <c r="F29" i="21"/>
  <c r="I29" i="22"/>
  <c r="H92" i="22"/>
  <c r="E92" i="21"/>
  <c r="H74" i="22"/>
  <c r="E74" i="21"/>
  <c r="H36" i="22"/>
  <c r="E36" i="21"/>
  <c r="H38" i="22"/>
  <c r="E38" i="21"/>
  <c r="F56" i="21"/>
  <c r="I56" i="22"/>
  <c r="E62" i="21"/>
  <c r="H62" i="22"/>
  <c r="F58" i="21"/>
  <c r="I58" i="22"/>
  <c r="E82" i="21"/>
  <c r="H82" i="22"/>
  <c r="H58" i="22"/>
  <c r="E58" i="21"/>
  <c r="I80" i="22"/>
  <c r="F80" i="21"/>
  <c r="E61" i="21"/>
  <c r="H61" i="22"/>
  <c r="H73" i="22"/>
  <c r="E73" i="21"/>
  <c r="F41" i="21"/>
  <c r="I41" i="22"/>
  <c r="F32" i="21"/>
  <c r="F97" i="21"/>
  <c r="F43" i="21"/>
  <c r="H93" i="22"/>
  <c r="H55" i="22"/>
  <c r="H30" i="22"/>
  <c r="F78" i="21"/>
  <c r="I83" i="22"/>
  <c r="E29" i="21"/>
  <c r="H29" i="22"/>
  <c r="E46" i="21"/>
  <c r="I47" i="22"/>
  <c r="I34" i="22"/>
  <c r="I31" i="22"/>
  <c r="F37" i="21"/>
  <c r="F35" i="21"/>
  <c r="H31" i="22"/>
  <c r="H39" i="22"/>
  <c r="E33" i="21"/>
  <c r="F65" i="21"/>
  <c r="E83" i="21"/>
  <c r="H99" i="22"/>
  <c r="E49" i="21"/>
  <c r="E80" i="21"/>
  <c r="E52" i="21"/>
  <c r="H81" i="22"/>
  <c r="H35" i="22"/>
  <c r="I85" i="22"/>
  <c r="F88" i="21"/>
  <c r="H44" i="22"/>
  <c r="F77" i="21"/>
  <c r="F99" i="21"/>
  <c r="F69" i="21"/>
  <c r="E68" i="21"/>
  <c r="F50" i="21"/>
  <c r="H56" i="22"/>
  <c r="H69" i="22"/>
  <c r="E69" i="21"/>
  <c r="H45" i="22"/>
  <c r="E94" i="21"/>
  <c r="E41" i="21"/>
  <c r="F62" i="21"/>
  <c r="H70" i="22"/>
  <c r="H97" i="22"/>
  <c r="E86" i="21"/>
  <c r="E57" i="21"/>
  <c r="F55" i="21"/>
  <c r="E64" i="21"/>
  <c r="H64" i="22"/>
  <c r="F81" i="21"/>
  <c r="E90" i="21"/>
  <c r="H90" i="22"/>
  <c r="E60" i="21"/>
  <c r="H60" i="22"/>
  <c r="H77" i="22"/>
  <c r="E77" i="21"/>
  <c r="I94" i="22"/>
  <c r="F70" i="21"/>
  <c r="I79" i="22"/>
  <c r="I63" i="22"/>
  <c r="I59" i="22"/>
  <c r="I84" i="22"/>
  <c r="I51" i="22"/>
  <c r="F51" i="21"/>
  <c r="I95" i="22"/>
  <c r="F95" i="21"/>
  <c r="F52" i="21"/>
  <c r="I52" i="22"/>
  <c r="F68" i="21"/>
  <c r="I68" i="22"/>
  <c r="F76" i="21"/>
  <c r="I76" i="22"/>
  <c r="E35" i="12" l="1"/>
  <c r="E34" i="12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P36" i="19" l="1"/>
  <c r="E41" i="9"/>
  <c r="E41" i="13"/>
  <c r="E41" i="8"/>
  <c r="E41" i="14"/>
  <c r="E41" i="11"/>
  <c r="E41" i="10"/>
  <c r="N36" i="19" s="1"/>
  <c r="P44" i="19"/>
  <c r="P44" i="20" s="1"/>
  <c r="E49" i="14"/>
  <c r="E49" i="13"/>
  <c r="E49" i="8"/>
  <c r="E49" i="9"/>
  <c r="E49" i="11"/>
  <c r="E49" i="10"/>
  <c r="N44" i="19" s="1"/>
  <c r="P45" i="19"/>
  <c r="P45" i="20" s="1"/>
  <c r="E50" i="14"/>
  <c r="E50" i="13"/>
  <c r="E50" i="8"/>
  <c r="E50" i="9"/>
  <c r="E50" i="11"/>
  <c r="E50" i="10"/>
  <c r="P34" i="19"/>
  <c r="P34" i="20" s="1"/>
  <c r="E39" i="14"/>
  <c r="E39" i="13"/>
  <c r="E39" i="8"/>
  <c r="E39" i="9"/>
  <c r="E39" i="10"/>
  <c r="N34" i="19" s="1"/>
  <c r="E39" i="11"/>
  <c r="P33" i="19"/>
  <c r="P33" i="20" s="1"/>
  <c r="E38" i="8"/>
  <c r="E38" i="14"/>
  <c r="E38" i="9"/>
  <c r="E38" i="13"/>
  <c r="E38" i="11"/>
  <c r="E38" i="10"/>
  <c r="N33" i="19" s="1"/>
  <c r="P32" i="19"/>
  <c r="P32" i="20" s="1"/>
  <c r="E37" i="14"/>
  <c r="E37" i="9"/>
  <c r="E37" i="13"/>
  <c r="E37" i="11"/>
  <c r="E37" i="8"/>
  <c r="E37" i="10"/>
  <c r="N32" i="19" s="1"/>
  <c r="P37" i="19"/>
  <c r="P37" i="20" s="1"/>
  <c r="E42" i="9"/>
  <c r="E42" i="13"/>
  <c r="E42" i="8"/>
  <c r="E42" i="14"/>
  <c r="E42" i="11"/>
  <c r="E42" i="10"/>
  <c r="N37" i="19" s="1"/>
  <c r="P41" i="19"/>
  <c r="P41" i="20" s="1"/>
  <c r="E46" i="13"/>
  <c r="E46" i="14"/>
  <c r="E46" i="8"/>
  <c r="E46" i="10"/>
  <c r="N41" i="19" s="1"/>
  <c r="E46" i="9"/>
  <c r="E46" i="11"/>
  <c r="P42" i="19"/>
  <c r="P42" i="20" s="1"/>
  <c r="P42" i="22" s="1"/>
  <c r="E47" i="13"/>
  <c r="E47" i="8"/>
  <c r="E47" i="10"/>
  <c r="N42" i="19" s="1"/>
  <c r="E47" i="9"/>
  <c r="E47" i="14"/>
  <c r="E47" i="11"/>
  <c r="P31" i="19"/>
  <c r="P31" i="20" s="1"/>
  <c r="E36" i="14"/>
  <c r="E36" i="9"/>
  <c r="E36" i="13"/>
  <c r="E36" i="8"/>
  <c r="E36" i="10"/>
  <c r="N31" i="19" s="1"/>
  <c r="E36" i="11"/>
  <c r="P38" i="19"/>
  <c r="P38" i="20" s="1"/>
  <c r="L38" i="21" s="1"/>
  <c r="E43" i="14"/>
  <c r="E43" i="13"/>
  <c r="E43" i="10"/>
  <c r="N38" i="19" s="1"/>
  <c r="E43" i="8"/>
  <c r="E43" i="9"/>
  <c r="E43" i="11"/>
  <c r="P46" i="19"/>
  <c r="P46" i="20" s="1"/>
  <c r="P46" i="22" s="1"/>
  <c r="E51" i="14"/>
  <c r="E51" i="8"/>
  <c r="E51" i="9"/>
  <c r="E51" i="13"/>
  <c r="E51" i="11"/>
  <c r="E51" i="10"/>
  <c r="N46" i="19" s="1"/>
  <c r="P47" i="19"/>
  <c r="P47" i="20" s="1"/>
  <c r="E52" i="14"/>
  <c r="E52" i="8"/>
  <c r="E52" i="9"/>
  <c r="E52" i="13"/>
  <c r="E52" i="11"/>
  <c r="E52" i="10"/>
  <c r="N47" i="19" s="1"/>
  <c r="P43" i="19"/>
  <c r="P43" i="20" s="1"/>
  <c r="E48" i="13"/>
  <c r="E48" i="8"/>
  <c r="E48" i="10"/>
  <c r="N43" i="19" s="1"/>
  <c r="E48" i="9"/>
  <c r="E48" i="14"/>
  <c r="E48" i="11"/>
  <c r="P39" i="19"/>
  <c r="P39" i="20" s="1"/>
  <c r="E44" i="13"/>
  <c r="E44" i="14"/>
  <c r="E44" i="9"/>
  <c r="E44" i="11"/>
  <c r="E44" i="10"/>
  <c r="N39" i="19" s="1"/>
  <c r="E44" i="8"/>
  <c r="P40" i="19"/>
  <c r="P40" i="20" s="1"/>
  <c r="E45" i="14"/>
  <c r="E45" i="13"/>
  <c r="E45" i="8"/>
  <c r="E45" i="11"/>
  <c r="E45" i="10"/>
  <c r="N40" i="19" s="1"/>
  <c r="E45" i="9"/>
  <c r="P35" i="19"/>
  <c r="P35" i="20" s="1"/>
  <c r="E40" i="14"/>
  <c r="E40" i="13"/>
  <c r="E40" i="9"/>
  <c r="E40" i="8"/>
  <c r="E40" i="11"/>
  <c r="E40" i="10"/>
  <c r="N35" i="19" s="1"/>
  <c r="E34" i="13"/>
  <c r="E34" i="9"/>
  <c r="E34" i="14"/>
  <c r="E34" i="8"/>
  <c r="E34" i="10"/>
  <c r="E34" i="11"/>
  <c r="P48" i="19"/>
  <c r="P48" i="20" s="1"/>
  <c r="E53" i="8"/>
  <c r="E53" i="9"/>
  <c r="E53" i="13"/>
  <c r="E53" i="14"/>
  <c r="E53" i="10"/>
  <c r="N48" i="19" s="1"/>
  <c r="E53" i="11"/>
  <c r="P30" i="19"/>
  <c r="P30" i="20" s="1"/>
  <c r="P30" i="22" s="1"/>
  <c r="E35" i="13"/>
  <c r="E35" i="14"/>
  <c r="E35" i="9"/>
  <c r="E35" i="8"/>
  <c r="E35" i="11"/>
  <c r="E35" i="10"/>
  <c r="N30" i="19" s="1"/>
  <c r="N30" i="20" s="1"/>
  <c r="D35" i="12"/>
  <c r="K35" i="12" s="1"/>
  <c r="P29" i="19"/>
  <c r="P29" i="20" s="1"/>
  <c r="D34" i="12"/>
  <c r="D43" i="12"/>
  <c r="D39" i="12"/>
  <c r="D46" i="12"/>
  <c r="N45" i="19"/>
  <c r="D47" i="12"/>
  <c r="D51" i="12"/>
  <c r="D50" i="12"/>
  <c r="D38" i="12"/>
  <c r="D42" i="12"/>
  <c r="D52" i="12"/>
  <c r="P36" i="20"/>
  <c r="D41" i="12"/>
  <c r="D53" i="12"/>
  <c r="D44" i="12"/>
  <c r="D49" i="12"/>
  <c r="D36" i="12"/>
  <c r="D48" i="12"/>
  <c r="D37" i="12"/>
  <c r="D40" i="12"/>
  <c r="D45" i="12"/>
  <c r="D35" i="10" l="1"/>
  <c r="F35" i="10" s="1"/>
  <c r="H35" i="12"/>
  <c r="L30" i="21"/>
  <c r="R29" i="19"/>
  <c r="R29" i="20" s="1"/>
  <c r="D34" i="14"/>
  <c r="F34" i="14" s="1"/>
  <c r="D35" i="13"/>
  <c r="F35" i="13" s="1"/>
  <c r="R38" i="19"/>
  <c r="R38" i="20" s="1"/>
  <c r="O30" i="19"/>
  <c r="O30" i="20" s="1"/>
  <c r="K34" i="12"/>
  <c r="H34" i="12"/>
  <c r="P29" i="22"/>
  <c r="L29" i="21"/>
  <c r="M33" i="19"/>
  <c r="M33" i="20" s="1"/>
  <c r="N29" i="19"/>
  <c r="N29" i="20" s="1"/>
  <c r="D34" i="10"/>
  <c r="F34" i="10" s="1"/>
  <c r="L42" i="21"/>
  <c r="L46" i="21"/>
  <c r="K38" i="12"/>
  <c r="H38" i="12"/>
  <c r="K39" i="12"/>
  <c r="H39" i="12"/>
  <c r="K36" i="12"/>
  <c r="H36" i="12"/>
  <c r="K43" i="12"/>
  <c r="H43" i="12"/>
  <c r="K48" i="12"/>
  <c r="H48" i="12"/>
  <c r="K49" i="12"/>
  <c r="H49" i="12"/>
  <c r="K41" i="12"/>
  <c r="H41" i="12"/>
  <c r="K42" i="12"/>
  <c r="H42" i="12"/>
  <c r="K50" i="12"/>
  <c r="H50" i="12"/>
  <c r="K45" i="12"/>
  <c r="H45" i="12"/>
  <c r="K44" i="12"/>
  <c r="H44" i="12"/>
  <c r="K52" i="12"/>
  <c r="H52" i="12"/>
  <c r="K47" i="12"/>
  <c r="H47" i="12"/>
  <c r="K53" i="12"/>
  <c r="H53" i="12"/>
  <c r="K40" i="12"/>
  <c r="H40" i="12"/>
  <c r="K37" i="12"/>
  <c r="H37" i="12"/>
  <c r="K51" i="12"/>
  <c r="H51" i="12"/>
  <c r="K46" i="12"/>
  <c r="H46" i="12"/>
  <c r="R31" i="19"/>
  <c r="P34" i="22"/>
  <c r="L34" i="21"/>
  <c r="P45" i="22"/>
  <c r="L45" i="21"/>
  <c r="P33" i="22"/>
  <c r="L33" i="21"/>
  <c r="P41" i="22"/>
  <c r="L41" i="21"/>
  <c r="D40" i="10"/>
  <c r="F40" i="10" s="1"/>
  <c r="N35" i="20"/>
  <c r="N35" i="22" s="1"/>
  <c r="N38" i="20"/>
  <c r="N40" i="20"/>
  <c r="N31" i="20"/>
  <c r="N41" i="20"/>
  <c r="N33" i="20"/>
  <c r="N46" i="20"/>
  <c r="N34" i="20"/>
  <c r="D53" i="10"/>
  <c r="F53" i="10" s="1"/>
  <c r="N48" i="20"/>
  <c r="N48" i="22" s="1"/>
  <c r="N42" i="20"/>
  <c r="N45" i="20"/>
  <c r="N37" i="20"/>
  <c r="D52" i="10"/>
  <c r="F52" i="10" s="1"/>
  <c r="N47" i="20"/>
  <c r="J47" i="21" s="1"/>
  <c r="N44" i="20"/>
  <c r="N43" i="20"/>
  <c r="D41" i="10"/>
  <c r="F41" i="10" s="1"/>
  <c r="N36" i="20"/>
  <c r="J36" i="21" s="1"/>
  <c r="D37" i="10"/>
  <c r="F37" i="10" s="1"/>
  <c r="N32" i="20"/>
  <c r="N32" i="22" s="1"/>
  <c r="N39" i="20"/>
  <c r="Q36" i="19"/>
  <c r="Q31" i="19"/>
  <c r="O31" i="19"/>
  <c r="J30" i="21"/>
  <c r="N30" i="22"/>
  <c r="R35" i="19"/>
  <c r="R34" i="19"/>
  <c r="Q40" i="19"/>
  <c r="Q42" i="19"/>
  <c r="Q37" i="19"/>
  <c r="Q45" i="19"/>
  <c r="Q33" i="19"/>
  <c r="Q43" i="19"/>
  <c r="O45" i="19"/>
  <c r="O47" i="19"/>
  <c r="O32" i="19"/>
  <c r="D44" i="10"/>
  <c r="F44" i="10" s="1"/>
  <c r="D43" i="10"/>
  <c r="F43" i="10" s="1"/>
  <c r="D45" i="10"/>
  <c r="F45" i="10" s="1"/>
  <c r="D48" i="10"/>
  <c r="F48" i="10" s="1"/>
  <c r="D36" i="10"/>
  <c r="F36" i="10" s="1"/>
  <c r="L37" i="19"/>
  <c r="L29" i="19"/>
  <c r="D49" i="10"/>
  <c r="F49" i="10" s="1"/>
  <c r="D50" i="10"/>
  <c r="F50" i="10" s="1"/>
  <c r="D42" i="10"/>
  <c r="F42" i="10" s="1"/>
  <c r="O41" i="19"/>
  <c r="O36" i="19"/>
  <c r="O43" i="19"/>
  <c r="D47" i="10"/>
  <c r="F47" i="10" s="1"/>
  <c r="O35" i="19"/>
  <c r="O46" i="19"/>
  <c r="O42" i="19"/>
  <c r="D38" i="10"/>
  <c r="F38" i="10" s="1"/>
  <c r="O33" i="19"/>
  <c r="O44" i="19"/>
  <c r="O34" i="19"/>
  <c r="D39" i="10"/>
  <c r="F39" i="10" s="1"/>
  <c r="R47" i="19"/>
  <c r="R46" i="19"/>
  <c r="R44" i="19"/>
  <c r="R41" i="19"/>
  <c r="R33" i="19"/>
  <c r="Q48" i="19"/>
  <c r="Q34" i="19"/>
  <c r="O40" i="19"/>
  <c r="R40" i="19"/>
  <c r="R43" i="19"/>
  <c r="Q35" i="19"/>
  <c r="Q38" i="19"/>
  <c r="O39" i="19"/>
  <c r="D43" i="14"/>
  <c r="F43" i="14" s="1"/>
  <c r="D51" i="10"/>
  <c r="F51" i="10" s="1"/>
  <c r="R36" i="19"/>
  <c r="R42" i="19"/>
  <c r="R45" i="19"/>
  <c r="Q44" i="19"/>
  <c r="Q47" i="19"/>
  <c r="O38" i="19"/>
  <c r="R37" i="19"/>
  <c r="R39" i="19"/>
  <c r="R32" i="19"/>
  <c r="R48" i="19"/>
  <c r="Q39" i="19"/>
  <c r="Q41" i="19"/>
  <c r="Q32" i="19"/>
  <c r="Q46" i="19"/>
  <c r="O48" i="19"/>
  <c r="O37" i="19"/>
  <c r="D46" i="10"/>
  <c r="F46" i="10" s="1"/>
  <c r="M47" i="19"/>
  <c r="P38" i="22"/>
  <c r="M44" i="19"/>
  <c r="L38" i="19"/>
  <c r="M42" i="19"/>
  <c r="L34" i="19"/>
  <c r="L30" i="19"/>
  <c r="L36" i="19"/>
  <c r="L33" i="19"/>
  <c r="M31" i="19"/>
  <c r="M35" i="19"/>
  <c r="M45" i="19"/>
  <c r="L46" i="19"/>
  <c r="L35" i="19"/>
  <c r="M30" i="19"/>
  <c r="L39" i="19"/>
  <c r="L48" i="19"/>
  <c r="L45" i="19"/>
  <c r="M39" i="19"/>
  <c r="M43" i="19"/>
  <c r="M32" i="19"/>
  <c r="P37" i="22"/>
  <c r="L37" i="21"/>
  <c r="L47" i="19"/>
  <c r="L43" i="19"/>
  <c r="L32" i="19"/>
  <c r="M34" i="19"/>
  <c r="M38" i="19"/>
  <c r="M48" i="19"/>
  <c r="M41" i="19"/>
  <c r="P31" i="22"/>
  <c r="L31" i="21"/>
  <c r="P48" i="22"/>
  <c r="L48" i="21"/>
  <c r="P44" i="22"/>
  <c r="L44" i="21"/>
  <c r="P47" i="22"/>
  <c r="L47" i="21"/>
  <c r="L42" i="19"/>
  <c r="L31" i="19"/>
  <c r="L44" i="19"/>
  <c r="L41" i="19"/>
  <c r="L32" i="21"/>
  <c r="P32" i="22"/>
  <c r="M40" i="19"/>
  <c r="M37" i="19"/>
  <c r="L35" i="21"/>
  <c r="P35" i="22"/>
  <c r="L40" i="21"/>
  <c r="P40" i="22"/>
  <c r="L40" i="19"/>
  <c r="L43" i="21"/>
  <c r="P43" i="22"/>
  <c r="M46" i="19"/>
  <c r="M36" i="19"/>
  <c r="P39" i="22"/>
  <c r="L39" i="21"/>
  <c r="P36" i="22"/>
  <c r="L36" i="21"/>
  <c r="Q30" i="19" l="1"/>
  <c r="Q30" i="20" s="1"/>
  <c r="Q30" i="22" s="1"/>
  <c r="R29" i="22"/>
  <c r="N29" i="21"/>
  <c r="D35" i="11"/>
  <c r="F35" i="11" s="1"/>
  <c r="Q29" i="19"/>
  <c r="Q29" i="20" s="1"/>
  <c r="D34" i="13"/>
  <c r="F34" i="13" s="1"/>
  <c r="R30" i="19"/>
  <c r="R30" i="20" s="1"/>
  <c r="D35" i="14"/>
  <c r="F35" i="14" s="1"/>
  <c r="D38" i="9"/>
  <c r="F38" i="9" s="1"/>
  <c r="M29" i="19"/>
  <c r="M29" i="20" s="1"/>
  <c r="D34" i="9"/>
  <c r="F34" i="9" s="1"/>
  <c r="J29" i="21"/>
  <c r="N29" i="22"/>
  <c r="O29" i="19"/>
  <c r="O29" i="20" s="1"/>
  <c r="D34" i="11"/>
  <c r="F34" i="11" s="1"/>
  <c r="R31" i="20"/>
  <c r="D36" i="14"/>
  <c r="F36" i="14" s="1"/>
  <c r="Q34" i="20"/>
  <c r="Q43" i="20"/>
  <c r="R43" i="20"/>
  <c r="D53" i="13"/>
  <c r="F53" i="13" s="1"/>
  <c r="Q48" i="20"/>
  <c r="Q48" i="22" s="1"/>
  <c r="D51" i="14"/>
  <c r="F51" i="14" s="1"/>
  <c r="R46" i="20"/>
  <c r="N46" i="21" s="1"/>
  <c r="Q33" i="20"/>
  <c r="Q40" i="20"/>
  <c r="D41" i="13"/>
  <c r="F41" i="13" s="1"/>
  <c r="Q36" i="20"/>
  <c r="M36" i="21" s="1"/>
  <c r="D49" i="14"/>
  <c r="F49" i="14" s="1"/>
  <c r="R44" i="20"/>
  <c r="R44" i="22" s="1"/>
  <c r="Q42" i="20"/>
  <c r="D45" i="14"/>
  <c r="F45" i="14" s="1"/>
  <c r="R40" i="20"/>
  <c r="R40" i="22" s="1"/>
  <c r="D38" i="14"/>
  <c r="F38" i="14" s="1"/>
  <c r="R33" i="20"/>
  <c r="N33" i="21" s="1"/>
  <c r="R47" i="20"/>
  <c r="R47" i="22" s="1"/>
  <c r="Q45" i="20"/>
  <c r="D39" i="14"/>
  <c r="F39" i="14" s="1"/>
  <c r="R34" i="20"/>
  <c r="N34" i="21" s="1"/>
  <c r="D40" i="13"/>
  <c r="F40" i="13" s="1"/>
  <c r="Q35" i="20"/>
  <c r="Q35" i="22" s="1"/>
  <c r="Q38" i="20"/>
  <c r="D46" i="14"/>
  <c r="F46" i="14" s="1"/>
  <c r="R41" i="20"/>
  <c r="R41" i="22" s="1"/>
  <c r="Q37" i="20"/>
  <c r="D40" i="14"/>
  <c r="F40" i="14" s="1"/>
  <c r="R35" i="20"/>
  <c r="N35" i="21" s="1"/>
  <c r="N39" i="22"/>
  <c r="J39" i="21"/>
  <c r="J46" i="21"/>
  <c r="N46" i="22"/>
  <c r="N40" i="22"/>
  <c r="J40" i="21"/>
  <c r="J43" i="21"/>
  <c r="N43" i="22"/>
  <c r="N37" i="22"/>
  <c r="J37" i="21"/>
  <c r="J33" i="21"/>
  <c r="N33" i="22"/>
  <c r="J38" i="21"/>
  <c r="N38" i="22"/>
  <c r="J44" i="21"/>
  <c r="N44" i="22"/>
  <c r="J45" i="21"/>
  <c r="N45" i="22"/>
  <c r="N41" i="22"/>
  <c r="J41" i="21"/>
  <c r="J42" i="21"/>
  <c r="N42" i="22"/>
  <c r="N34" i="22"/>
  <c r="J34" i="21"/>
  <c r="N31" i="22"/>
  <c r="J31" i="21"/>
  <c r="D39" i="9"/>
  <c r="F39" i="9" s="1"/>
  <c r="M34" i="20"/>
  <c r="M34" i="22" s="1"/>
  <c r="D44" i="9"/>
  <c r="F44" i="9" s="1"/>
  <c r="D35" i="9"/>
  <c r="F35" i="9" s="1"/>
  <c r="M30" i="20"/>
  <c r="I30" i="21" s="1"/>
  <c r="M45" i="20"/>
  <c r="D41" i="8"/>
  <c r="F41" i="8" s="1"/>
  <c r="L36" i="20"/>
  <c r="H36" i="21" s="1"/>
  <c r="L38" i="20"/>
  <c r="O34" i="20"/>
  <c r="O42" i="20"/>
  <c r="O41" i="20"/>
  <c r="O47" i="20"/>
  <c r="M41" i="20"/>
  <c r="D37" i="8"/>
  <c r="F37" i="8" s="1"/>
  <c r="L32" i="20"/>
  <c r="L32" i="22" s="1"/>
  <c r="L45" i="20"/>
  <c r="D40" i="9"/>
  <c r="F40" i="9" s="1"/>
  <c r="D35" i="8"/>
  <c r="F35" i="8" s="1"/>
  <c r="L30" i="20"/>
  <c r="L30" i="22" s="1"/>
  <c r="M44" i="20"/>
  <c r="O44" i="20"/>
  <c r="O46" i="20"/>
  <c r="D42" i="8"/>
  <c r="F42" i="8" s="1"/>
  <c r="L37" i="20"/>
  <c r="H37" i="21" s="1"/>
  <c r="O45" i="20"/>
  <c r="D53" i="9"/>
  <c r="F53" i="9" s="1"/>
  <c r="M48" i="20"/>
  <c r="M48" i="22" s="1"/>
  <c r="L43" i="20"/>
  <c r="M32" i="20"/>
  <c r="L48" i="20"/>
  <c r="D40" i="8"/>
  <c r="F40" i="8" s="1"/>
  <c r="L35" i="20"/>
  <c r="H35" i="21" s="1"/>
  <c r="M31" i="20"/>
  <c r="D39" i="8"/>
  <c r="F39" i="8" s="1"/>
  <c r="L34" i="20"/>
  <c r="H34" i="21" s="1"/>
  <c r="O39" i="20"/>
  <c r="O33" i="20"/>
  <c r="O35" i="20"/>
  <c r="O43" i="20"/>
  <c r="M38" i="20"/>
  <c r="L47" i="20"/>
  <c r="M43" i="20"/>
  <c r="L39" i="20"/>
  <c r="D51" i="8"/>
  <c r="F51" i="8" s="1"/>
  <c r="L46" i="20"/>
  <c r="H46" i="21" s="1"/>
  <c r="D38" i="8"/>
  <c r="F38" i="8" s="1"/>
  <c r="L33" i="20"/>
  <c r="H33" i="21" s="1"/>
  <c r="D47" i="9"/>
  <c r="F47" i="9" s="1"/>
  <c r="M42" i="20"/>
  <c r="M42" i="22" s="1"/>
  <c r="D52" i="9"/>
  <c r="F52" i="9" s="1"/>
  <c r="M47" i="20"/>
  <c r="I47" i="21" s="1"/>
  <c r="O40" i="20"/>
  <c r="O36" i="20"/>
  <c r="O32" i="20"/>
  <c r="O30" i="22"/>
  <c r="K30" i="21"/>
  <c r="Q31" i="20"/>
  <c r="D36" i="13"/>
  <c r="F36" i="13" s="1"/>
  <c r="O31" i="20"/>
  <c r="D36" i="11"/>
  <c r="F36" i="11" s="1"/>
  <c r="D50" i="13"/>
  <c r="F50" i="13" s="1"/>
  <c r="D42" i="13"/>
  <c r="F42" i="13" s="1"/>
  <c r="D52" i="14"/>
  <c r="F52" i="14" s="1"/>
  <c r="D47" i="13"/>
  <c r="F47" i="13" s="1"/>
  <c r="D43" i="13"/>
  <c r="F43" i="13" s="1"/>
  <c r="D48" i="13"/>
  <c r="F48" i="13" s="1"/>
  <c r="D45" i="13"/>
  <c r="F45" i="13" s="1"/>
  <c r="D37" i="11"/>
  <c r="F37" i="11" s="1"/>
  <c r="D48" i="14"/>
  <c r="F48" i="14" s="1"/>
  <c r="D38" i="13"/>
  <c r="F38" i="13" s="1"/>
  <c r="N36" i="22"/>
  <c r="D52" i="11"/>
  <c r="F52" i="11" s="1"/>
  <c r="D50" i="11"/>
  <c r="F50" i="11" s="1"/>
  <c r="N47" i="22"/>
  <c r="J32" i="21"/>
  <c r="D46" i="11"/>
  <c r="F46" i="11" s="1"/>
  <c r="D43" i="8"/>
  <c r="F43" i="8" s="1"/>
  <c r="J35" i="21"/>
  <c r="D47" i="11"/>
  <c r="F47" i="11" s="1"/>
  <c r="D39" i="11"/>
  <c r="F39" i="11" s="1"/>
  <c r="D49" i="11"/>
  <c r="F49" i="11" s="1"/>
  <c r="D51" i="11"/>
  <c r="F51" i="11" s="1"/>
  <c r="J48" i="21"/>
  <c r="D48" i="11"/>
  <c r="F48" i="11" s="1"/>
  <c r="D40" i="11"/>
  <c r="F40" i="11" s="1"/>
  <c r="D41" i="11"/>
  <c r="F41" i="11" s="1"/>
  <c r="L29" i="20"/>
  <c r="D34" i="8"/>
  <c r="F34" i="8" s="1"/>
  <c r="D38" i="11"/>
  <c r="F38" i="11" s="1"/>
  <c r="D45" i="11"/>
  <c r="F45" i="11" s="1"/>
  <c r="D44" i="11"/>
  <c r="F44" i="11" s="1"/>
  <c r="D39" i="13"/>
  <c r="F39" i="13" s="1"/>
  <c r="O48" i="20"/>
  <c r="D53" i="11"/>
  <c r="F53" i="11" s="1"/>
  <c r="R37" i="20"/>
  <c r="D42" i="14"/>
  <c r="F42" i="14" s="1"/>
  <c r="R45" i="20"/>
  <c r="D50" i="14"/>
  <c r="F50" i="14" s="1"/>
  <c r="N38" i="21"/>
  <c r="R38" i="22"/>
  <c r="D51" i="13"/>
  <c r="F51" i="13" s="1"/>
  <c r="Q46" i="20"/>
  <c r="R48" i="20"/>
  <c r="D53" i="14"/>
  <c r="F53" i="14" s="1"/>
  <c r="D47" i="14"/>
  <c r="F47" i="14" s="1"/>
  <c r="R42" i="20"/>
  <c r="Q32" i="20"/>
  <c r="D37" i="13"/>
  <c r="F37" i="13" s="1"/>
  <c r="R32" i="20"/>
  <c r="D37" i="14"/>
  <c r="F37" i="14" s="1"/>
  <c r="Q47" i="20"/>
  <c r="D52" i="13"/>
  <c r="F52" i="13" s="1"/>
  <c r="R36" i="20"/>
  <c r="D41" i="14"/>
  <c r="F41" i="14" s="1"/>
  <c r="D44" i="13"/>
  <c r="F44" i="13" s="1"/>
  <c r="Q39" i="20"/>
  <c r="O37" i="20"/>
  <c r="D42" i="11"/>
  <c r="F42" i="11" s="1"/>
  <c r="Q41" i="20"/>
  <c r="D46" i="13"/>
  <c r="F46" i="13" s="1"/>
  <c r="R39" i="20"/>
  <c r="D44" i="14"/>
  <c r="F44" i="14" s="1"/>
  <c r="O38" i="20"/>
  <c r="D43" i="11"/>
  <c r="F43" i="11" s="1"/>
  <c r="D49" i="13"/>
  <c r="F49" i="13" s="1"/>
  <c r="Q44" i="20"/>
  <c r="D49" i="9"/>
  <c r="F49" i="9" s="1"/>
  <c r="D50" i="8"/>
  <c r="F50" i="8" s="1"/>
  <c r="M39" i="20"/>
  <c r="I39" i="21" s="1"/>
  <c r="D46" i="9"/>
  <c r="F46" i="9" s="1"/>
  <c r="M35" i="20"/>
  <c r="M35" i="22" s="1"/>
  <c r="D50" i="9"/>
  <c r="F50" i="9" s="1"/>
  <c r="D48" i="9"/>
  <c r="F48" i="9" s="1"/>
  <c r="D52" i="8"/>
  <c r="F52" i="8" s="1"/>
  <c r="D48" i="8"/>
  <c r="F48" i="8" s="1"/>
  <c r="D53" i="8"/>
  <c r="F53" i="8" s="1"/>
  <c r="D43" i="9"/>
  <c r="F43" i="9" s="1"/>
  <c r="D44" i="8"/>
  <c r="F44" i="8" s="1"/>
  <c r="D37" i="9"/>
  <c r="F37" i="9" s="1"/>
  <c r="D36" i="9"/>
  <c r="F36" i="9" s="1"/>
  <c r="D41" i="9"/>
  <c r="F41" i="9" s="1"/>
  <c r="M36" i="20"/>
  <c r="D36" i="8"/>
  <c r="F36" i="8" s="1"/>
  <c r="L31" i="20"/>
  <c r="M33" i="22"/>
  <c r="I33" i="21"/>
  <c r="D45" i="8"/>
  <c r="F45" i="8" s="1"/>
  <c r="L40" i="20"/>
  <c r="D45" i="9"/>
  <c r="F45" i="9" s="1"/>
  <c r="M40" i="20"/>
  <c r="D51" i="9"/>
  <c r="F51" i="9" s="1"/>
  <c r="M46" i="20"/>
  <c r="D47" i="8"/>
  <c r="F47" i="8" s="1"/>
  <c r="L42" i="20"/>
  <c r="M37" i="20"/>
  <c r="D42" i="9"/>
  <c r="F42" i="9" s="1"/>
  <c r="D46" i="8"/>
  <c r="F46" i="8" s="1"/>
  <c r="L41" i="20"/>
  <c r="D49" i="8"/>
  <c r="F49" i="8" s="1"/>
  <c r="L44" i="20"/>
  <c r="M30" i="21" l="1"/>
  <c r="M29" i="21"/>
  <c r="Q29" i="22"/>
  <c r="R30" i="22"/>
  <c r="N30" i="21"/>
  <c r="O29" i="22"/>
  <c r="K29" i="21"/>
  <c r="M29" i="22"/>
  <c r="I29" i="21"/>
  <c r="N31" i="21"/>
  <c r="R31" i="22"/>
  <c r="Q40" i="22"/>
  <c r="M40" i="21"/>
  <c r="N41" i="21"/>
  <c r="N47" i="21"/>
  <c r="Q38" i="22"/>
  <c r="M38" i="21"/>
  <c r="M42" i="21"/>
  <c r="Q42" i="22"/>
  <c r="R43" i="22"/>
  <c r="N43" i="21"/>
  <c r="Q37" i="22"/>
  <c r="M37" i="21"/>
  <c r="Q45" i="22"/>
  <c r="M45" i="21"/>
  <c r="M43" i="21"/>
  <c r="Q43" i="22"/>
  <c r="M33" i="21"/>
  <c r="Q33" i="22"/>
  <c r="M34" i="21"/>
  <c r="Q34" i="22"/>
  <c r="M39" i="22"/>
  <c r="H39" i="21"/>
  <c r="L39" i="22"/>
  <c r="O43" i="22"/>
  <c r="K43" i="21"/>
  <c r="K42" i="21"/>
  <c r="O42" i="22"/>
  <c r="K32" i="21"/>
  <c r="O32" i="22"/>
  <c r="M43" i="22"/>
  <c r="I43" i="21"/>
  <c r="K35" i="21"/>
  <c r="O35" i="22"/>
  <c r="L48" i="22"/>
  <c r="H48" i="21"/>
  <c r="O46" i="22"/>
  <c r="K46" i="21"/>
  <c r="M41" i="22"/>
  <c r="I41" i="21"/>
  <c r="O34" i="22"/>
  <c r="K34" i="21"/>
  <c r="M45" i="22"/>
  <c r="I45" i="21"/>
  <c r="K36" i="21"/>
  <c r="O36" i="22"/>
  <c r="L47" i="22"/>
  <c r="H47" i="21"/>
  <c r="K33" i="21"/>
  <c r="O33" i="22"/>
  <c r="M31" i="22"/>
  <c r="I31" i="21"/>
  <c r="M32" i="22"/>
  <c r="I32" i="21"/>
  <c r="O45" i="22"/>
  <c r="K45" i="21"/>
  <c r="O44" i="22"/>
  <c r="K44" i="21"/>
  <c r="L45" i="22"/>
  <c r="H45" i="21"/>
  <c r="O47" i="22"/>
  <c r="K47" i="21"/>
  <c r="H38" i="21"/>
  <c r="L38" i="22"/>
  <c r="K40" i="21"/>
  <c r="O40" i="22"/>
  <c r="I38" i="21"/>
  <c r="M38" i="22"/>
  <c r="O39" i="22"/>
  <c r="K39" i="21"/>
  <c r="L43" i="22"/>
  <c r="H43" i="21"/>
  <c r="M44" i="22"/>
  <c r="I44" i="21"/>
  <c r="K41" i="21"/>
  <c r="O41" i="22"/>
  <c r="R35" i="22"/>
  <c r="Q36" i="22"/>
  <c r="Q31" i="22"/>
  <c r="M31" i="21"/>
  <c r="O31" i="22"/>
  <c r="K31" i="21"/>
  <c r="R46" i="22"/>
  <c r="N40" i="21"/>
  <c r="R34" i="22"/>
  <c r="N44" i="21"/>
  <c r="M48" i="21"/>
  <c r="M35" i="21"/>
  <c r="R33" i="22"/>
  <c r="M47" i="22"/>
  <c r="L37" i="22"/>
  <c r="H29" i="21"/>
  <c r="L29" i="22"/>
  <c r="L33" i="22"/>
  <c r="O38" i="22"/>
  <c r="K38" i="21"/>
  <c r="R39" i="22"/>
  <c r="N39" i="21"/>
  <c r="O37" i="22"/>
  <c r="K37" i="21"/>
  <c r="R36" i="22"/>
  <c r="N36" i="21"/>
  <c r="M32" i="21"/>
  <c r="Q32" i="22"/>
  <c r="R37" i="22"/>
  <c r="N37" i="21"/>
  <c r="M46" i="21"/>
  <c r="Q46" i="22"/>
  <c r="Q44" i="22"/>
  <c r="M44" i="21"/>
  <c r="N42" i="21"/>
  <c r="R42" i="22"/>
  <c r="Q39" i="22"/>
  <c r="M39" i="21"/>
  <c r="Q41" i="22"/>
  <c r="M41" i="21"/>
  <c r="Q47" i="22"/>
  <c r="M47" i="21"/>
  <c r="R32" i="22"/>
  <c r="N32" i="21"/>
  <c r="R48" i="22"/>
  <c r="N48" i="21"/>
  <c r="N45" i="21"/>
  <c r="R45" i="22"/>
  <c r="K48" i="21"/>
  <c r="O48" i="22"/>
  <c r="I42" i="21"/>
  <c r="H30" i="21"/>
  <c r="L36" i="22"/>
  <c r="I34" i="21"/>
  <c r="M30" i="22"/>
  <c r="I35" i="21"/>
  <c r="H32" i="21"/>
  <c r="L46" i="22"/>
  <c r="L35" i="22"/>
  <c r="L34" i="22"/>
  <c r="I48" i="21"/>
  <c r="L44" i="22"/>
  <c r="H44" i="21"/>
  <c r="I46" i="21"/>
  <c r="M46" i="22"/>
  <c r="L40" i="22"/>
  <c r="H40" i="21"/>
  <c r="M36" i="22"/>
  <c r="I36" i="21"/>
  <c r="L42" i="22"/>
  <c r="H42" i="21"/>
  <c r="M40" i="22"/>
  <c r="I40" i="21"/>
  <c r="L31" i="22"/>
  <c r="H31" i="21"/>
  <c r="M37" i="22"/>
  <c r="I37" i="21"/>
  <c r="H41" i="21"/>
  <c r="L41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P98" i="19" l="1"/>
  <c r="E103" i="11"/>
  <c r="E103" i="9"/>
  <c r="E103" i="14"/>
  <c r="E103" i="13"/>
  <c r="E103" i="10"/>
  <c r="P78" i="19"/>
  <c r="P78" i="20" s="1"/>
  <c r="E83" i="14"/>
  <c r="E83" i="9"/>
  <c r="E83" i="8"/>
  <c r="E83" i="13"/>
  <c r="E83" i="10"/>
  <c r="E83" i="11"/>
  <c r="P58" i="19"/>
  <c r="P58" i="20" s="1"/>
  <c r="E63" i="8"/>
  <c r="E63" i="14"/>
  <c r="E63" i="13"/>
  <c r="E63" i="9"/>
  <c r="E63" i="11"/>
  <c r="E63" i="10"/>
  <c r="P55" i="19"/>
  <c r="E60" i="14"/>
  <c r="E60" i="9"/>
  <c r="E60" i="13"/>
  <c r="E60" i="8"/>
  <c r="E60" i="11"/>
  <c r="E60" i="10"/>
  <c r="P74" i="19"/>
  <c r="P74" i="20" s="1"/>
  <c r="E79" i="8"/>
  <c r="E79" i="14"/>
  <c r="E79" i="13"/>
  <c r="E79" i="10"/>
  <c r="E79" i="11"/>
  <c r="E79" i="9"/>
  <c r="P93" i="19"/>
  <c r="P93" i="20" s="1"/>
  <c r="E98" i="13"/>
  <c r="E98" i="11"/>
  <c r="E98" i="9"/>
  <c r="E98" i="14"/>
  <c r="E98" i="10"/>
  <c r="P71" i="19"/>
  <c r="P71" i="20" s="1"/>
  <c r="E76" i="13"/>
  <c r="E76" i="14"/>
  <c r="E76" i="9"/>
  <c r="E76" i="8"/>
  <c r="E76" i="11"/>
  <c r="E76" i="10"/>
  <c r="P79" i="19"/>
  <c r="P79" i="20" s="1"/>
  <c r="E84" i="14"/>
  <c r="E84" i="13"/>
  <c r="E84" i="9"/>
  <c r="E84" i="11"/>
  <c r="E84" i="10"/>
  <c r="E84" i="8"/>
  <c r="P72" i="19"/>
  <c r="P72" i="20" s="1"/>
  <c r="E77" i="14"/>
  <c r="E77" i="13"/>
  <c r="E77" i="11"/>
  <c r="E77" i="9"/>
  <c r="E77" i="8"/>
  <c r="E77" i="10"/>
  <c r="P91" i="19"/>
  <c r="P91" i="20" s="1"/>
  <c r="E96" i="14"/>
  <c r="E96" i="13"/>
  <c r="E96" i="11"/>
  <c r="E96" i="9"/>
  <c r="E96" i="10"/>
  <c r="P51" i="19"/>
  <c r="P51" i="20" s="1"/>
  <c r="E56" i="9"/>
  <c r="E56" i="14"/>
  <c r="E56" i="13"/>
  <c r="E56" i="11"/>
  <c r="E56" i="8"/>
  <c r="E56" i="10"/>
  <c r="P90" i="19"/>
  <c r="P90" i="20" s="1"/>
  <c r="E95" i="14"/>
  <c r="E95" i="13"/>
  <c r="E95" i="11"/>
  <c r="E95" i="9"/>
  <c r="E95" i="10"/>
  <c r="P70" i="19"/>
  <c r="P70" i="20" s="1"/>
  <c r="E75" i="13"/>
  <c r="E75" i="14"/>
  <c r="E75" i="8"/>
  <c r="E75" i="9"/>
  <c r="E75" i="10"/>
  <c r="E75" i="11"/>
  <c r="P50" i="19"/>
  <c r="P50" i="20" s="1"/>
  <c r="E55" i="13"/>
  <c r="E55" i="9"/>
  <c r="E55" i="14"/>
  <c r="E55" i="8"/>
  <c r="E55" i="11"/>
  <c r="E55" i="10"/>
  <c r="P99" i="19"/>
  <c r="P99" i="20" s="1"/>
  <c r="E104" i="13"/>
  <c r="E104" i="9"/>
  <c r="E104" i="14"/>
  <c r="E104" i="11"/>
  <c r="E104" i="10"/>
  <c r="P76" i="19"/>
  <c r="P76" i="20" s="1"/>
  <c r="E81" i="8"/>
  <c r="E81" i="13"/>
  <c r="E81" i="9"/>
  <c r="E81" i="14"/>
  <c r="E81" i="11"/>
  <c r="E81" i="10"/>
  <c r="P75" i="19"/>
  <c r="P75" i="20" s="1"/>
  <c r="E80" i="8"/>
  <c r="E80" i="13"/>
  <c r="E80" i="9"/>
  <c r="E80" i="14"/>
  <c r="E80" i="11"/>
  <c r="E80" i="10"/>
  <c r="P52" i="19"/>
  <c r="P52" i="20" s="1"/>
  <c r="E57" i="9"/>
  <c r="E57" i="14"/>
  <c r="E57" i="13"/>
  <c r="E57" i="11"/>
  <c r="E57" i="8"/>
  <c r="E57" i="10"/>
  <c r="P89" i="19"/>
  <c r="P89" i="20" s="1"/>
  <c r="E94" i="9"/>
  <c r="E94" i="13"/>
  <c r="E94" i="11"/>
  <c r="E94" i="14"/>
  <c r="E94" i="10"/>
  <c r="P69" i="19"/>
  <c r="P69" i="20" s="1"/>
  <c r="E74" i="14"/>
  <c r="E74" i="8"/>
  <c r="E74" i="13"/>
  <c r="E74" i="9"/>
  <c r="E74" i="11"/>
  <c r="E74" i="10"/>
  <c r="P49" i="19"/>
  <c r="P49" i="20" s="1"/>
  <c r="E54" i="13"/>
  <c r="E54" i="8"/>
  <c r="E54" i="9"/>
  <c r="E54" i="14"/>
  <c r="E54" i="10"/>
  <c r="E54" i="11"/>
  <c r="P53" i="19"/>
  <c r="P53" i="20" s="1"/>
  <c r="E58" i="9"/>
  <c r="E58" i="14"/>
  <c r="E58" i="8"/>
  <c r="E58" i="13"/>
  <c r="E58" i="10"/>
  <c r="E58" i="11"/>
  <c r="P96" i="19"/>
  <c r="P96" i="20" s="1"/>
  <c r="E101" i="9"/>
  <c r="E101" i="13"/>
  <c r="E101" i="14"/>
  <c r="E101" i="11"/>
  <c r="E101" i="10"/>
  <c r="P95" i="19"/>
  <c r="P95" i="20" s="1"/>
  <c r="E100" i="13"/>
  <c r="E100" i="11"/>
  <c r="E100" i="9"/>
  <c r="E100" i="14"/>
  <c r="E100" i="10"/>
  <c r="P86" i="19"/>
  <c r="P86" i="20" s="1"/>
  <c r="E91" i="14"/>
  <c r="E91" i="9"/>
  <c r="E91" i="13"/>
  <c r="E91" i="11"/>
  <c r="E91" i="10"/>
  <c r="P97" i="19"/>
  <c r="P97" i="20" s="1"/>
  <c r="E102" i="13"/>
  <c r="E102" i="14"/>
  <c r="E102" i="9"/>
  <c r="E102" i="11"/>
  <c r="E102" i="10"/>
  <c r="P56" i="19"/>
  <c r="P56" i="20" s="1"/>
  <c r="E61" i="8"/>
  <c r="E61" i="14"/>
  <c r="E61" i="13"/>
  <c r="E61" i="9"/>
  <c r="E61" i="11"/>
  <c r="E61" i="10"/>
  <c r="P54" i="19"/>
  <c r="P54" i="20" s="1"/>
  <c r="E59" i="9"/>
  <c r="E59" i="11"/>
  <c r="E59" i="14"/>
  <c r="E59" i="13"/>
  <c r="E59" i="8"/>
  <c r="E59" i="10"/>
  <c r="P92" i="19"/>
  <c r="P92" i="20" s="1"/>
  <c r="E97" i="11"/>
  <c r="E97" i="13"/>
  <c r="E97" i="9"/>
  <c r="E97" i="14"/>
  <c r="E97" i="10"/>
  <c r="P68" i="19"/>
  <c r="P68" i="20" s="1"/>
  <c r="E73" i="9"/>
  <c r="E73" i="8"/>
  <c r="E73" i="14"/>
  <c r="E73" i="13"/>
  <c r="E73" i="11"/>
  <c r="E73" i="10"/>
  <c r="P67" i="19"/>
  <c r="P67" i="20" s="1"/>
  <c r="E72" i="9"/>
  <c r="E72" i="11"/>
  <c r="E72" i="14"/>
  <c r="E72" i="13"/>
  <c r="E72" i="8"/>
  <c r="E72" i="10"/>
  <c r="P66" i="19"/>
  <c r="P66" i="20" s="1"/>
  <c r="E71" i="9"/>
  <c r="E71" i="13"/>
  <c r="E71" i="8"/>
  <c r="E71" i="14"/>
  <c r="E71" i="10"/>
  <c r="E71" i="11"/>
  <c r="P85" i="19"/>
  <c r="P85" i="20" s="1"/>
  <c r="E90" i="14"/>
  <c r="E90" i="13"/>
  <c r="E90" i="11"/>
  <c r="E90" i="9"/>
  <c r="E90" i="10"/>
  <c r="P65" i="19"/>
  <c r="P65" i="20" s="1"/>
  <c r="E70" i="13"/>
  <c r="E70" i="14"/>
  <c r="E70" i="8"/>
  <c r="E70" i="9"/>
  <c r="E70" i="10"/>
  <c r="E70" i="11"/>
  <c r="P88" i="19"/>
  <c r="P88" i="20" s="1"/>
  <c r="P88" i="22" s="1"/>
  <c r="E93" i="9"/>
  <c r="E93" i="13"/>
  <c r="E93" i="11"/>
  <c r="E93" i="14"/>
  <c r="E93" i="10"/>
  <c r="P64" i="19"/>
  <c r="P64" i="20" s="1"/>
  <c r="E69" i="13"/>
  <c r="E69" i="14"/>
  <c r="E69" i="8"/>
  <c r="E69" i="9"/>
  <c r="E69" i="11"/>
  <c r="E69" i="10"/>
  <c r="P57" i="19"/>
  <c r="P57" i="20" s="1"/>
  <c r="E62" i="8"/>
  <c r="E62" i="14"/>
  <c r="E62" i="13"/>
  <c r="E62" i="9"/>
  <c r="E62" i="11"/>
  <c r="E62" i="10"/>
  <c r="P87" i="19"/>
  <c r="P87" i="20" s="1"/>
  <c r="E92" i="9"/>
  <c r="E92" i="13"/>
  <c r="E92" i="11"/>
  <c r="E92" i="14"/>
  <c r="E92" i="10"/>
  <c r="P84" i="19"/>
  <c r="P84" i="20" s="1"/>
  <c r="E89" i="11"/>
  <c r="E89" i="9"/>
  <c r="E89" i="14"/>
  <c r="E89" i="10"/>
  <c r="E89" i="13"/>
  <c r="P63" i="19"/>
  <c r="P63" i="20" s="1"/>
  <c r="P63" i="22" s="1"/>
  <c r="E68" i="10"/>
  <c r="E68" i="9"/>
  <c r="E68" i="14"/>
  <c r="E68" i="8"/>
  <c r="E68" i="13"/>
  <c r="E68" i="11"/>
  <c r="P59" i="19"/>
  <c r="P59" i="20" s="1"/>
  <c r="E64" i="13"/>
  <c r="E64" i="14"/>
  <c r="E64" i="9"/>
  <c r="E64" i="11"/>
  <c r="E64" i="8"/>
  <c r="E64" i="10"/>
  <c r="P77" i="19"/>
  <c r="P77" i="20" s="1"/>
  <c r="E82" i="14"/>
  <c r="E82" i="8"/>
  <c r="E82" i="13"/>
  <c r="E82" i="9"/>
  <c r="E82" i="11"/>
  <c r="E82" i="10"/>
  <c r="P94" i="19"/>
  <c r="P94" i="20" s="1"/>
  <c r="E99" i="13"/>
  <c r="E99" i="11"/>
  <c r="E99" i="9"/>
  <c r="E99" i="14"/>
  <c r="E99" i="10"/>
  <c r="P73" i="19"/>
  <c r="P73" i="20" s="1"/>
  <c r="E78" i="8"/>
  <c r="E78" i="14"/>
  <c r="E78" i="13"/>
  <c r="E78" i="10"/>
  <c r="E78" i="9"/>
  <c r="E78" i="11"/>
  <c r="P83" i="19"/>
  <c r="P83" i="20" s="1"/>
  <c r="E88" i="11"/>
  <c r="E88" i="13"/>
  <c r="E88" i="14"/>
  <c r="E88" i="10"/>
  <c r="E88" i="9"/>
  <c r="P82" i="19"/>
  <c r="P82" i="20" s="1"/>
  <c r="E87" i="13"/>
  <c r="E87" i="11"/>
  <c r="E87" i="9"/>
  <c r="E87" i="10"/>
  <c r="E87" i="14"/>
  <c r="P62" i="19"/>
  <c r="P62" i="20" s="1"/>
  <c r="E67" i="9"/>
  <c r="E67" i="10"/>
  <c r="E67" i="13"/>
  <c r="E67" i="14"/>
  <c r="E67" i="8"/>
  <c r="E67" i="11"/>
  <c r="P101" i="19"/>
  <c r="P101" i="20" s="1"/>
  <c r="E106" i="14"/>
  <c r="E106" i="13"/>
  <c r="E106" i="9"/>
  <c r="E106" i="11"/>
  <c r="E106" i="10"/>
  <c r="P81" i="19"/>
  <c r="P81" i="20" s="1"/>
  <c r="E86" i="9"/>
  <c r="E86" i="14"/>
  <c r="E86" i="13"/>
  <c r="E86" i="10"/>
  <c r="E86" i="11"/>
  <c r="D86" i="11" s="1"/>
  <c r="P61" i="19"/>
  <c r="P61" i="20" s="1"/>
  <c r="E66" i="9"/>
  <c r="E66" i="13"/>
  <c r="E66" i="14"/>
  <c r="E66" i="8"/>
  <c r="E66" i="10"/>
  <c r="E66" i="11"/>
  <c r="P100" i="19"/>
  <c r="P100" i="20" s="1"/>
  <c r="E105" i="9"/>
  <c r="E105" i="11"/>
  <c r="E105" i="14"/>
  <c r="E105" i="13"/>
  <c r="E105" i="10"/>
  <c r="P80" i="19"/>
  <c r="P80" i="20" s="1"/>
  <c r="E85" i="9"/>
  <c r="E85" i="13"/>
  <c r="E85" i="14"/>
  <c r="E85" i="10"/>
  <c r="E85" i="8"/>
  <c r="E85" i="11"/>
  <c r="P60" i="19"/>
  <c r="P60" i="20" s="1"/>
  <c r="E65" i="14"/>
  <c r="E65" i="13"/>
  <c r="E65" i="11"/>
  <c r="E65" i="9"/>
  <c r="E65" i="8"/>
  <c r="E65" i="10"/>
  <c r="P55" i="20"/>
  <c r="D98" i="12"/>
  <c r="D68" i="12"/>
  <c r="D93" i="12"/>
  <c r="D76" i="12"/>
  <c r="D59" i="12"/>
  <c r="D95" i="12"/>
  <c r="D56" i="12"/>
  <c r="D79" i="12"/>
  <c r="D72" i="12"/>
  <c r="D96" i="12"/>
  <c r="D94" i="12"/>
  <c r="D67" i="12"/>
  <c r="D65" i="12"/>
  <c r="D87" i="12"/>
  <c r="D63" i="12"/>
  <c r="D60" i="12"/>
  <c r="D101" i="12"/>
  <c r="D91" i="12"/>
  <c r="D88" i="12"/>
  <c r="D83" i="12"/>
  <c r="D75" i="12"/>
  <c r="D73" i="12"/>
  <c r="D71" i="12"/>
  <c r="D55" i="12"/>
  <c r="D104" i="12"/>
  <c r="H104" i="12" s="1"/>
  <c r="D66" i="12"/>
  <c r="P98" i="20"/>
  <c r="D103" i="12"/>
  <c r="H103" i="12" s="1"/>
  <c r="D64" i="12"/>
  <c r="D106" i="12"/>
  <c r="H106" i="12" s="1"/>
  <c r="D85" i="12"/>
  <c r="D69" i="12"/>
  <c r="D90" i="12"/>
  <c r="D77" i="12"/>
  <c r="D61" i="12"/>
  <c r="D99" i="12"/>
  <c r="D97" i="12"/>
  <c r="D82" i="12"/>
  <c r="D80" i="12"/>
  <c r="D74" i="12"/>
  <c r="D58" i="12"/>
  <c r="D100" i="12"/>
  <c r="D86" i="12"/>
  <c r="D78" i="12"/>
  <c r="D70" i="12"/>
  <c r="D62" i="12"/>
  <c r="D57" i="12"/>
  <c r="D54" i="12"/>
  <c r="D105" i="12"/>
  <c r="H105" i="12" s="1"/>
  <c r="D102" i="12"/>
  <c r="H102" i="12" s="1"/>
  <c r="D92" i="12"/>
  <c r="K92" i="12" s="1"/>
  <c r="D89" i="12"/>
  <c r="D84" i="12"/>
  <c r="D81" i="12"/>
  <c r="D54" i="11" l="1"/>
  <c r="F54" i="11" s="1"/>
  <c r="O49" i="19"/>
  <c r="O49" i="20" s="1"/>
  <c r="N49" i="19"/>
  <c r="N49" i="20" s="1"/>
  <c r="D54" i="10"/>
  <c r="F54" i="10" s="1"/>
  <c r="M49" i="19"/>
  <c r="M49" i="20" s="1"/>
  <c r="D54" i="9"/>
  <c r="F54" i="9" s="1"/>
  <c r="L49" i="19"/>
  <c r="L49" i="20" s="1"/>
  <c r="D54" i="8"/>
  <c r="F54" i="8" s="1"/>
  <c r="H98" i="12"/>
  <c r="H96" i="12"/>
  <c r="H101" i="12"/>
  <c r="H95" i="12"/>
  <c r="H94" i="12"/>
  <c r="H100" i="12"/>
  <c r="H97" i="12"/>
  <c r="H92" i="12"/>
  <c r="K77" i="12"/>
  <c r="H77" i="12"/>
  <c r="K66" i="12"/>
  <c r="H66" i="12"/>
  <c r="K75" i="12"/>
  <c r="H75" i="12"/>
  <c r="K65" i="12"/>
  <c r="H65" i="12"/>
  <c r="K81" i="12"/>
  <c r="H81" i="12"/>
  <c r="K70" i="12"/>
  <c r="H70" i="12"/>
  <c r="K80" i="12"/>
  <c r="H80" i="12"/>
  <c r="K55" i="12"/>
  <c r="H55" i="12"/>
  <c r="K83" i="12"/>
  <c r="H83" i="12"/>
  <c r="K60" i="12"/>
  <c r="H60" i="12"/>
  <c r="K67" i="12"/>
  <c r="H67" i="12"/>
  <c r="K59" i="12"/>
  <c r="H59" i="12"/>
  <c r="K84" i="12"/>
  <c r="H84" i="12"/>
  <c r="K57" i="12"/>
  <c r="H57" i="12"/>
  <c r="K61" i="12"/>
  <c r="H61" i="12"/>
  <c r="K90" i="12"/>
  <c r="H90" i="12"/>
  <c r="K71" i="12"/>
  <c r="H71" i="12"/>
  <c r="K88" i="12"/>
  <c r="H88" i="12"/>
  <c r="K63" i="12"/>
  <c r="H63" i="12"/>
  <c r="K79" i="12"/>
  <c r="H79" i="12"/>
  <c r="K76" i="12"/>
  <c r="H76" i="12"/>
  <c r="K54" i="12"/>
  <c r="H54" i="12"/>
  <c r="K85" i="12"/>
  <c r="H85" i="12"/>
  <c r="K72" i="12"/>
  <c r="H72" i="12"/>
  <c r="K86" i="12"/>
  <c r="H86" i="12"/>
  <c r="K58" i="12"/>
  <c r="H58" i="12"/>
  <c r="K99" i="12"/>
  <c r="H99" i="12"/>
  <c r="K64" i="12"/>
  <c r="H64" i="12"/>
  <c r="K93" i="12"/>
  <c r="H93" i="12"/>
  <c r="K89" i="12"/>
  <c r="H89" i="12"/>
  <c r="K62" i="12"/>
  <c r="H62" i="12"/>
  <c r="K78" i="12"/>
  <c r="H78" i="12"/>
  <c r="K74" i="12"/>
  <c r="H74" i="12"/>
  <c r="K82" i="12"/>
  <c r="H82" i="12"/>
  <c r="K69" i="12"/>
  <c r="H69" i="12"/>
  <c r="K73" i="12"/>
  <c r="H73" i="12"/>
  <c r="K91" i="12"/>
  <c r="H91" i="12"/>
  <c r="K87" i="12"/>
  <c r="H87" i="12"/>
  <c r="K56" i="12"/>
  <c r="H56" i="12"/>
  <c r="K68" i="12"/>
  <c r="H68" i="12"/>
  <c r="P52" i="22"/>
  <c r="L52" i="21"/>
  <c r="P72" i="22"/>
  <c r="L72" i="21"/>
  <c r="P100" i="22"/>
  <c r="L100" i="21"/>
  <c r="P75" i="22"/>
  <c r="L75" i="21"/>
  <c r="L91" i="21"/>
  <c r="P91" i="22"/>
  <c r="L62" i="21"/>
  <c r="P62" i="22"/>
  <c r="P78" i="22"/>
  <c r="L78" i="21"/>
  <c r="P94" i="22"/>
  <c r="L94" i="21"/>
  <c r="P60" i="22"/>
  <c r="L60" i="21"/>
  <c r="P76" i="22"/>
  <c r="L76" i="21"/>
  <c r="L51" i="21"/>
  <c r="P51" i="22"/>
  <c r="P87" i="22"/>
  <c r="L87" i="21"/>
  <c r="L55" i="21"/>
  <c r="P55" i="22"/>
  <c r="P50" i="22"/>
  <c r="L50" i="21"/>
  <c r="P66" i="22"/>
  <c r="L66" i="21"/>
  <c r="P82" i="22"/>
  <c r="L82" i="21"/>
  <c r="L59" i="21"/>
  <c r="P59" i="22"/>
  <c r="P64" i="22"/>
  <c r="L64" i="21"/>
  <c r="L80" i="21"/>
  <c r="P80" i="22"/>
  <c r="P92" i="22"/>
  <c r="L92" i="21"/>
  <c r="P89" i="22"/>
  <c r="L89" i="21"/>
  <c r="P67" i="22"/>
  <c r="L67" i="21"/>
  <c r="P54" i="22"/>
  <c r="L54" i="21"/>
  <c r="P70" i="22"/>
  <c r="L70" i="21"/>
  <c r="P86" i="22"/>
  <c r="L86" i="21"/>
  <c r="L71" i="21"/>
  <c r="P71" i="22"/>
  <c r="P68" i="22"/>
  <c r="L68" i="21"/>
  <c r="P84" i="22"/>
  <c r="L84" i="21"/>
  <c r="P96" i="22"/>
  <c r="L96" i="21"/>
  <c r="P79" i="22"/>
  <c r="L79" i="21"/>
  <c r="P58" i="22"/>
  <c r="L58" i="21"/>
  <c r="L74" i="21"/>
  <c r="P74" i="22"/>
  <c r="P90" i="22"/>
  <c r="L90" i="21"/>
  <c r="P83" i="22"/>
  <c r="L83" i="21"/>
  <c r="R65" i="19"/>
  <c r="R87" i="19"/>
  <c r="R66" i="19"/>
  <c r="R51" i="19"/>
  <c r="R77" i="19"/>
  <c r="R61" i="19"/>
  <c r="R92" i="19"/>
  <c r="R62" i="19"/>
  <c r="R72" i="19"/>
  <c r="R56" i="19"/>
  <c r="R81" i="19"/>
  <c r="R89" i="19"/>
  <c r="R93" i="19"/>
  <c r="R101" i="19"/>
  <c r="R49" i="19"/>
  <c r="R82" i="19"/>
  <c r="R88" i="19"/>
  <c r="R80" i="19"/>
  <c r="R94" i="19"/>
  <c r="R60" i="19"/>
  <c r="R90" i="19"/>
  <c r="R69" i="19"/>
  <c r="R91" i="19"/>
  <c r="R84" i="19"/>
  <c r="R54" i="19"/>
  <c r="R97" i="19"/>
  <c r="R55" i="19"/>
  <c r="R98" i="19"/>
  <c r="R68" i="19"/>
  <c r="R78" i="19"/>
  <c r="R85" i="19"/>
  <c r="R71" i="19"/>
  <c r="R70" i="19"/>
  <c r="R100" i="19"/>
  <c r="R57" i="19"/>
  <c r="R73" i="19"/>
  <c r="R59" i="19"/>
  <c r="R83" i="19"/>
  <c r="R58" i="19"/>
  <c r="R52" i="19"/>
  <c r="R99" i="19"/>
  <c r="R64" i="19"/>
  <c r="R95" i="19"/>
  <c r="R63" i="19"/>
  <c r="R53" i="19"/>
  <c r="R86" i="19"/>
  <c r="R67" i="19"/>
  <c r="R76" i="19"/>
  <c r="R96" i="19"/>
  <c r="R74" i="19"/>
  <c r="R75" i="19"/>
  <c r="R50" i="19"/>
  <c r="R79" i="19"/>
  <c r="L88" i="21"/>
  <c r="N51" i="19"/>
  <c r="N67" i="19"/>
  <c r="N83" i="19"/>
  <c r="N99" i="19"/>
  <c r="N64" i="19"/>
  <c r="N80" i="19"/>
  <c r="N96" i="19"/>
  <c r="N73" i="19"/>
  <c r="N53" i="19"/>
  <c r="N62" i="19"/>
  <c r="N58" i="19"/>
  <c r="N90" i="19"/>
  <c r="N101" i="19"/>
  <c r="N59" i="19"/>
  <c r="N91" i="19"/>
  <c r="N72" i="19"/>
  <c r="N57" i="19"/>
  <c r="N77" i="19"/>
  <c r="N74" i="19"/>
  <c r="N70" i="19"/>
  <c r="N55" i="19"/>
  <c r="N71" i="19"/>
  <c r="N87" i="19"/>
  <c r="N52" i="19"/>
  <c r="N68" i="19"/>
  <c r="N84" i="19"/>
  <c r="N100" i="19"/>
  <c r="N81" i="19"/>
  <c r="N69" i="19"/>
  <c r="N78" i="19"/>
  <c r="N66" i="19"/>
  <c r="N98" i="19"/>
  <c r="N54" i="19"/>
  <c r="N75" i="19"/>
  <c r="N56" i="19"/>
  <c r="N88" i="19"/>
  <c r="N89" i="19"/>
  <c r="N86" i="19"/>
  <c r="N61" i="19"/>
  <c r="N60" i="19"/>
  <c r="N97" i="19"/>
  <c r="N85" i="19"/>
  <c r="N79" i="19"/>
  <c r="N50" i="19"/>
  <c r="N95" i="19"/>
  <c r="N82" i="19"/>
  <c r="N63" i="19"/>
  <c r="N76" i="19"/>
  <c r="N93" i="19"/>
  <c r="N94" i="19"/>
  <c r="N92" i="19"/>
  <c r="N65" i="19"/>
  <c r="O63" i="19"/>
  <c r="O79" i="19"/>
  <c r="O95" i="19"/>
  <c r="O60" i="19"/>
  <c r="O76" i="19"/>
  <c r="O92" i="19"/>
  <c r="O53" i="19"/>
  <c r="O85" i="19"/>
  <c r="O58" i="19"/>
  <c r="O62" i="19"/>
  <c r="O94" i="19"/>
  <c r="O81" i="19"/>
  <c r="O82" i="19"/>
  <c r="O55" i="19"/>
  <c r="O71" i="19"/>
  <c r="O52" i="19"/>
  <c r="O84" i="19"/>
  <c r="O69" i="19"/>
  <c r="O90" i="19"/>
  <c r="O57" i="19"/>
  <c r="O59" i="19"/>
  <c r="O91" i="19"/>
  <c r="O72" i="19"/>
  <c r="O89" i="19"/>
  <c r="O86" i="19"/>
  <c r="O66" i="19"/>
  <c r="O51" i="19"/>
  <c r="O67" i="19"/>
  <c r="O83" i="19"/>
  <c r="O100" i="19"/>
  <c r="O64" i="19"/>
  <c r="O80" i="19"/>
  <c r="O96" i="19"/>
  <c r="O61" i="19"/>
  <c r="O93" i="19"/>
  <c r="O74" i="19"/>
  <c r="O70" i="19"/>
  <c r="O99" i="19"/>
  <c r="O97" i="19"/>
  <c r="O98" i="19"/>
  <c r="O87" i="19"/>
  <c r="O68" i="19"/>
  <c r="O101" i="19"/>
  <c r="O65" i="19"/>
  <c r="O78" i="19"/>
  <c r="O50" i="19"/>
  <c r="O75" i="19"/>
  <c r="O56" i="19"/>
  <c r="O88" i="19"/>
  <c r="O77" i="19"/>
  <c r="O54" i="19"/>
  <c r="O73" i="19"/>
  <c r="Q52" i="19"/>
  <c r="Q64" i="19"/>
  <c r="Q69" i="19"/>
  <c r="Q63" i="19"/>
  <c r="Q85" i="19"/>
  <c r="Q55" i="19"/>
  <c r="Q73" i="19"/>
  <c r="Q54" i="19"/>
  <c r="Q95" i="19"/>
  <c r="Q79" i="19"/>
  <c r="Q101" i="19"/>
  <c r="Q80" i="19"/>
  <c r="Q75" i="19"/>
  <c r="Q77" i="19"/>
  <c r="Q94" i="19"/>
  <c r="Q87" i="19"/>
  <c r="Q50" i="19"/>
  <c r="Q59" i="19"/>
  <c r="Q57" i="19"/>
  <c r="Q82" i="19"/>
  <c r="Q98" i="19"/>
  <c r="Q81" i="19"/>
  <c r="Q90" i="19"/>
  <c r="Q93" i="19"/>
  <c r="Q78" i="19"/>
  <c r="Q65" i="19"/>
  <c r="Q49" i="19"/>
  <c r="Q51" i="19"/>
  <c r="Q71" i="19"/>
  <c r="Q62" i="19"/>
  <c r="Q92" i="19"/>
  <c r="Q56" i="19"/>
  <c r="Q66" i="19"/>
  <c r="Q96" i="19"/>
  <c r="Q68" i="19"/>
  <c r="Q72" i="19"/>
  <c r="Q58" i="19"/>
  <c r="Q84" i="19"/>
  <c r="Q53" i="19"/>
  <c r="Q76" i="19"/>
  <c r="Q67" i="19"/>
  <c r="Q91" i="19"/>
  <c r="Q89" i="19"/>
  <c r="Q74" i="19"/>
  <c r="Q100" i="19"/>
  <c r="Q99" i="19"/>
  <c r="Q70" i="19"/>
  <c r="Q88" i="19"/>
  <c r="Q86" i="19"/>
  <c r="Q83" i="19"/>
  <c r="Q97" i="19"/>
  <c r="Q61" i="19"/>
  <c r="Q60" i="19"/>
  <c r="L63" i="21"/>
  <c r="P93" i="22"/>
  <c r="L93" i="21"/>
  <c r="P65" i="22"/>
  <c r="L65" i="21"/>
  <c r="P77" i="22"/>
  <c r="L77" i="21"/>
  <c r="L52" i="19"/>
  <c r="L56" i="19"/>
  <c r="L60" i="19"/>
  <c r="L64" i="19"/>
  <c r="L68" i="19"/>
  <c r="L72" i="19"/>
  <c r="L76" i="19"/>
  <c r="L80" i="19"/>
  <c r="L87" i="19"/>
  <c r="L89" i="19"/>
  <c r="L91" i="19"/>
  <c r="L93" i="19"/>
  <c r="L95" i="19"/>
  <c r="L97" i="19"/>
  <c r="L99" i="19"/>
  <c r="L101" i="19"/>
  <c r="L51" i="19"/>
  <c r="L55" i="19"/>
  <c r="L59" i="19"/>
  <c r="L63" i="19"/>
  <c r="L67" i="19"/>
  <c r="L71" i="19"/>
  <c r="L75" i="19"/>
  <c r="L79" i="19"/>
  <c r="L82" i="19"/>
  <c r="L84" i="19"/>
  <c r="L50" i="19"/>
  <c r="L58" i="19"/>
  <c r="L66" i="19"/>
  <c r="L74" i="19"/>
  <c r="L86" i="19"/>
  <c r="L90" i="19"/>
  <c r="L94" i="19"/>
  <c r="L98" i="19"/>
  <c r="L53" i="19"/>
  <c r="L61" i="19"/>
  <c r="L69" i="19"/>
  <c r="L77" i="19"/>
  <c r="L83" i="19"/>
  <c r="L62" i="19"/>
  <c r="L78" i="19"/>
  <c r="L92" i="19"/>
  <c r="L100" i="19"/>
  <c r="L57" i="19"/>
  <c r="L73" i="19"/>
  <c r="L85" i="19"/>
  <c r="L54" i="19"/>
  <c r="L88" i="19"/>
  <c r="L96" i="19"/>
  <c r="L65" i="19"/>
  <c r="L70" i="19"/>
  <c r="L81" i="19"/>
  <c r="P61" i="22"/>
  <c r="L61" i="21"/>
  <c r="P97" i="22"/>
  <c r="L97" i="21"/>
  <c r="P95" i="22"/>
  <c r="L95" i="21"/>
  <c r="P53" i="22"/>
  <c r="L53" i="21"/>
  <c r="L69" i="21"/>
  <c r="P69" i="22"/>
  <c r="P56" i="22"/>
  <c r="L56" i="21"/>
  <c r="L85" i="21"/>
  <c r="P85" i="22"/>
  <c r="M53" i="19"/>
  <c r="M57" i="19"/>
  <c r="M61" i="19"/>
  <c r="M65" i="19"/>
  <c r="M69" i="19"/>
  <c r="M73" i="19"/>
  <c r="M77" i="19"/>
  <c r="M81" i="19"/>
  <c r="M84" i="19"/>
  <c r="M52" i="19"/>
  <c r="M56" i="19"/>
  <c r="M60" i="19"/>
  <c r="M64" i="19"/>
  <c r="M68" i="19"/>
  <c r="M72" i="19"/>
  <c r="M76" i="19"/>
  <c r="M80" i="19"/>
  <c r="M86" i="19"/>
  <c r="M88" i="19"/>
  <c r="M90" i="19"/>
  <c r="M92" i="19"/>
  <c r="M94" i="19"/>
  <c r="M96" i="19"/>
  <c r="M98" i="19"/>
  <c r="M100" i="19"/>
  <c r="M55" i="19"/>
  <c r="M63" i="19"/>
  <c r="M71" i="19"/>
  <c r="M79" i="19"/>
  <c r="M50" i="19"/>
  <c r="M58" i="19"/>
  <c r="M66" i="19"/>
  <c r="M74" i="19"/>
  <c r="M82" i="19"/>
  <c r="M85" i="19"/>
  <c r="M89" i="19"/>
  <c r="M93" i="19"/>
  <c r="M97" i="19"/>
  <c r="M101" i="19"/>
  <c r="M59" i="19"/>
  <c r="M75" i="19"/>
  <c r="M54" i="19"/>
  <c r="M70" i="19"/>
  <c r="M87" i="19"/>
  <c r="M95" i="19"/>
  <c r="M51" i="19"/>
  <c r="M83" i="19"/>
  <c r="M67" i="19"/>
  <c r="M62" i="19"/>
  <c r="M99" i="19"/>
  <c r="M91" i="19"/>
  <c r="M78" i="19"/>
  <c r="P81" i="22"/>
  <c r="L81" i="21"/>
  <c r="L101" i="21"/>
  <c r="P101" i="22"/>
  <c r="L98" i="21"/>
  <c r="P98" i="22"/>
  <c r="P99" i="22"/>
  <c r="L99" i="21"/>
  <c r="P57" i="22"/>
  <c r="L57" i="21"/>
  <c r="P73" i="22"/>
  <c r="L73" i="21"/>
  <c r="P49" i="22"/>
  <c r="L49" i="21"/>
  <c r="L49" i="22" l="1"/>
  <c r="H49" i="21"/>
  <c r="M49" i="22"/>
  <c r="I49" i="21"/>
  <c r="J49" i="21"/>
  <c r="N49" i="22"/>
  <c r="O49" i="22"/>
  <c r="K49" i="21"/>
  <c r="D72" i="14"/>
  <c r="F72" i="14" s="1"/>
  <c r="R67" i="20"/>
  <c r="D63" i="14"/>
  <c r="F63" i="14" s="1"/>
  <c r="R58" i="20"/>
  <c r="R85" i="20"/>
  <c r="D90" i="14"/>
  <c r="R91" i="20"/>
  <c r="D96" i="14"/>
  <c r="D54" i="14"/>
  <c r="F54" i="14" s="1"/>
  <c r="R49" i="20"/>
  <c r="D97" i="14"/>
  <c r="R92" i="20"/>
  <c r="D91" i="14"/>
  <c r="R86" i="20"/>
  <c r="D88" i="14"/>
  <c r="R83" i="20"/>
  <c r="R78" i="20"/>
  <c r="D83" i="14"/>
  <c r="F83" i="14" s="1"/>
  <c r="R69" i="20"/>
  <c r="D74" i="14"/>
  <c r="F74" i="14" s="1"/>
  <c r="R101" i="20"/>
  <c r="D106" i="14"/>
  <c r="R61" i="20"/>
  <c r="D66" i="14"/>
  <c r="F66" i="14" s="1"/>
  <c r="R79" i="20"/>
  <c r="D84" i="14"/>
  <c r="D101" i="14"/>
  <c r="R96" i="20"/>
  <c r="R53" i="20"/>
  <c r="D58" i="14"/>
  <c r="F58" i="14" s="1"/>
  <c r="D104" i="14"/>
  <c r="R99" i="20"/>
  <c r="R59" i="20"/>
  <c r="D64" i="14"/>
  <c r="F64" i="14" s="1"/>
  <c r="R70" i="20"/>
  <c r="D75" i="14"/>
  <c r="F75" i="14" s="1"/>
  <c r="R68" i="20"/>
  <c r="D73" i="14"/>
  <c r="F73" i="14" s="1"/>
  <c r="R54" i="20"/>
  <c r="D59" i="14"/>
  <c r="F59" i="14" s="1"/>
  <c r="D95" i="14"/>
  <c r="R90" i="20"/>
  <c r="D93" i="14"/>
  <c r="R88" i="20"/>
  <c r="R93" i="20"/>
  <c r="D98" i="14"/>
  <c r="D77" i="14"/>
  <c r="F77" i="14" s="1"/>
  <c r="R72" i="20"/>
  <c r="R77" i="20"/>
  <c r="D82" i="14"/>
  <c r="D70" i="14"/>
  <c r="F70" i="14" s="1"/>
  <c r="R65" i="20"/>
  <c r="D80" i="14"/>
  <c r="F80" i="14" s="1"/>
  <c r="R75" i="20"/>
  <c r="D100" i="14"/>
  <c r="R95" i="20"/>
  <c r="R57" i="20"/>
  <c r="D62" i="14"/>
  <c r="F62" i="14" s="1"/>
  <c r="R55" i="20"/>
  <c r="D60" i="14"/>
  <c r="F60" i="14" s="1"/>
  <c r="R94" i="20"/>
  <c r="D99" i="14"/>
  <c r="D86" i="14"/>
  <c r="R81" i="20"/>
  <c r="D71" i="14"/>
  <c r="F71" i="14" s="1"/>
  <c r="R66" i="20"/>
  <c r="D79" i="14"/>
  <c r="F79" i="14" s="1"/>
  <c r="R74" i="20"/>
  <c r="R64" i="20"/>
  <c r="D69" i="14"/>
  <c r="F69" i="14" s="1"/>
  <c r="D105" i="14"/>
  <c r="R100" i="20"/>
  <c r="R97" i="20"/>
  <c r="D102" i="14"/>
  <c r="R80" i="20"/>
  <c r="D85" i="14"/>
  <c r="R56" i="20"/>
  <c r="D61" i="14"/>
  <c r="F61" i="14" s="1"/>
  <c r="R87" i="20"/>
  <c r="D92" i="14"/>
  <c r="R50" i="20"/>
  <c r="D55" i="14"/>
  <c r="F55" i="14" s="1"/>
  <c r="R76" i="20"/>
  <c r="D81" i="14"/>
  <c r="F81" i="14" s="1"/>
  <c r="D68" i="14"/>
  <c r="F68" i="14" s="1"/>
  <c r="R63" i="20"/>
  <c r="R52" i="20"/>
  <c r="D57" i="14"/>
  <c r="F57" i="14" s="1"/>
  <c r="R73" i="20"/>
  <c r="D78" i="14"/>
  <c r="F78" i="14" s="1"/>
  <c r="D76" i="14"/>
  <c r="F76" i="14" s="1"/>
  <c r="R71" i="20"/>
  <c r="R98" i="20"/>
  <c r="D103" i="14"/>
  <c r="D89" i="14"/>
  <c r="R84" i="20"/>
  <c r="R60" i="20"/>
  <c r="D65" i="14"/>
  <c r="F65" i="14" s="1"/>
  <c r="R82" i="20"/>
  <c r="D87" i="14"/>
  <c r="D94" i="14"/>
  <c r="R89" i="20"/>
  <c r="D67" i="14"/>
  <c r="F67" i="14" s="1"/>
  <c r="R62" i="20"/>
  <c r="D56" i="14"/>
  <c r="F56" i="14" s="1"/>
  <c r="R51" i="20"/>
  <c r="O77" i="20"/>
  <c r="D82" i="11"/>
  <c r="F82" i="11" s="1"/>
  <c r="D104" i="11"/>
  <c r="O99" i="20"/>
  <c r="O100" i="20"/>
  <c r="D105" i="11"/>
  <c r="O91" i="20"/>
  <c r="D96" i="11"/>
  <c r="O55" i="20"/>
  <c r="D60" i="11"/>
  <c r="F60" i="11" s="1"/>
  <c r="O92" i="20"/>
  <c r="D97" i="11"/>
  <c r="D97" i="10"/>
  <c r="N92" i="20"/>
  <c r="D84" i="10"/>
  <c r="F84" i="10" s="1"/>
  <c r="N79" i="20"/>
  <c r="D61" i="10"/>
  <c r="F61" i="10" s="1"/>
  <c r="N56" i="20"/>
  <c r="N100" i="20"/>
  <c r="D105" i="10"/>
  <c r="N74" i="20"/>
  <c r="D79" i="10"/>
  <c r="F79" i="10" s="1"/>
  <c r="N58" i="20"/>
  <c r="D63" i="10"/>
  <c r="F63" i="10" s="1"/>
  <c r="D88" i="10"/>
  <c r="N83" i="20"/>
  <c r="O88" i="20"/>
  <c r="D93" i="11"/>
  <c r="O87" i="20"/>
  <c r="D92" i="11"/>
  <c r="O96" i="20"/>
  <c r="D101" i="11"/>
  <c r="O86" i="20"/>
  <c r="D91" i="11"/>
  <c r="O84" i="20"/>
  <c r="D89" i="11"/>
  <c r="D63" i="11"/>
  <c r="F63" i="11" s="1"/>
  <c r="O58" i="20"/>
  <c r="D68" i="11"/>
  <c r="F68" i="11" s="1"/>
  <c r="O63" i="20"/>
  <c r="N82" i="20"/>
  <c r="D87" i="10"/>
  <c r="D91" i="10"/>
  <c r="N86" i="20"/>
  <c r="N78" i="20"/>
  <c r="D83" i="10"/>
  <c r="F83" i="10" s="1"/>
  <c r="N71" i="20"/>
  <c r="D76" i="10"/>
  <c r="F76" i="10" s="1"/>
  <c r="N59" i="20"/>
  <c r="D64" i="10"/>
  <c r="F64" i="10" s="1"/>
  <c r="D85" i="10"/>
  <c r="F85" i="10" s="1"/>
  <c r="N80" i="20"/>
  <c r="O73" i="20"/>
  <c r="D78" i="11"/>
  <c r="F78" i="11" s="1"/>
  <c r="O56" i="20"/>
  <c r="D61" i="11"/>
  <c r="F61" i="11" s="1"/>
  <c r="O65" i="20"/>
  <c r="D70" i="11"/>
  <c r="F70" i="11" s="1"/>
  <c r="O98" i="20"/>
  <c r="D103" i="11"/>
  <c r="D79" i="11"/>
  <c r="F79" i="11" s="1"/>
  <c r="O74" i="20"/>
  <c r="O80" i="20"/>
  <c r="D85" i="11"/>
  <c r="O67" i="20"/>
  <c r="D72" i="11"/>
  <c r="F72" i="11" s="1"/>
  <c r="O89" i="20"/>
  <c r="D94" i="11"/>
  <c r="D62" i="11"/>
  <c r="F62" i="11" s="1"/>
  <c r="O57" i="20"/>
  <c r="O52" i="20"/>
  <c r="D57" i="11"/>
  <c r="F57" i="11" s="1"/>
  <c r="O81" i="20"/>
  <c r="F86" i="11"/>
  <c r="O85" i="20"/>
  <c r="D90" i="11"/>
  <c r="D65" i="11"/>
  <c r="F65" i="11" s="1"/>
  <c r="O60" i="20"/>
  <c r="N93" i="20"/>
  <c r="D98" i="10"/>
  <c r="D100" i="10"/>
  <c r="N95" i="20"/>
  <c r="N97" i="20"/>
  <c r="D102" i="10"/>
  <c r="N89" i="20"/>
  <c r="D94" i="10"/>
  <c r="D59" i="10"/>
  <c r="F59" i="10" s="1"/>
  <c r="N54" i="20"/>
  <c r="D74" i="10"/>
  <c r="F74" i="10" s="1"/>
  <c r="N69" i="20"/>
  <c r="D73" i="10"/>
  <c r="F73" i="10" s="1"/>
  <c r="N68" i="20"/>
  <c r="D60" i="10"/>
  <c r="F60" i="10" s="1"/>
  <c r="N55" i="20"/>
  <c r="D62" i="10"/>
  <c r="F62" i="10" s="1"/>
  <c r="N57" i="20"/>
  <c r="N101" i="20"/>
  <c r="D106" i="10"/>
  <c r="D58" i="10"/>
  <c r="F58" i="10" s="1"/>
  <c r="N53" i="20"/>
  <c r="N64" i="20"/>
  <c r="D69" i="10"/>
  <c r="F69" i="10" s="1"/>
  <c r="N51" i="20"/>
  <c r="D56" i="10"/>
  <c r="F56" i="10" s="1"/>
  <c r="O50" i="20"/>
  <c r="D55" i="11"/>
  <c r="F55" i="11" s="1"/>
  <c r="D73" i="11"/>
  <c r="F73" i="11" s="1"/>
  <c r="O68" i="20"/>
  <c r="O61" i="20"/>
  <c r="D66" i="11"/>
  <c r="F66" i="11" s="1"/>
  <c r="O66" i="20"/>
  <c r="D71" i="11"/>
  <c r="F71" i="11" s="1"/>
  <c r="O69" i="20"/>
  <c r="D74" i="11"/>
  <c r="F74" i="11" s="1"/>
  <c r="O62" i="20"/>
  <c r="D67" i="11"/>
  <c r="F67" i="11" s="1"/>
  <c r="O79" i="20"/>
  <c r="D84" i="11"/>
  <c r="N63" i="20"/>
  <c r="D68" i="10"/>
  <c r="F68" i="10" s="1"/>
  <c r="N61" i="20"/>
  <c r="D66" i="10"/>
  <c r="F66" i="10" s="1"/>
  <c r="D71" i="10"/>
  <c r="F71" i="10" s="1"/>
  <c r="N66" i="20"/>
  <c r="D92" i="10"/>
  <c r="N87" i="20"/>
  <c r="N91" i="20"/>
  <c r="D96" i="10"/>
  <c r="N96" i="20"/>
  <c r="D101" i="10"/>
  <c r="D83" i="11"/>
  <c r="F83" i="11" s="1"/>
  <c r="O78" i="20"/>
  <c r="O70" i="20"/>
  <c r="D75" i="11"/>
  <c r="F75" i="11" s="1"/>
  <c r="O83" i="20"/>
  <c r="D88" i="11"/>
  <c r="O59" i="20"/>
  <c r="D64" i="11"/>
  <c r="F64" i="11" s="1"/>
  <c r="D87" i="11"/>
  <c r="O82" i="20"/>
  <c r="D81" i="11"/>
  <c r="F81" i="11" s="1"/>
  <c r="O76" i="20"/>
  <c r="N94" i="20"/>
  <c r="D99" i="10"/>
  <c r="N85" i="20"/>
  <c r="D90" i="10"/>
  <c r="D80" i="10"/>
  <c r="F80" i="10" s="1"/>
  <c r="N75" i="20"/>
  <c r="N84" i="20"/>
  <c r="D89" i="10"/>
  <c r="N77" i="20"/>
  <c r="D82" i="10"/>
  <c r="F82" i="10" s="1"/>
  <c r="D67" i="10"/>
  <c r="F67" i="10" s="1"/>
  <c r="N62" i="20"/>
  <c r="D72" i="10"/>
  <c r="F72" i="10" s="1"/>
  <c r="N67" i="20"/>
  <c r="O54" i="20"/>
  <c r="D59" i="11"/>
  <c r="F59" i="11" s="1"/>
  <c r="O75" i="20"/>
  <c r="D80" i="11"/>
  <c r="F80" i="11" s="1"/>
  <c r="O101" i="20"/>
  <c r="D106" i="11"/>
  <c r="O97" i="20"/>
  <c r="D102" i="11"/>
  <c r="O93" i="20"/>
  <c r="D98" i="11"/>
  <c r="D69" i="11"/>
  <c r="F69" i="11" s="1"/>
  <c r="O64" i="20"/>
  <c r="O51" i="20"/>
  <c r="D56" i="11"/>
  <c r="F56" i="11" s="1"/>
  <c r="O72" i="20"/>
  <c r="D77" i="11"/>
  <c r="F77" i="11" s="1"/>
  <c r="O90" i="20"/>
  <c r="D95" i="11"/>
  <c r="O71" i="20"/>
  <c r="D76" i="11"/>
  <c r="F76" i="11" s="1"/>
  <c r="D99" i="11"/>
  <c r="O94" i="20"/>
  <c r="D58" i="11"/>
  <c r="F58" i="11" s="1"/>
  <c r="O53" i="20"/>
  <c r="D100" i="11"/>
  <c r="O95" i="20"/>
  <c r="D70" i="10"/>
  <c r="F70" i="10" s="1"/>
  <c r="N65" i="20"/>
  <c r="N76" i="20"/>
  <c r="D81" i="10"/>
  <c r="F81" i="10" s="1"/>
  <c r="D55" i="10"/>
  <c r="F55" i="10" s="1"/>
  <c r="N50" i="20"/>
  <c r="D65" i="10"/>
  <c r="F65" i="10" s="1"/>
  <c r="N60" i="20"/>
  <c r="D93" i="10"/>
  <c r="N88" i="20"/>
  <c r="N98" i="20"/>
  <c r="D103" i="10"/>
  <c r="N81" i="20"/>
  <c r="D86" i="10"/>
  <c r="F86" i="10" s="1"/>
  <c r="D57" i="10"/>
  <c r="F57" i="10" s="1"/>
  <c r="N52" i="20"/>
  <c r="D75" i="10"/>
  <c r="F75" i="10" s="1"/>
  <c r="N70" i="20"/>
  <c r="N72" i="20"/>
  <c r="D77" i="10"/>
  <c r="F77" i="10" s="1"/>
  <c r="D95" i="10"/>
  <c r="N90" i="20"/>
  <c r="D78" i="10"/>
  <c r="F78" i="10" s="1"/>
  <c r="N73" i="20"/>
  <c r="D104" i="10"/>
  <c r="N99" i="20"/>
  <c r="Q97" i="20"/>
  <c r="D102" i="13"/>
  <c r="Q70" i="20"/>
  <c r="D75" i="13"/>
  <c r="F75" i="13" s="1"/>
  <c r="Q89" i="20"/>
  <c r="D94" i="13"/>
  <c r="Q53" i="20"/>
  <c r="D58" i="13"/>
  <c r="F58" i="13" s="1"/>
  <c r="Q68" i="20"/>
  <c r="D73" i="13"/>
  <c r="F73" i="13" s="1"/>
  <c r="Q92" i="20"/>
  <c r="D97" i="13"/>
  <c r="Q49" i="20"/>
  <c r="D54" i="13"/>
  <c r="F54" i="13" s="1"/>
  <c r="Q90" i="20"/>
  <c r="D95" i="13"/>
  <c r="Q57" i="20"/>
  <c r="D62" i="13"/>
  <c r="F62" i="13" s="1"/>
  <c r="Q94" i="20"/>
  <c r="D99" i="13"/>
  <c r="Q101" i="20"/>
  <c r="D106" i="13"/>
  <c r="Q73" i="20"/>
  <c r="D78" i="13"/>
  <c r="F78" i="13" s="1"/>
  <c r="Q69" i="20"/>
  <c r="D74" i="13"/>
  <c r="F74" i="13" s="1"/>
  <c r="Q83" i="20"/>
  <c r="D88" i="13"/>
  <c r="Q99" i="20"/>
  <c r="D104" i="13"/>
  <c r="Q91" i="20"/>
  <c r="D96" i="13"/>
  <c r="Q84" i="20"/>
  <c r="D89" i="13"/>
  <c r="Q96" i="20"/>
  <c r="D101" i="13"/>
  <c r="Q62" i="20"/>
  <c r="D67" i="13"/>
  <c r="F67" i="13" s="1"/>
  <c r="Q65" i="20"/>
  <c r="D70" i="13"/>
  <c r="F70" i="13" s="1"/>
  <c r="Q81" i="20"/>
  <c r="D86" i="13"/>
  <c r="Q59" i="20"/>
  <c r="D64" i="13"/>
  <c r="F64" i="13" s="1"/>
  <c r="Q77" i="20"/>
  <c r="D82" i="13"/>
  <c r="Q79" i="20"/>
  <c r="D84" i="13"/>
  <c r="D60" i="13"/>
  <c r="F60" i="13" s="1"/>
  <c r="Q55" i="20"/>
  <c r="Q64" i="20"/>
  <c r="D69" i="13"/>
  <c r="F69" i="13" s="1"/>
  <c r="Q60" i="20"/>
  <c r="D65" i="13"/>
  <c r="F65" i="13" s="1"/>
  <c r="Q86" i="20"/>
  <c r="D91" i="13"/>
  <c r="Q100" i="20"/>
  <c r="D105" i="13"/>
  <c r="Q67" i="20"/>
  <c r="D72" i="13"/>
  <c r="F72" i="13" s="1"/>
  <c r="Q58" i="20"/>
  <c r="D63" i="13"/>
  <c r="F63" i="13" s="1"/>
  <c r="D71" i="13"/>
  <c r="F71" i="13" s="1"/>
  <c r="Q66" i="20"/>
  <c r="Q71" i="20"/>
  <c r="D76" i="13"/>
  <c r="F76" i="13" s="1"/>
  <c r="Q78" i="20"/>
  <c r="D83" i="13"/>
  <c r="F83" i="13" s="1"/>
  <c r="Q98" i="20"/>
  <c r="D103" i="13"/>
  <c r="Q50" i="20"/>
  <c r="D55" i="13"/>
  <c r="F55" i="13" s="1"/>
  <c r="D80" i="13"/>
  <c r="F80" i="13" s="1"/>
  <c r="Q75" i="20"/>
  <c r="Q95" i="20"/>
  <c r="D100" i="13"/>
  <c r="D90" i="13"/>
  <c r="Q85" i="20"/>
  <c r="D57" i="13"/>
  <c r="F57" i="13" s="1"/>
  <c r="Q52" i="20"/>
  <c r="Q61" i="20"/>
  <c r="D66" i="13"/>
  <c r="F66" i="13" s="1"/>
  <c r="Q88" i="20"/>
  <c r="D93" i="13"/>
  <c r="Q74" i="20"/>
  <c r="D79" i="13"/>
  <c r="F79" i="13" s="1"/>
  <c r="Q76" i="20"/>
  <c r="D81" i="13"/>
  <c r="F81" i="13" s="1"/>
  <c r="Q72" i="20"/>
  <c r="D77" i="13"/>
  <c r="F77" i="13" s="1"/>
  <c r="Q56" i="20"/>
  <c r="D61" i="13"/>
  <c r="F61" i="13" s="1"/>
  <c r="Q51" i="20"/>
  <c r="D56" i="13"/>
  <c r="F56" i="13" s="1"/>
  <c r="Q93" i="20"/>
  <c r="D98" i="13"/>
  <c r="Q82" i="20"/>
  <c r="D87" i="13"/>
  <c r="Q87" i="20"/>
  <c r="D92" i="13"/>
  <c r="Q80" i="20"/>
  <c r="D85" i="13"/>
  <c r="F85" i="13" s="1"/>
  <c r="Q54" i="20"/>
  <c r="D59" i="13"/>
  <c r="F59" i="13" s="1"/>
  <c r="Q63" i="20"/>
  <c r="D68" i="13"/>
  <c r="F68" i="13" s="1"/>
  <c r="M62" i="20"/>
  <c r="D67" i="9"/>
  <c r="F67" i="9" s="1"/>
  <c r="D80" i="9"/>
  <c r="F80" i="9" s="1"/>
  <c r="M75" i="20"/>
  <c r="D79" i="9"/>
  <c r="F79" i="9" s="1"/>
  <c r="M74" i="20"/>
  <c r="D105" i="9"/>
  <c r="M100" i="20"/>
  <c r="D85" i="9"/>
  <c r="F85" i="9" s="1"/>
  <c r="M80" i="20"/>
  <c r="M84" i="20"/>
  <c r="D89" i="9"/>
  <c r="F89" i="9" s="1"/>
  <c r="D58" i="9"/>
  <c r="F58" i="9" s="1"/>
  <c r="M53" i="20"/>
  <c r="D59" i="8"/>
  <c r="F59" i="8" s="1"/>
  <c r="L54" i="20"/>
  <c r="D67" i="8"/>
  <c r="F67" i="8" s="1"/>
  <c r="L62" i="20"/>
  <c r="D95" i="8"/>
  <c r="L90" i="20"/>
  <c r="D84" i="8"/>
  <c r="L79" i="20"/>
  <c r="L101" i="20"/>
  <c r="D106" i="8"/>
  <c r="D69" i="8"/>
  <c r="F69" i="8" s="1"/>
  <c r="L64" i="20"/>
  <c r="M91" i="20"/>
  <c r="D96" i="9"/>
  <c r="D92" i="9"/>
  <c r="M87" i="20"/>
  <c r="D94" i="9"/>
  <c r="M89" i="20"/>
  <c r="D76" i="9"/>
  <c r="F76" i="9" s="1"/>
  <c r="M71" i="20"/>
  <c r="D95" i="9"/>
  <c r="M90" i="20"/>
  <c r="D65" i="9"/>
  <c r="F65" i="9" s="1"/>
  <c r="M60" i="20"/>
  <c r="M65" i="20"/>
  <c r="D70" i="9"/>
  <c r="F70" i="9" s="1"/>
  <c r="D105" i="8"/>
  <c r="L100" i="20"/>
  <c r="D58" i="8"/>
  <c r="F58" i="8" s="1"/>
  <c r="L53" i="20"/>
  <c r="D55" i="8"/>
  <c r="F55" i="8" s="1"/>
  <c r="L50" i="20"/>
  <c r="D64" i="8"/>
  <c r="F64" i="8" s="1"/>
  <c r="L59" i="20"/>
  <c r="D96" i="8"/>
  <c r="L91" i="20"/>
  <c r="L76" i="20"/>
  <c r="D81" i="8"/>
  <c r="F81" i="8" s="1"/>
  <c r="L60" i="20"/>
  <c r="D65" i="8"/>
  <c r="F65" i="8" s="1"/>
  <c r="D88" i="9"/>
  <c r="M83" i="20"/>
  <c r="M70" i="20"/>
  <c r="D75" i="9"/>
  <c r="F75" i="9" s="1"/>
  <c r="D106" i="9"/>
  <c r="M101" i="20"/>
  <c r="D90" i="9"/>
  <c r="M85" i="20"/>
  <c r="D63" i="9"/>
  <c r="F63" i="9" s="1"/>
  <c r="M58" i="20"/>
  <c r="D68" i="9"/>
  <c r="F68" i="9" s="1"/>
  <c r="M63" i="20"/>
  <c r="D101" i="9"/>
  <c r="M96" i="20"/>
  <c r="D93" i="9"/>
  <c r="M88" i="20"/>
  <c r="D77" i="9"/>
  <c r="F77" i="9" s="1"/>
  <c r="M72" i="20"/>
  <c r="D61" i="9"/>
  <c r="F61" i="9" s="1"/>
  <c r="M56" i="20"/>
  <c r="D82" i="9"/>
  <c r="F82" i="9" s="1"/>
  <c r="M77" i="20"/>
  <c r="D66" i="9"/>
  <c r="F66" i="9" s="1"/>
  <c r="M61" i="20"/>
  <c r="D101" i="8"/>
  <c r="L96" i="20"/>
  <c r="L85" i="20"/>
  <c r="D90" i="8"/>
  <c r="F90" i="8" s="1"/>
  <c r="D97" i="8"/>
  <c r="L92" i="20"/>
  <c r="D82" i="8"/>
  <c r="F82" i="8" s="1"/>
  <c r="L77" i="20"/>
  <c r="D103" i="8"/>
  <c r="L98" i="20"/>
  <c r="D79" i="8"/>
  <c r="F79" i="8" s="1"/>
  <c r="L74" i="20"/>
  <c r="D89" i="8"/>
  <c r="L84" i="20"/>
  <c r="D76" i="8"/>
  <c r="F76" i="8" s="1"/>
  <c r="L71" i="20"/>
  <c r="D60" i="8"/>
  <c r="F60" i="8" s="1"/>
  <c r="L55" i="20"/>
  <c r="L97" i="20"/>
  <c r="D102" i="8"/>
  <c r="L89" i="20"/>
  <c r="D94" i="8"/>
  <c r="D77" i="8"/>
  <c r="F77" i="8" s="1"/>
  <c r="L72" i="20"/>
  <c r="D61" i="8"/>
  <c r="F61" i="8" s="1"/>
  <c r="L56" i="20"/>
  <c r="M78" i="20"/>
  <c r="D83" i="9"/>
  <c r="F83" i="9" s="1"/>
  <c r="D100" i="9"/>
  <c r="M95" i="20"/>
  <c r="D98" i="9"/>
  <c r="M93" i="20"/>
  <c r="D84" i="9"/>
  <c r="F84" i="9" s="1"/>
  <c r="M79" i="20"/>
  <c r="D97" i="9"/>
  <c r="M92" i="20"/>
  <c r="D69" i="9"/>
  <c r="F69" i="9" s="1"/>
  <c r="M64" i="20"/>
  <c r="D74" i="9"/>
  <c r="F74" i="9" s="1"/>
  <c r="M69" i="20"/>
  <c r="D75" i="8"/>
  <c r="F75" i="8" s="1"/>
  <c r="L70" i="20"/>
  <c r="L57" i="20"/>
  <c r="D62" i="8"/>
  <c r="F62" i="8" s="1"/>
  <c r="D66" i="8"/>
  <c r="F66" i="8" s="1"/>
  <c r="L61" i="20"/>
  <c r="D63" i="8"/>
  <c r="F63" i="8" s="1"/>
  <c r="L58" i="20"/>
  <c r="D68" i="8"/>
  <c r="F68" i="8" s="1"/>
  <c r="L63" i="20"/>
  <c r="L93" i="20"/>
  <c r="D98" i="8"/>
  <c r="D85" i="8"/>
  <c r="L80" i="20"/>
  <c r="D72" i="9"/>
  <c r="F72" i="9" s="1"/>
  <c r="M67" i="20"/>
  <c r="D64" i="9"/>
  <c r="F64" i="9" s="1"/>
  <c r="M59" i="20"/>
  <c r="D71" i="9"/>
  <c r="F71" i="9" s="1"/>
  <c r="M66" i="20"/>
  <c r="D103" i="9"/>
  <c r="M98" i="20"/>
  <c r="D81" i="9"/>
  <c r="F81" i="9" s="1"/>
  <c r="M76" i="20"/>
  <c r="M81" i="20"/>
  <c r="D86" i="9"/>
  <c r="F86" i="9" s="1"/>
  <c r="L65" i="20"/>
  <c r="D70" i="8"/>
  <c r="F70" i="8" s="1"/>
  <c r="D88" i="8"/>
  <c r="L83" i="20"/>
  <c r="D91" i="8"/>
  <c r="L86" i="20"/>
  <c r="D80" i="8"/>
  <c r="F80" i="8" s="1"/>
  <c r="L75" i="20"/>
  <c r="D104" i="8"/>
  <c r="L99" i="20"/>
  <c r="D104" i="9"/>
  <c r="M99" i="20"/>
  <c r="D56" i="9"/>
  <c r="F56" i="9" s="1"/>
  <c r="M51" i="20"/>
  <c r="M54" i="20"/>
  <c r="D59" i="9"/>
  <c r="F59" i="9" s="1"/>
  <c r="D102" i="9"/>
  <c r="M97" i="20"/>
  <c r="D87" i="9"/>
  <c r="F87" i="9" s="1"/>
  <c r="M82" i="20"/>
  <c r="D55" i="9"/>
  <c r="F55" i="9" s="1"/>
  <c r="M50" i="20"/>
  <c r="D60" i="9"/>
  <c r="F60" i="9" s="1"/>
  <c r="M55" i="20"/>
  <c r="D99" i="9"/>
  <c r="M94" i="20"/>
  <c r="D91" i="9"/>
  <c r="M86" i="20"/>
  <c r="D73" i="9"/>
  <c r="F73" i="9" s="1"/>
  <c r="M68" i="20"/>
  <c r="D57" i="9"/>
  <c r="F57" i="9" s="1"/>
  <c r="M52" i="20"/>
  <c r="M73" i="20"/>
  <c r="D78" i="9"/>
  <c r="F78" i="9" s="1"/>
  <c r="M57" i="20"/>
  <c r="D62" i="9"/>
  <c r="F62" i="9" s="1"/>
  <c r="L81" i="20"/>
  <c r="D86" i="8"/>
  <c r="D93" i="8"/>
  <c r="L88" i="20"/>
  <c r="L73" i="20"/>
  <c r="D78" i="8"/>
  <c r="F78" i="8" s="1"/>
  <c r="D83" i="8"/>
  <c r="F83" i="8" s="1"/>
  <c r="L78" i="20"/>
  <c r="D74" i="8"/>
  <c r="F74" i="8" s="1"/>
  <c r="L69" i="20"/>
  <c r="D99" i="8"/>
  <c r="L94" i="20"/>
  <c r="D71" i="8"/>
  <c r="F71" i="8" s="1"/>
  <c r="L66" i="20"/>
  <c r="D87" i="8"/>
  <c r="L82" i="20"/>
  <c r="D72" i="8"/>
  <c r="F72" i="8" s="1"/>
  <c r="L67" i="20"/>
  <c r="D56" i="8"/>
  <c r="F56" i="8" s="1"/>
  <c r="L51" i="20"/>
  <c r="D100" i="8"/>
  <c r="L95" i="20"/>
  <c r="D92" i="8"/>
  <c r="L87" i="20"/>
  <c r="L68" i="20"/>
  <c r="D73" i="8"/>
  <c r="F73" i="8" s="1"/>
  <c r="L52" i="20"/>
  <c r="D57" i="8"/>
  <c r="F57" i="8" s="1"/>
  <c r="N62" i="21" l="1"/>
  <c r="R62" i="22"/>
  <c r="R71" i="22"/>
  <c r="N71" i="21"/>
  <c r="R74" i="22"/>
  <c r="N74" i="21"/>
  <c r="R65" i="22"/>
  <c r="N65" i="21"/>
  <c r="R88" i="22"/>
  <c r="N88" i="21"/>
  <c r="R96" i="22"/>
  <c r="N96" i="21"/>
  <c r="R92" i="22"/>
  <c r="N92" i="21"/>
  <c r="R58" i="22"/>
  <c r="N58" i="21"/>
  <c r="R82" i="22"/>
  <c r="N82" i="21"/>
  <c r="R52" i="22"/>
  <c r="N52" i="21"/>
  <c r="N76" i="21"/>
  <c r="R76" i="22"/>
  <c r="R87" i="22"/>
  <c r="N87" i="21"/>
  <c r="R55" i="22"/>
  <c r="N55" i="21"/>
  <c r="N54" i="21"/>
  <c r="R54" i="22"/>
  <c r="R70" i="22"/>
  <c r="N70" i="21"/>
  <c r="N61" i="21"/>
  <c r="R61" i="22"/>
  <c r="R69" i="22"/>
  <c r="N69" i="21"/>
  <c r="N91" i="21"/>
  <c r="R91" i="22"/>
  <c r="N51" i="21"/>
  <c r="R51" i="22"/>
  <c r="R89" i="22"/>
  <c r="N89" i="21"/>
  <c r="N63" i="21"/>
  <c r="R63" i="22"/>
  <c r="N66" i="21"/>
  <c r="R66" i="22"/>
  <c r="R75" i="22"/>
  <c r="N75" i="21"/>
  <c r="R90" i="22"/>
  <c r="N90" i="21"/>
  <c r="R86" i="22"/>
  <c r="N86" i="21"/>
  <c r="R49" i="22"/>
  <c r="N49" i="21"/>
  <c r="N67" i="21"/>
  <c r="R67" i="22"/>
  <c r="R84" i="22"/>
  <c r="N84" i="21"/>
  <c r="N100" i="21"/>
  <c r="R100" i="22"/>
  <c r="R81" i="22"/>
  <c r="N81" i="21"/>
  <c r="R95" i="22"/>
  <c r="N95" i="21"/>
  <c r="R72" i="22"/>
  <c r="N72" i="21"/>
  <c r="N99" i="21"/>
  <c r="R99" i="22"/>
  <c r="R83" i="22"/>
  <c r="N83" i="21"/>
  <c r="R80" i="22"/>
  <c r="N80" i="21"/>
  <c r="R60" i="22"/>
  <c r="N60" i="21"/>
  <c r="R98" i="22"/>
  <c r="N98" i="21"/>
  <c r="R73" i="22"/>
  <c r="N73" i="21"/>
  <c r="R50" i="22"/>
  <c r="N50" i="21"/>
  <c r="R56" i="22"/>
  <c r="N56" i="21"/>
  <c r="N97" i="21"/>
  <c r="R97" i="22"/>
  <c r="N64" i="21"/>
  <c r="R64" i="22"/>
  <c r="R94" i="22"/>
  <c r="N94" i="21"/>
  <c r="R57" i="22"/>
  <c r="N57" i="21"/>
  <c r="R77" i="22"/>
  <c r="N77" i="21"/>
  <c r="R93" i="22"/>
  <c r="N93" i="21"/>
  <c r="R68" i="22"/>
  <c r="N68" i="21"/>
  <c r="N59" i="21"/>
  <c r="R59" i="22"/>
  <c r="R53" i="22"/>
  <c r="N53" i="21"/>
  <c r="R79" i="22"/>
  <c r="N79" i="21"/>
  <c r="N101" i="21"/>
  <c r="R101" i="22"/>
  <c r="R78" i="22"/>
  <c r="N78" i="21"/>
  <c r="R85" i="22"/>
  <c r="N85" i="21"/>
  <c r="N90" i="22"/>
  <c r="J90" i="21"/>
  <c r="N50" i="22"/>
  <c r="J50" i="21"/>
  <c r="O53" i="22"/>
  <c r="K53" i="21"/>
  <c r="K64" i="21"/>
  <c r="O64" i="22"/>
  <c r="K82" i="21"/>
  <c r="O82" i="22"/>
  <c r="O78" i="22"/>
  <c r="K78" i="21"/>
  <c r="K68" i="21"/>
  <c r="O68" i="22"/>
  <c r="N53" i="22"/>
  <c r="J53" i="21"/>
  <c r="J54" i="21"/>
  <c r="N54" i="22"/>
  <c r="O63" i="22"/>
  <c r="K63" i="21"/>
  <c r="K99" i="21"/>
  <c r="O99" i="22"/>
  <c r="O72" i="22"/>
  <c r="K72" i="21"/>
  <c r="K97" i="21"/>
  <c r="O97" i="22"/>
  <c r="N77" i="22"/>
  <c r="J77" i="21"/>
  <c r="O83" i="22"/>
  <c r="K83" i="21"/>
  <c r="N63" i="22"/>
  <c r="J63" i="21"/>
  <c r="K66" i="21"/>
  <c r="O66" i="22"/>
  <c r="N93" i="22"/>
  <c r="J93" i="21"/>
  <c r="O52" i="22"/>
  <c r="K52" i="21"/>
  <c r="O80" i="22"/>
  <c r="K80" i="21"/>
  <c r="K56" i="21"/>
  <c r="O56" i="22"/>
  <c r="K96" i="21"/>
  <c r="O96" i="22"/>
  <c r="N58" i="22"/>
  <c r="J58" i="21"/>
  <c r="O91" i="22"/>
  <c r="K91" i="21"/>
  <c r="N73" i="22"/>
  <c r="J73" i="21"/>
  <c r="N52" i="22"/>
  <c r="J52" i="21"/>
  <c r="N60" i="22"/>
  <c r="J60" i="21"/>
  <c r="O95" i="22"/>
  <c r="K95" i="21"/>
  <c r="O94" i="22"/>
  <c r="K94" i="21"/>
  <c r="J62" i="21"/>
  <c r="N62" i="22"/>
  <c r="K76" i="21"/>
  <c r="O76" i="22"/>
  <c r="N87" i="22"/>
  <c r="J87" i="21"/>
  <c r="J55" i="21"/>
  <c r="N55" i="22"/>
  <c r="N69" i="22"/>
  <c r="J69" i="21"/>
  <c r="N95" i="22"/>
  <c r="J95" i="21"/>
  <c r="O60" i="22"/>
  <c r="K60" i="21"/>
  <c r="O57" i="22"/>
  <c r="K57" i="21"/>
  <c r="O74" i="22"/>
  <c r="K74" i="21"/>
  <c r="K58" i="21"/>
  <c r="O58" i="22"/>
  <c r="N83" i="22"/>
  <c r="J83" i="21"/>
  <c r="J56" i="21"/>
  <c r="N56" i="22"/>
  <c r="N92" i="22"/>
  <c r="J92" i="21"/>
  <c r="J99" i="21"/>
  <c r="N99" i="22"/>
  <c r="N70" i="22"/>
  <c r="J70" i="21"/>
  <c r="N88" i="22"/>
  <c r="J88" i="21"/>
  <c r="N65" i="22"/>
  <c r="J65" i="21"/>
  <c r="N67" i="22"/>
  <c r="J67" i="21"/>
  <c r="N75" i="22"/>
  <c r="J75" i="21"/>
  <c r="N66" i="22"/>
  <c r="J66" i="21"/>
  <c r="N57" i="22"/>
  <c r="J57" i="21"/>
  <c r="N68" i="22"/>
  <c r="J68" i="21"/>
  <c r="N80" i="22"/>
  <c r="J80" i="21"/>
  <c r="N86" i="22"/>
  <c r="J86" i="21"/>
  <c r="J79" i="21"/>
  <c r="N79" i="22"/>
  <c r="N81" i="22"/>
  <c r="J81" i="21"/>
  <c r="O71" i="22"/>
  <c r="K71" i="21"/>
  <c r="K75" i="21"/>
  <c r="O75" i="22"/>
  <c r="N94" i="22"/>
  <c r="J94" i="21"/>
  <c r="N91" i="22"/>
  <c r="J91" i="21"/>
  <c r="O62" i="22"/>
  <c r="K62" i="21"/>
  <c r="N51" i="22"/>
  <c r="J51" i="21"/>
  <c r="N97" i="22"/>
  <c r="J97" i="21"/>
  <c r="K85" i="21"/>
  <c r="O85" i="22"/>
  <c r="O89" i="22"/>
  <c r="K89" i="21"/>
  <c r="O98" i="22"/>
  <c r="K98" i="21"/>
  <c r="N71" i="22"/>
  <c r="J71" i="21"/>
  <c r="O84" i="22"/>
  <c r="K84" i="21"/>
  <c r="K88" i="21"/>
  <c r="O88" i="22"/>
  <c r="N100" i="22"/>
  <c r="J100" i="21"/>
  <c r="O92" i="22"/>
  <c r="K92" i="21"/>
  <c r="N72" i="22"/>
  <c r="J72" i="21"/>
  <c r="N98" i="22"/>
  <c r="J98" i="21"/>
  <c r="J76" i="21"/>
  <c r="N76" i="22"/>
  <c r="O90" i="22"/>
  <c r="K90" i="21"/>
  <c r="O51" i="22"/>
  <c r="K51" i="21"/>
  <c r="O93" i="22"/>
  <c r="K93" i="21"/>
  <c r="O101" i="22"/>
  <c r="K101" i="21"/>
  <c r="O54" i="22"/>
  <c r="K54" i="21"/>
  <c r="N84" i="22"/>
  <c r="J84" i="21"/>
  <c r="N85" i="22"/>
  <c r="J85" i="21"/>
  <c r="O59" i="22"/>
  <c r="K59" i="21"/>
  <c r="K70" i="21"/>
  <c r="O70" i="22"/>
  <c r="J96" i="21"/>
  <c r="N96" i="22"/>
  <c r="N61" i="22"/>
  <c r="J61" i="21"/>
  <c r="K79" i="21"/>
  <c r="O79" i="22"/>
  <c r="O69" i="22"/>
  <c r="K69" i="21"/>
  <c r="O61" i="22"/>
  <c r="K61" i="21"/>
  <c r="K50" i="21"/>
  <c r="O50" i="22"/>
  <c r="J64" i="21"/>
  <c r="N64" i="22"/>
  <c r="N101" i="22"/>
  <c r="J101" i="21"/>
  <c r="J89" i="21"/>
  <c r="N89" i="22"/>
  <c r="O81" i="22"/>
  <c r="K81" i="21"/>
  <c r="K67" i="21"/>
  <c r="O67" i="22"/>
  <c r="K65" i="21"/>
  <c r="O65" i="22"/>
  <c r="K73" i="21"/>
  <c r="O73" i="22"/>
  <c r="N59" i="22"/>
  <c r="J59" i="21"/>
  <c r="N78" i="22"/>
  <c r="J78" i="21"/>
  <c r="N82" i="22"/>
  <c r="J82" i="21"/>
  <c r="K86" i="21"/>
  <c r="O86" i="22"/>
  <c r="K87" i="21"/>
  <c r="O87" i="22"/>
  <c r="N74" i="22"/>
  <c r="J74" i="21"/>
  <c r="O55" i="22"/>
  <c r="K55" i="21"/>
  <c r="K100" i="21"/>
  <c r="O100" i="22"/>
  <c r="O77" i="22"/>
  <c r="K77" i="21"/>
  <c r="Q63" i="22"/>
  <c r="M63" i="21"/>
  <c r="M82" i="21"/>
  <c r="Q82" i="22"/>
  <c r="M72" i="21"/>
  <c r="Q72" i="22"/>
  <c r="M74" i="21"/>
  <c r="Q74" i="22"/>
  <c r="Q58" i="22"/>
  <c r="M58" i="21"/>
  <c r="Q52" i="22"/>
  <c r="M52" i="21"/>
  <c r="Q66" i="22"/>
  <c r="M66" i="21"/>
  <c r="M87" i="21"/>
  <c r="Q87" i="22"/>
  <c r="M56" i="21"/>
  <c r="Q56" i="22"/>
  <c r="M88" i="21"/>
  <c r="Q88" i="22"/>
  <c r="M95" i="21"/>
  <c r="Q95" i="22"/>
  <c r="Q50" i="22"/>
  <c r="M50" i="21"/>
  <c r="Q67" i="22"/>
  <c r="M67" i="21"/>
  <c r="M86" i="21"/>
  <c r="Q86" i="22"/>
  <c r="Q64" i="22"/>
  <c r="M64" i="21"/>
  <c r="Q79" i="22"/>
  <c r="M79" i="21"/>
  <c r="M59" i="21"/>
  <c r="Q59" i="22"/>
  <c r="Q65" i="22"/>
  <c r="M65" i="21"/>
  <c r="Q96" i="22"/>
  <c r="M96" i="21"/>
  <c r="M91" i="21"/>
  <c r="Q91" i="22"/>
  <c r="M83" i="21"/>
  <c r="Q83" i="22"/>
  <c r="M73" i="21"/>
  <c r="Q73" i="22"/>
  <c r="M94" i="21"/>
  <c r="Q94" i="22"/>
  <c r="M90" i="21"/>
  <c r="Q90" i="22"/>
  <c r="Q92" i="22"/>
  <c r="M92" i="21"/>
  <c r="Q53" i="22"/>
  <c r="M53" i="21"/>
  <c r="Q70" i="22"/>
  <c r="M70" i="21"/>
  <c r="M54" i="21"/>
  <c r="Q54" i="22"/>
  <c r="Q93" i="22"/>
  <c r="M93" i="21"/>
  <c r="M76" i="21"/>
  <c r="Q76" i="22"/>
  <c r="M78" i="21"/>
  <c r="Q78" i="22"/>
  <c r="M85" i="21"/>
  <c r="Q85" i="22"/>
  <c r="Q75" i="22"/>
  <c r="M75" i="21"/>
  <c r="M55" i="21"/>
  <c r="Q55" i="22"/>
  <c r="M80" i="21"/>
  <c r="Q80" i="22"/>
  <c r="M51" i="21"/>
  <c r="Q51" i="22"/>
  <c r="Q61" i="22"/>
  <c r="M61" i="21"/>
  <c r="Q98" i="22"/>
  <c r="M98" i="21"/>
  <c r="Q71" i="22"/>
  <c r="M71" i="21"/>
  <c r="Q100" i="22"/>
  <c r="M100" i="21"/>
  <c r="M60" i="21"/>
  <c r="Q60" i="22"/>
  <c r="Q77" i="22"/>
  <c r="M77" i="21"/>
  <c r="Q81" i="22"/>
  <c r="M81" i="21"/>
  <c r="Q62" i="22"/>
  <c r="M62" i="21"/>
  <c r="M84" i="21"/>
  <c r="Q84" i="22"/>
  <c r="Q99" i="22"/>
  <c r="M99" i="21"/>
  <c r="M69" i="21"/>
  <c r="Q69" i="22"/>
  <c r="Q101" i="22"/>
  <c r="M101" i="21"/>
  <c r="M57" i="21"/>
  <c r="Q57" i="22"/>
  <c r="M49" i="21"/>
  <c r="Q49" i="22"/>
  <c r="Q68" i="22"/>
  <c r="M68" i="21"/>
  <c r="Q89" i="22"/>
  <c r="M89" i="21"/>
  <c r="Q97" i="22"/>
  <c r="M97" i="21"/>
  <c r="L51" i="22"/>
  <c r="H51" i="21"/>
  <c r="L94" i="22"/>
  <c r="H94" i="21"/>
  <c r="L88" i="22"/>
  <c r="H88" i="21"/>
  <c r="I52" i="21"/>
  <c r="M52" i="22"/>
  <c r="M55" i="22"/>
  <c r="I55" i="21"/>
  <c r="M99" i="22"/>
  <c r="I99" i="21"/>
  <c r="L83" i="22"/>
  <c r="H83" i="21"/>
  <c r="M98" i="22"/>
  <c r="I98" i="21"/>
  <c r="L80" i="22"/>
  <c r="H80" i="21"/>
  <c r="H61" i="21"/>
  <c r="L61" i="22"/>
  <c r="I64" i="21"/>
  <c r="M64" i="22"/>
  <c r="M95" i="22"/>
  <c r="I95" i="21"/>
  <c r="L55" i="22"/>
  <c r="H55" i="21"/>
  <c r="L98" i="22"/>
  <c r="H98" i="21"/>
  <c r="L96" i="22"/>
  <c r="H96" i="21"/>
  <c r="M72" i="22"/>
  <c r="I72" i="21"/>
  <c r="M58" i="22"/>
  <c r="I58" i="21"/>
  <c r="M83" i="22"/>
  <c r="I83" i="21"/>
  <c r="H59" i="21"/>
  <c r="L59" i="22"/>
  <c r="M89" i="22"/>
  <c r="I89" i="21"/>
  <c r="L54" i="22"/>
  <c r="H54" i="21"/>
  <c r="M75" i="22"/>
  <c r="I75" i="21"/>
  <c r="I57" i="21"/>
  <c r="M57" i="22"/>
  <c r="L101" i="22"/>
  <c r="H101" i="21"/>
  <c r="M84" i="22"/>
  <c r="I84" i="21"/>
  <c r="L95" i="22"/>
  <c r="H95" i="21"/>
  <c r="L66" i="22"/>
  <c r="H66" i="21"/>
  <c r="M50" i="22"/>
  <c r="I50" i="21"/>
  <c r="M51" i="22"/>
  <c r="I51" i="21"/>
  <c r="L86" i="22"/>
  <c r="H86" i="21"/>
  <c r="I66" i="21"/>
  <c r="M66" i="22"/>
  <c r="M67" i="22"/>
  <c r="I67" i="21"/>
  <c r="L58" i="22"/>
  <c r="H58" i="21"/>
  <c r="M69" i="22"/>
  <c r="I69" i="21"/>
  <c r="M92" i="22"/>
  <c r="I92" i="21"/>
  <c r="I93" i="21"/>
  <c r="M93" i="22"/>
  <c r="L72" i="22"/>
  <c r="H72" i="21"/>
  <c r="L71" i="22"/>
  <c r="H71" i="21"/>
  <c r="L74" i="22"/>
  <c r="H74" i="21"/>
  <c r="L77" i="22"/>
  <c r="H77" i="21"/>
  <c r="M61" i="22"/>
  <c r="I61" i="21"/>
  <c r="M56" i="22"/>
  <c r="I56" i="21"/>
  <c r="I88" i="21"/>
  <c r="M88" i="22"/>
  <c r="M63" i="22"/>
  <c r="I63" i="21"/>
  <c r="M85" i="22"/>
  <c r="I85" i="21"/>
  <c r="H91" i="21"/>
  <c r="L91" i="22"/>
  <c r="L50" i="22"/>
  <c r="H50" i="21"/>
  <c r="L100" i="22"/>
  <c r="H100" i="21"/>
  <c r="M60" i="22"/>
  <c r="I60" i="21"/>
  <c r="M71" i="22"/>
  <c r="I71" i="21"/>
  <c r="M87" i="22"/>
  <c r="I87" i="21"/>
  <c r="L64" i="22"/>
  <c r="H64" i="21"/>
  <c r="H79" i="21"/>
  <c r="L79" i="22"/>
  <c r="L62" i="22"/>
  <c r="H62" i="21"/>
  <c r="M53" i="22"/>
  <c r="I53" i="21"/>
  <c r="I80" i="21"/>
  <c r="M80" i="22"/>
  <c r="M74" i="22"/>
  <c r="I74" i="21"/>
  <c r="L87" i="22"/>
  <c r="H87" i="21"/>
  <c r="L82" i="22"/>
  <c r="H82" i="21"/>
  <c r="L78" i="22"/>
  <c r="H78" i="21"/>
  <c r="M86" i="22"/>
  <c r="I86" i="21"/>
  <c r="M82" i="22"/>
  <c r="I82" i="21"/>
  <c r="H75" i="21"/>
  <c r="L75" i="22"/>
  <c r="M59" i="22"/>
  <c r="I59" i="21"/>
  <c r="L63" i="22"/>
  <c r="H63" i="21"/>
  <c r="L70" i="22"/>
  <c r="H70" i="21"/>
  <c r="M79" i="22"/>
  <c r="I79" i="21"/>
  <c r="L56" i="22"/>
  <c r="H56" i="21"/>
  <c r="L84" i="22"/>
  <c r="H84" i="21"/>
  <c r="L92" i="22"/>
  <c r="H92" i="21"/>
  <c r="I77" i="21"/>
  <c r="M77" i="22"/>
  <c r="I96" i="21"/>
  <c r="M96" i="22"/>
  <c r="M101" i="22"/>
  <c r="I101" i="21"/>
  <c r="L53" i="22"/>
  <c r="H53" i="21"/>
  <c r="M90" i="22"/>
  <c r="I90" i="21"/>
  <c r="L90" i="22"/>
  <c r="H90" i="21"/>
  <c r="M100" i="22"/>
  <c r="I100" i="21"/>
  <c r="H52" i="21"/>
  <c r="L52" i="22"/>
  <c r="M54" i="22"/>
  <c r="I54" i="21"/>
  <c r="M81" i="22"/>
  <c r="I81" i="21"/>
  <c r="L89" i="22"/>
  <c r="H89" i="21"/>
  <c r="L76" i="22"/>
  <c r="H76" i="21"/>
  <c r="M65" i="22"/>
  <c r="I65" i="21"/>
  <c r="M91" i="22"/>
  <c r="I91" i="21"/>
  <c r="L67" i="22"/>
  <c r="H67" i="21"/>
  <c r="L69" i="22"/>
  <c r="H69" i="21"/>
  <c r="M68" i="22"/>
  <c r="I68" i="21"/>
  <c r="M94" i="22"/>
  <c r="I94" i="21"/>
  <c r="M97" i="22"/>
  <c r="I97" i="21"/>
  <c r="L99" i="22"/>
  <c r="H99" i="21"/>
  <c r="M76" i="22"/>
  <c r="I76" i="21"/>
  <c r="H68" i="21"/>
  <c r="L68" i="22"/>
  <c r="H73" i="21"/>
  <c r="L73" i="22"/>
  <c r="L81" i="22"/>
  <c r="H81" i="21"/>
  <c r="I73" i="21"/>
  <c r="M73" i="22"/>
  <c r="L65" i="22"/>
  <c r="H65" i="21"/>
  <c r="L93" i="22"/>
  <c r="H93" i="21"/>
  <c r="H57" i="21"/>
  <c r="L57" i="22"/>
  <c r="M78" i="22"/>
  <c r="I78" i="21"/>
  <c r="L97" i="22"/>
  <c r="H97" i="21"/>
  <c r="L85" i="22"/>
  <c r="H85" i="21"/>
  <c r="M70" i="22"/>
  <c r="I70" i="21"/>
  <c r="L60" i="22"/>
  <c r="H60" i="21"/>
  <c r="I62" i="21"/>
  <c r="M62" i="22"/>
</calcChain>
</file>

<file path=xl/sharedStrings.xml><?xml version="1.0" encoding="utf-8"?>
<sst xmlns="http://schemas.openxmlformats.org/spreadsheetml/2006/main" count="5798" uniqueCount="2387">
  <si>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</si>
  <si>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</si>
  <si>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</si>
  <si>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</si>
  <si>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</si>
  <si>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</si>
  <si>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</si>
  <si>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</si>
  <si>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</si>
  <si>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</si>
  <si>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</si>
  <si>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</si>
  <si>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</si>
  <si>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</si>
  <si>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</si>
  <si>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</si>
  <si>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</si>
  <si>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</si>
  <si>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</si>
  <si>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</si>
  <si>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</si>
  <si>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</si>
  <si>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</si>
  <si>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</si>
  <si>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</si>
  <si>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</si>
  <si>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</si>
  <si>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</si>
  <si>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</si>
  <si>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</si>
  <si>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</si>
  <si>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</si>
  <si>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</si>
  <si>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</si>
  <si>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(s)</t>
  </si>
  <si>
    <t>Adjusted record track</t>
  </si>
  <si>
    <t>Adjusted pace road</t>
  </si>
  <si>
    <t>Adjusted pace track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</si>
  <si>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</si>
  <si>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</si>
  <si>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</si>
  <si>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</si>
  <si>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</si>
  <si>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</si>
  <si>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</si>
  <si>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</si>
  <si>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</si>
  <si>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</si>
  <si>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</si>
  <si>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</si>
  <si>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</si>
  <si>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</si>
  <si>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</si>
  <si>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</si>
  <si>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</si>
  <si>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</si>
  <si>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</si>
  <si>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</si>
  <si>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</si>
  <si>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</si>
  <si>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</si>
  <si>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</si>
  <si>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</si>
  <si>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</si>
  <si>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</si>
  <si>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</si>
  <si>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</si>
  <si>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</si>
  <si>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</si>
  <si>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</si>
  <si>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</si>
  <si>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</si>
  <si>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</si>
  <si>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</si>
  <si>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</si>
  <si>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</si>
  <si>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</si>
  <si>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</si>
  <si>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</si>
  <si>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</si>
  <si>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</si>
  <si>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</si>
  <si>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</si>
  <si>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</si>
  <si>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</si>
  <si>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</si>
  <si>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</si>
  <si>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</si>
  <si>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</si>
  <si>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</si>
  <si>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</si>
  <si>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</si>
  <si>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</si>
  <si>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</si>
  <si>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</si>
  <si>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</si>
  <si>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</si>
  <si>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</si>
  <si>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</si>
  <si>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</si>
  <si>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</si>
  <si>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</si>
  <si>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</si>
  <si>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</si>
  <si>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</si>
  <si>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</si>
  <si>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</si>
  <si>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</si>
  <si>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</si>
  <si>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</si>
  <si>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</si>
  <si>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</si>
  <si>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</si>
  <si>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</si>
  <si>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</si>
  <si>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</si>
  <si>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</si>
  <si>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</si>
  <si>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</si>
  <si>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</si>
  <si>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</si>
  <si>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</si>
  <si>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</si>
  <si>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</si>
  <si>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</si>
  <si>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</si>
  <si>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</si>
  <si>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Proposed Standards</t>
  </si>
  <si>
    <t>World Record</t>
  </si>
  <si>
    <t>Proposed standard</t>
  </si>
  <si>
    <t>Perf factor %</t>
  </si>
  <si>
    <t>Proposed factors</t>
  </si>
  <si>
    <t>Proposed factor</t>
  </si>
  <si>
    <t>Performance factor %</t>
  </si>
  <si>
    <t>Age Factors</t>
  </si>
  <si>
    <t>D</t>
  </si>
  <si>
    <t>2020 Bernhard Single Age Bests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</si>
  <si>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</si>
  <si>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</si>
  <si>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</si>
  <si>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</si>
  <si>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</si>
  <si>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</si>
  <si>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</si>
  <si>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</si>
  <si>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</si>
  <si>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</si>
  <si>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</si>
  <si>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</si>
  <si>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</si>
  <si>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</si>
  <si>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</si>
  <si>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14:58</t>
  </si>
  <si>
    <t>14:57</t>
  </si>
  <si>
    <t>15:10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</si>
  <si>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</si>
  <si>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</si>
  <si>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</si>
  <si>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</si>
  <si>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</si>
  <si>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</si>
  <si>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</si>
  <si>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</si>
  <si>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</si>
  <si>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</si>
  <si>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</si>
  <si>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</si>
  <si>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</si>
  <si>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</si>
  <si>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</si>
  <si>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</si>
  <si>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</si>
  <si>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</si>
  <si>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</si>
  <si>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</si>
  <si>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</si>
  <si>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</si>
  <si>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</si>
  <si>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</si>
  <si>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</si>
  <si>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</si>
  <si>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</si>
  <si>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</si>
  <si>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</si>
  <si>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</si>
  <si>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</si>
  <si>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</si>
  <si>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</si>
  <si>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</si>
  <si>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</si>
  <si>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</si>
  <si>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</si>
  <si>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</si>
  <si>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</si>
  <si>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</si>
  <si>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</si>
  <si>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</si>
  <si>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</si>
  <si>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</si>
  <si>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</si>
  <si>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</si>
  <si>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</si>
  <si>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</si>
  <si>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</si>
  <si>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</si>
  <si>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</si>
  <si>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</si>
  <si>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</si>
  <si>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</si>
  <si>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</si>
  <si>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</si>
  <si>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</si>
  <si>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</si>
  <si>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</si>
  <si>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48:55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</si>
  <si>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</si>
  <si>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</si>
  <si>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</si>
  <si>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</si>
  <si>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</si>
  <si>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</si>
  <si>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</si>
  <si>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</si>
  <si>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</si>
  <si>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</si>
  <si>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</si>
  <si>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</si>
  <si>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</si>
  <si>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</si>
  <si>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</si>
  <si>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</si>
  <si>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</si>
  <si>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</si>
  <si>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</si>
  <si>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</si>
  <si>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</si>
  <si>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</si>
  <si>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</si>
  <si>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</si>
  <si>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</si>
  <si>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</si>
  <si>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</si>
  <si>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</si>
  <si>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</si>
  <si>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</si>
  <si>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</si>
  <si>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</si>
  <si>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</si>
  <si>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</si>
  <si>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</si>
  <si>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</si>
  <si>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</si>
  <si>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Lydia</t>
  </si>
  <si>
    <t>Cheromei Kogo</t>
  </si>
  <si>
    <t>Bern SUI</t>
  </si>
  <si>
    <t>Boston MA USA</t>
  </si>
  <si>
    <t>Genzebe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</si>
  <si>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</si>
  <si>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</si>
  <si>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</si>
  <si>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</si>
  <si>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</si>
  <si>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</si>
  <si>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</si>
  <si>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</si>
  <si>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</si>
  <si>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</si>
  <si>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</si>
  <si>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</si>
  <si>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</si>
  <si>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</si>
  <si>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</si>
  <si>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</si>
  <si>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</si>
  <si>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</si>
  <si>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</si>
  <si>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</si>
  <si>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</si>
  <si>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</si>
  <si>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</si>
  <si>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</si>
  <si>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</si>
  <si>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</si>
  <si>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</si>
  <si>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</si>
  <si>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</si>
  <si>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</si>
  <si>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</si>
  <si>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</si>
  <si>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</si>
  <si>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</si>
  <si>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</si>
  <si>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</si>
  <si>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</si>
  <si>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</si>
  <si>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</si>
  <si>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</si>
  <si>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</si>
  <si>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</si>
  <si>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</si>
  <si>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</si>
  <si>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</si>
  <si>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</si>
  <si>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</si>
  <si>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</si>
  <si>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</si>
  <si>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</si>
  <si>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</si>
  <si>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</si>
  <si>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</si>
  <si>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</si>
  <si>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</si>
  <si>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</si>
  <si>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</si>
  <si>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</si>
  <si>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</si>
  <si>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</si>
  <si>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</si>
  <si>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</si>
  <si>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</si>
  <si>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</si>
  <si>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</si>
  <si>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</si>
  <si>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</si>
  <si>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</si>
  <si>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</si>
  <si>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</si>
  <si>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</si>
  <si>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</si>
  <si>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</si>
  <si>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</si>
  <si>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</si>
  <si>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</si>
  <si>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</si>
  <si>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</si>
  <si>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</si>
  <si>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</si>
  <si>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</si>
  <si>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</si>
  <si>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</si>
  <si>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</si>
  <si>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</si>
  <si>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</si>
  <si>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</si>
  <si>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</si>
  <si>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</si>
  <si>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</si>
  <si>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</si>
  <si>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</si>
  <si>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</si>
  <si>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</si>
  <si>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</si>
  <si>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</si>
  <si>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</si>
  <si>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Jan</t>
  </si>
  <si>
    <t>Holmquist</t>
  </si>
  <si>
    <t>Evans Run 5K</t>
  </si>
  <si>
    <t>Jeannie</t>
  </si>
  <si>
    <t>Rice</t>
  </si>
  <si>
    <t>John Clay 5K</t>
  </si>
  <si>
    <t>Naples, FL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</si>
  <si>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</si>
  <si>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</si>
  <si>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</si>
  <si>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</si>
  <si>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</si>
  <si>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</si>
  <si>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</si>
  <si>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</si>
  <si>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Freihofer's Run for Women</t>
  </si>
  <si>
    <t>Firekracker 5K</t>
  </si>
  <si>
    <t>Ft. Collins, CO</t>
  </si>
  <si>
    <t>official F80-84 AR</t>
  </si>
  <si>
    <t>Lenore</t>
  </si>
  <si>
    <t>Montgomery</t>
  </si>
  <si>
    <t>CAN</t>
  </si>
  <si>
    <t>Vancouver BC CAN</t>
  </si>
  <si>
    <t>Anne</t>
  </si>
  <si>
    <t>Clarke</t>
  </si>
  <si>
    <t>IL</t>
  </si>
  <si>
    <t>Park Ridge Charity Classic</t>
  </si>
  <si>
    <t>Park Ridge, IL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</si>
  <si>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</si>
  <si>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</si>
  <si>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</si>
  <si>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</si>
  <si>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</si>
  <si>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</si>
  <si>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</si>
  <si>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</si>
  <si>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</si>
  <si>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</si>
  <si>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</si>
  <si>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</si>
  <si>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cert ran out in 2011, but they still use the same course</t>
  </si>
  <si>
    <t>CPCC Charlotte Skyline 5K</t>
  </si>
  <si>
    <t>Run! Ballantyne 5K</t>
  </si>
  <si>
    <t>Evelyn</t>
  </si>
  <si>
    <t>Tripp</t>
  </si>
  <si>
    <t>Get to the Green 5K</t>
  </si>
  <si>
    <t>Columbia, SC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</si>
  <si>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</si>
  <si>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</si>
  <si>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</si>
  <si>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</si>
  <si>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</si>
  <si>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</si>
  <si>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</si>
  <si>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</si>
  <si>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</si>
  <si>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</si>
  <si>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</si>
  <si>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</si>
  <si>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</si>
  <si>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</si>
  <si>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</si>
  <si>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</si>
  <si>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</si>
  <si>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</si>
  <si>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</si>
  <si>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</si>
  <si>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</si>
  <si>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</si>
  <si>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</si>
  <si>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</si>
  <si>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</si>
  <si>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</si>
  <si>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30:39</t>
  </si>
  <si>
    <t>30:25</t>
  </si>
  <si>
    <t>30:47</t>
  </si>
  <si>
    <t>30:30</t>
  </si>
  <si>
    <t>30:21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</si>
  <si>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</si>
  <si>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</si>
  <si>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</si>
  <si>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</si>
  <si>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</si>
  <si>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</si>
  <si>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</si>
  <si>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</si>
  <si>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</si>
  <si>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</si>
  <si>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</si>
  <si>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</si>
  <si>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</si>
  <si>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</si>
  <si>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</si>
  <si>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</si>
  <si>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</si>
  <si>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</si>
  <si>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</si>
  <si>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</si>
  <si>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</si>
  <si>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</si>
  <si>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</si>
  <si>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</si>
  <si>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</si>
  <si>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</si>
  <si>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</si>
  <si>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</si>
  <si>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</si>
  <si>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</si>
  <si>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</si>
  <si>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</si>
  <si>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</si>
  <si>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</si>
  <si>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</si>
  <si>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</si>
  <si>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</si>
  <si>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</si>
  <si>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</si>
  <si>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51:23</t>
  </si>
  <si>
    <t>53:38</t>
  </si>
  <si>
    <t>54:54</t>
  </si>
  <si>
    <t>55:05</t>
  </si>
  <si>
    <t>53:16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</si>
  <si>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</si>
  <si>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</si>
  <si>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</si>
  <si>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</si>
  <si>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</si>
  <si>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</si>
  <si>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</si>
  <si>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</si>
  <si>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</si>
  <si>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</si>
  <si>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</si>
  <si>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</si>
  <si>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</si>
  <si>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</si>
  <si>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</si>
  <si>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</si>
  <si>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</si>
  <si>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</si>
  <si>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</si>
  <si>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</si>
  <si>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</si>
  <si>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</si>
  <si>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</si>
  <si>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</si>
  <si>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</si>
  <si>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</si>
  <si>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</si>
  <si>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</si>
  <si>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</si>
  <si>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</si>
  <si>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</si>
  <si>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</si>
  <si>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</si>
  <si>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</si>
  <si>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</si>
  <si>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</si>
  <si>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</si>
  <si>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</si>
  <si>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</si>
  <si>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</si>
  <si>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</si>
  <si>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</si>
  <si>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</si>
  <si>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</si>
  <si>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</si>
  <si>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</si>
  <si>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</si>
  <si>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</si>
  <si>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</si>
  <si>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</si>
  <si>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</si>
  <si>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</si>
  <si>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</si>
  <si>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</si>
  <si>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</si>
  <si>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</si>
  <si>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</si>
  <si>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</si>
  <si>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</si>
  <si>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</si>
  <si>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</si>
  <si>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</si>
  <si>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</si>
  <si>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</si>
  <si>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</si>
  <si>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</si>
  <si>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</si>
  <si>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</si>
  <si>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</si>
  <si>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</si>
  <si>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</si>
  <si>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</si>
  <si>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</si>
  <si>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</si>
  <si>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</si>
  <si>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</si>
  <si>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</si>
  <si>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</si>
  <si>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</si>
  <si>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</si>
  <si>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</si>
  <si>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</si>
  <si>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</si>
  <si>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</si>
  <si>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</si>
  <si>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</si>
  <si>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</si>
  <si>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</si>
  <si>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Firaya</t>
  </si>
  <si>
    <t>Sultanova-Zhadanova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</si>
  <si>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</si>
  <si>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</si>
  <si>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</si>
  <si>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</si>
  <si>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</si>
  <si>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</si>
  <si>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</si>
  <si>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</si>
  <si>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</si>
  <si>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</si>
  <si>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</si>
  <si>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</si>
  <si>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</si>
  <si>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</si>
  <si>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</si>
  <si>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</si>
  <si>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</si>
  <si>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</si>
  <si>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</si>
  <si>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</si>
  <si>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</si>
  <si>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</si>
  <si>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</si>
  <si>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</si>
  <si>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</si>
  <si>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</si>
  <si>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</si>
  <si>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</si>
  <si>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</si>
  <si>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</si>
  <si>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</si>
  <si>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</si>
  <si>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</si>
  <si>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</si>
  <si>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</si>
  <si>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</si>
  <si>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</si>
  <si>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</si>
  <si>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</si>
  <si>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</si>
  <si>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</si>
  <si>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</si>
  <si>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</si>
  <si>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</si>
  <si>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</si>
  <si>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</si>
  <si>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</si>
  <si>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</si>
  <si>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</si>
  <si>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</si>
  <si>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</si>
  <si>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</si>
  <si>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</si>
  <si>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</si>
  <si>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</si>
  <si>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</si>
  <si>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</si>
  <si>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</si>
  <si>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</si>
  <si>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</si>
  <si>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</si>
  <si>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</si>
  <si>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</si>
  <si>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</si>
  <si>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</si>
  <si>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</si>
  <si>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</si>
  <si>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</si>
  <si>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</si>
  <si>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</si>
  <si>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</si>
  <si>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</si>
  <si>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</si>
  <si>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Ruth</t>
  </si>
  <si>
    <t>Rothfarb</t>
  </si>
  <si>
    <t>Tufts Health Plan 10K for Women</t>
  </si>
  <si>
    <t>Boston, MA</t>
  </si>
  <si>
    <t>Charlotte Racefest 10K</t>
  </si>
  <si>
    <t>Tush</t>
  </si>
  <si>
    <t>Metcalf</t>
  </si>
  <si>
    <t>Ukrops Monument Ave 10K</t>
  </si>
  <si>
    <t xml:space="preserve">Richmond, VA 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</si>
  <si>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</si>
  <si>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</si>
  <si>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</si>
  <si>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</si>
  <si>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</si>
  <si>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</si>
  <si>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</si>
  <si>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</si>
  <si>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</si>
  <si>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</si>
  <si>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</si>
  <si>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</si>
  <si>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</si>
  <si>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</si>
  <si>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</si>
  <si>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1:06:49</t>
  </si>
  <si>
    <t>1:06:11</t>
  </si>
  <si>
    <t>1:05:51</t>
  </si>
  <si>
    <t>1:05:09</t>
  </si>
  <si>
    <t>1:05:52</t>
  </si>
  <si>
    <t>1:06:02</t>
  </si>
  <si>
    <t>1:07:26</t>
  </si>
  <si>
    <t>1:05:13</t>
  </si>
  <si>
    <t>1:08:55</t>
  </si>
  <si>
    <t>1:08:48</t>
  </si>
  <si>
    <t>1:09:56</t>
  </si>
  <si>
    <t>1:09:37</t>
  </si>
  <si>
    <t>1:09:58</t>
  </si>
  <si>
    <t>1:11:54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</si>
  <si>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</si>
  <si>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</si>
  <si>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</si>
  <si>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</si>
  <si>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</si>
  <si>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</si>
  <si>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</si>
  <si>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</si>
  <si>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</si>
  <si>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</si>
  <si>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1:24:54</t>
  </si>
  <si>
    <t>1:26:53</t>
  </si>
  <si>
    <t>1:27:57</t>
  </si>
  <si>
    <t>1:30:27</t>
  </si>
  <si>
    <t>1:32:56</t>
  </si>
  <si>
    <t>1:34:44</t>
  </si>
  <si>
    <t>1:33:43</t>
  </si>
  <si>
    <t>1:35:12</t>
  </si>
  <si>
    <t>1:37:38</t>
  </si>
  <si>
    <t>1:37:01</t>
  </si>
  <si>
    <t>1:45:42</t>
  </si>
  <si>
    <t>1:49:58</t>
  </si>
  <si>
    <t>1:58:06</t>
  </si>
  <si>
    <t>1:56:48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</si>
  <si>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</si>
  <si>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</si>
  <si>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</si>
  <si>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</si>
  <si>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</si>
  <si>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</si>
  <si>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</si>
  <si>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</si>
  <si>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</si>
  <si>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</si>
  <si>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</si>
  <si>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</si>
  <si>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</si>
  <si>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</si>
  <si>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</si>
  <si>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</si>
  <si>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</si>
  <si>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</si>
  <si>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</si>
  <si>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</si>
  <si>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</si>
  <si>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</si>
  <si>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</si>
  <si>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</si>
  <si>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</si>
  <si>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</si>
  <si>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</si>
  <si>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</si>
  <si>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</si>
  <si>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</si>
  <si>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</si>
  <si>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</si>
  <si>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</si>
  <si>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</si>
  <si>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</si>
  <si>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</si>
  <si>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</si>
  <si>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</si>
  <si>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</si>
  <si>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</si>
  <si>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</si>
  <si>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</si>
  <si>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</si>
  <si>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</si>
  <si>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</si>
  <si>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</si>
  <si>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</si>
  <si>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</si>
  <si>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</si>
  <si>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</si>
  <si>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</si>
  <si>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</si>
  <si>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</si>
  <si>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</si>
  <si>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</si>
  <si>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</si>
  <si>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</si>
  <si>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</si>
  <si>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</si>
  <si>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</si>
  <si>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</si>
  <si>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</si>
  <si>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</si>
  <si>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</si>
  <si>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</si>
  <si>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</si>
  <si>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</si>
  <si>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</si>
  <si>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</si>
  <si>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</si>
  <si>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</si>
  <si>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</si>
  <si>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</si>
  <si>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</si>
  <si>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</si>
  <si>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</si>
  <si>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</si>
  <si>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</si>
  <si>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</si>
  <si>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</si>
  <si>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</si>
  <si>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</si>
  <si>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</si>
  <si>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</si>
  <si>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</si>
  <si>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</si>
  <si>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</si>
  <si>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</si>
  <si>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</si>
  <si>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</si>
  <si>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</si>
  <si>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</si>
  <si>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Heidrun</t>
  </si>
  <si>
    <t>Besler</t>
  </si>
  <si>
    <t>Kempton GER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</si>
  <si>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</si>
  <si>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</si>
  <si>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</si>
  <si>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</si>
  <si>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</si>
  <si>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</si>
  <si>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</si>
  <si>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</si>
  <si>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</si>
  <si>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</si>
  <si>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</si>
  <si>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</si>
  <si>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</si>
  <si>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</si>
  <si>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</si>
  <si>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</si>
  <si>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</si>
  <si>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</si>
  <si>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</si>
  <si>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</si>
  <si>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</si>
  <si>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</si>
  <si>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</si>
  <si>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</si>
  <si>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</si>
  <si>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</si>
  <si>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</si>
  <si>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</si>
  <si>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</si>
  <si>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</si>
  <si>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</si>
  <si>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</si>
  <si>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</si>
  <si>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</si>
  <si>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</si>
  <si>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</si>
  <si>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</si>
  <si>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</si>
  <si>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</si>
  <si>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</si>
  <si>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</si>
  <si>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</si>
  <si>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</si>
  <si>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</si>
  <si>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</si>
  <si>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</si>
  <si>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</si>
  <si>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</si>
  <si>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</si>
  <si>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</si>
  <si>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</si>
  <si>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</si>
  <si>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</si>
  <si>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</si>
  <si>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</si>
  <si>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</si>
  <si>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</si>
  <si>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</si>
  <si>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</si>
  <si>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</si>
  <si>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</si>
  <si>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</si>
  <si>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</si>
  <si>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</si>
  <si>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</si>
  <si>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</si>
  <si>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</si>
  <si>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</si>
  <si>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</si>
  <si>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</si>
  <si>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</si>
  <si>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</si>
  <si>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</si>
  <si>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</si>
  <si>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</si>
  <si>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</si>
  <si>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</si>
  <si>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</si>
  <si>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</si>
  <si>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</si>
  <si>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</si>
  <si>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</si>
  <si>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</si>
  <si>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</si>
  <si>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</si>
  <si>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</si>
  <si>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</si>
  <si>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</si>
  <si>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</si>
  <si>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</si>
  <si>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</si>
  <si>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</si>
  <si>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</si>
  <si>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Jung-Ok</t>
  </si>
  <si>
    <t xml:space="preserve">Kim 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</si>
  <si>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</si>
  <si>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</si>
  <si>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</si>
  <si>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</si>
  <si>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</si>
  <si>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</si>
  <si>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</si>
  <si>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</si>
  <si>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</si>
  <si>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</si>
  <si>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</si>
  <si>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</si>
  <si>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</si>
  <si>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</si>
  <si>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</si>
  <si>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</si>
  <si>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</si>
  <si>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</si>
  <si>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Sylvia</t>
  </si>
  <si>
    <t xml:space="preserve">Quinn </t>
  </si>
  <si>
    <t>Coeur D'Alene Marathon</t>
  </si>
  <si>
    <t>Coeur d'Alene ID USA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</si>
  <si>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</si>
  <si>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</si>
  <si>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</si>
  <si>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</si>
  <si>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</si>
  <si>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</si>
  <si>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</si>
  <si>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</si>
  <si>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</si>
  <si>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</si>
  <si>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</si>
  <si>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</si>
  <si>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</si>
  <si>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</si>
  <si>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</si>
  <si>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</si>
  <si>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</si>
  <si>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tlbernhard2@gmail.com</t>
  </si>
  <si>
    <t>1 Mile</t>
  </si>
  <si>
    <t>Percent change</t>
  </si>
  <si>
    <t>2020 Age-Grade Standards</t>
  </si>
  <si>
    <t>https://github.com/AlanLyttonJones/Age-Grade-Tables</t>
  </si>
  <si>
    <t>Men2020 Age-Grade Standards</t>
  </si>
  <si>
    <t>Men normalized</t>
  </si>
  <si>
    <t>Women Normalized</t>
  </si>
  <si>
    <t>2025 Bernard Single Age Bests</t>
  </si>
  <si>
    <t>28:46</t>
  </si>
  <si>
    <t>28:57</t>
  </si>
  <si>
    <t>30:01</t>
  </si>
  <si>
    <t>29:38</t>
  </si>
  <si>
    <t>32:09</t>
  </si>
  <si>
    <t>49:14</t>
  </si>
  <si>
    <t>54:17</t>
  </si>
  <si>
    <t>Agnes</t>
  </si>
  <si>
    <t>Ngetich</t>
  </si>
  <si>
    <t>Valencia Ibercaja 10K</t>
  </si>
  <si>
    <t>Valencia, ESP</t>
  </si>
  <si>
    <t>WR</t>
  </si>
  <si>
    <t>Emmaculate</t>
  </si>
  <si>
    <t>Achholi</t>
  </si>
  <si>
    <t>Tirop</t>
  </si>
  <si>
    <t>Adizero Road to Records</t>
  </si>
  <si>
    <t>Herzogenaurach, Ger</t>
  </si>
  <si>
    <t>Kalkidan</t>
  </si>
  <si>
    <t>Gezahegne</t>
  </si>
  <si>
    <t>The Giants Geneva 10K</t>
  </si>
  <si>
    <t>Geneva, SWI</t>
  </si>
  <si>
    <t>BAA 10K</t>
  </si>
  <si>
    <t>Chicago Marathon (10K split)</t>
  </si>
  <si>
    <t>Chicago,IL</t>
  </si>
  <si>
    <t>2025 Bernhard Single Age Bests</t>
  </si>
  <si>
    <t>2025 Bernhard Bests</t>
  </si>
  <si>
    <t>Performance 2025 data vs 2025 standards</t>
  </si>
  <si>
    <t>14:40</t>
  </si>
  <si>
    <t>14:38</t>
  </si>
  <si>
    <t>14:19</t>
  </si>
  <si>
    <t>14:13</t>
  </si>
  <si>
    <t>14:39</t>
  </si>
  <si>
    <t>14:29</t>
  </si>
  <si>
    <t>14:43</t>
  </si>
  <si>
    <t>55:47</t>
  </si>
  <si>
    <t>Mendina</t>
  </si>
  <si>
    <t>Eisa</t>
  </si>
  <si>
    <t>Cursa dels Nassos in Barcelona 5K</t>
  </si>
  <si>
    <t>Barcelona SPN</t>
  </si>
  <si>
    <t>Medina</t>
  </si>
  <si>
    <t>adizero Road to Record</t>
  </si>
  <si>
    <t>Ejegayehu</t>
  </si>
  <si>
    <t>Taye</t>
  </si>
  <si>
    <t>10K Valencia Ibercaja
Valencia (ESP)</t>
  </si>
  <si>
    <t>Valencia (ESP)</t>
  </si>
  <si>
    <t>WR (5K split)</t>
  </si>
  <si>
    <t xml:space="preserve">Beatrice </t>
  </si>
  <si>
    <t>Chebet</t>
  </si>
  <si>
    <t>Dawit</t>
  </si>
  <si>
    <t>Seyaum</t>
  </si>
  <si>
    <t>Urban Trail Lille, 5K</t>
  </si>
  <si>
    <t xml:space="preserve">Senbere </t>
  </si>
  <si>
    <t>Tefer</t>
  </si>
  <si>
    <t>Chepkoech</t>
  </si>
  <si>
    <t>Herculis Monaco Run 5K</t>
  </si>
  <si>
    <t>Monaco</t>
  </si>
  <si>
    <t>Lindberg</t>
  </si>
  <si>
    <t xml:space="preserve">     </t>
  </si>
  <si>
    <t>1:03:51</t>
  </si>
  <si>
    <t>1:02:52</t>
  </si>
  <si>
    <t>1:04:02</t>
  </si>
  <si>
    <t>1:05:18</t>
  </si>
  <si>
    <t>1:04:48</t>
  </si>
  <si>
    <t>1:07:15</t>
  </si>
  <si>
    <t>1:09:46</t>
  </si>
  <si>
    <t>1:24:19</t>
  </si>
  <si>
    <t>1:23:39</t>
  </si>
  <si>
    <t>1:22:33</t>
  </si>
  <si>
    <t>1:31:38</t>
  </si>
  <si>
    <t>1:43:09</t>
  </si>
  <si>
    <t>RAK Half Marathon</t>
  </si>
  <si>
    <t>Girmawit</t>
  </si>
  <si>
    <t>Gebrzihair</t>
  </si>
  <si>
    <t>Yalemzerf</t>
  </si>
  <si>
    <t>Yehualaw</t>
  </si>
  <si>
    <t>Medio Maraton Valencia Trinidad Alfonso EDP</t>
  </si>
  <si>
    <t>Letesenbet</t>
  </si>
  <si>
    <t>Gidey</t>
  </si>
  <si>
    <t>Chepngetich</t>
  </si>
  <si>
    <t>N Kolay Istanbul Half Marathon</t>
  </si>
  <si>
    <t>Istanbul TUK</t>
  </si>
  <si>
    <t>Medio Maratón Valencia Trinidad Alfonso EDP</t>
  </si>
  <si>
    <t>Oberi</t>
  </si>
  <si>
    <t>3/27/2022</t>
  </si>
  <si>
    <t>Sara</t>
  </si>
  <si>
    <t>Hall</t>
  </si>
  <si>
    <t>Houston Marathon, H Mar</t>
  </si>
  <si>
    <t>Jenny</t>
  </si>
  <si>
    <t>Hitchings</t>
  </si>
  <si>
    <t>Urban Cow H Mar</t>
  </si>
  <si>
    <t>Sacramento, CA</t>
  </si>
  <si>
    <t xml:space="preserve">F55-59 AR </t>
  </si>
  <si>
    <t>Chicago Marathon, H Mar split</t>
  </si>
  <si>
    <t>Maria</t>
  </si>
  <si>
    <t>Del Carmen Ruiz Vazquez</t>
  </si>
  <si>
    <t>MEX</t>
  </si>
  <si>
    <t>WMA World Indoor Championships, H Mar</t>
  </si>
  <si>
    <t>Torun POL</t>
  </si>
  <si>
    <t>Performance 2025 data vs 2020 standards</t>
  </si>
  <si>
    <t xml:space="preserve">       </t>
  </si>
  <si>
    <t>2020 Barnard Single Age Bests</t>
  </si>
  <si>
    <t>4:27:32</t>
  </si>
  <si>
    <t>3:57:42</t>
  </si>
  <si>
    <t>3:13:24</t>
  </si>
  <si>
    <t>2:49:21</t>
  </si>
  <si>
    <t>2:29:41</t>
  </si>
  <si>
    <t>2:31:51</t>
  </si>
  <si>
    <t>2:23:37</t>
  </si>
  <si>
    <t>2:22:38</t>
  </si>
  <si>
    <t>2:20:59</t>
  </si>
  <si>
    <t>2:19:17</t>
  </si>
  <si>
    <t>2:20:51</t>
  </si>
  <si>
    <t>2:19:52</t>
  </si>
  <si>
    <t>2:20:13</t>
  </si>
  <si>
    <t>2:14:04</t>
  </si>
  <si>
    <t>2:19:12</t>
  </si>
  <si>
    <t>2:17:18</t>
  </si>
  <si>
    <t>2:15:25</t>
  </si>
  <si>
    <t>2:13:44</t>
  </si>
  <si>
    <t>2:17:42</t>
  </si>
  <si>
    <t>2:18:31</t>
  </si>
  <si>
    <t>2:18:35</t>
  </si>
  <si>
    <t>2:19:19</t>
  </si>
  <si>
    <t>2:21:18</t>
  </si>
  <si>
    <t>2:22:12</t>
  </si>
  <si>
    <t>2:23:31</t>
  </si>
  <si>
    <t>2:22:11</t>
  </si>
  <si>
    <t>2:24:11</t>
  </si>
  <si>
    <t>2:29:25</t>
  </si>
  <si>
    <t>2:29:43</t>
  </si>
  <si>
    <t>2:21:34</t>
  </si>
  <si>
    <t>2:30:26</t>
  </si>
  <si>
    <t>2:28:60</t>
  </si>
  <si>
    <t>2:37:46</t>
  </si>
  <si>
    <t>2:30:17</t>
  </si>
  <si>
    <t>2:35:46</t>
  </si>
  <si>
    <t>2:48:47</t>
  </si>
  <si>
    <t>2:47:50</t>
  </si>
  <si>
    <t>2:53:49</t>
  </si>
  <si>
    <t>2:52:14</t>
  </si>
  <si>
    <t>2:48:06</t>
  </si>
  <si>
    <t>2:54:29</t>
  </si>
  <si>
    <t>2:58:15</t>
  </si>
  <si>
    <t>2:45:27</t>
  </si>
  <si>
    <t>2:49:43</t>
  </si>
  <si>
    <t>2:56:54</t>
  </si>
  <si>
    <t>2:52:15</t>
  </si>
  <si>
    <t>3:19:18</t>
  </si>
  <si>
    <t>3:12:57</t>
  </si>
  <si>
    <t>3:25:51</t>
  </si>
  <si>
    <t>3:24:54</t>
  </si>
  <si>
    <t>3:29:41</t>
  </si>
  <si>
    <t>3:27:50</t>
  </si>
  <si>
    <t>3:24:48</t>
  </si>
  <si>
    <t>3:35:29</t>
  </si>
  <si>
    <t>3:42:19</t>
  </si>
  <si>
    <t>3:31:51</t>
  </si>
  <si>
    <t>3:34:32</t>
  </si>
  <si>
    <t>3:33:27</t>
  </si>
  <si>
    <t>4:24:28</t>
  </si>
  <si>
    <t>4:19:52</t>
  </si>
  <si>
    <t>4:11:50</t>
  </si>
  <si>
    <t>4:12:44</t>
  </si>
  <si>
    <t>4:51:24</t>
  </si>
  <si>
    <t>5:44:22</t>
  </si>
  <si>
    <t>6:31:42</t>
  </si>
  <si>
    <t>6:31:32</t>
  </si>
  <si>
    <t>6:47:31</t>
  </si>
  <si>
    <t>9:53:48</t>
  </si>
  <si>
    <t>3:11:01</t>
  </si>
  <si>
    <t>2:58:01</t>
  </si>
  <si>
    <t>2:54:03</t>
  </si>
  <si>
    <t>2:44:03</t>
  </si>
  <si>
    <t>2:33:08</t>
  </si>
  <si>
    <t>2:17:08</t>
  </si>
  <si>
    <t>2:17:01</t>
  </si>
  <si>
    <t>2:31:05</t>
  </si>
  <si>
    <t>3:06:36</t>
  </si>
  <si>
    <t>3:07:48</t>
  </si>
  <si>
    <t>3:19:05</t>
  </si>
  <si>
    <t>4:07:31</t>
  </si>
  <si>
    <t>4:34:04</t>
  </si>
  <si>
    <t>5:12:03</t>
  </si>
  <si>
    <t>7:06:48</t>
  </si>
  <si>
    <t>8:09:23</t>
  </si>
  <si>
    <t>Suffan</t>
  </si>
  <si>
    <t>Hassan</t>
  </si>
  <si>
    <t>Keira</t>
  </si>
  <si>
    <t>D’Amato</t>
  </si>
  <si>
    <t>Houston Marathon</t>
  </si>
  <si>
    <t>Valencia Marathon Trinidad Alfonso</t>
  </si>
  <si>
    <t>Valencia</t>
  </si>
  <si>
    <t>Krisha</t>
  </si>
  <si>
    <t>Stanton</t>
  </si>
  <si>
    <t>London, GBR</t>
  </si>
  <si>
    <t>Mariko</t>
  </si>
  <si>
    <t>Yugeta</t>
  </si>
  <si>
    <t>May-1958</t>
  </si>
  <si>
    <t>Tokyo, Marathon</t>
  </si>
  <si>
    <t>Saitama International Marathon</t>
  </si>
  <si>
    <t>Shimonkai, JPN</t>
  </si>
  <si>
    <t>Osaka International Women’s Marathon</t>
  </si>
  <si>
    <t>Osaka, JPN</t>
  </si>
  <si>
    <t>2020 Barnhard Single Age Bests</t>
  </si>
  <si>
    <t>2:09:56</t>
  </si>
  <si>
    <t>Chepgnetich</t>
  </si>
  <si>
    <t>Adjusted record</t>
  </si>
  <si>
    <t>Track: World Records</t>
  </si>
  <si>
    <t>Road: World Records</t>
  </si>
  <si>
    <t>38:08</t>
  </si>
  <si>
    <t>Slope</t>
  </si>
  <si>
    <t>COMMENTS</t>
  </si>
  <si>
    <t>Elizabeth-Ann</t>
  </si>
  <si>
    <t>Westrip</t>
  </si>
  <si>
    <t>Aberdeen NC USA</t>
  </si>
  <si>
    <t>TIME_SEC</t>
  </si>
  <si>
    <t>51:26</t>
  </si>
  <si>
    <t>Morgan</t>
  </si>
  <si>
    <t>Lucason</t>
  </si>
  <si>
    <t>Canastota NY USA</t>
  </si>
  <si>
    <t>41:22</t>
  </si>
  <si>
    <t>Lilac Bloomsday Run 12K</t>
  </si>
  <si>
    <t>Spokane WA USA</t>
  </si>
  <si>
    <t>39:35</t>
  </si>
  <si>
    <t>Ondeyo</t>
  </si>
  <si>
    <t>39:37</t>
  </si>
  <si>
    <t>Chemutai</t>
  </si>
  <si>
    <t>Zandvoort NED</t>
  </si>
  <si>
    <t>39:53</t>
  </si>
  <si>
    <t>Rita</t>
  </si>
  <si>
    <t>Cheptoo Sitienei</t>
  </si>
  <si>
    <t>Voghera ITA</t>
  </si>
  <si>
    <t>39:34</t>
  </si>
  <si>
    <t>Leah</t>
  </si>
  <si>
    <t>Cherotich</t>
  </si>
  <si>
    <t>Santiago de Compostela ESP</t>
  </si>
  <si>
    <t>Lineth</t>
  </si>
  <si>
    <t>Chepkurui</t>
  </si>
  <si>
    <t>38:10</t>
  </si>
  <si>
    <t>38:21</t>
  </si>
  <si>
    <t>Emily</t>
  </si>
  <si>
    <t>Sisson</t>
  </si>
  <si>
    <t>.US National 12K</t>
  </si>
  <si>
    <t>38:50</t>
  </si>
  <si>
    <t>Muge Chebet</t>
  </si>
  <si>
    <t>39:15</t>
  </si>
  <si>
    <t>Cherono</t>
  </si>
  <si>
    <t>38:03</t>
  </si>
  <si>
    <t>Cynthia</t>
  </si>
  <si>
    <t>Cherotich Limo</t>
  </si>
  <si>
    <t>38:52</t>
  </si>
  <si>
    <t>38:26</t>
  </si>
  <si>
    <t>37:50</t>
  </si>
  <si>
    <t>38:36</t>
  </si>
  <si>
    <t>37:58</t>
  </si>
  <si>
    <t>Flanagan</t>
  </si>
  <si>
    <t>39:05</t>
  </si>
  <si>
    <t>Alisha</t>
  </si>
  <si>
    <t>Williams</t>
  </si>
  <si>
    <t>39:23</t>
  </si>
  <si>
    <t>39:17</t>
  </si>
  <si>
    <t>Brianne</t>
  </si>
  <si>
    <t>Nelson</t>
  </si>
  <si>
    <t>40:01</t>
  </si>
  <si>
    <t>Dulce-Maria</t>
  </si>
  <si>
    <t>Rodriguez delaCruz</t>
  </si>
  <si>
    <t>39:58</t>
  </si>
  <si>
    <t>Kerryn</t>
  </si>
  <si>
    <t>McCann</t>
  </si>
  <si>
    <t>38:53</t>
  </si>
  <si>
    <t>40:22</t>
  </si>
  <si>
    <t>40:31</t>
  </si>
  <si>
    <t>40:04</t>
  </si>
  <si>
    <t>40:49</t>
  </si>
  <si>
    <t>41:28</t>
  </si>
  <si>
    <t>42:04</t>
  </si>
  <si>
    <t>Perry</t>
  </si>
  <si>
    <t>Shoemaker</t>
  </si>
  <si>
    <t>43:18</t>
  </si>
  <si>
    <t>42:56</t>
  </si>
  <si>
    <t>Welch</t>
  </si>
  <si>
    <t>42:58</t>
  </si>
  <si>
    <t>46:13</t>
  </si>
  <si>
    <t>Marilyn</t>
  </si>
  <si>
    <t>Arsenault</t>
  </si>
  <si>
    <t>45:52</t>
  </si>
  <si>
    <t>45:55</t>
  </si>
  <si>
    <t>Daniela</t>
  </si>
  <si>
    <t>Gassmann</t>
  </si>
  <si>
    <t>Dietikon SUI</t>
  </si>
  <si>
    <t>47:05</t>
  </si>
  <si>
    <t>Sylvie</t>
  </si>
  <si>
    <t>Thevenet</t>
  </si>
  <si>
    <t>La Creche FRA</t>
  </si>
  <si>
    <t>44:56</t>
  </si>
  <si>
    <t>Shirley</t>
  </si>
  <si>
    <t>Matson</t>
  </si>
  <si>
    <t>47:38</t>
  </si>
  <si>
    <t>Bayonne FRA</t>
  </si>
  <si>
    <t>48:33</t>
  </si>
  <si>
    <t>Ottaway</t>
  </si>
  <si>
    <t>48:22</t>
  </si>
  <si>
    <t>49:04</t>
  </si>
  <si>
    <t>Carmen</t>
  </si>
  <si>
    <t>Ayala-Troncoso</t>
  </si>
  <si>
    <t>46:27</t>
  </si>
  <si>
    <t>49:39</t>
  </si>
  <si>
    <t>Rosalia</t>
  </si>
  <si>
    <t>Zanoner</t>
  </si>
  <si>
    <t>51:43</t>
  </si>
  <si>
    <t>50:49</t>
  </si>
  <si>
    <t>Barbara</t>
  </si>
  <si>
    <t>Miller</t>
  </si>
  <si>
    <t>51:18</t>
  </si>
  <si>
    <t>48:59</t>
  </si>
  <si>
    <t>48:54</t>
  </si>
  <si>
    <t>49:25</t>
  </si>
  <si>
    <t>51:27</t>
  </si>
  <si>
    <t>Kehrsatz SUI</t>
  </si>
  <si>
    <t>52:29</t>
  </si>
  <si>
    <t>57:49</t>
  </si>
  <si>
    <t>Jo-Anne</t>
  </si>
  <si>
    <t>Rowland</t>
  </si>
  <si>
    <t>Capital City Classic 12K</t>
  </si>
  <si>
    <t>Sacramento CA USA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</si>
  <si>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</si>
  <si>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</si>
  <si>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</si>
  <si>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</si>
  <si>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</si>
  <si>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</si>
  <si>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</si>
  <si>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>58:22</t>
  </si>
  <si>
    <t>June</t>
  </si>
  <si>
    <t>Machala</t>
  </si>
  <si>
    <t xml:space="preserve">Sylvia </t>
  </si>
  <si>
    <t>Quinn</t>
  </si>
  <si>
    <t>59:44</t>
  </si>
  <si>
    <t>1:02:06</t>
  </si>
  <si>
    <t>1:03:20</t>
  </si>
  <si>
    <t>54:50</t>
  </si>
  <si>
    <t>USATF Masters 12 km Championships</t>
  </si>
  <si>
    <t>Highlands, NJ</t>
  </si>
  <si>
    <t>1:05:01</t>
  </si>
  <si>
    <t>Heide</t>
  </si>
  <si>
    <t>Moebius</t>
  </si>
  <si>
    <t>1:01:11</t>
  </si>
  <si>
    <t>Barnard 2025 bests</t>
  </si>
  <si>
    <t>Proposed 2025 standards</t>
  </si>
  <si>
    <t>1:54:01</t>
  </si>
  <si>
    <t>Potomac MD USA</t>
  </si>
  <si>
    <t>1:24:32</t>
  </si>
  <si>
    <t>Laura</t>
  </si>
  <si>
    <t>Cattivera</t>
  </si>
  <si>
    <t>Zuma Beach CA USA</t>
  </si>
  <si>
    <t>1:31:10</t>
  </si>
  <si>
    <t>Wazeter</t>
  </si>
  <si>
    <t>Wilkes-Barre PA USA</t>
  </si>
  <si>
    <t>1:27:30</t>
  </si>
  <si>
    <t>Suzanne</t>
  </si>
  <si>
    <t>Girard</t>
  </si>
  <si>
    <t>Vestall XX</t>
  </si>
  <si>
    <t>Vestal NY USA</t>
  </si>
  <si>
    <t>1:16:01</t>
  </si>
  <si>
    <t>Rumiko</t>
  </si>
  <si>
    <t>Kaneko</t>
  </si>
  <si>
    <t>1:09:41</t>
  </si>
  <si>
    <t>Azalech</t>
  </si>
  <si>
    <t>Masresha Woldeselasse</t>
  </si>
  <si>
    <t>Maroilles FRA</t>
  </si>
  <si>
    <t>1:06:31</t>
  </si>
  <si>
    <t>Kazue</t>
  </si>
  <si>
    <t>Ogoshi</t>
  </si>
  <si>
    <t>1:06:24</t>
  </si>
  <si>
    <t>Dera</t>
  </si>
  <si>
    <t>Dida Yami</t>
  </si>
  <si>
    <t>1:05:36</t>
  </si>
  <si>
    <t>Yurika</t>
  </si>
  <si>
    <t>Nakamura</t>
  </si>
  <si>
    <t>Debrecen HUN</t>
  </si>
  <si>
    <t>1:04:39</t>
  </si>
  <si>
    <t>Hiwot</t>
  </si>
  <si>
    <t>Gebrekidan Gebremaryam</t>
  </si>
  <si>
    <t>1:04:13</t>
  </si>
  <si>
    <t>Chepchirchir</t>
  </si>
  <si>
    <t>1:01:25</t>
  </si>
  <si>
    <t>Joyciline</t>
  </si>
  <si>
    <t>JEPKOSGEI</t>
  </si>
  <si>
    <t>Praha (CZE)</t>
  </si>
  <si>
    <t>WA Official WB</t>
  </si>
  <si>
    <t>1:05:32</t>
  </si>
  <si>
    <t>Kayoko</t>
  </si>
  <si>
    <t>Fukushi</t>
  </si>
  <si>
    <t>1:03:47</t>
  </si>
  <si>
    <t>1:03:54</t>
  </si>
  <si>
    <t>Kiplagat</t>
  </si>
  <si>
    <t>Alphen aan den Rijn NED</t>
  </si>
  <si>
    <t>1:04:19</t>
  </si>
  <si>
    <t>Wacera Ngugi</t>
  </si>
  <si>
    <t>1:06:40</t>
  </si>
  <si>
    <t>Chepchumba Koech</t>
  </si>
  <si>
    <t>1:05:03</t>
  </si>
  <si>
    <t>Sarah</t>
  </si>
  <si>
    <t>1:05:30</t>
  </si>
  <si>
    <t>Mirriam</t>
  </si>
  <si>
    <t>Wangari Karienye</t>
  </si>
  <si>
    <t>1:05:42</t>
  </si>
  <si>
    <t>Nataliya</t>
  </si>
  <si>
    <t>Berkut</t>
  </si>
  <si>
    <t>1:03:21</t>
  </si>
  <si>
    <t>1:07:04</t>
  </si>
  <si>
    <t>Eloise</t>
  </si>
  <si>
    <t>Wellings</t>
  </si>
  <si>
    <t>1:05:11</t>
  </si>
  <si>
    <t>New Haven 20K</t>
  </si>
  <si>
    <t>New Haven CT USA</t>
  </si>
  <si>
    <t>1:07:12</t>
  </si>
  <si>
    <t>Nadezhda</t>
  </si>
  <si>
    <t>Wijenberg</t>
  </si>
  <si>
    <t>1:03:23</t>
  </si>
  <si>
    <t>Constantina</t>
  </si>
  <si>
    <t>Dita</t>
  </si>
  <si>
    <t>ROM</t>
  </si>
  <si>
    <t>1:07:01</t>
  </si>
  <si>
    <t>Janet</t>
  </si>
  <si>
    <t>Bawcom</t>
  </si>
  <si>
    <t>1:07:53</t>
  </si>
  <si>
    <t>1:05:21</t>
  </si>
  <si>
    <t>1:08:59</t>
  </si>
  <si>
    <t>Blake</t>
  </si>
  <si>
    <t>Russell</t>
  </si>
  <si>
    <t>Rock 'n' Roll Philadelphia H Mar (20K split)</t>
  </si>
  <si>
    <t>Philadelphia, PA</t>
  </si>
  <si>
    <t>1:09:24</t>
  </si>
  <si>
    <t>1:11:29</t>
  </si>
  <si>
    <t>Vendome FRA</t>
  </si>
  <si>
    <t>1:07:21</t>
  </si>
  <si>
    <t>1:10:23</t>
  </si>
  <si>
    <t>1:14:27</t>
  </si>
  <si>
    <t>Filutze</t>
  </si>
  <si>
    <t>1:17:01</t>
  </si>
  <si>
    <t>Carla</t>
  </si>
  <si>
    <t>Ophorst</t>
  </si>
  <si>
    <t>1:09:42</t>
  </si>
  <si>
    <t>Somers Smith</t>
  </si>
  <si>
    <t>Rock 'n' Roll San Jose Half Marathon (20K split)</t>
  </si>
  <si>
    <t>San Jose, CA</t>
  </si>
  <si>
    <t>1:19:06</t>
  </si>
  <si>
    <t>1:17:12</t>
  </si>
  <si>
    <t>Olympic Marathon Trials (20K Split)</t>
  </si>
  <si>
    <t>Los Angles, CA</t>
  </si>
  <si>
    <t>1:17:43</t>
  </si>
  <si>
    <t>1:21:22</t>
  </si>
  <si>
    <t>1:25:40</t>
  </si>
  <si>
    <t>Jo</t>
  </si>
  <si>
    <t>Marchetti</t>
  </si>
  <si>
    <t>1:18:44</t>
  </si>
  <si>
    <t>1:20:36</t>
  </si>
  <si>
    <t>Mission Bay 25K (20K Split)</t>
  </si>
  <si>
    <t>1:23:27</t>
  </si>
  <si>
    <t>Chantal</t>
  </si>
  <si>
    <t>Langlace</t>
  </si>
  <si>
    <t>1:29:22</t>
  </si>
  <si>
    <t>Capitol City Classic 12K</t>
  </si>
  <si>
    <t>1:17:20</t>
  </si>
  <si>
    <t xml:space="preserve">London Marathon, 20K split </t>
  </si>
  <si>
    <t>1:19:12</t>
  </si>
  <si>
    <t>Chicago Marathon (20K split)</t>
  </si>
  <si>
    <t>1:26:37</t>
  </si>
  <si>
    <t>1:35:21</t>
  </si>
  <si>
    <t>Cory</t>
  </si>
  <si>
    <t>Benson</t>
  </si>
  <si>
    <t>1:36:31</t>
  </si>
  <si>
    <t>Patrica</t>
  </si>
  <si>
    <t>Dixon</t>
  </si>
  <si>
    <t>Pear Blossom</t>
  </si>
  <si>
    <t>Medford, OR</t>
  </si>
  <si>
    <t>1:39:48</t>
  </si>
  <si>
    <t>Sharon</t>
  </si>
  <si>
    <t>Dolan</t>
  </si>
  <si>
    <t>Volkslauffe</t>
  </si>
  <si>
    <t>Frankenmuth, MI</t>
  </si>
  <si>
    <t>1:27:45</t>
  </si>
  <si>
    <t>USATF 50km Champs (20K split)</t>
  </si>
  <si>
    <t>Lloyd Neck, NY</t>
  </si>
  <si>
    <t>1:40:22</t>
  </si>
  <si>
    <t>Margret</t>
  </si>
  <si>
    <t>Betz</t>
  </si>
  <si>
    <t>1:42:50</t>
  </si>
  <si>
    <t>Jaclyn</t>
  </si>
  <si>
    <t>Casseli</t>
  </si>
  <si>
    <t>Oakland Double</t>
  </si>
  <si>
    <t>Oakland, CA</t>
  </si>
  <si>
    <t>1:49:52</t>
  </si>
  <si>
    <t>1:45:32</t>
  </si>
  <si>
    <t>Anna</t>
  </si>
  <si>
    <t>Thornhill</t>
  </si>
  <si>
    <t>New Haven, CT</t>
  </si>
  <si>
    <t>1:34:36</t>
  </si>
  <si>
    <t>1:56:51</t>
  </si>
  <si>
    <t>Loretta</t>
  </si>
  <si>
    <t>Shehan</t>
  </si>
  <si>
    <t>Phelps Sauerkraut</t>
  </si>
  <si>
    <t>Phelps, NY</t>
  </si>
  <si>
    <t>2:01:08</t>
  </si>
  <si>
    <t>Avon Women's</t>
  </si>
  <si>
    <t>1:59:33</t>
  </si>
  <si>
    <t>1:54:57</t>
  </si>
  <si>
    <t>Tulip Time</t>
  </si>
  <si>
    <t>Holland, MI</t>
  </si>
  <si>
    <t>1:37:46</t>
  </si>
  <si>
    <t>1:56:37</t>
  </si>
  <si>
    <t>1:52:57</t>
  </si>
  <si>
    <t>2:26:34</t>
  </si>
  <si>
    <t>Avon</t>
  </si>
  <si>
    <t xml:space="preserve">    </t>
  </si>
  <si>
    <t>2:19:53</t>
  </si>
  <si>
    <t>Alexandra</t>
  </si>
  <si>
    <t xml:space="preserve">Trigg </t>
  </si>
  <si>
    <t>Beacon On The Bay 2K</t>
  </si>
  <si>
    <t>Oklahoma City OK USA</t>
  </si>
  <si>
    <t>1:36:59</t>
  </si>
  <si>
    <t>Shona</t>
  </si>
  <si>
    <t>Lincoln NE USA</t>
  </si>
  <si>
    <t>1:37:18</t>
  </si>
  <si>
    <t>Bellheim GER</t>
  </si>
  <si>
    <t>1:41:32</t>
  </si>
  <si>
    <t>1:30:40</t>
  </si>
  <si>
    <t>Tausi</t>
  </si>
  <si>
    <t>Juma Ngaa</t>
  </si>
  <si>
    <t>TAN</t>
  </si>
  <si>
    <t>1:38:34</t>
  </si>
  <si>
    <t>Karlene</t>
  </si>
  <si>
    <t xml:space="preserve">Herrell 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</si>
  <si>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</si>
  <si>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</si>
  <si>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</si>
  <si>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</si>
  <si>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</si>
  <si>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</si>
  <si>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</si>
  <si>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</si>
  <si>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</si>
  <si>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 xml:space="preserve">Mosqueda </t>
  </si>
  <si>
    <t>San Diego CA USA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</si>
  <si>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</si>
  <si>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</si>
  <si>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</si>
  <si>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</si>
  <si>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</si>
  <si>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</si>
  <si>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</si>
  <si>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</si>
  <si>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</si>
  <si>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</si>
  <si>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Rono Chelegat</t>
  </si>
  <si>
    <t>1:23:06</t>
  </si>
  <si>
    <t>Katunga Mutune</t>
  </si>
  <si>
    <t>1:24:38</t>
  </si>
  <si>
    <t>Alice</t>
  </si>
  <si>
    <t>Timbilili Chemeli</t>
  </si>
  <si>
    <t>1:19:53</t>
  </si>
  <si>
    <t>1:18:47</t>
  </si>
  <si>
    <t>Sutume</t>
  </si>
  <si>
    <t>Kebede</t>
  </si>
  <si>
    <t>Tata Steel Kolkata 25K</t>
  </si>
  <si>
    <t>Kolka IND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</si>
  <si>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</si>
  <si>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</si>
  <si>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</si>
  <si>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</si>
  <si>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</si>
  <si>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</si>
  <si>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</si>
  <si>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</si>
  <si>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</si>
  <si>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Grete</t>
  </si>
  <si>
    <t xml:space="preserve">Waitz </t>
  </si>
  <si>
    <t>1:24:36</t>
  </si>
  <si>
    <t xml:space="preserve">Bawcom 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</si>
  <si>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</si>
  <si>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</si>
  <si>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</si>
  <si>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</si>
  <si>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</si>
  <si>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</si>
  <si>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Dorothy</t>
  </si>
  <si>
    <t xml:space="preserve">McMahon </t>
  </si>
  <si>
    <t>1:25:27</t>
  </si>
  <si>
    <t>1:28:32</t>
  </si>
  <si>
    <t>Zoya</t>
  </si>
  <si>
    <t xml:space="preserve">Ivanova </t>
  </si>
  <si>
    <t>KAZ</t>
  </si>
  <si>
    <t>1:26:54</t>
  </si>
  <si>
    <t>Kim</t>
  </si>
  <si>
    <t>1:26:31</t>
  </si>
  <si>
    <t>Mitcham ENG</t>
  </si>
  <si>
    <t>1:25:15</t>
  </si>
  <si>
    <t>1:28:18</t>
  </si>
  <si>
    <t>Brugge BEL</t>
  </si>
  <si>
    <t>1:27:01</t>
  </si>
  <si>
    <t xml:space="preserve">Sultanova 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</si>
  <si>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</si>
  <si>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</si>
  <si>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</si>
  <si>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</si>
  <si>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</si>
  <si>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</si>
  <si>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</si>
  <si>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 xml:space="preserve">Welzel </t>
  </si>
  <si>
    <t>1:38:00</t>
  </si>
  <si>
    <t>1:44:55</t>
  </si>
  <si>
    <t xml:space="preserve">Ray </t>
  </si>
  <si>
    <t>City of Lakes 25k</t>
  </si>
  <si>
    <t>Minneapolis MN USA</t>
  </si>
  <si>
    <t>1:36:38</t>
  </si>
  <si>
    <t>1:41:39</t>
  </si>
  <si>
    <t>1:36:45</t>
  </si>
  <si>
    <t>Chicago Marathon (25K Split)</t>
  </si>
  <si>
    <t>1:45:14</t>
  </si>
  <si>
    <t xml:space="preserve">Miller </t>
  </si>
  <si>
    <t>Ventura CA USA</t>
  </si>
  <si>
    <t>1:49:07</t>
  </si>
  <si>
    <t xml:space="preserve">Gaskin </t>
  </si>
  <si>
    <t>1:41:01</t>
  </si>
  <si>
    <t xml:space="preserve">Matson </t>
  </si>
  <si>
    <t>1:50:54</t>
  </si>
  <si>
    <t>Victoria</t>
  </si>
  <si>
    <t xml:space="preserve">Crisp </t>
  </si>
  <si>
    <t>1:46:37</t>
  </si>
  <si>
    <t>SPA/TAC</t>
  </si>
  <si>
    <t>Ventura, CA</t>
  </si>
  <si>
    <t>2:01:33</t>
  </si>
  <si>
    <t>Gloria</t>
  </si>
  <si>
    <t xml:space="preserve">Brown </t>
  </si>
  <si>
    <t>1:39:24</t>
  </si>
  <si>
    <t>Chicago Marathon, 25K split</t>
  </si>
  <si>
    <t>1:50:50</t>
  </si>
  <si>
    <t>Edie</t>
  </si>
  <si>
    <t xml:space="preserve">Stevenson </t>
  </si>
  <si>
    <t>1:58:24</t>
  </si>
  <si>
    <t>2:02:32</t>
  </si>
  <si>
    <t xml:space="preserve">Prejean </t>
  </si>
  <si>
    <t>HMSA 25k</t>
  </si>
  <si>
    <t>2:02:44</t>
  </si>
  <si>
    <t xml:space="preserve">Dolan </t>
  </si>
  <si>
    <t>2:03:53</t>
  </si>
  <si>
    <t>2:07:00</t>
  </si>
  <si>
    <t>2:12:45</t>
  </si>
  <si>
    <t>2:10:53</t>
  </si>
  <si>
    <t>2:20:21</t>
  </si>
  <si>
    <t>Gerry</t>
  </si>
  <si>
    <t xml:space="preserve">Davidson </t>
  </si>
  <si>
    <t>1:58:52</t>
  </si>
  <si>
    <t>Chicago Marathon (25K split)</t>
  </si>
  <si>
    <t>2:31:55</t>
  </si>
  <si>
    <t>2:26:13</t>
  </si>
  <si>
    <t>Carol</t>
  </si>
  <si>
    <t>Bender</t>
  </si>
  <si>
    <t>2:28:29</t>
  </si>
  <si>
    <t xml:space="preserve">Clarke </t>
  </si>
  <si>
    <t>Deerfield IL USA</t>
  </si>
  <si>
    <t>2:30:11</t>
  </si>
  <si>
    <t>2:02:12</t>
  </si>
  <si>
    <t>2:29:34</t>
  </si>
  <si>
    <t>Toshiko</t>
  </si>
  <si>
    <t xml:space="preserve">D'Elia </t>
  </si>
  <si>
    <t>2:42:25</t>
  </si>
  <si>
    <t>Mission Bay 25K</t>
  </si>
  <si>
    <t>2:49:48</t>
  </si>
  <si>
    <t xml:space="preserve">Lugers </t>
  </si>
  <si>
    <t>3:07:41</t>
  </si>
  <si>
    <t>Berhard 2025 Single Age Bests</t>
  </si>
  <si>
    <t>2025 proposed Standards</t>
  </si>
  <si>
    <t>Barnard 2025 Single Age Bests</t>
  </si>
  <si>
    <t>3:26:17</t>
  </si>
  <si>
    <t>Kingston TN USA</t>
  </si>
  <si>
    <t>2:04:34</t>
  </si>
  <si>
    <t>Annick</t>
  </si>
  <si>
    <t>Loir</t>
  </si>
  <si>
    <t>Le Havre FRA</t>
  </si>
  <si>
    <t>1:52:11</t>
  </si>
  <si>
    <t>Naomi</t>
  </si>
  <si>
    <t>Kurahashi</t>
  </si>
  <si>
    <t>Ome JPN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</si>
  <si>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</si>
  <si>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</si>
  <si>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</si>
  <si>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</si>
  <si>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</si>
  <si>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</si>
  <si>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</si>
  <si>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</si>
  <si>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</si>
  <si>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Kumamoto JPN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</si>
  <si>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</si>
  <si>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</si>
  <si>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</si>
  <si>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</si>
  <si>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</si>
  <si>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</si>
  <si>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</si>
  <si>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</si>
  <si>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</si>
  <si>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</si>
  <si>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Noguchi</t>
  </si>
  <si>
    <t>1:44:36</t>
  </si>
  <si>
    <t>Tomoe</t>
  </si>
  <si>
    <t>Yokoyama</t>
  </si>
  <si>
    <t>1:43:45</t>
  </si>
  <si>
    <t>1:41:57</t>
  </si>
  <si>
    <t>Naoko</t>
  </si>
  <si>
    <t>Takahashi</t>
  </si>
  <si>
    <t>1:46:29</t>
  </si>
  <si>
    <t>Mika</t>
  </si>
  <si>
    <t>Okunaga</t>
  </si>
  <si>
    <t>Chicago Marathon, 30K split</t>
  </si>
  <si>
    <t>1:46:26</t>
  </si>
  <si>
    <t>Irma</t>
  </si>
  <si>
    <t>Heeren</t>
  </si>
  <si>
    <t>Schoorl NED</t>
  </si>
  <si>
    <t>Eriko</t>
  </si>
  <si>
    <t>Asai</t>
  </si>
  <si>
    <t>Osaka JPN</t>
  </si>
  <si>
    <t>1:44:09</t>
  </si>
  <si>
    <t>Aurica</t>
  </si>
  <si>
    <t>Buia</t>
  </si>
  <si>
    <t>Snagov ROM</t>
  </si>
  <si>
    <t>1:43:49</t>
  </si>
  <si>
    <t>Hiromi</t>
  </si>
  <si>
    <t>Ominami</t>
  </si>
  <si>
    <t>1:36:05</t>
  </si>
  <si>
    <t>Jepkosgei KEITANY</t>
  </si>
  <si>
    <t>London Marathon, 30K split</t>
  </si>
  <si>
    <t>London, ENG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</si>
  <si>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</si>
  <si>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</si>
  <si>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</si>
  <si>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</si>
  <si>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</si>
  <si>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</si>
  <si>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</si>
  <si>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</si>
  <si>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</si>
  <si>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</si>
  <si>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1:43:47</t>
  </si>
  <si>
    <t>Desiree</t>
  </si>
  <si>
    <t>Linden</t>
  </si>
  <si>
    <t>1:53:13</t>
  </si>
  <si>
    <t>Yoshiko</t>
  </si>
  <si>
    <t>Fukuchi</t>
  </si>
  <si>
    <t>1:45:04</t>
  </si>
  <si>
    <t>Chicago Marathon (30K split)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</si>
  <si>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</si>
  <si>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</si>
  <si>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</si>
  <si>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</si>
  <si>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</si>
  <si>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</si>
  <si>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</si>
  <si>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</si>
  <si>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</si>
  <si>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</si>
  <si>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</si>
  <si>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</si>
  <si>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Clarksburg CA USA</t>
  </si>
  <si>
    <t>2:03:55</t>
  </si>
  <si>
    <t>Donatella</t>
  </si>
  <si>
    <t>Vinci</t>
  </si>
  <si>
    <t>Lugano SUI</t>
  </si>
  <si>
    <t>2:00:41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</si>
  <si>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</si>
  <si>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</si>
  <si>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</si>
  <si>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</si>
  <si>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</si>
  <si>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</si>
  <si>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</si>
  <si>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</si>
  <si>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</si>
  <si>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</si>
  <si>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</si>
  <si>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</si>
  <si>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</si>
  <si>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Ray</t>
  </si>
  <si>
    <t>2:13:38</t>
  </si>
  <si>
    <t>2:16:08</t>
  </si>
  <si>
    <t>1:59:31</t>
  </si>
  <si>
    <t>2:24:42</t>
  </si>
  <si>
    <t>2:20:20</t>
  </si>
  <si>
    <t>2:23:30</t>
  </si>
  <si>
    <t>2:46:10</t>
  </si>
  <si>
    <t>2:27:54</t>
  </si>
  <si>
    <t>2:32:32</t>
  </si>
  <si>
    <t>2:58:06</t>
  </si>
  <si>
    <t>2:38:46</t>
  </si>
  <si>
    <t>2:45:38</t>
  </si>
  <si>
    <t>2:22:29</t>
  </si>
  <si>
    <t>3:14:48</t>
  </si>
  <si>
    <t>2:51:25</t>
  </si>
  <si>
    <t>4:33:17</t>
  </si>
  <si>
    <t>3:32:14</t>
  </si>
  <si>
    <t>2:26:51</t>
  </si>
  <si>
    <t>3:37:52</t>
  </si>
  <si>
    <t>3:54:42</t>
  </si>
  <si>
    <t>4:04:24</t>
  </si>
  <si>
    <t>4:13:32</t>
  </si>
  <si>
    <t>4:17:53</t>
  </si>
  <si>
    <t>4:33:24</t>
  </si>
  <si>
    <t>Saunders</t>
  </si>
  <si>
    <t>Uitenhage RSA</t>
  </si>
  <si>
    <t>Will</t>
  </si>
  <si>
    <t>Cape Town RSA</t>
  </si>
  <si>
    <t>Storey</t>
  </si>
  <si>
    <t>Caselli</t>
  </si>
  <si>
    <t>Myra</t>
  </si>
  <si>
    <t>Rhodes</t>
  </si>
  <si>
    <t>Chicago Marathon (30k split)</t>
  </si>
  <si>
    <t>Around The Bay</t>
  </si>
  <si>
    <t xml:space="preserve">Hamilton/Ontario, </t>
  </si>
  <si>
    <t>Elizabeth</t>
  </si>
  <si>
    <t>Vinerman</t>
  </si>
  <si>
    <t>Farias</t>
  </si>
  <si>
    <t>NYC Marathon Tune-Up</t>
  </si>
  <si>
    <t>Davidson</t>
  </si>
  <si>
    <t>Benchmark Blast</t>
  </si>
  <si>
    <t>Bess</t>
  </si>
  <si>
    <t>SCA/TAC Championship</t>
  </si>
  <si>
    <t>Lindgren</t>
  </si>
  <si>
    <t>Clarksburg Country Run 30K</t>
  </si>
  <si>
    <t>Po</t>
  </si>
  <si>
    <t>Adams</t>
  </si>
  <si>
    <t>Running age bests by Tom Bernhard</t>
  </si>
  <si>
    <t>Compiled by Alan Jones, alanjones@grests.com</t>
  </si>
  <si>
    <t>Proposed Female Road Age Standards in H:MM:SS 2025</t>
  </si>
  <si>
    <t>2025 Bernhard Single age Bests</t>
  </si>
  <si>
    <t>2025 Age-Grade Factors</t>
  </si>
  <si>
    <t>1:22:35</t>
  </si>
  <si>
    <t>1:15:52</t>
  </si>
  <si>
    <t>1:17:44</t>
  </si>
  <si>
    <t>1:12:19</t>
  </si>
  <si>
    <t>1:05:00</t>
  </si>
  <si>
    <t>1:01:00</t>
  </si>
  <si>
    <t>55:31</t>
  </si>
  <si>
    <t>51:06</t>
  </si>
  <si>
    <t>51:39</t>
  </si>
  <si>
    <t>49:46</t>
  </si>
  <si>
    <t>49:06</t>
  </si>
  <si>
    <t>44:20</t>
  </si>
  <si>
    <t>48:14</t>
  </si>
  <si>
    <t>44.20</t>
  </si>
  <si>
    <t>46:28</t>
  </si>
  <si>
    <t>46:57</t>
  </si>
  <si>
    <t>47:48</t>
  </si>
  <si>
    <t>47:02</t>
  </si>
  <si>
    <t>47:32</t>
  </si>
  <si>
    <t>48:00</t>
  </si>
  <si>
    <t>46:59</t>
  </si>
  <si>
    <t>47:17</t>
  </si>
  <si>
    <t>47:00</t>
  </si>
  <si>
    <t>47:37</t>
  </si>
  <si>
    <t>47:20</t>
  </si>
  <si>
    <t>49:24</t>
  </si>
  <si>
    <t>49:31</t>
  </si>
  <si>
    <t>48:43</t>
  </si>
  <si>
    <t>49:02</t>
  </si>
  <si>
    <t>49:35</t>
  </si>
  <si>
    <t>50:25</t>
  </si>
  <si>
    <t>50:58</t>
  </si>
  <si>
    <t>49:55</t>
  </si>
  <si>
    <t>49:48</t>
  </si>
  <si>
    <t>52:34</t>
  </si>
  <si>
    <t>51:46</t>
  </si>
  <si>
    <t>51:25</t>
  </si>
  <si>
    <t>50:16</t>
  </si>
  <si>
    <t>52:38</t>
  </si>
  <si>
    <t>57:19</t>
  </si>
  <si>
    <t>55:49</t>
  </si>
  <si>
    <t>57:09</t>
  </si>
  <si>
    <t>57:52</t>
  </si>
  <si>
    <t>59:05</t>
  </si>
  <si>
    <t>59:35</t>
  </si>
  <si>
    <t>1:01:17</t>
  </si>
  <si>
    <t>1:01:02</t>
  </si>
  <si>
    <t>58:55</t>
  </si>
  <si>
    <t>59:17</t>
  </si>
  <si>
    <t>1:04:01</t>
  </si>
  <si>
    <t>1:00:43</t>
  </si>
  <si>
    <t>1:04:05</t>
  </si>
  <si>
    <t>1:05:04</t>
  </si>
  <si>
    <t>1:06:43</t>
  </si>
  <si>
    <t>1:07:24</t>
  </si>
  <si>
    <t>1:10:09</t>
  </si>
  <si>
    <t>1:12:52</t>
  </si>
  <si>
    <t>1:17:10</t>
  </si>
  <si>
    <t>1:14:31</t>
  </si>
  <si>
    <t>1:14:39</t>
  </si>
  <si>
    <t>1:16:35</t>
  </si>
  <si>
    <t>1:13:23</t>
  </si>
  <si>
    <t>1:21:37</t>
  </si>
  <si>
    <t>1:19:44</t>
  </si>
  <si>
    <t>1:29:21</t>
  </si>
  <si>
    <t>1:25:05</t>
  </si>
  <si>
    <t>1:25:09</t>
  </si>
  <si>
    <t>1:41:55</t>
  </si>
  <si>
    <t>1:50:33</t>
  </si>
  <si>
    <t>1:44:26</t>
  </si>
  <si>
    <t>2:38:58</t>
  </si>
  <si>
    <t xml:space="preserve">Westrip </t>
  </si>
  <si>
    <t xml:space="preserve">Turkey Trot 15K </t>
  </si>
  <si>
    <t>Tallahasse FL USA</t>
  </si>
  <si>
    <t>Wool Market MS USA</t>
  </si>
  <si>
    <t xml:space="preserve">Gates River Run 15k </t>
  </si>
  <si>
    <t>Jacksonville FL USA</t>
  </si>
  <si>
    <t>Madison</t>
  </si>
  <si>
    <t xml:space="preserve">Denny </t>
  </si>
  <si>
    <t>San Francisco CA USA</t>
  </si>
  <si>
    <t>Vickie</t>
  </si>
  <si>
    <t xml:space="preserve">Cook </t>
  </si>
  <si>
    <t>Santa Barbara CA USA</t>
  </si>
  <si>
    <t>Omaha NE USA</t>
  </si>
  <si>
    <t>Nijmegen NED</t>
  </si>
  <si>
    <t>Breda NED</t>
  </si>
  <si>
    <t>Massamagrell ESP</t>
  </si>
  <si>
    <t>Muliye</t>
  </si>
  <si>
    <t>Dekebo Haylemariyam</t>
  </si>
  <si>
    <t>Le Puy-en-Velay FRA</t>
  </si>
  <si>
    <t>Mekasha</t>
  </si>
  <si>
    <t>Waganesh Amare</t>
  </si>
  <si>
    <t>Mestawat</t>
  </si>
  <si>
    <t>Tufa Demissie</t>
  </si>
  <si>
    <t>Nijmegen, NED</t>
  </si>
  <si>
    <t>Medio Maraton Valencia Trinidad Alfonso EDP (15K split)</t>
  </si>
  <si>
    <t>Bizunesh</t>
  </si>
  <si>
    <t>Bekele Sertsu</t>
  </si>
  <si>
    <t>Cheruiyot Kosgei</t>
  </si>
  <si>
    <t xml:space="preserve">Cheptoo </t>
  </si>
  <si>
    <t>Monte Carlo MON</t>
  </si>
  <si>
    <t xml:space="preserve">Kastor </t>
  </si>
  <si>
    <t xml:space="preserve">Rhines </t>
  </si>
  <si>
    <t>s'Heerenberg NED</t>
  </si>
  <si>
    <t>Francie</t>
  </si>
  <si>
    <t xml:space="preserve">Larrieu </t>
  </si>
  <si>
    <t>Gasparilla Distance Classic 15K</t>
  </si>
  <si>
    <t>Tampa FL USA</t>
  </si>
  <si>
    <t>La Courneuve FRA</t>
  </si>
  <si>
    <t xml:space="preserve">Joyce </t>
  </si>
  <si>
    <t>Lucy</t>
  </si>
  <si>
    <t xml:space="preserve">Brennan </t>
  </si>
  <si>
    <t>Crozon FRA</t>
  </si>
  <si>
    <t>Cascade Run Off 15K</t>
  </si>
  <si>
    <t>Portland, OR</t>
  </si>
  <si>
    <t xml:space="preserve">Kwak </t>
  </si>
  <si>
    <t>Marion</t>
  </si>
  <si>
    <t>Irvine</t>
  </si>
  <si>
    <t>Avon 15K</t>
  </si>
  <si>
    <t>San Francisco, CA</t>
  </si>
  <si>
    <t>Diane</t>
  </si>
  <si>
    <t xml:space="preserve">Legare </t>
  </si>
  <si>
    <t>Stockade-athon 15K</t>
  </si>
  <si>
    <t>Schenectady NY USA</t>
  </si>
  <si>
    <t>Cindy</t>
  </si>
  <si>
    <t>Conant</t>
  </si>
  <si>
    <t>Great Allegany Run 15K</t>
  </si>
  <si>
    <t>Cumberland, MD</t>
  </si>
  <si>
    <t>Bronwen</t>
  </si>
  <si>
    <t xml:space="preserve">Cardy </t>
  </si>
  <si>
    <t>WAL</t>
  </si>
  <si>
    <t>Buffalo NY USA</t>
  </si>
  <si>
    <t xml:space="preserve">London Marathon, 15K split </t>
  </si>
  <si>
    <t>Chicago Marathon (15K split)</t>
  </si>
  <si>
    <t xml:space="preserve">Saunders </t>
  </si>
  <si>
    <t>Port Elizabeth RSA</t>
  </si>
  <si>
    <t>USATF Masters 15 km Championships</t>
  </si>
  <si>
    <t>Tulsa, OK</t>
  </si>
  <si>
    <t xml:space="preserve">Gajic </t>
  </si>
  <si>
    <t>Kerzers SUI</t>
  </si>
  <si>
    <t xml:space="preserve">Harvey </t>
  </si>
  <si>
    <t>Caumsett Park 50K (15K split)</t>
  </si>
  <si>
    <t>USATF Masters 15K Championships</t>
  </si>
  <si>
    <t>Tulsa OK USA</t>
  </si>
  <si>
    <t xml:space="preserve">Klein </t>
  </si>
  <si>
    <t>Norma</t>
  </si>
  <si>
    <t xml:space="preserve">Thomas </t>
  </si>
  <si>
    <t>Sandra</t>
  </si>
  <si>
    <t>Baker</t>
  </si>
  <si>
    <t>Gasparilla Distance Classic, 15K</t>
  </si>
  <si>
    <t>Tampa, FL</t>
  </si>
  <si>
    <t>George Washington Parkway Classic</t>
  </si>
  <si>
    <t>Alexandria, VA</t>
  </si>
  <si>
    <t xml:space="preserve">James </t>
  </si>
  <si>
    <t>Fenya</t>
  </si>
  <si>
    <t>Crown</t>
  </si>
  <si>
    <t>WA</t>
  </si>
  <si>
    <t>Haley</t>
  </si>
  <si>
    <t xml:space="preserve">Olson </t>
  </si>
  <si>
    <t>Judith</t>
  </si>
  <si>
    <t xml:space="preserve">Baizan </t>
  </si>
  <si>
    <t>2025 Barnhard  Single Age Bests</t>
  </si>
  <si>
    <t>2025 Proposed standards</t>
  </si>
  <si>
    <t>2025 Proposed factors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</si>
  <si>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</si>
  <si>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</si>
  <si>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</si>
  <si>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</si>
  <si>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</si>
  <si>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</si>
  <si>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</si>
  <si>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</si>
  <si>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</si>
  <si>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</si>
  <si>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</si>
  <si>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</si>
  <si>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Cherry Blossom 10 Mile</t>
  </si>
  <si>
    <t>56:19</t>
  </si>
  <si>
    <t>Naali Xwaymay</t>
  </si>
  <si>
    <t>Schortens GER</t>
  </si>
  <si>
    <t>53:46</t>
  </si>
  <si>
    <t>Ogla</t>
  </si>
  <si>
    <t>Kimaiyo Cherono</t>
  </si>
  <si>
    <t>Portsmouth ENG</t>
  </si>
  <si>
    <t>51:40</t>
  </si>
  <si>
    <t>52:55</t>
  </si>
  <si>
    <t>Teyiba</t>
  </si>
  <si>
    <t>Erkiso Waka</t>
  </si>
  <si>
    <t>51:28</t>
  </si>
  <si>
    <t>52:44</t>
  </si>
  <si>
    <t>Cathy</t>
  </si>
  <si>
    <t xml:space="preserve">O'Brien </t>
  </si>
  <si>
    <t>51:38</t>
  </si>
  <si>
    <t>Buze</t>
  </si>
  <si>
    <t>Diriba Kejela</t>
  </si>
  <si>
    <t>Pittsburgh PA USA</t>
  </si>
  <si>
    <t>49:29</t>
  </si>
  <si>
    <t xml:space="preserve">Caroline </t>
  </si>
  <si>
    <t>Chepkoech KIPKIRUI</t>
  </si>
  <si>
    <t>Ras Al Khaimah 10 Mile</t>
  </si>
  <si>
    <t>UAE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</si>
  <si>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</si>
  <si>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</si>
  <si>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</si>
  <si>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</si>
  <si>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</si>
  <si>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</si>
  <si>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</si>
  <si>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</si>
  <si>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</si>
  <si>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</si>
  <si>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</si>
  <si>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</si>
  <si>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</si>
  <si>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</si>
  <si>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>Lyudmila</t>
  </si>
  <si>
    <t xml:space="preserve">Biktasheva </t>
  </si>
  <si>
    <t>Crim 10 Mile</t>
  </si>
  <si>
    <t>Flint MI USA</t>
  </si>
  <si>
    <t>52:05</t>
  </si>
  <si>
    <t>51:49</t>
  </si>
  <si>
    <t>51:00</t>
  </si>
  <si>
    <t xml:space="preserve">O'Sullivan </t>
  </si>
  <si>
    <t>51:11</t>
  </si>
  <si>
    <t>52:12</t>
  </si>
  <si>
    <t>52:52</t>
  </si>
  <si>
    <t>53:43</t>
  </si>
  <si>
    <t>Irene</t>
  </si>
  <si>
    <t>Cherotich Kosgei</t>
  </si>
  <si>
    <t>54:29</t>
  </si>
  <si>
    <t>Elena</t>
  </si>
  <si>
    <t xml:space="preserve">Vyazova 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</si>
  <si>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</si>
  <si>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</si>
  <si>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</si>
  <si>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</si>
  <si>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</si>
  <si>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</si>
  <si>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</si>
  <si>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</si>
  <si>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</si>
  <si>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</si>
  <si>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</si>
  <si>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</si>
  <si>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</si>
  <si>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</si>
  <si>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</si>
  <si>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1:01:22</t>
  </si>
  <si>
    <t xml:space="preserve">Roden </t>
  </si>
  <si>
    <t>Woking ENG</t>
  </si>
  <si>
    <t>1:02:27</t>
  </si>
  <si>
    <t>1:01:20</t>
  </si>
  <si>
    <t>Buffalo Stampede 10 Mile</t>
  </si>
  <si>
    <t xml:space="preserve">Kennedy </t>
  </si>
  <si>
    <t>NorCal 10 Mile</t>
  </si>
  <si>
    <t>Redding CA USA</t>
  </si>
  <si>
    <t>1:04:42</t>
  </si>
  <si>
    <t>California 10</t>
  </si>
  <si>
    <t>Stockton, CA</t>
  </si>
  <si>
    <t>1:00:38</t>
  </si>
  <si>
    <t>SACTOWN Run</t>
  </si>
  <si>
    <t>1:03:55</t>
  </si>
  <si>
    <t>1:02:58</t>
  </si>
  <si>
    <t>1:04:51</t>
  </si>
  <si>
    <t>Aarau SUI</t>
  </si>
  <si>
    <t>1:04:53</t>
  </si>
  <si>
    <t>1:07:31</t>
  </si>
  <si>
    <t>1:08:54</t>
  </si>
  <si>
    <t>Sayville Brewery 10 Mile</t>
  </si>
  <si>
    <t>Patchogue, NY</t>
  </si>
  <si>
    <t>1:11:24</t>
  </si>
  <si>
    <t>1:11:55</t>
  </si>
  <si>
    <t>1:13:31</t>
  </si>
  <si>
    <t>1:14:43</t>
  </si>
  <si>
    <t>Barby ENG</t>
  </si>
  <si>
    <t>1:11:41</t>
  </si>
  <si>
    <t>1:19:28</t>
  </si>
  <si>
    <t>Llandudno WAL</t>
  </si>
  <si>
    <t>1:20:57</t>
  </si>
  <si>
    <t>Preston ENG</t>
  </si>
  <si>
    <t>1:20:33</t>
  </si>
  <si>
    <t>Army 10-Miler</t>
  </si>
  <si>
    <t>Washington DC</t>
  </si>
  <si>
    <t>1:19:22</t>
  </si>
  <si>
    <t>Park To Park</t>
  </si>
  <si>
    <t>Denver, CO</t>
  </si>
  <si>
    <t>Colfax 10 Miler</t>
  </si>
  <si>
    <t>1:36:18</t>
  </si>
  <si>
    <t xml:space="preserve">Moebius </t>
  </si>
  <si>
    <t>1:30:46</t>
  </si>
  <si>
    <t>1:35:26</t>
  </si>
  <si>
    <t>1:55:25</t>
  </si>
  <si>
    <t>Giuseppina</t>
  </si>
  <si>
    <t xml:space="preserve">Gurtner </t>
  </si>
  <si>
    <t>1:31:24</t>
  </si>
  <si>
    <t>1:37:12</t>
  </si>
  <si>
    <t>2:02:26</t>
  </si>
  <si>
    <t>Clark</t>
  </si>
  <si>
    <t>Valley Fox Trot</t>
  </si>
  <si>
    <t>Elgin, IL</t>
  </si>
  <si>
    <t>1:54:03</t>
  </si>
  <si>
    <t>2:12:49</t>
  </si>
  <si>
    <t>1:57:38</t>
  </si>
  <si>
    <t xml:space="preserve">Marque </t>
  </si>
  <si>
    <t>3:29:08</t>
  </si>
  <si>
    <t>2025 Barnhard Single Age Bests</t>
  </si>
  <si>
    <t>2025 Barnhard Sing Age Bests</t>
  </si>
  <si>
    <t>2025 Proposed Standards</t>
  </si>
  <si>
    <t>Distance from 5K to 10 Mile</t>
  </si>
  <si>
    <t>Distance from Half to 25K</t>
  </si>
  <si>
    <t>Distance from Half to 30K</t>
  </si>
  <si>
    <t>Distance from 5K to 12K</t>
  </si>
  <si>
    <t>Distance from 5K to 5 Mi</t>
  </si>
  <si>
    <t>Distance from 5K to 8K</t>
  </si>
  <si>
    <t>Distance from 5K to 4 Mile</t>
  </si>
  <si>
    <t>2020 Standards</t>
  </si>
  <si>
    <t>35:47</t>
  </si>
  <si>
    <t>34:31</t>
  </si>
  <si>
    <t>31:04</t>
  </si>
  <si>
    <t>31:06</t>
  </si>
  <si>
    <t>29:21</t>
  </si>
  <si>
    <t>29:55</t>
  </si>
  <si>
    <t>29:53</t>
  </si>
  <si>
    <t>27:40</t>
  </si>
  <si>
    <t>26:10</t>
  </si>
  <si>
    <t>26:16</t>
  </si>
  <si>
    <t>25:29</t>
  </si>
  <si>
    <t>25:52</t>
  </si>
  <si>
    <t>25:50</t>
  </si>
  <si>
    <t>24:58</t>
  </si>
  <si>
    <t>25:36</t>
  </si>
  <si>
    <t>25:09</t>
  </si>
  <si>
    <t>24:45</t>
  </si>
  <si>
    <t>24:28</t>
  </si>
  <si>
    <t>25:00</t>
  </si>
  <si>
    <t>24:48</t>
  </si>
  <si>
    <t>25:07</t>
  </si>
  <si>
    <t>24:43</t>
  </si>
  <si>
    <t>25:03</t>
  </si>
  <si>
    <t>24:36</t>
  </si>
  <si>
    <t>25:23</t>
  </si>
  <si>
    <t>25:43</t>
  </si>
  <si>
    <t>24:46</t>
  </si>
  <si>
    <t>26:17</t>
  </si>
  <si>
    <t>25:25</t>
  </si>
  <si>
    <t>26:19</t>
  </si>
  <si>
    <t>26:15</t>
  </si>
  <si>
    <t>25:40</t>
  </si>
  <si>
    <t>26:37</t>
  </si>
  <si>
    <t>26:26</t>
  </si>
  <si>
    <t>26:56</t>
  </si>
  <si>
    <t>28:19</t>
  </si>
  <si>
    <t>26:58</t>
  </si>
  <si>
    <t>25:56</t>
  </si>
  <si>
    <t>26:04</t>
  </si>
  <si>
    <t>26:41</t>
  </si>
  <si>
    <t>29:08</t>
  </si>
  <si>
    <t>28:24</t>
  </si>
  <si>
    <t>29:47</t>
  </si>
  <si>
    <t>29:32</t>
  </si>
  <si>
    <t>30:42</t>
  </si>
  <si>
    <t>30:09</t>
  </si>
  <si>
    <t>31:36</t>
  </si>
  <si>
    <t>31:10</t>
  </si>
  <si>
    <t>32:18</t>
  </si>
  <si>
    <t>31:39</t>
  </si>
  <si>
    <t>32:20</t>
  </si>
  <si>
    <t>34:00</t>
  </si>
  <si>
    <t>33:48</t>
  </si>
  <si>
    <t>35:29</t>
  </si>
  <si>
    <t>35:27</t>
  </si>
  <si>
    <t>37:02</t>
  </si>
  <si>
    <t>36:01</t>
  </si>
  <si>
    <t>36:37</t>
  </si>
  <si>
    <t>39:28</t>
  </si>
  <si>
    <t>37:57</t>
  </si>
  <si>
    <t>38:46</t>
  </si>
  <si>
    <t>41:41</t>
  </si>
  <si>
    <t>40:23</t>
  </si>
  <si>
    <t>43:00</t>
  </si>
  <si>
    <t>45:45</t>
  </si>
  <si>
    <t>44:54</t>
  </si>
  <si>
    <t>43:49</t>
  </si>
  <si>
    <t>42:34</t>
  </si>
  <si>
    <t>48:46</t>
  </si>
  <si>
    <t>50:55</t>
  </si>
  <si>
    <t>57:11</t>
  </si>
  <si>
    <t>55:25</t>
  </si>
  <si>
    <t>Belmar NJ USA</t>
  </si>
  <si>
    <t>Summer</t>
  </si>
  <si>
    <t xml:space="preserve">Wilson </t>
  </si>
  <si>
    <t>Brea Classic 8K</t>
  </si>
  <si>
    <t>Brea CA USA</t>
  </si>
  <si>
    <t xml:space="preserve">Crum </t>
  </si>
  <si>
    <t>Olympia WA USA</t>
  </si>
  <si>
    <t>Glendale AZ USA</t>
  </si>
  <si>
    <t>Hannah</t>
  </si>
  <si>
    <t xml:space="preserve">Reed </t>
  </si>
  <si>
    <t>Bishop GA USA</t>
  </si>
  <si>
    <t>Lindsey</t>
  </si>
  <si>
    <t xml:space="preserve">Scherf </t>
  </si>
  <si>
    <t>Spring Lake NJ USA</t>
  </si>
  <si>
    <t>Tess</t>
  </si>
  <si>
    <t xml:space="preserve">vanRandtwijk </t>
  </si>
  <si>
    <t>Apeldoorn NED</t>
  </si>
  <si>
    <t>Camille</t>
  </si>
  <si>
    <t xml:space="preserve">Napier </t>
  </si>
  <si>
    <t xml:space="preserve">Craven </t>
  </si>
  <si>
    <t>Columbus OH USA</t>
  </si>
  <si>
    <t>Barsosio Chepkemboi</t>
  </si>
  <si>
    <t>Toronto ON CAN</t>
  </si>
  <si>
    <t xml:space="preserve">Ondeyo </t>
  </si>
  <si>
    <t>Kingsport TN USA</t>
  </si>
  <si>
    <t>Hawa</t>
  </si>
  <si>
    <t>Hussein Hamis</t>
  </si>
  <si>
    <t>Balmoral SCO</t>
  </si>
  <si>
    <t>Richmond VA USA</t>
  </si>
  <si>
    <t>New Orleans LA USA</t>
  </si>
  <si>
    <t>Chemweno Cheruiyot</t>
  </si>
  <si>
    <t>Cartaxo POR</t>
  </si>
  <si>
    <t>Asmae</t>
  </si>
  <si>
    <t xml:space="preserve">Leghzaoui </t>
  </si>
  <si>
    <t>MAR</t>
  </si>
  <si>
    <t>Betsy</t>
  </si>
  <si>
    <t xml:space="preserve">Saina </t>
  </si>
  <si>
    <t>Lynn</t>
  </si>
  <si>
    <t xml:space="preserve">Jennings </t>
  </si>
  <si>
    <t>Jemima</t>
  </si>
  <si>
    <t>Sumgong Chelegat</t>
  </si>
  <si>
    <t>Shamrock Shuffle 8K</t>
  </si>
  <si>
    <t xml:space="preserve">Matveyeva </t>
  </si>
  <si>
    <t>Bielefeld GER</t>
  </si>
  <si>
    <t>BAA 10k (8K split)</t>
  </si>
  <si>
    <t>Attleboro MA USA</t>
  </si>
  <si>
    <t xml:space="preserve">Marconi </t>
  </si>
  <si>
    <t>Cantagrillo ITA</t>
  </si>
  <si>
    <t xml:space="preserve">Wysocki </t>
  </si>
  <si>
    <t>Newport Beach CA USA</t>
  </si>
  <si>
    <t>Lyubov</t>
  </si>
  <si>
    <t xml:space="preserve">Kremlyova </t>
  </si>
  <si>
    <t>Shamrock 8K</t>
  </si>
  <si>
    <t>Virginia Beach VA USA</t>
  </si>
  <si>
    <t>BAA 10K, 8K split</t>
  </si>
  <si>
    <t>Philadelphia Marathon 8K</t>
  </si>
  <si>
    <t xml:space="preserve">Arsenault </t>
  </si>
  <si>
    <t>Saanichton BC CAN</t>
  </si>
  <si>
    <t>Bridge of Earn SCO</t>
  </si>
  <si>
    <t>Auch FRA</t>
  </si>
  <si>
    <t>Red Bank NJ USA</t>
  </si>
  <si>
    <t>Leslie</t>
  </si>
  <si>
    <t xml:space="preserve">Black </t>
  </si>
  <si>
    <t xml:space="preserve">Fifty-Plus 8K </t>
  </si>
  <si>
    <t>Palo Alto CA USA</t>
  </si>
  <si>
    <t>Poland Spring Marathon Kickoff 5 Mile</t>
  </si>
  <si>
    <t>USATF Masters 8 km Championships</t>
  </si>
  <si>
    <t>Brea, CA</t>
  </si>
  <si>
    <t>Harborough ENG</t>
  </si>
  <si>
    <t>Wellingborough ENG</t>
  </si>
  <si>
    <t>Philidelphia Marathon, 8K</t>
  </si>
  <si>
    <t>France Run 8K</t>
  </si>
  <si>
    <t>Law Week 8k</t>
  </si>
  <si>
    <t xml:space="preserve">Machala </t>
  </si>
  <si>
    <t>Rollins</t>
  </si>
  <si>
    <t>Blisworth ENG</t>
  </si>
  <si>
    <t>Bobby Doyle 5 Mile</t>
  </si>
  <si>
    <t>Narragansett RI</t>
  </si>
  <si>
    <t>Leeds ENG</t>
  </si>
  <si>
    <t>Karin</t>
  </si>
  <si>
    <t xml:space="preserve">Vickars </t>
  </si>
  <si>
    <t>Sale ENG</t>
  </si>
  <si>
    <t>Richmond BC CAN</t>
  </si>
  <si>
    <t>Folzer</t>
  </si>
  <si>
    <t>Moorestown Rotary 8k</t>
  </si>
  <si>
    <t>Moorestown, NJ</t>
  </si>
  <si>
    <t>USATF Masters 8K Championships</t>
  </si>
  <si>
    <t>Virginia Beach, VA</t>
  </si>
  <si>
    <t>Lois Ann</t>
  </si>
  <si>
    <t>Gilmore</t>
  </si>
  <si>
    <t>Jungle Jog 8K</t>
  </si>
  <si>
    <t>Miami, FL</t>
  </si>
  <si>
    <t>Ethel</t>
  </si>
  <si>
    <t>Furne</t>
  </si>
  <si>
    <t>St. Patrick's Day 8K</t>
  </si>
  <si>
    <t>Saint Paul, MN</t>
  </si>
  <si>
    <t>Fools Five</t>
  </si>
  <si>
    <t>Lewiston, MN</t>
  </si>
  <si>
    <t>Elizabeth Festival 8K</t>
  </si>
  <si>
    <t>2025 Proposed factor</t>
  </si>
  <si>
    <t>2025 Proposed Standard</t>
  </si>
  <si>
    <t>AGE</t>
  </si>
  <si>
    <t>World Road Running Championships</t>
  </si>
  <si>
    <t>Riga, Latvia</t>
  </si>
  <si>
    <t>Andrea</t>
  </si>
  <si>
    <t>Pomaranski</t>
  </si>
  <si>
    <t>Liberty Mile</t>
  </si>
  <si>
    <t>Pittsburgh, PA</t>
  </si>
  <si>
    <t>5:29</t>
  </si>
  <si>
    <t>Tammy</t>
  </si>
  <si>
    <t>Nowik</t>
  </si>
  <si>
    <t>USATF Masters 1 Mile Championships</t>
  </si>
  <si>
    <t>Flint, MI</t>
  </si>
  <si>
    <t>4:53</t>
  </si>
  <si>
    <t>Sonja</t>
  </si>
  <si>
    <t>Friend-Uhl</t>
  </si>
  <si>
    <t>Dot</t>
  </si>
  <si>
    <t>McMahan</t>
  </si>
  <si>
    <t>Clawson Firecracker Mile</t>
  </si>
  <si>
    <t>Clawson, MI</t>
  </si>
  <si>
    <t>5:07</t>
  </si>
  <si>
    <t>Navy Mile</t>
  </si>
  <si>
    <t>5:06</t>
  </si>
  <si>
    <t>5:45</t>
  </si>
  <si>
    <t>Veneziano</t>
  </si>
  <si>
    <t>5:18</t>
  </si>
  <si>
    <t>Doreen</t>
  </si>
  <si>
    <t>McCoubrie</t>
  </si>
  <si>
    <t>USATF Masters Mile Championships</t>
  </si>
  <si>
    <t>Indianapolis, IN</t>
  </si>
  <si>
    <t>Danville, CA</t>
  </si>
  <si>
    <t>5:35</t>
  </si>
  <si>
    <t>Marisa</t>
  </si>
  <si>
    <t xml:space="preserve">Sutera Strange </t>
  </si>
  <si>
    <t>5:32</t>
  </si>
  <si>
    <t>Roxanne</t>
  </si>
  <si>
    <t>Springer</t>
  </si>
  <si>
    <t>La Burt</t>
  </si>
  <si>
    <t>5:44</t>
  </si>
  <si>
    <t>Deb</t>
  </si>
  <si>
    <t>Torneden</t>
  </si>
  <si>
    <t>Simmons</t>
  </si>
  <si>
    <t>Mile of Truth</t>
  </si>
  <si>
    <t>5:48</t>
  </si>
  <si>
    <t>6:08</t>
  </si>
  <si>
    <t>6:06</t>
  </si>
  <si>
    <t>Run One San Jacinto, Mile</t>
  </si>
  <si>
    <t>La Porte, TX</t>
  </si>
  <si>
    <t>Nora</t>
  </si>
  <si>
    <t>Cary</t>
  </si>
  <si>
    <t>Big Bang Mile</t>
  </si>
  <si>
    <t>Holmdel, NJ</t>
  </si>
  <si>
    <t>USATF Master's 1 Mile Championships</t>
  </si>
  <si>
    <t>6:39</t>
  </si>
  <si>
    <t>6:38</t>
  </si>
  <si>
    <t>Jeanette</t>
  </si>
  <si>
    <t>Groesz</t>
  </si>
  <si>
    <t>10:15</t>
  </si>
  <si>
    <t>Catherine</t>
  </si>
  <si>
    <t>Radle</t>
  </si>
  <si>
    <t>Joann</t>
  </si>
  <si>
    <t xml:space="preserve">Hall </t>
  </si>
  <si>
    <t>NoCal Run, Mile</t>
  </si>
  <si>
    <t>Redding, CA</t>
  </si>
  <si>
    <t>USATF NE Road Mile</t>
  </si>
  <si>
    <t>Hopkinton, MA</t>
  </si>
  <si>
    <t>8:57</t>
  </si>
  <si>
    <t>Eve</t>
  </si>
  <si>
    <t>Pell</t>
  </si>
  <si>
    <t>11:31</t>
  </si>
  <si>
    <t>Tami</t>
  </si>
  <si>
    <t>Graf</t>
  </si>
  <si>
    <t xml:space="preserve">USATF Masters 1 Mile Championships </t>
  </si>
  <si>
    <t>Mikkelsen</t>
  </si>
  <si>
    <t>Belanger</t>
  </si>
  <si>
    <t>Bernhard 2020 Single Age Bests</t>
  </si>
  <si>
    <t>H Mar</t>
  </si>
  <si>
    <t>WMA World Outdoor Championships, H Mar</t>
  </si>
  <si>
    <t>Gothenburd SWE</t>
  </si>
  <si>
    <t>Female Road Mile</t>
  </si>
  <si>
    <t>4:41</t>
  </si>
  <si>
    <t>Weltiji</t>
  </si>
  <si>
    <t xml:space="preserve">Diribe </t>
  </si>
  <si>
    <t>Slottskogen City Park</t>
  </si>
  <si>
    <t>Women only</t>
  </si>
  <si>
    <t>47:30</t>
  </si>
  <si>
    <t>13:54</t>
  </si>
  <si>
    <t>7 Miles</t>
  </si>
  <si>
    <t>Female 7 Mile</t>
  </si>
  <si>
    <t>7 Mile</t>
  </si>
  <si>
    <t>Distance from 10K to 7 MI</t>
  </si>
  <si>
    <t>2025 proposed factors</t>
  </si>
  <si>
    <t>Distance from 10K to 15K</t>
  </si>
  <si>
    <t>Distance from 10K to 20K</t>
  </si>
  <si>
    <t>Approved 2025-01-10 by Masters Long Distance Running (MLDR) of USA Track&amp;Field (USATF)</t>
  </si>
  <si>
    <t>u</t>
  </si>
  <si>
    <t>5MI</t>
  </si>
  <si>
    <t>7M</t>
  </si>
  <si>
    <t>2025 Standards</t>
  </si>
  <si>
    <t>2025 factors</t>
  </si>
  <si>
    <t>2025 Age factor</t>
  </si>
  <si>
    <t>2025 Age-Grade Standards</t>
  </si>
  <si>
    <t>2025 Age Factor</t>
  </si>
  <si>
    <t>2025 Standare</t>
  </si>
  <si>
    <t>59:04</t>
  </si>
  <si>
    <t>Interpolation</t>
  </si>
  <si>
    <t>Female Road Age Standards in Seconds 2025</t>
  </si>
  <si>
    <t>Female Road Age Standard Factors 2025</t>
  </si>
  <si>
    <t>2020 Age factor</t>
  </si>
  <si>
    <t>1K</t>
  </si>
  <si>
    <t>3K</t>
  </si>
  <si>
    <t>Mile to 5K</t>
  </si>
  <si>
    <t>10K to Half</t>
  </si>
  <si>
    <t>5K to 10K</t>
  </si>
  <si>
    <t>Half to Marathon</t>
  </si>
  <si>
    <t>2024 Standard</t>
  </si>
  <si>
    <t>2024 Age Factor</t>
  </si>
  <si>
    <t>Female 1 km</t>
  </si>
  <si>
    <t>Distance from Mile to 3K</t>
  </si>
  <si>
    <t>Female 3 km</t>
  </si>
  <si>
    <t>1 km</t>
  </si>
  <si>
    <t>3 km</t>
  </si>
  <si>
    <t>Alan Jones: 1 km and 3 km added by interpolation 2025-04-12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</si>
</sst>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  <numFmt numFmtId="173" formatCode="[$-F400]h:mm:ss\ AM/PM"/>
    <numFmt numFmtId="174" formatCode="mm/dd/yyyy"/>
    <numFmt numFmtId="175" formatCode="[h]:mm:ss;@"/>
  </numFmts>
  <fonts count="37">
    <font>
      <sz val="12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12529"/>
      <name val="-apple-system"/>
    </font>
    <font>
      <sz val="12"/>
      <color theme="1"/>
      <name val="Calibri"/>
      <family val="2"/>
      <scheme val="minor"/>
    </font>
    <font>
      <sz val="12"/>
      <color rgb="FF212529"/>
      <name val="-apple-system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color rgb="FF000000"/>
      <name val="Calibri"/>
      <family val="2"/>
      <scheme val="minor"/>
    </font>
    <font>
      <sz val="12"/>
      <color rgb="FF262626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Cambria"/>
      <family val="2"/>
      <scheme val="major"/>
    </font>
    <font>
      <sz val="10"/>
      <color rgb="FF000000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0"/>
      </patternFill>
    </fill>
  </fills>
  <borders count="43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" fillId="0" borderId="0"/>
    <xf numFmtId="0" fontId="5" fillId="0" borderId="0"/>
    <xf numFmtId="0" fontId="26" fillId="0" borderId="0"/>
  </cellStyleXfs>
  <cellXfs count="48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" fontId="2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167" fontId="4" fillId="0" borderId="0" xfId="0" applyNumberFormat="1" applyFont="1"/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horizontal="center"/>
    </xf>
    <xf numFmtId="0" fontId="2" fillId="0" borderId="1" xfId="0" applyFont="1" applyBorder="1"/>
    <xf numFmtId="2" fontId="4" fillId="0" borderId="0" xfId="0" applyNumberFormat="1" applyFont="1" applyAlignment="1">
      <alignment horizontal="center"/>
    </xf>
    <xf numFmtId="168" fontId="2" fillId="0" borderId="0" xfId="0" applyNumberFormat="1" applyFont="1"/>
    <xf numFmtId="168" fontId="2" fillId="0" borderId="1" xfId="0" applyNumberFormat="1" applyFont="1" applyBorder="1"/>
    <xf numFmtId="164" fontId="4" fillId="0" borderId="0" xfId="0" applyNumberFormat="1" applyFont="1"/>
    <xf numFmtId="2" fontId="4" fillId="0" borderId="0" xfId="0" applyNumberFormat="1" applyFont="1"/>
    <xf numFmtId="0" fontId="5" fillId="0" borderId="0" xfId="0" applyFont="1"/>
    <xf numFmtId="2" fontId="6" fillId="0" borderId="0" xfId="0" applyNumberFormat="1" applyFont="1" applyAlignment="1">
      <alignment horizontal="right"/>
    </xf>
    <xf numFmtId="169" fontId="2" fillId="0" borderId="0" xfId="0" applyNumberFormat="1" applyFont="1"/>
    <xf numFmtId="168" fontId="6" fillId="0" borderId="0" xfId="0" applyNumberFormat="1" applyFont="1" applyAlignment="1">
      <alignment horizontal="center" vertical="top" wrapText="1"/>
    </xf>
    <xf numFmtId="168" fontId="6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166" fontId="8" fillId="0" borderId="0" xfId="0" applyNumberFormat="1" applyFont="1"/>
    <xf numFmtId="167" fontId="8" fillId="0" borderId="0" xfId="0" applyNumberFormat="1" applyFont="1" applyAlignment="1">
      <alignment horizontal="right"/>
    </xf>
    <xf numFmtId="164" fontId="8" fillId="0" borderId="0" xfId="0" applyNumberFormat="1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21" fontId="2" fillId="0" borderId="0" xfId="0" applyNumberFormat="1" applyFont="1"/>
    <xf numFmtId="0" fontId="4" fillId="3" borderId="0" xfId="0" applyFont="1" applyFill="1"/>
    <xf numFmtId="167" fontId="5" fillId="3" borderId="0" xfId="0" applyNumberFormat="1" applyFont="1" applyFill="1"/>
    <xf numFmtId="167" fontId="5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4" xfId="0" applyFont="1" applyBorder="1"/>
    <xf numFmtId="164" fontId="5" fillId="3" borderId="3" xfId="0" applyNumberFormat="1" applyFont="1" applyFill="1" applyBorder="1" applyAlignment="1">
      <alignment horizontal="center"/>
    </xf>
    <xf numFmtId="0" fontId="5" fillId="0" borderId="5" xfId="0" applyFont="1" applyBorder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167" fontId="5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2" fillId="0" borderId="5" xfId="0" applyFont="1" applyBorder="1"/>
    <xf numFmtId="1" fontId="4" fillId="0" borderId="6" xfId="0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5" fillId="0" borderId="6" xfId="0" applyFont="1" applyBorder="1"/>
    <xf numFmtId="164" fontId="2" fillId="0" borderId="7" xfId="0" applyNumberFormat="1" applyFont="1" applyBorder="1"/>
    <xf numFmtId="167" fontId="2" fillId="0" borderId="7" xfId="0" applyNumberFormat="1" applyFont="1" applyBorder="1"/>
    <xf numFmtId="2" fontId="2" fillId="0" borderId="7" xfId="0" applyNumberFormat="1" applyFont="1" applyBorder="1"/>
    <xf numFmtId="1" fontId="2" fillId="0" borderId="7" xfId="0" applyNumberFormat="1" applyFont="1" applyBorder="1"/>
    <xf numFmtId="167" fontId="8" fillId="0" borderId="0" xfId="0" applyNumberFormat="1" applyFont="1"/>
    <xf numFmtId="167" fontId="0" fillId="0" borderId="0" xfId="0" applyNumberFormat="1"/>
    <xf numFmtId="166" fontId="12" fillId="0" borderId="0" xfId="0" applyNumberFormat="1" applyFont="1"/>
    <xf numFmtId="165" fontId="12" fillId="0" borderId="0" xfId="0" applyNumberFormat="1" applyFont="1"/>
    <xf numFmtId="0" fontId="12" fillId="0" borderId="0" xfId="0" applyFont="1" applyAlignment="1">
      <alignment horizontal="center" vertical="top" wrapText="1"/>
    </xf>
    <xf numFmtId="0" fontId="12" fillId="0" borderId="0" xfId="0" applyFont="1"/>
    <xf numFmtId="170" fontId="2" fillId="0" borderId="0" xfId="0" applyNumberFormat="1" applyFont="1"/>
    <xf numFmtId="168" fontId="12" fillId="0" borderId="0" xfId="0" applyNumberFormat="1" applyFont="1"/>
    <xf numFmtId="0" fontId="13" fillId="0" borderId="0" xfId="0" applyFont="1" applyAlignment="1">
      <alignment vertical="top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top" wrapText="1"/>
    </xf>
    <xf numFmtId="0" fontId="15" fillId="0" borderId="0" xfId="0" applyFont="1"/>
    <xf numFmtId="166" fontId="14" fillId="0" borderId="0" xfId="0" applyNumberFormat="1" applyFont="1"/>
    <xf numFmtId="167" fontId="14" fillId="0" borderId="0" xfId="0" applyNumberFormat="1" applyFont="1" applyAlignment="1">
      <alignment horizontal="right"/>
    </xf>
    <xf numFmtId="164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top" wrapText="1"/>
    </xf>
    <xf numFmtId="0" fontId="15" fillId="3" borderId="0" xfId="0" applyFont="1" applyFill="1"/>
    <xf numFmtId="169" fontId="15" fillId="0" borderId="0" xfId="0" applyNumberFormat="1" applyFont="1"/>
    <xf numFmtId="164" fontId="15" fillId="0" borderId="0" xfId="0" applyNumberFormat="1" applyFont="1"/>
    <xf numFmtId="167" fontId="16" fillId="3" borderId="0" xfId="0" applyNumberFormat="1" applyFont="1" applyFill="1"/>
    <xf numFmtId="168" fontId="15" fillId="0" borderId="0" xfId="0" applyNumberFormat="1" applyFont="1"/>
    <xf numFmtId="0" fontId="16" fillId="0" borderId="0" xfId="0" applyFont="1"/>
    <xf numFmtId="46" fontId="5" fillId="2" borderId="2" xfId="0" applyNumberFormat="1" applyFont="1" applyFill="1" applyBorder="1" applyAlignment="1">
      <alignment horizontal="center"/>
    </xf>
    <xf numFmtId="46" fontId="5" fillId="2" borderId="3" xfId="0" applyNumberFormat="1" applyFont="1" applyFill="1" applyBorder="1" applyAlignment="1">
      <alignment horizontal="center"/>
    </xf>
    <xf numFmtId="46" fontId="5" fillId="0" borderId="6" xfId="0" applyNumberFormat="1" applyFont="1" applyBorder="1" applyAlignment="1">
      <alignment horizontal="center"/>
    </xf>
    <xf numFmtId="46" fontId="5" fillId="2" borderId="6" xfId="0" applyNumberFormat="1" applyFont="1" applyFill="1" applyBorder="1" applyAlignment="1">
      <alignment horizontal="center"/>
    </xf>
    <xf numFmtId="168" fontId="4" fillId="0" borderId="0" xfId="0" applyNumberFormat="1" applyFont="1"/>
    <xf numFmtId="0" fontId="2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wrapText="1"/>
    </xf>
    <xf numFmtId="168" fontId="2" fillId="5" borderId="9" xfId="0" applyNumberFormat="1" applyFont="1" applyFill="1" applyBorder="1"/>
    <xf numFmtId="0" fontId="8" fillId="6" borderId="8" xfId="0" applyFont="1" applyFill="1" applyBorder="1" applyAlignment="1">
      <alignment horizontal="center" wrapText="1"/>
    </xf>
    <xf numFmtId="0" fontId="2" fillId="6" borderId="8" xfId="0" applyFont="1" applyFill="1" applyBorder="1"/>
    <xf numFmtId="168" fontId="2" fillId="6" borderId="8" xfId="0" applyNumberFormat="1" applyFont="1" applyFill="1" applyBorder="1"/>
    <xf numFmtId="49" fontId="21" fillId="0" borderId="0" xfId="0" applyNumberFormat="1" applyFont="1"/>
    <xf numFmtId="0" fontId="21" fillId="0" borderId="0" xfId="0" applyFont="1"/>
    <xf numFmtId="14" fontId="21" fillId="0" borderId="0" xfId="0" applyNumberFormat="1" applyFont="1" applyAlignment="1">
      <alignment horizontal="left"/>
    </xf>
    <xf numFmtId="0" fontId="11" fillId="0" borderId="0" xfId="0" applyFont="1"/>
    <xf numFmtId="167" fontId="11" fillId="0" borderId="0" xfId="0" applyNumberFormat="1" applyFont="1"/>
    <xf numFmtId="49" fontId="17" fillId="0" borderId="0" xfId="0" applyNumberFormat="1" applyFont="1" applyAlignment="1">
      <alignment horizontal="left"/>
    </xf>
    <xf numFmtId="49" fontId="17" fillId="7" borderId="0" xfId="0" applyNumberFormat="1" applyFont="1" applyFill="1" applyAlignment="1">
      <alignment horizontal="left"/>
    </xf>
    <xf numFmtId="171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wrapText="1"/>
    </xf>
    <xf numFmtId="14" fontId="22" fillId="0" borderId="0" xfId="0" applyNumberFormat="1" applyFont="1" applyAlignment="1">
      <alignment wrapText="1"/>
    </xf>
    <xf numFmtId="14" fontId="22" fillId="0" borderId="0" xfId="0" applyNumberFormat="1" applyFont="1" applyAlignment="1">
      <alignment horizontal="left" wrapText="1"/>
    </xf>
    <xf numFmtId="0" fontId="2" fillId="8" borderId="8" xfId="0" applyFont="1" applyFill="1" applyBorder="1"/>
    <xf numFmtId="168" fontId="2" fillId="8" borderId="8" xfId="0" applyNumberFormat="1" applyFont="1" applyFill="1" applyBorder="1"/>
    <xf numFmtId="49" fontId="17" fillId="0" borderId="0" xfId="0" applyNumberFormat="1" applyFont="1"/>
    <xf numFmtId="0" fontId="19" fillId="0" borderId="0" xfId="0" applyFont="1"/>
    <xf numFmtId="0" fontId="17" fillId="0" borderId="0" xfId="0" applyFont="1" applyAlignment="1">
      <alignment wrapText="1"/>
    </xf>
    <xf numFmtId="49" fontId="22" fillId="0" borderId="0" xfId="0" applyNumberFormat="1" applyFont="1"/>
    <xf numFmtId="14" fontId="22" fillId="0" borderId="0" xfId="0" applyNumberFormat="1" applyFont="1" applyAlignment="1">
      <alignment horizontal="left"/>
    </xf>
    <xf numFmtId="0" fontId="22" fillId="0" borderId="0" xfId="0" applyFont="1"/>
    <xf numFmtId="172" fontId="17" fillId="0" borderId="0" xfId="0" applyNumberFormat="1" applyFont="1" applyAlignment="1">
      <alignment horizontal="left"/>
    </xf>
    <xf numFmtId="172" fontId="2" fillId="0" borderId="0" xfId="0" applyNumberFormat="1" applyFont="1"/>
    <xf numFmtId="0" fontId="17" fillId="7" borderId="0" xfId="0" applyFont="1" applyFill="1" applyAlignment="1">
      <alignment horizontal="left"/>
    </xf>
    <xf numFmtId="0" fontId="18" fillId="0" borderId="0" xfId="1" applyNumberFormat="1" applyBorder="1" applyAlignment="1"/>
    <xf numFmtId="15" fontId="8" fillId="0" borderId="0" xfId="0" applyNumberFormat="1" applyFont="1"/>
    <xf numFmtId="17" fontId="20" fillId="0" borderId="0" xfId="0" quotePrefix="1" applyNumberFormat="1" applyFont="1"/>
    <xf numFmtId="0" fontId="20" fillId="0" borderId="0" xfId="0" applyFont="1"/>
    <xf numFmtId="0" fontId="5" fillId="2" borderId="11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0" xfId="0" applyNumberFormat="1" applyFont="1"/>
    <xf numFmtId="46" fontId="5" fillId="2" borderId="12" xfId="0" applyNumberFormat="1" applyFont="1" applyFill="1" applyBorder="1" applyAlignment="1">
      <alignment horizontal="center"/>
    </xf>
    <xf numFmtId="46" fontId="5" fillId="2" borderId="16" xfId="0" applyNumberFormat="1" applyFont="1" applyFill="1" applyBorder="1" applyAlignment="1">
      <alignment horizontal="center"/>
    </xf>
    <xf numFmtId="0" fontId="8" fillId="0" borderId="1" xfId="0" applyFont="1" applyBorder="1"/>
    <xf numFmtId="0" fontId="18" fillId="0" borderId="0" xfId="1" applyNumberFormat="1" applyAlignment="1"/>
    <xf numFmtId="0" fontId="8" fillId="0" borderId="0" xfId="0" quotePrefix="1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49" fontId="21" fillId="7" borderId="0" xfId="0" applyNumberFormat="1" applyFont="1" applyFill="1"/>
    <xf numFmtId="0" fontId="21" fillId="7" borderId="0" xfId="0" applyFont="1" applyFill="1" applyAlignment="1">
      <alignment horizontal="left"/>
    </xf>
    <xf numFmtId="0" fontId="24" fillId="0" borderId="0" xfId="0" applyFont="1"/>
    <xf numFmtId="49" fontId="21" fillId="0" borderId="0" xfId="0" applyNumberFormat="1" applyFont="1" applyAlignment="1">
      <alignment wrapText="1"/>
    </xf>
    <xf numFmtId="173" fontId="21" fillId="0" borderId="0" xfId="0" applyNumberFormat="1" applyFont="1" applyAlignment="1">
      <alignment horizontal="right"/>
    </xf>
    <xf numFmtId="173" fontId="21" fillId="7" borderId="0" xfId="0" applyNumberFormat="1" applyFont="1" applyFill="1" applyAlignment="1">
      <alignment horizontal="right"/>
    </xf>
    <xf numFmtId="173" fontId="2" fillId="7" borderId="0" xfId="0" applyNumberFormat="1" applyFont="1" applyFill="1" applyAlignment="1">
      <alignment horizontal="right"/>
    </xf>
    <xf numFmtId="173" fontId="2" fillId="0" borderId="0" xfId="0" applyNumberFormat="1" applyFont="1" applyAlignment="1">
      <alignment horizontal="right"/>
    </xf>
    <xf numFmtId="0" fontId="30" fillId="0" borderId="0" xfId="0" applyFont="1"/>
    <xf numFmtId="14" fontId="17" fillId="7" borderId="0" xfId="0" applyNumberFormat="1" applyFont="1" applyFill="1" applyAlignment="1">
      <alignment horizontal="left"/>
    </xf>
    <xf numFmtId="0" fontId="19" fillId="7" borderId="0" xfId="0" applyFont="1" applyFill="1"/>
    <xf numFmtId="49" fontId="17" fillId="0" borderId="0" xfId="0" applyNumberFormat="1" applyFont="1" applyAlignment="1">
      <alignment wrapText="1"/>
    </xf>
    <xf numFmtId="49" fontId="19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49" fontId="19" fillId="0" borderId="0" xfId="0" applyNumberFormat="1" applyFont="1"/>
    <xf numFmtId="49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left"/>
    </xf>
    <xf numFmtId="170" fontId="21" fillId="0" borderId="0" xfId="0" applyNumberFormat="1" applyFont="1" applyAlignment="1">
      <alignment horizontal="right"/>
    </xf>
    <xf numFmtId="49" fontId="2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1" fillId="7" borderId="0" xfId="0" applyNumberFormat="1" applyFont="1" applyFill="1" applyAlignment="1">
      <alignment horizontal="left"/>
    </xf>
    <xf numFmtId="171" fontId="21" fillId="7" borderId="0" xfId="0" applyNumberFormat="1" applyFont="1" applyFill="1" applyAlignment="1">
      <alignment horizontal="left"/>
    </xf>
    <xf numFmtId="0" fontId="24" fillId="7" borderId="0" xfId="0" applyFont="1" applyFill="1" applyAlignment="1">
      <alignment horizontal="left"/>
    </xf>
    <xf numFmtId="49" fontId="24" fillId="0" borderId="0" xfId="0" applyNumberFormat="1" applyFont="1"/>
    <xf numFmtId="171" fontId="24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71" fontId="2" fillId="0" borderId="0" xfId="0" applyNumberFormat="1" applyFont="1" applyAlignment="1">
      <alignment horizontal="left"/>
    </xf>
    <xf numFmtId="172" fontId="21" fillId="0" borderId="0" xfId="0" applyNumberFormat="1" applyFont="1" applyAlignment="1">
      <alignment horizontal="left"/>
    </xf>
    <xf numFmtId="49" fontId="21" fillId="7" borderId="0" xfId="0" applyNumberFormat="1" applyFont="1" applyFill="1" applyAlignment="1">
      <alignment horizontal="right"/>
    </xf>
    <xf numFmtId="0" fontId="17" fillId="0" borderId="0" xfId="0" applyFont="1"/>
    <xf numFmtId="49" fontId="20" fillId="0" borderId="0" xfId="0" applyNumberFormat="1" applyFont="1" applyAlignment="1">
      <alignment wrapText="1"/>
    </xf>
    <xf numFmtId="14" fontId="21" fillId="7" borderId="0" xfId="0" applyNumberFormat="1" applyFont="1" applyFill="1" applyAlignment="1">
      <alignment horizontal="left"/>
    </xf>
    <xf numFmtId="0" fontId="24" fillId="7" borderId="0" xfId="0" applyFont="1" applyFill="1"/>
    <xf numFmtId="49" fontId="2" fillId="0" borderId="0" xfId="0" applyNumberFormat="1" applyFont="1"/>
    <xf numFmtId="49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14" fontId="20" fillId="0" borderId="0" xfId="0" applyNumberFormat="1" applyFont="1" applyAlignment="1">
      <alignment wrapText="1"/>
    </xf>
    <xf numFmtId="14" fontId="20" fillId="0" borderId="0" xfId="0" applyNumberFormat="1" applyFont="1" applyAlignment="1">
      <alignment horizontal="left" wrapText="1"/>
    </xf>
    <xf numFmtId="49" fontId="24" fillId="7" borderId="0" xfId="0" applyNumberFormat="1" applyFont="1" applyFill="1"/>
    <xf numFmtId="171" fontId="24" fillId="7" borderId="0" xfId="0" applyNumberFormat="1" applyFont="1" applyFill="1" applyAlignment="1">
      <alignment horizontal="left"/>
    </xf>
    <xf numFmtId="21" fontId="2" fillId="0" borderId="0" xfId="0" applyNumberFormat="1" applyFont="1" applyAlignment="1">
      <alignment horizontal="right"/>
    </xf>
    <xf numFmtId="49" fontId="24" fillId="0" borderId="0" xfId="0" applyNumberFormat="1" applyFont="1" applyAlignment="1">
      <alignment horizontal="right"/>
    </xf>
    <xf numFmtId="49" fontId="24" fillId="7" borderId="0" xfId="0" applyNumberFormat="1" applyFont="1" applyFill="1" applyAlignment="1">
      <alignment horizontal="right"/>
    </xf>
    <xf numFmtId="0" fontId="2" fillId="0" borderId="19" xfId="0" applyFont="1" applyBorder="1"/>
    <xf numFmtId="0" fontId="20" fillId="0" borderId="0" xfId="0" applyFont="1" applyAlignment="1">
      <alignment wrapText="1"/>
    </xf>
    <xf numFmtId="0" fontId="2" fillId="0" borderId="19" xfId="0" applyFont="1" applyBorder="1" applyAlignment="1">
      <alignment horizontal="right"/>
    </xf>
    <xf numFmtId="166" fontId="12" fillId="0" borderId="0" xfId="0" applyNumberFormat="1" applyFont="1" applyProtection="1">
      <protection locked="0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Protection="1"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Protection="1">
      <protection locked="0"/>
    </xf>
    <xf numFmtId="168" fontId="12" fillId="0" borderId="0" xfId="0" applyNumberFormat="1" applyFont="1" applyProtection="1">
      <protection locked="0"/>
    </xf>
    <xf numFmtId="167" fontId="8" fillId="0" borderId="0" xfId="0" applyNumberFormat="1" applyFont="1" applyAlignment="1" applyProtection="1">
      <alignment horizontal="right"/>
      <protection locked="0"/>
    </xf>
    <xf numFmtId="164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right" wrapText="1"/>
      <protection locked="0"/>
    </xf>
    <xf numFmtId="0" fontId="8" fillId="5" borderId="8" xfId="0" applyFont="1" applyFill="1" applyBorder="1" applyAlignment="1" applyProtection="1">
      <alignment horizontal="center" wrapText="1"/>
      <protection locked="0"/>
    </xf>
    <xf numFmtId="0" fontId="8" fillId="6" borderId="8" xfId="0" applyFont="1" applyFill="1" applyBorder="1" applyAlignment="1" applyProtection="1">
      <alignment horizontal="center" wrapText="1"/>
      <protection locked="0"/>
    </xf>
    <xf numFmtId="0" fontId="8" fillId="0" borderId="8" xfId="0" applyFont="1" applyBorder="1" applyAlignment="1" applyProtection="1">
      <alignment horizontal="center" wrapText="1"/>
      <protection locked="0"/>
    </xf>
    <xf numFmtId="49" fontId="20" fillId="0" borderId="8" xfId="0" applyNumberFormat="1" applyFont="1" applyBorder="1" applyAlignment="1" applyProtection="1">
      <alignment horizontal="left"/>
      <protection locked="0"/>
    </xf>
    <xf numFmtId="14" fontId="20" fillId="0" borderId="8" xfId="0" applyNumberFormat="1" applyFont="1" applyBorder="1" applyAlignment="1" applyProtection="1">
      <alignment horizontal="left"/>
      <protection locked="0"/>
    </xf>
    <xf numFmtId="49" fontId="20" fillId="0" borderId="8" xfId="0" applyNumberFormat="1" applyFont="1" applyBorder="1" applyAlignment="1" applyProtection="1">
      <alignment horizontal="left" wrapText="1"/>
      <protection locked="0"/>
    </xf>
    <xf numFmtId="0" fontId="20" fillId="0" borderId="8" xfId="0" applyFont="1" applyBorder="1" applyAlignment="1" applyProtection="1">
      <alignment horizontal="left" wrapText="1"/>
      <protection locked="0"/>
    </xf>
    <xf numFmtId="168" fontId="2" fillId="5" borderId="17" xfId="0" applyNumberFormat="1" applyFont="1" applyFill="1" applyBorder="1" applyProtection="1">
      <protection locked="0"/>
    </xf>
    <xf numFmtId="168" fontId="2" fillId="6" borderId="18" xfId="0" applyNumberFormat="1" applyFont="1" applyFill="1" applyBorder="1" applyProtection="1">
      <protection locked="0"/>
    </xf>
    <xf numFmtId="168" fontId="2" fillId="5" borderId="9" xfId="0" applyNumberFormat="1" applyFont="1" applyFill="1" applyBorder="1" applyProtection="1">
      <protection locked="0"/>
    </xf>
    <xf numFmtId="168" fontId="2" fillId="6" borderId="8" xfId="0" applyNumberFormat="1" applyFont="1" applyFill="1" applyBorder="1" applyProtection="1">
      <protection locked="0"/>
    </xf>
    <xf numFmtId="167" fontId="4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0" fontId="2" fillId="0" borderId="0" xfId="0" applyNumberFormat="1" applyFont="1" applyProtection="1">
      <protection locked="0"/>
    </xf>
    <xf numFmtId="167" fontId="2" fillId="0" borderId="0" xfId="0" applyNumberFormat="1" applyFont="1" applyProtection="1">
      <protection locked="0"/>
    </xf>
    <xf numFmtId="49" fontId="19" fillId="0" borderId="0" xfId="0" applyNumberFormat="1" applyFont="1" applyAlignment="1" applyProtection="1">
      <alignment horizontal="right"/>
      <protection locked="0"/>
    </xf>
    <xf numFmtId="49" fontId="24" fillId="0" borderId="0" xfId="0" applyNumberFormat="1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  <xf numFmtId="14" fontId="24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49" fontId="19" fillId="7" borderId="0" xfId="0" applyNumberFormat="1" applyFont="1" applyFill="1" applyAlignment="1" applyProtection="1">
      <alignment horizontal="right"/>
      <protection locked="0"/>
    </xf>
    <xf numFmtId="0" fontId="32" fillId="7" borderId="0" xfId="0" applyFont="1" applyFill="1" applyAlignment="1" applyProtection="1">
      <alignment horizontal="left"/>
      <protection locked="0"/>
    </xf>
    <xf numFmtId="49" fontId="24" fillId="7" borderId="0" xfId="0" applyNumberFormat="1" applyFont="1" applyFill="1" applyAlignment="1" applyProtection="1">
      <alignment horizontal="left"/>
      <protection locked="0"/>
    </xf>
    <xf numFmtId="14" fontId="2" fillId="7" borderId="0" xfId="0" applyNumberFormat="1" applyFont="1" applyFill="1" applyAlignment="1" applyProtection="1">
      <alignment horizontal="left"/>
      <protection locked="0"/>
    </xf>
    <xf numFmtId="14" fontId="24" fillId="7" borderId="0" xfId="0" applyNumberFormat="1" applyFont="1" applyFill="1" applyAlignment="1" applyProtection="1">
      <alignment horizontal="left"/>
      <protection locked="0"/>
    </xf>
    <xf numFmtId="0" fontId="2" fillId="7" borderId="0" xfId="0" applyFont="1" applyFill="1" applyAlignment="1" applyProtection="1">
      <alignment horizontal="left"/>
      <protection locked="0"/>
    </xf>
    <xf numFmtId="0" fontId="0" fillId="7" borderId="0" xfId="0" applyFill="1" applyAlignment="1" applyProtection="1">
      <alignment horizontal="left"/>
      <protection locked="0"/>
    </xf>
    <xf numFmtId="49" fontId="21" fillId="0" borderId="0" xfId="0" applyNumberFormat="1" applyFont="1" applyProtection="1">
      <protection locked="0"/>
    </xf>
    <xf numFmtId="0" fontId="21" fillId="0" borderId="0" xfId="0" applyFont="1" applyProtection="1"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171" fontId="21" fillId="0" borderId="0" xfId="0" applyNumberFormat="1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49" fontId="21" fillId="0" borderId="0" xfId="0" applyNumberFormat="1" applyFont="1" applyAlignment="1" applyProtection="1">
      <alignment horizontal="left"/>
      <protection locked="0"/>
    </xf>
    <xf numFmtId="14" fontId="21" fillId="0" borderId="0" xfId="0" applyNumberFormat="1" applyFont="1" applyAlignment="1" applyProtection="1">
      <alignment horizontal="left"/>
      <protection locked="0"/>
    </xf>
    <xf numFmtId="21" fontId="19" fillId="0" borderId="0" xfId="0" applyNumberFormat="1" applyFont="1" applyAlignment="1" applyProtection="1">
      <alignment horizontal="right"/>
      <protection locked="0"/>
    </xf>
    <xf numFmtId="21" fontId="24" fillId="0" borderId="0" xfId="2" applyNumberFormat="1" applyFont="1" applyAlignment="1" applyProtection="1">
      <alignment horizontal="right"/>
      <protection locked="0"/>
    </xf>
    <xf numFmtId="0" fontId="2" fillId="0" borderId="0" xfId="2" applyFont="1" applyAlignment="1" applyProtection="1">
      <alignment horizontal="left"/>
      <protection locked="0"/>
    </xf>
    <xf numFmtId="49" fontId="24" fillId="0" borderId="0" xfId="2" applyNumberFormat="1" applyFont="1" applyAlignment="1" applyProtection="1">
      <alignment horizontal="left"/>
      <protection locked="0"/>
    </xf>
    <xf numFmtId="14" fontId="24" fillId="0" borderId="0" xfId="2" applyNumberFormat="1" applyFont="1" applyAlignment="1" applyProtection="1">
      <alignment horizontal="left"/>
      <protection locked="0"/>
    </xf>
    <xf numFmtId="14" fontId="2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170" fontId="8" fillId="0" borderId="0" xfId="0" applyNumberFormat="1" applyFont="1" applyAlignment="1" applyProtection="1">
      <alignment horizontal="right"/>
      <protection locked="0"/>
    </xf>
    <xf numFmtId="169" fontId="2" fillId="0" borderId="0" xfId="0" applyNumberFormat="1" applyFont="1" applyAlignment="1" applyProtection="1">
      <alignment horizontal="center"/>
      <protection locked="0"/>
    </xf>
    <xf numFmtId="0" fontId="8" fillId="5" borderId="9" xfId="0" applyFont="1" applyFill="1" applyBorder="1" applyAlignment="1" applyProtection="1">
      <alignment horizontal="center" wrapText="1"/>
      <protection locked="0"/>
    </xf>
    <xf numFmtId="0" fontId="8" fillId="0" borderId="10" xfId="0" applyFont="1" applyBorder="1" applyAlignment="1" applyProtection="1">
      <alignment horizontal="center" wrapText="1"/>
      <protection locked="0"/>
    </xf>
    <xf numFmtId="49" fontId="20" fillId="0" borderId="10" xfId="0" applyNumberFormat="1" applyFont="1" applyBorder="1" applyAlignment="1" applyProtection="1">
      <alignment horizontal="left"/>
      <protection locked="0"/>
    </xf>
    <xf numFmtId="14" fontId="20" fillId="0" borderId="10" xfId="0" applyNumberFormat="1" applyFont="1" applyBorder="1" applyAlignment="1" applyProtection="1">
      <alignment horizontal="left"/>
      <protection locked="0"/>
    </xf>
    <xf numFmtId="49" fontId="20" fillId="0" borderId="10" xfId="0" applyNumberFormat="1" applyFont="1" applyBorder="1" applyAlignment="1" applyProtection="1">
      <alignment horizontal="left" wrapText="1"/>
      <protection locked="0"/>
    </xf>
    <xf numFmtId="0" fontId="20" fillId="0" borderId="10" xfId="0" applyFont="1" applyBorder="1" applyAlignment="1" applyProtection="1">
      <alignment horizontal="left" wrapText="1"/>
      <protection locked="0"/>
    </xf>
    <xf numFmtId="0" fontId="2" fillId="6" borderId="8" xfId="0" applyFont="1" applyFill="1" applyBorder="1" applyProtection="1">
      <protection locked="0"/>
    </xf>
    <xf numFmtId="0" fontId="2" fillId="0" borderId="8" xfId="0" applyFont="1" applyBorder="1" applyProtection="1">
      <protection locked="0"/>
    </xf>
    <xf numFmtId="170" fontId="4" fillId="0" borderId="0" xfId="0" applyNumberFormat="1" applyFont="1" applyAlignment="1" applyProtection="1">
      <alignment horizontal="right"/>
      <protection locked="0"/>
    </xf>
    <xf numFmtId="49" fontId="21" fillId="0" borderId="8" xfId="0" applyNumberFormat="1" applyFont="1" applyBorder="1" applyAlignment="1" applyProtection="1">
      <alignment horizontal="right"/>
      <protection locked="0"/>
    </xf>
    <xf numFmtId="14" fontId="21" fillId="0" borderId="0" xfId="0" applyNumberFormat="1" applyFont="1" applyProtection="1">
      <protection locked="0"/>
    </xf>
    <xf numFmtId="0" fontId="21" fillId="0" borderId="0" xfId="0" applyFont="1" applyAlignment="1" applyProtection="1">
      <alignment wrapText="1"/>
      <protection locked="0"/>
    </xf>
    <xf numFmtId="0" fontId="17" fillId="0" borderId="8" xfId="0" applyFont="1" applyBorder="1" applyAlignment="1" applyProtection="1">
      <alignment wrapText="1"/>
      <protection locked="0"/>
    </xf>
    <xf numFmtId="170" fontId="2" fillId="0" borderId="0" xfId="0" applyNumberFormat="1" applyFont="1" applyProtection="1">
      <protection locked="0"/>
    </xf>
    <xf numFmtId="0" fontId="27" fillId="0" borderId="0" xfId="4" applyFont="1" applyAlignment="1" applyProtection="1">
      <alignment horizontal="left" wrapText="1"/>
      <protection locked="0"/>
    </xf>
    <xf numFmtId="14" fontId="27" fillId="0" borderId="0" xfId="4" applyNumberFormat="1" applyFont="1" applyProtection="1">
      <protection locked="0"/>
    </xf>
    <xf numFmtId="49" fontId="21" fillId="7" borderId="0" xfId="0" applyNumberFormat="1" applyFont="1" applyFill="1" applyProtection="1">
      <protection locked="0"/>
    </xf>
    <xf numFmtId="0" fontId="21" fillId="7" borderId="0" xfId="0" applyFont="1" applyFill="1" applyProtection="1">
      <protection locked="0"/>
    </xf>
    <xf numFmtId="0" fontId="21" fillId="7" borderId="0" xfId="0" applyFont="1" applyFill="1" applyAlignment="1" applyProtection="1">
      <alignment horizontal="left"/>
      <protection locked="0"/>
    </xf>
    <xf numFmtId="0" fontId="28" fillId="9" borderId="0" xfId="0" applyFont="1" applyFill="1" applyAlignment="1" applyProtection="1">
      <alignment vertical="center" wrapText="1"/>
      <protection locked="0"/>
    </xf>
    <xf numFmtId="0" fontId="29" fillId="0" borderId="0" xfId="0" applyFont="1" applyProtection="1">
      <protection locked="0"/>
    </xf>
    <xf numFmtId="0" fontId="17" fillId="7" borderId="8" xfId="0" applyFont="1" applyFill="1" applyBorder="1" applyAlignment="1" applyProtection="1">
      <alignment wrapText="1"/>
      <protection locked="0"/>
    </xf>
    <xf numFmtId="0" fontId="17" fillId="7" borderId="8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wrapText="1"/>
      <protection locked="0"/>
    </xf>
    <xf numFmtId="0" fontId="5" fillId="7" borderId="8" xfId="0" applyFont="1" applyFill="1" applyBorder="1" applyAlignment="1" applyProtection="1">
      <alignment vertical="top" wrapText="1"/>
      <protection locked="0"/>
    </xf>
    <xf numFmtId="0" fontId="24" fillId="0" borderId="0" xfId="0" applyFont="1" applyProtection="1">
      <protection locked="0"/>
    </xf>
    <xf numFmtId="0" fontId="19" fillId="0" borderId="8" xfId="0" applyFont="1" applyBorder="1" applyProtection="1">
      <protection locked="0"/>
    </xf>
    <xf numFmtId="49" fontId="2" fillId="0" borderId="8" xfId="0" applyNumberFormat="1" applyFont="1" applyBorder="1" applyAlignment="1" applyProtection="1">
      <alignment horizontal="right"/>
      <protection locked="0"/>
    </xf>
    <xf numFmtId="49" fontId="21" fillId="0" borderId="0" xfId="0" applyNumberFormat="1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2" fillId="0" borderId="8" xfId="0" applyFont="1" applyBorder="1" applyAlignment="1" applyProtection="1">
      <alignment horizontal="right"/>
      <protection locked="0"/>
    </xf>
    <xf numFmtId="168" fontId="8" fillId="0" borderId="0" xfId="0" applyNumberFormat="1" applyFont="1" applyProtection="1">
      <protection locked="0"/>
    </xf>
    <xf numFmtId="21" fontId="0" fillId="0" borderId="0" xfId="0" applyNumberFormat="1" applyProtection="1">
      <protection locked="0"/>
    </xf>
    <xf numFmtId="166" fontId="12" fillId="10" borderId="20" xfId="0" applyNumberFormat="1" applyFont="1" applyFill="1" applyBorder="1"/>
    <xf numFmtId="165" fontId="12" fillId="10" borderId="21" xfId="0" applyNumberFormat="1" applyFont="1" applyFill="1" applyBorder="1"/>
    <xf numFmtId="166" fontId="12" fillId="10" borderId="17" xfId="0" applyNumberFormat="1" applyFont="1" applyFill="1" applyBorder="1"/>
    <xf numFmtId="165" fontId="12" fillId="10" borderId="22" xfId="0" applyNumberFormat="1" applyFont="1" applyFill="1" applyBorder="1"/>
    <xf numFmtId="2" fontId="2" fillId="0" borderId="0" xfId="0" applyNumberFormat="1" applyFont="1" applyProtection="1">
      <protection locked="0"/>
    </xf>
    <xf numFmtId="166" fontId="12" fillId="10" borderId="8" xfId="0" applyNumberFormat="1" applyFont="1" applyFill="1" applyBorder="1"/>
    <xf numFmtId="165" fontId="12" fillId="10" borderId="8" xfId="0" applyNumberFormat="1" applyFont="1" applyFill="1" applyBorder="1"/>
    <xf numFmtId="0" fontId="4" fillId="0" borderId="0" xfId="0" applyFont="1" applyAlignment="1" applyProtection="1">
      <alignment wrapText="1"/>
      <protection locked="0"/>
    </xf>
    <xf numFmtId="21" fontId="2" fillId="0" borderId="0" xfId="0" applyNumberFormat="1" applyFont="1" applyProtection="1">
      <protection locked="0"/>
    </xf>
    <xf numFmtId="168" fontId="2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49" fontId="20" fillId="0" borderId="0" xfId="0" applyNumberFormat="1" applyFont="1" applyProtection="1">
      <protection locked="0"/>
    </xf>
    <xf numFmtId="14" fontId="20" fillId="0" borderId="0" xfId="0" applyNumberFormat="1" applyFont="1" applyProtection="1">
      <protection locked="0"/>
    </xf>
    <xf numFmtId="14" fontId="20" fillId="0" borderId="0" xfId="0" applyNumberFormat="1" applyFont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wrapText="1"/>
      <protection locked="0"/>
    </xf>
    <xf numFmtId="0" fontId="20" fillId="0" borderId="0" xfId="0" applyFont="1" applyProtection="1">
      <protection locked="0"/>
    </xf>
    <xf numFmtId="21" fontId="21" fillId="0" borderId="0" xfId="0" applyNumberFormat="1" applyFont="1" applyAlignment="1" applyProtection="1">
      <alignment horizontal="right"/>
      <protection locked="0"/>
    </xf>
    <xf numFmtId="168" fontId="2" fillId="0" borderId="0" xfId="0" applyNumberFormat="1" applyFont="1" applyAlignment="1" applyProtection="1">
      <alignment horizontal="right"/>
      <protection locked="0"/>
    </xf>
    <xf numFmtId="0" fontId="21" fillId="0" borderId="0" xfId="0" applyFont="1" applyAlignment="1" applyProtection="1">
      <alignment horizontal="right"/>
      <protection locked="0"/>
    </xf>
    <xf numFmtId="21" fontId="21" fillId="7" borderId="0" xfId="0" applyNumberFormat="1" applyFont="1" applyFill="1" applyAlignment="1" applyProtection="1">
      <alignment horizontal="right"/>
      <protection locked="0"/>
    </xf>
    <xf numFmtId="0" fontId="21" fillId="7" borderId="0" xfId="0" applyFont="1" applyFill="1" applyAlignment="1" applyProtection="1">
      <alignment horizontal="right"/>
      <protection locked="0"/>
    </xf>
    <xf numFmtId="14" fontId="21" fillId="7" borderId="0" xfId="0" applyNumberFormat="1" applyFont="1" applyFill="1" applyAlignment="1" applyProtection="1">
      <alignment horizontal="left"/>
      <protection locked="0"/>
    </xf>
    <xf numFmtId="49" fontId="21" fillId="0" borderId="0" xfId="0" applyNumberFormat="1" applyFont="1" applyAlignment="1" applyProtection="1">
      <alignment horizontal="right"/>
      <protection locked="0"/>
    </xf>
    <xf numFmtId="49" fontId="31" fillId="0" borderId="0" xfId="0" applyNumberFormat="1" applyFont="1" applyProtection="1">
      <protection locked="0"/>
    </xf>
    <xf numFmtId="0" fontId="17" fillId="0" borderId="0" xfId="0" applyFont="1" applyAlignment="1">
      <alignment horizontal="left" wrapText="1"/>
    </xf>
    <xf numFmtId="172" fontId="21" fillId="7" borderId="0" xfId="0" applyNumberFormat="1" applyFont="1" applyFill="1" applyAlignment="1">
      <alignment horizontal="left"/>
    </xf>
    <xf numFmtId="172" fontId="2" fillId="0" borderId="0" xfId="0" applyNumberFormat="1" applyFont="1" applyAlignment="1">
      <alignment horizontal="left"/>
    </xf>
    <xf numFmtId="172" fontId="24" fillId="0" borderId="0" xfId="0" applyNumberFormat="1" applyFont="1" applyAlignment="1">
      <alignment horizontal="left"/>
    </xf>
    <xf numFmtId="49" fontId="17" fillId="0" borderId="0" xfId="0" applyNumberFormat="1" applyFont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49" fontId="17" fillId="0" borderId="0" xfId="0" applyNumberFormat="1" applyFont="1" applyProtection="1">
      <protection locked="0"/>
    </xf>
    <xf numFmtId="14" fontId="17" fillId="0" borderId="0" xfId="0" applyNumberFormat="1" applyFont="1" applyProtection="1">
      <protection locked="0"/>
    </xf>
    <xf numFmtId="14" fontId="17" fillId="0" borderId="0" xfId="0" applyNumberFormat="1" applyFont="1" applyAlignment="1" applyProtection="1">
      <alignment horizontal="left"/>
      <protection locked="0"/>
    </xf>
    <xf numFmtId="49" fontId="17" fillId="0" borderId="0" xfId="0" applyNumberFormat="1" applyFont="1" applyAlignment="1" applyProtection="1">
      <alignment wrapText="1"/>
      <protection locked="0"/>
    </xf>
    <xf numFmtId="0" fontId="17" fillId="0" borderId="0" xfId="0" applyFont="1" applyProtection="1">
      <protection locked="0"/>
    </xf>
    <xf numFmtId="0" fontId="4" fillId="3" borderId="0" xfId="0" applyFont="1" applyFill="1" applyProtection="1">
      <protection locked="0"/>
    </xf>
    <xf numFmtId="167" fontId="5" fillId="3" borderId="0" xfId="0" applyNumberFormat="1" applyFont="1" applyFill="1" applyProtection="1">
      <protection locked="0"/>
    </xf>
    <xf numFmtId="167" fontId="2" fillId="3" borderId="0" xfId="0" applyNumberFormat="1" applyFont="1" applyFill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49" fontId="21" fillId="7" borderId="0" xfId="0" applyNumberFormat="1" applyFont="1" applyFill="1" applyAlignment="1" applyProtection="1">
      <alignment horizontal="right"/>
      <protection locked="0"/>
    </xf>
    <xf numFmtId="0" fontId="24" fillId="7" borderId="0" xfId="0" applyFont="1" applyFill="1" applyProtection="1">
      <protection locked="0"/>
    </xf>
    <xf numFmtId="1" fontId="2" fillId="0" borderId="0" xfId="0" applyNumberFormat="1" applyFont="1" applyAlignment="1" applyProtection="1">
      <alignment horizontal="left"/>
      <protection locked="0"/>
    </xf>
    <xf numFmtId="174" fontId="2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right"/>
      <protection locked="0"/>
    </xf>
    <xf numFmtId="49" fontId="2" fillId="0" borderId="0" xfId="0" applyNumberFormat="1" applyFont="1" applyProtection="1">
      <protection locked="0"/>
    </xf>
    <xf numFmtId="0" fontId="2" fillId="3" borderId="0" xfId="0" applyFont="1" applyFill="1" applyProtection="1">
      <protection locked="0"/>
    </xf>
    <xf numFmtId="167" fontId="4" fillId="3" borderId="0" xfId="0" applyNumberFormat="1" applyFont="1" applyFill="1" applyProtection="1">
      <protection locked="0"/>
    </xf>
    <xf numFmtId="172" fontId="21" fillId="0" borderId="0" xfId="0" applyNumberFormat="1" applyFont="1" applyAlignment="1" applyProtection="1">
      <alignment horizontal="left"/>
      <protection locked="0"/>
    </xf>
    <xf numFmtId="172" fontId="2" fillId="0" borderId="0" xfId="0" applyNumberFormat="1" applyFont="1" applyProtection="1">
      <protection locked="0"/>
    </xf>
    <xf numFmtId="172" fontId="21" fillId="7" borderId="0" xfId="0" applyNumberFormat="1" applyFont="1" applyFill="1" applyAlignment="1" applyProtection="1">
      <alignment horizontal="left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33" fillId="0" borderId="0" xfId="0" applyFont="1" applyAlignment="1" applyProtection="1">
      <alignment vertical="top"/>
      <protection locked="0"/>
    </xf>
    <xf numFmtId="49" fontId="21" fillId="0" borderId="0" xfId="0" applyNumberFormat="1" applyFont="1" applyAlignment="1" applyProtection="1">
      <alignment horizontal="left" wrapText="1"/>
      <protection locked="0"/>
    </xf>
    <xf numFmtId="14" fontId="21" fillId="0" borderId="0" xfId="0" applyNumberFormat="1" applyFont="1" applyAlignment="1" applyProtection="1">
      <alignment horizontal="left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167" fontId="2" fillId="0" borderId="0" xfId="0" applyNumberFormat="1" applyFont="1" applyAlignment="1" applyProtection="1">
      <alignment horizontal="right"/>
      <protection locked="0"/>
    </xf>
    <xf numFmtId="21" fontId="2" fillId="0" borderId="0" xfId="0" applyNumberFormat="1" applyFont="1" applyAlignment="1" applyProtection="1">
      <alignment horizontal="right"/>
      <protection locked="0"/>
    </xf>
    <xf numFmtId="49" fontId="21" fillId="7" borderId="0" xfId="0" applyNumberFormat="1" applyFont="1" applyFill="1" applyAlignment="1" applyProtection="1">
      <alignment horizontal="left"/>
      <protection locked="0"/>
    </xf>
    <xf numFmtId="166" fontId="8" fillId="10" borderId="8" xfId="0" applyNumberFormat="1" applyFont="1" applyFill="1" applyBorder="1"/>
    <xf numFmtId="165" fontId="8" fillId="10" borderId="8" xfId="0" applyNumberFormat="1" applyFont="1" applyFill="1" applyBorder="1"/>
    <xf numFmtId="171" fontId="21" fillId="7" borderId="0" xfId="0" applyNumberFormat="1" applyFont="1" applyFill="1" applyAlignment="1" applyProtection="1">
      <alignment horizontal="left"/>
      <protection locked="0"/>
    </xf>
    <xf numFmtId="172" fontId="24" fillId="0" borderId="0" xfId="0" applyNumberFormat="1" applyFont="1" applyAlignment="1" applyProtection="1">
      <alignment horizontal="left"/>
      <protection locked="0"/>
    </xf>
    <xf numFmtId="172" fontId="24" fillId="7" borderId="0" xfId="0" applyNumberFormat="1" applyFont="1" applyFill="1" applyAlignment="1">
      <alignment horizontal="left"/>
    </xf>
    <xf numFmtId="49" fontId="2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left" wrapText="1"/>
    </xf>
    <xf numFmtId="49" fontId="17" fillId="0" borderId="0" xfId="0" applyNumberFormat="1" applyFont="1" applyAlignment="1">
      <alignment horizontal="right"/>
    </xf>
    <xf numFmtId="49" fontId="17" fillId="7" borderId="0" xfId="0" applyNumberFormat="1" applyFont="1" applyFill="1" applyAlignment="1">
      <alignment horizontal="right"/>
    </xf>
    <xf numFmtId="21" fontId="19" fillId="0" borderId="0" xfId="0" applyNumberFormat="1" applyFont="1" applyAlignment="1">
      <alignment horizontal="right"/>
    </xf>
    <xf numFmtId="14" fontId="17" fillId="0" borderId="0" xfId="0" applyNumberFormat="1" applyFont="1" applyAlignment="1">
      <alignment horizontal="left"/>
    </xf>
    <xf numFmtId="49" fontId="17" fillId="7" borderId="0" xfId="0" applyNumberFormat="1" applyFont="1" applyFill="1"/>
    <xf numFmtId="14" fontId="19" fillId="0" borderId="0" xfId="0" applyNumberFormat="1" applyFont="1" applyAlignment="1">
      <alignment horizontal="left"/>
    </xf>
    <xf numFmtId="1" fontId="19" fillId="0" borderId="0" xfId="0" applyNumberFormat="1" applyFont="1"/>
    <xf numFmtId="174" fontId="19" fillId="0" borderId="0" xfId="0" applyNumberFormat="1" applyFont="1" applyAlignment="1">
      <alignment horizontal="left"/>
    </xf>
    <xf numFmtId="172" fontId="17" fillId="7" borderId="0" xfId="0" applyNumberFormat="1" applyFont="1" applyFill="1" applyAlignment="1">
      <alignment horizontal="left"/>
    </xf>
    <xf numFmtId="172" fontId="19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70" fontId="21" fillId="7" borderId="0" xfId="0" applyNumberFormat="1" applyFont="1" applyFill="1" applyAlignment="1">
      <alignment horizontal="right"/>
    </xf>
    <xf numFmtId="0" fontId="2" fillId="7" borderId="0" xfId="0" applyFont="1" applyFill="1" applyProtection="1">
      <protection locked="0"/>
    </xf>
    <xf numFmtId="170" fontId="2" fillId="7" borderId="0" xfId="0" applyNumberFormat="1" applyFont="1" applyFill="1" applyProtection="1">
      <protection locked="0"/>
    </xf>
    <xf numFmtId="169" fontId="2" fillId="7" borderId="0" xfId="0" applyNumberFormat="1" applyFont="1" applyFill="1" applyProtection="1">
      <protection locked="0"/>
    </xf>
    <xf numFmtId="164" fontId="2" fillId="7" borderId="0" xfId="0" applyNumberFormat="1" applyFont="1" applyFill="1" applyProtection="1">
      <protection locked="0"/>
    </xf>
    <xf numFmtId="10" fontId="2" fillId="7" borderId="0" xfId="0" applyNumberFormat="1" applyFont="1" applyFill="1" applyProtection="1">
      <protection locked="0"/>
    </xf>
    <xf numFmtId="2" fontId="8" fillId="0" borderId="0" xfId="0" applyNumberFormat="1" applyFont="1"/>
    <xf numFmtId="0" fontId="8" fillId="0" borderId="0" xfId="0" applyFont="1" applyAlignment="1">
      <alignment horizontal="right" wrapText="1"/>
    </xf>
    <xf numFmtId="0" fontId="8" fillId="6" borderId="8" xfId="0" applyFont="1" applyFill="1" applyBorder="1" applyAlignment="1" applyProtection="1">
      <alignment wrapText="1"/>
      <protection locked="0"/>
    </xf>
    <xf numFmtId="0" fontId="34" fillId="7" borderId="0" xfId="0" applyFont="1" applyFill="1" applyAlignment="1">
      <alignment horizontal="left"/>
    </xf>
    <xf numFmtId="0" fontId="27" fillId="11" borderId="0" xfId="4" applyFont="1" applyFill="1" applyAlignment="1">
      <alignment horizontal="left"/>
    </xf>
    <xf numFmtId="49" fontId="27" fillId="11" borderId="0" xfId="4" applyNumberFormat="1" applyFont="1" applyFill="1" applyAlignment="1">
      <alignment horizontal="left"/>
    </xf>
    <xf numFmtId="0" fontId="27" fillId="7" borderId="23" xfId="4" applyFont="1" applyFill="1" applyBorder="1" applyAlignment="1">
      <alignment horizontal="left" wrapText="1"/>
    </xf>
    <xf numFmtId="14" fontId="27" fillId="11" borderId="0" xfId="4" applyNumberFormat="1" applyFont="1" applyFill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27" fillId="0" borderId="24" xfId="4" applyFont="1" applyBorder="1" applyAlignment="1">
      <alignment horizontal="left" wrapText="1"/>
    </xf>
    <xf numFmtId="0" fontId="27" fillId="0" borderId="25" xfId="4" applyFont="1" applyBorder="1" applyAlignment="1">
      <alignment horizontal="left" wrapText="1"/>
    </xf>
    <xf numFmtId="14" fontId="27" fillId="0" borderId="24" xfId="4" applyNumberFormat="1" applyFont="1" applyBorder="1" applyAlignment="1">
      <alignment horizontal="left" wrapText="1"/>
    </xf>
    <xf numFmtId="0" fontId="27" fillId="0" borderId="23" xfId="4" applyFont="1" applyBorder="1" applyAlignment="1">
      <alignment horizontal="left" wrapText="1"/>
    </xf>
    <xf numFmtId="0" fontId="27" fillId="0" borderId="0" xfId="4" applyFont="1" applyAlignment="1">
      <alignment horizontal="left" wrapText="1"/>
    </xf>
    <xf numFmtId="14" fontId="27" fillId="0" borderId="0" xfId="4" applyNumberFormat="1" applyFont="1" applyAlignment="1">
      <alignment horizontal="left" wrapText="1"/>
    </xf>
    <xf numFmtId="20" fontId="27" fillId="0" borderId="25" xfId="4" applyNumberFormat="1" applyFont="1" applyBorder="1" applyAlignment="1">
      <alignment horizontal="left" wrapText="1"/>
    </xf>
    <xf numFmtId="20" fontId="27" fillId="0" borderId="24" xfId="4" applyNumberFormat="1" applyFont="1" applyBorder="1" applyAlignment="1">
      <alignment horizontal="left" wrapText="1"/>
    </xf>
    <xf numFmtId="0" fontId="2" fillId="0" borderId="0" xfId="3" applyFont="1" applyAlignment="1">
      <alignment horizontal="left" wrapText="1"/>
    </xf>
    <xf numFmtId="20" fontId="21" fillId="0" borderId="0" xfId="0" applyNumberFormat="1" applyFont="1" applyAlignment="1">
      <alignment horizontal="left"/>
    </xf>
    <xf numFmtId="20" fontId="27" fillId="0" borderId="0" xfId="4" applyNumberFormat="1" applyFont="1" applyAlignment="1">
      <alignment horizontal="left" wrapText="1"/>
    </xf>
    <xf numFmtId="164" fontId="0" fillId="0" borderId="0" xfId="0" applyNumberFormat="1" applyProtection="1">
      <protection locked="0"/>
    </xf>
    <xf numFmtId="0" fontId="35" fillId="0" borderId="0" xfId="0" applyFont="1" applyAlignment="1">
      <alignment vertical="center"/>
    </xf>
    <xf numFmtId="21" fontId="3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14" fontId="3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172" fontId="5" fillId="0" borderId="0" xfId="0" applyNumberFormat="1" applyFont="1" applyAlignment="1">
      <alignment horizontal="left"/>
    </xf>
    <xf numFmtId="172" fontId="35" fillId="0" borderId="0" xfId="0" applyNumberFormat="1" applyFont="1" applyAlignment="1">
      <alignment vertical="center"/>
    </xf>
    <xf numFmtId="21" fontId="31" fillId="0" borderId="0" xfId="0" applyNumberFormat="1" applyFont="1" applyAlignment="1">
      <alignment vertical="center"/>
    </xf>
    <xf numFmtId="175" fontId="21" fillId="0" borderId="0" xfId="0" applyNumberFormat="1" applyFont="1" applyAlignment="1">
      <alignment horizontal="right"/>
    </xf>
    <xf numFmtId="168" fontId="2" fillId="8" borderId="8" xfId="0" applyNumberFormat="1" applyFont="1" applyFill="1" applyBorder="1" applyProtection="1">
      <protection locked="0"/>
    </xf>
    <xf numFmtId="0" fontId="0" fillId="8" borderId="8" xfId="0" applyFill="1" applyBorder="1" applyProtection="1">
      <protection locked="0"/>
    </xf>
    <xf numFmtId="164" fontId="0" fillId="8" borderId="8" xfId="0" applyNumberFormat="1" applyFill="1" applyBorder="1" applyProtection="1">
      <protection locked="0"/>
    </xf>
    <xf numFmtId="168" fontId="0" fillId="8" borderId="8" xfId="0" applyNumberForma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7" fillId="11" borderId="0" xfId="4" applyFont="1" applyFill="1" applyAlignment="1">
      <alignment horizontal="right"/>
    </xf>
    <xf numFmtId="0" fontId="27" fillId="0" borderId="0" xfId="4" applyFont="1" applyAlignment="1">
      <alignment horizontal="right" wrapText="1"/>
    </xf>
    <xf numFmtId="0" fontId="21" fillId="0" borderId="0" xfId="0" applyFont="1" applyAlignment="1">
      <alignment horizontal="right"/>
    </xf>
    <xf numFmtId="0" fontId="27" fillId="0" borderId="26" xfId="4" applyFont="1" applyBorder="1" applyAlignment="1">
      <alignment horizontal="right" wrapText="1"/>
    </xf>
    <xf numFmtId="0" fontId="27" fillId="0" borderId="27" xfId="4" applyFont="1" applyBorder="1" applyAlignment="1">
      <alignment horizontal="right" wrapText="1"/>
    </xf>
    <xf numFmtId="0" fontId="27" fillId="0" borderId="28" xfId="4" applyFont="1" applyBorder="1" applyAlignment="1">
      <alignment horizontal="right" wrapText="1"/>
    </xf>
    <xf numFmtId="0" fontId="0" fillId="6" borderId="8" xfId="0" applyFill="1" applyBorder="1" applyProtection="1">
      <protection locked="0"/>
    </xf>
    <xf numFmtId="164" fontId="0" fillId="6" borderId="8" xfId="0" applyNumberFormat="1" applyFill="1" applyBorder="1" applyProtection="1">
      <protection locked="0"/>
    </xf>
    <xf numFmtId="168" fontId="0" fillId="6" borderId="8" xfId="0" applyNumberFormat="1" applyFill="1" applyBorder="1" applyProtection="1">
      <protection locked="0"/>
    </xf>
    <xf numFmtId="164" fontId="6" fillId="0" borderId="0" xfId="0" applyNumberFormat="1" applyFont="1" applyAlignment="1">
      <alignment horizontal="right"/>
    </xf>
    <xf numFmtId="165" fontId="12" fillId="0" borderId="0" xfId="0" applyNumberFormat="1" applyFont="1" applyProtection="1">
      <protection locked="0"/>
    </xf>
    <xf numFmtId="1" fontId="5" fillId="2" borderId="12" xfId="0" applyNumberFormat="1" applyFont="1" applyFill="1" applyBorder="1" applyAlignment="1">
      <alignment horizontal="center"/>
    </xf>
    <xf numFmtId="1" fontId="5" fillId="0" borderId="29" xfId="0" applyNumberFormat="1" applyFont="1" applyBorder="1" applyAlignment="1">
      <alignment horizontal="center"/>
    </xf>
    <xf numFmtId="1" fontId="5" fillId="2" borderId="13" xfId="0" applyNumberFormat="1" applyFont="1" applyFill="1" applyBorder="1" applyAlignment="1">
      <alignment horizontal="center"/>
    </xf>
    <xf numFmtId="1" fontId="5" fillId="2" borderId="16" xfId="0" applyNumberFormat="1" applyFont="1" applyFill="1" applyBorder="1" applyAlignment="1">
      <alignment horizontal="center"/>
    </xf>
    <xf numFmtId="46" fontId="5" fillId="2" borderId="29" xfId="0" applyNumberFormat="1" applyFont="1" applyFill="1" applyBorder="1" applyAlignment="1">
      <alignment horizontal="center"/>
    </xf>
    <xf numFmtId="1" fontId="4" fillId="0" borderId="0" xfId="0" applyNumberFormat="1" applyFont="1"/>
    <xf numFmtId="164" fontId="21" fillId="0" borderId="0" xfId="0" applyNumberFormat="1" applyFont="1" applyAlignment="1" applyProtection="1">
      <alignment horizontal="right"/>
      <protection locked="0"/>
    </xf>
    <xf numFmtId="0" fontId="2" fillId="0" borderId="30" xfId="0" applyFont="1" applyBorder="1" applyProtection="1">
      <protection locked="0"/>
    </xf>
    <xf numFmtId="2" fontId="2" fillId="5" borderId="9" xfId="0" applyNumberFormat="1" applyFont="1" applyFill="1" applyBorder="1" applyProtection="1">
      <protection locked="0"/>
    </xf>
    <xf numFmtId="2" fontId="2" fillId="6" borderId="8" xfId="0" applyNumberFormat="1" applyFont="1" applyFill="1" applyBorder="1" applyProtection="1">
      <protection locked="0"/>
    </xf>
    <xf numFmtId="2" fontId="2" fillId="5" borderId="8" xfId="0" applyNumberFormat="1" applyFont="1" applyFill="1" applyBorder="1" applyProtection="1">
      <protection locked="0"/>
    </xf>
    <xf numFmtId="2" fontId="2" fillId="6" borderId="9" xfId="0" applyNumberFormat="1" applyFont="1" applyFill="1" applyBorder="1" applyProtection="1">
      <protection locked="0"/>
    </xf>
    <xf numFmtId="2" fontId="0" fillId="5" borderId="8" xfId="0" applyNumberFormat="1" applyFill="1" applyBorder="1" applyProtection="1">
      <protection locked="0"/>
    </xf>
    <xf numFmtId="165" fontId="8" fillId="0" borderId="0" xfId="0" quotePrefix="1" applyNumberFormat="1" applyFont="1"/>
    <xf numFmtId="165" fontId="2" fillId="0" borderId="0" xfId="0" quotePrefix="1" applyNumberFormat="1" applyFont="1"/>
    <xf numFmtId="2" fontId="2" fillId="0" borderId="31" xfId="0" applyNumberFormat="1" applyFont="1" applyBorder="1"/>
    <xf numFmtId="164" fontId="2" fillId="0" borderId="31" xfId="0" applyNumberFormat="1" applyFont="1" applyBorder="1"/>
    <xf numFmtId="0" fontId="8" fillId="0" borderId="31" xfId="0" applyFont="1" applyBorder="1"/>
    <xf numFmtId="164" fontId="8" fillId="0" borderId="31" xfId="0" applyNumberFormat="1" applyFont="1" applyBorder="1" applyAlignment="1">
      <alignment horizontal="center"/>
    </xf>
    <xf numFmtId="165" fontId="8" fillId="0" borderId="0" xfId="0" applyNumberFormat="1" applyFont="1"/>
    <xf numFmtId="0" fontId="8" fillId="0" borderId="0" xfId="0" applyFont="1" applyBorder="1"/>
    <xf numFmtId="0" fontId="5" fillId="3" borderId="32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0" borderId="29" xfId="0" applyFont="1" applyBorder="1"/>
    <xf numFmtId="0" fontId="5" fillId="3" borderId="36" xfId="0" applyFont="1" applyFill="1" applyBorder="1" applyAlignment="1">
      <alignment horizontal="center"/>
    </xf>
    <xf numFmtId="21" fontId="5" fillId="0" borderId="12" xfId="0" applyNumberFormat="1" applyFont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0" borderId="15" xfId="0" applyFont="1" applyBorder="1"/>
    <xf numFmtId="46" fontId="5" fillId="0" borderId="29" xfId="0" applyNumberFormat="1" applyFont="1" applyBorder="1" applyAlignment="1">
      <alignment horizontal="center"/>
    </xf>
    <xf numFmtId="0" fontId="5" fillId="0" borderId="38" xfId="0" applyFont="1" applyBorder="1"/>
    <xf numFmtId="0" fontId="5" fillId="2" borderId="39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21" fontId="5" fillId="0" borderId="35" xfId="0" applyNumberFormat="1" applyFont="1" applyBorder="1" applyAlignment="1">
      <alignment horizontal="center"/>
    </xf>
    <xf numFmtId="164" fontId="5" fillId="2" borderId="42" xfId="0" applyNumberFormat="1" applyFont="1" applyFill="1" applyBorder="1" applyAlignment="1">
      <alignment horizontal="center"/>
    </xf>
    <xf numFmtId="164" fontId="5" fillId="0" borderId="41" xfId="0" applyNumberFormat="1" applyFont="1" applyFill="1" applyBorder="1" applyAlignment="1">
      <alignment horizontal="center"/>
    </xf>
    <xf numFmtId="164" fontId="5" fillId="2" borderId="41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29" xfId="0" applyFont="1" applyBorder="1" applyAlignment="1">
      <alignment horizontal="center"/>
    </xf>
  </cellXfs>
  <cellStyles count="5">
    <cellStyle name="Hyperlink" xfId="1" builtinId="8"/>
    <cellStyle name="Normal" xfId="0" builtinId="0"/>
    <cellStyle name="Normal 2" xfId="3" xr:uid="{878F7F4E-492D-4F3B-A364-F9B1260E49E0}"/>
    <cellStyle name="Normal 3" xfId="2" xr:uid="{FE8D59B6-968F-40EA-A053-A7A8873CE42A}"/>
    <cellStyle name="Normal_Mile" xfId="4" xr:uid="{477952DB-760F-4D53-B6BA-974D9359E675}"/>
  </cellStyles>
  <dxfs count="15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7461790107"/>
          <c:y val="2.0315800888505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0677238124339031"/>
          <c:w val="0.83588837677342542"/>
          <c:h val="0.7564334934683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Parameters!$A$39</c:f>
              <c:strCache>
                <c:ptCount val="1"/>
                <c:pt idx="0">
                  <c:v>Track: World Records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3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2.8033333333333337</c:v>
                </c:pt>
                <c:pt idx="7">
                  <c:v>2.8899999999999997</c:v>
                </c:pt>
                <c:pt idx="8">
                  <c:v>3.0738239127858749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Parameters!$A$40</c:f>
              <c:strCache>
                <c:ptCount val="1"/>
                <c:pt idx="0">
                  <c:v>Road: World Records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Parameters!$B$14:$B$33</c:f>
              <c:numCache>
                <c:formatCode>0.0000</c:formatCode>
                <c:ptCount val="20"/>
                <c:pt idx="0">
                  <c:v>1.6093440000000001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6.4373760000000004</c:v>
                </c:pt>
                <c:pt idx="5">
                  <c:v>8</c:v>
                </c:pt>
                <c:pt idx="6">
                  <c:v>8.0467200000000005</c:v>
                </c:pt>
                <c:pt idx="7">
                  <c:v>10</c:v>
                </c:pt>
                <c:pt idx="8">
                  <c:v>11.265408000000001</c:v>
                </c:pt>
                <c:pt idx="9">
                  <c:v>12</c:v>
                </c:pt>
                <c:pt idx="10">
                  <c:v>15</c:v>
                </c:pt>
                <c:pt idx="11">
                  <c:v>16.093440000000001</c:v>
                </c:pt>
                <c:pt idx="12">
                  <c:v>20</c:v>
                </c:pt>
                <c:pt idx="13">
                  <c:v>21.0975</c:v>
                </c:pt>
                <c:pt idx="14">
                  <c:v>25</c:v>
                </c:pt>
                <c:pt idx="15">
                  <c:v>30</c:v>
                </c:pt>
                <c:pt idx="16">
                  <c:v>42.195</c:v>
                </c:pt>
                <c:pt idx="17">
                  <c:v>50</c:v>
                </c:pt>
                <c:pt idx="18">
                  <c:v>80.467200000000005</c:v>
                </c:pt>
                <c:pt idx="19">
                  <c:v>100</c:v>
                </c:pt>
              </c:numCache>
            </c:numRef>
          </c:xVal>
          <c:yVal>
            <c:numRef>
              <c:f>Parameters!$C$14:$C$33</c:f>
              <c:numCache>
                <c:formatCode>0.0000</c:formatCode>
                <c:ptCount val="20"/>
                <c:pt idx="0">
                  <c:v>2.5683342612476467</c:v>
                </c:pt>
                <c:pt idx="1">
                  <c:v>2.3333333333333335</c:v>
                </c:pt>
                <c:pt idx="2">
                  <c:v>2.7800000000000002</c:v>
                </c:pt>
                <c:pt idx="5">
                  <c:v>3.0583333333333331</c:v>
                </c:pt>
                <c:pt idx="6">
                  <c:v>3.0447188419629359</c:v>
                </c:pt>
                <c:pt idx="7">
                  <c:v>2.8766666666666669</c:v>
                </c:pt>
                <c:pt idx="8">
                  <c:v>2.8849376782447647</c:v>
                </c:pt>
                <c:pt idx="9">
                  <c:v>3.1777777777777776</c:v>
                </c:pt>
                <c:pt idx="10">
                  <c:v>2.9555555555555557</c:v>
                </c:pt>
                <c:pt idx="11">
                  <c:v>3.0747517829210746</c:v>
                </c:pt>
                <c:pt idx="12">
                  <c:v>3.0708333333333337</c:v>
                </c:pt>
                <c:pt idx="13">
                  <c:v>2.9798159339574197</c:v>
                </c:pt>
                <c:pt idx="14">
                  <c:v>3.1513333333333331</c:v>
                </c:pt>
                <c:pt idx="15">
                  <c:v>3.2027777777777779</c:v>
                </c:pt>
                <c:pt idx="16">
                  <c:v>3.0793537938934312</c:v>
                </c:pt>
                <c:pt idx="17">
                  <c:v>3.7730000000000001</c:v>
                </c:pt>
                <c:pt idx="18">
                  <c:v>4.229052334367295</c:v>
                </c:pt>
                <c:pt idx="19">
                  <c:v>4.2061666666666664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E12-9C40-D202963D0D48}"/>
            </c:ext>
          </c:extLst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Adjusted pace road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Parameters!$B$13:$B$36</c:f>
              <c:numCache>
                <c:formatCode>0.0000</c:formatCode>
                <c:ptCount val="24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>
                  <c:v>8.0467200000000005</c:v>
                </c:pt>
                <c:pt idx="8">
                  <c:v>10</c:v>
                </c:pt>
                <c:pt idx="9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  <c:pt idx="18">
                  <c:v>50</c:v>
                </c:pt>
                <c:pt idx="19">
                  <c:v>80.467200000000005</c:v>
                </c:pt>
                <c:pt idx="20">
                  <c:v>100</c:v>
                </c:pt>
                <c:pt idx="21">
                  <c:v>150</c:v>
                </c:pt>
                <c:pt idx="22">
                  <c:v>160.93440000000001</c:v>
                </c:pt>
                <c:pt idx="23">
                  <c:v>200</c:v>
                </c:pt>
              </c:numCache>
            </c:numRef>
          </c:xVal>
          <c:yVal>
            <c:numRef>
              <c:f>Parameters!$J$13:$J$36</c:f>
              <c:numCache>
                <c:formatCode>0.0000</c:formatCode>
                <c:ptCount val="24"/>
                <c:pt idx="0">
                  <c:v>2.666666666666667</c:v>
                </c:pt>
                <c:pt idx="1">
                  <c:v>2.7029646862324026</c:v>
                </c:pt>
                <c:pt idx="2">
                  <c:v>2.75</c:v>
                </c:pt>
                <c:pt idx="3">
                  <c:v>2.7800000000000002</c:v>
                </c:pt>
                <c:pt idx="4">
                  <c:v>2.8000000000000003</c:v>
                </c:pt>
                <c:pt idx="5">
                  <c:v>2.8142936915082584</c:v>
                </c:pt>
                <c:pt idx="6">
                  <c:v>2.84375</c:v>
                </c:pt>
                <c:pt idx="7">
                  <c:v>2.8479512977544474</c:v>
                </c:pt>
                <c:pt idx="8">
                  <c:v>2.8766666666666669</c:v>
                </c:pt>
                <c:pt idx="9">
                  <c:v>2.8849376782447647</c:v>
                </c:pt>
                <c:pt idx="10">
                  <c:v>2.8944444444444448</c:v>
                </c:pt>
                <c:pt idx="11">
                  <c:v>2.9211111111111112</c:v>
                </c:pt>
                <c:pt idx="12">
                  <c:v>2.932872027360216</c:v>
                </c:pt>
                <c:pt idx="13">
                  <c:v>2.9641666666666668</c:v>
                </c:pt>
                <c:pt idx="14">
                  <c:v>2.9798159339574197</c:v>
                </c:pt>
                <c:pt idx="15">
                  <c:v>3</c:v>
                </c:pt>
                <c:pt idx="16">
                  <c:v>3.0277777777777781</c:v>
                </c:pt>
                <c:pt idx="17">
                  <c:v>3.0793537938934317</c:v>
                </c:pt>
                <c:pt idx="18">
                  <c:v>3.13</c:v>
                </c:pt>
                <c:pt idx="19">
                  <c:v>3.5418157957528029</c:v>
                </c:pt>
                <c:pt idx="20">
                  <c:v>3.9318333333333326</c:v>
                </c:pt>
                <c:pt idx="21">
                  <c:v>4.4111111111111114</c:v>
                </c:pt>
                <c:pt idx="22">
                  <c:v>4.5049411437206706</c:v>
                </c:pt>
                <c:pt idx="23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E-4342-B138-1EF2E16C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  <c:minorUnit val="10"/>
      </c:valAx>
      <c:valAx>
        <c:axId val="140955008"/>
        <c:scaling>
          <c:orientation val="minMax"/>
          <c:max val="4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3083453490802835"/>
          <c:h val="0.134381059176387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7613192031705571"/>
        </c:manualLayout>
      </c:layout>
      <c:scatterChart>
        <c:scatterStyle val="lineMarker"/>
        <c:varyColors val="0"/>
        <c:ser>
          <c:idx val="0"/>
          <c:order val="0"/>
          <c:tx>
            <c:v>World Record</c:v>
          </c:tx>
          <c:spPr>
            <a:ln>
              <a:noFill/>
            </a:ln>
          </c:spPr>
          <c:marker>
            <c:symbol val="diamond"/>
            <c:size val="9"/>
          </c:marker>
          <c:xVal>
            <c:numRef>
              <c:f>'20K'!$A$29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'20K'!$C$29</c:f>
              <c:numCache>
                <c:formatCode>0.000</c:formatCode>
                <c:ptCount val="1"/>
                <c:pt idx="0">
                  <c:v>61.416666666666671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C-40FD-87E3-2183D9667936}"/>
            </c:ext>
          </c:extLst>
        </c:ser>
        <c:ser>
          <c:idx val="1"/>
          <c:order val="1"/>
          <c:tx>
            <c:strRef>
              <c:f>'20K'!$C$6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'20K'!$C$7:$C$106</c:f>
              <c:numCache>
                <c:formatCode>General</c:formatCode>
                <c:ptCount val="100"/>
                <c:pt idx="6" formatCode="0.000">
                  <c:v>114.01666666666667</c:v>
                </c:pt>
                <c:pt idx="12" formatCode="0.000">
                  <c:v>84.533333333333331</c:v>
                </c:pt>
                <c:pt idx="13" formatCode="0.000">
                  <c:v>91.166666666666671</c:v>
                </c:pt>
                <c:pt idx="14" formatCode="0.000">
                  <c:v>87.5</c:v>
                </c:pt>
                <c:pt idx="15" formatCode="0.000">
                  <c:v>76.016666666666666</c:v>
                </c:pt>
                <c:pt idx="16" formatCode="0.000">
                  <c:v>69.683333333333337</c:v>
                </c:pt>
                <c:pt idx="17" formatCode="0.000">
                  <c:v>66.516666666666666</c:v>
                </c:pt>
                <c:pt idx="18" formatCode="0.000">
                  <c:v>66.399999999999991</c:v>
                </c:pt>
                <c:pt idx="19" formatCode="0.000">
                  <c:v>65.600000000000009</c:v>
                </c:pt>
                <c:pt idx="20" formatCode="0.000">
                  <c:v>64.650000000000006</c:v>
                </c:pt>
                <c:pt idx="21" formatCode="0.000">
                  <c:v>64.216666666666669</c:v>
                </c:pt>
                <c:pt idx="22" formatCode="0.000">
                  <c:v>61.416666666666671</c:v>
                </c:pt>
                <c:pt idx="23" formatCode="0.000">
                  <c:v>65.533333333333331</c:v>
                </c:pt>
                <c:pt idx="24" formatCode="0.000">
                  <c:v>63.783333333333339</c:v>
                </c:pt>
                <c:pt idx="25" formatCode="0.000">
                  <c:v>63.9</c:v>
                </c:pt>
                <c:pt idx="26" formatCode="0.000">
                  <c:v>64.316666666666663</c:v>
                </c:pt>
                <c:pt idx="27" formatCode="0.000">
                  <c:v>66.666666666666657</c:v>
                </c:pt>
                <c:pt idx="28" formatCode="0.000">
                  <c:v>65.05</c:v>
                </c:pt>
                <c:pt idx="29" formatCode="0.000">
                  <c:v>65.5</c:v>
                </c:pt>
                <c:pt idx="30" formatCode="0.000">
                  <c:v>65.7</c:v>
                </c:pt>
                <c:pt idx="31" formatCode="0.000">
                  <c:v>63.35</c:v>
                </c:pt>
                <c:pt idx="32" formatCode="0.000">
                  <c:v>67.066666666666663</c:v>
                </c:pt>
                <c:pt idx="33" formatCode="0.000">
                  <c:v>65.183333333333337</c:v>
                </c:pt>
                <c:pt idx="34" formatCode="0.000">
                  <c:v>67.2</c:v>
                </c:pt>
                <c:pt idx="35" formatCode="0.000">
                  <c:v>63.383333333333333</c:v>
                </c:pt>
                <c:pt idx="36" formatCode="0.000">
                  <c:v>67.016666666666666</c:v>
                </c:pt>
                <c:pt idx="37" formatCode="0.000">
                  <c:v>67.88333333333334</c:v>
                </c:pt>
                <c:pt idx="38" formatCode="0.000">
                  <c:v>65.350000000000009</c:v>
                </c:pt>
                <c:pt idx="39" formatCode="0.000">
                  <c:v>68.983333333333334</c:v>
                </c:pt>
                <c:pt idx="40" formatCode="0.000">
                  <c:v>65.866666666666674</c:v>
                </c:pt>
                <c:pt idx="41" formatCode="0.000">
                  <c:v>69.399999999999991</c:v>
                </c:pt>
                <c:pt idx="42" formatCode="0.000">
                  <c:v>71.483333333333334</c:v>
                </c:pt>
                <c:pt idx="43" formatCode="0.000">
                  <c:v>68.8</c:v>
                </c:pt>
                <c:pt idx="44" formatCode="0.000">
                  <c:v>67.349999999999994</c:v>
                </c:pt>
                <c:pt idx="45" formatCode="0.000">
                  <c:v>70.38333333333334</c:v>
                </c:pt>
                <c:pt idx="46" formatCode="0.000">
                  <c:v>74.45</c:v>
                </c:pt>
                <c:pt idx="47" formatCode="0.000">
                  <c:v>77.016666666666666</c:v>
                </c:pt>
                <c:pt idx="48" formatCode="0.000">
                  <c:v>69.7</c:v>
                </c:pt>
                <c:pt idx="49" formatCode="0.000">
                  <c:v>79.100000000000009</c:v>
                </c:pt>
                <c:pt idx="50" formatCode="0.000">
                  <c:v>77.2</c:v>
                </c:pt>
                <c:pt idx="51" formatCode="0.000">
                  <c:v>77.716666666666669</c:v>
                </c:pt>
                <c:pt idx="52" formatCode="0.000">
                  <c:v>81.36666666666666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83.449999999999989</c:v>
                </c:pt>
                <c:pt idx="57" formatCode="0.000">
                  <c:v>89.36666666666666</c:v>
                </c:pt>
                <c:pt idx="58" formatCode="0.000">
                  <c:v>77.333333333333329</c:v>
                </c:pt>
                <c:pt idx="59" formatCode="0.000">
                  <c:v>79.2</c:v>
                </c:pt>
                <c:pt idx="60" formatCode="0.000">
                  <c:v>86.61666666666666</c:v>
                </c:pt>
                <c:pt idx="61" formatCode="0.000">
                  <c:v>95.35</c:v>
                </c:pt>
                <c:pt idx="62" formatCode="0.000">
                  <c:v>96.51666666666668</c:v>
                </c:pt>
                <c:pt idx="63" formatCode="0.000">
                  <c:v>99.8</c:v>
                </c:pt>
                <c:pt idx="64" formatCode="0.000">
                  <c:v>87.75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105.53333333333333</c:v>
                </c:pt>
                <c:pt idx="69" formatCode="0.000">
                  <c:v>94.6</c:v>
                </c:pt>
                <c:pt idx="70" formatCode="0.000">
                  <c:v>116.85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114.95</c:v>
                </c:pt>
                <c:pt idx="74" formatCode="0.000">
                  <c:v>97.766666666666666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C-40FD-87E3-2183D9667936}"/>
            </c:ext>
          </c:extLst>
        </c:ser>
        <c:ser>
          <c:idx val="2"/>
          <c:order val="2"/>
          <c:tx>
            <c:strRef>
              <c:f>'20K'!$D$6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'20K'!$D$7:$D$106</c:f>
              <c:numCache>
                <c:formatCode>General</c:formatCode>
                <c:ptCount val="100"/>
                <c:pt idx="4" formatCode="0.000">
                  <c:v>96.629792506827272</c:v>
                </c:pt>
                <c:pt idx="5" formatCode="0.000">
                  <c:v>90.859388403064159</c:v>
                </c:pt>
                <c:pt idx="6" formatCode="0.000">
                  <c:v>85.99784476278839</c:v>
                </c:pt>
                <c:pt idx="7" formatCode="0.000">
                  <c:v>81.854737356098383</c:v>
                </c:pt>
                <c:pt idx="8" formatCode="0.000">
                  <c:v>78.297287595467665</c:v>
                </c:pt>
                <c:pt idx="9" formatCode="0.000">
                  <c:v>75.233422025633843</c:v>
                </c:pt>
                <c:pt idx="10" formatCode="0.000">
                  <c:v>72.577584164120495</c:v>
                </c:pt>
                <c:pt idx="11" formatCode="0.000">
                  <c:v>70.274994372869756</c:v>
                </c:pt>
                <c:pt idx="12" formatCode="0.000">
                  <c:v>68.269770880045328</c:v>
                </c:pt>
                <c:pt idx="13" formatCode="0.000">
                  <c:v>66.524239639645259</c:v>
                </c:pt>
                <c:pt idx="14" formatCode="0.000">
                  <c:v>65.013600753970536</c:v>
                </c:pt>
                <c:pt idx="15" formatCode="0.000">
                  <c:v>63.637797059974297</c:v>
                </c:pt>
                <c:pt idx="16" formatCode="0.000">
                  <c:v>62.319015591742939</c:v>
                </c:pt>
                <c:pt idx="17" formatCode="0.000">
                  <c:v>61.179797033372751</c:v>
                </c:pt>
                <c:pt idx="18" formatCode="0.000">
                  <c:v>60.326034448197724</c:v>
                </c:pt>
                <c:pt idx="19" formatCode="0.000">
                  <c:v>59.735570908302797</c:v>
                </c:pt>
                <c:pt idx="20" formatCode="0.000">
                  <c:v>59.39362051482464</c:v>
                </c:pt>
                <c:pt idx="21" formatCode="0.000">
                  <c:v>59.283333333333331</c:v>
                </c:pt>
                <c:pt idx="22" formatCode="0.000">
                  <c:v>59.283333333333331</c:v>
                </c:pt>
                <c:pt idx="23" formatCode="0.000">
                  <c:v>59.283333333333331</c:v>
                </c:pt>
                <c:pt idx="24" formatCode="0.000">
                  <c:v>59.283333333333331</c:v>
                </c:pt>
                <c:pt idx="25" formatCode="0.000">
                  <c:v>59.283333333333331</c:v>
                </c:pt>
                <c:pt idx="26" formatCode="0.000">
                  <c:v>59.283333333333331</c:v>
                </c:pt>
                <c:pt idx="27" formatCode="0.000">
                  <c:v>59.295192371807694</c:v>
                </c:pt>
                <c:pt idx="28" formatCode="0.000">
                  <c:v>59.336736396089812</c:v>
                </c:pt>
                <c:pt idx="29" formatCode="0.000">
                  <c:v>59.407664324945493</c:v>
                </c:pt>
                <c:pt idx="30" formatCode="0.000">
                  <c:v>59.508614416438057</c:v>
                </c:pt>
                <c:pt idx="31" formatCode="0.000">
                  <c:v>59.633893135947723</c:v>
                </c:pt>
                <c:pt idx="32" formatCode="0.000">
                  <c:v>59.789404092692337</c:v>
                </c:pt>
                <c:pt idx="33" formatCode="0.000">
                  <c:v>59.976051334065382</c:v>
                </c:pt>
                <c:pt idx="34" formatCode="0.000">
                  <c:v>60.188737732308681</c:v>
                </c:pt>
                <c:pt idx="35" formatCode="0.000">
                  <c:v>60.433284645029914</c:v>
                </c:pt>
                <c:pt idx="36" formatCode="0.000">
                  <c:v>60.71045247594423</c:v>
                </c:pt>
                <c:pt idx="37" formatCode="0.000">
                  <c:v>61.02156362005617</c:v>
                </c:pt>
                <c:pt idx="38" formatCode="0.000">
                  <c:v>61.361274076510711</c:v>
                </c:pt>
                <c:pt idx="39" formatCode="0.000">
                  <c:v>61.73691737668463</c:v>
                </c:pt>
                <c:pt idx="40" formatCode="0.000">
                  <c:v>62.149282342407936</c:v>
                </c:pt>
                <c:pt idx="41" formatCode="0.000">
                  <c:v>62.599753944837751</c:v>
                </c:pt>
                <c:pt idx="42" formatCode="0.000">
                  <c:v>63.084603766555233</c:v>
                </c:pt>
                <c:pt idx="43" formatCode="0.000">
                  <c:v>63.610155091877324</c:v>
                </c:pt>
                <c:pt idx="44" formatCode="0.000">
                  <c:v>64.179257570422678</c:v>
                </c:pt>
                <c:pt idx="45" formatCode="0.000">
                  <c:v>64.787450040661597</c:v>
                </c:pt>
                <c:pt idx="46" formatCode="0.000">
                  <c:v>65.44234776028253</c:v>
                </c:pt>
                <c:pt idx="47" formatCode="0.000">
                  <c:v>66.148031410624895</c:v>
                </c:pt>
                <c:pt idx="48" formatCode="0.000">
                  <c:v>66.906293858478605</c:v>
                </c:pt>
                <c:pt idx="49" formatCode="0.000">
                  <c:v>67.690976081067433</c:v>
                </c:pt>
                <c:pt idx="50" formatCode="0.000">
                  <c:v>68.501630503721742</c:v>
                </c:pt>
                <c:pt idx="51" formatCode="0.000">
                  <c:v>69.324989503201891</c:v>
                </c:pt>
                <c:pt idx="52" formatCode="0.000">
                  <c:v>70.175499447363322</c:v>
                </c:pt>
                <c:pt idx="53" formatCode="0.000">
                  <c:v>71.039233098304138</c:v>
                </c:pt>
                <c:pt idx="54" formatCode="0.000">
                  <c:v>71.933220885090577</c:v>
                </c:pt>
                <c:pt idx="55" formatCode="0.000">
                  <c:v>72.841045048391905</c:v>
                </c:pt>
                <c:pt idx="56" formatCode="0.000">
                  <c:v>73.781257581293815</c:v>
                </c:pt>
                <c:pt idx="57" formatCode="0.000">
                  <c:v>74.736636525493807</c:v>
                </c:pt>
                <c:pt idx="58" formatCode="0.000">
                  <c:v>75.7260617799339</c:v>
                </c:pt>
                <c:pt idx="59" formatCode="0.000">
                  <c:v>76.733524614772577</c:v>
                </c:pt>
                <c:pt idx="60" formatCode="0.000">
                  <c:v>77.776898199388697</c:v>
                </c:pt>
                <c:pt idx="61" formatCode="0.000">
                  <c:v>78.840051852572742</c:v>
                </c:pt>
                <c:pt idx="62" formatCode="0.000">
                  <c:v>79.941909499172226</c:v>
                </c:pt>
                <c:pt idx="63" formatCode="0.000">
                  <c:v>81.06470951948728</c:v>
                </c:pt>
                <c:pt idx="64" formatCode="0.000">
                  <c:v>82.230903260454539</c:v>
                </c:pt>
                <c:pt idx="65" formatCode="0.000">
                  <c:v>83.419400531078409</c:v>
                </c:pt>
                <c:pt idx="66" formatCode="0.000">
                  <c:v>84.6548434661659</c:v>
                </c:pt>
                <c:pt idx="67" formatCode="0.000">
                  <c:v>85.914977540797281</c:v>
                </c:pt>
                <c:pt idx="68" formatCode="0.000">
                  <c:v>87.225107767557304</c:v>
                </c:pt>
                <c:pt idx="69" formatCode="0.000">
                  <c:v>88.564474727305424</c:v>
                </c:pt>
                <c:pt idx="70" formatCode="0.000">
                  <c:v>89.957311061747617</c:v>
                </c:pt>
                <c:pt idx="71" formatCode="0.000">
                  <c:v>91.382585253013602</c:v>
                </c:pt>
                <c:pt idx="72" formatCode="0.000">
                  <c:v>92.866214041842085</c:v>
                </c:pt>
                <c:pt idx="73" formatCode="0.000">
                  <c:v>94.384858583221799</c:v>
                </c:pt>
                <c:pt idx="74" formatCode="0.000">
                  <c:v>95.969531066583116</c:v>
                </c:pt>
                <c:pt idx="75" formatCode="0.000">
                  <c:v>97.641627061467759</c:v>
                </c:pt>
                <c:pt idx="76" formatCode="0.000">
                  <c:v>99.506460031119857</c:v>
                </c:pt>
                <c:pt idx="77" formatCode="0.000">
                  <c:v>101.59789004252976</c:v>
                </c:pt>
                <c:pt idx="78" formatCode="0.000">
                  <c:v>103.90775246377949</c:v>
                </c:pt>
                <c:pt idx="79" formatCode="0.000">
                  <c:v>106.47786442092126</c:v>
                </c:pt>
                <c:pt idx="80" formatCode="0.000">
                  <c:v>109.35671558726563</c:v>
                </c:pt>
                <c:pt idx="81" formatCode="0.000">
                  <c:v>112.54645513868481</c:v>
                </c:pt>
                <c:pt idx="82" formatCode="0.000">
                  <c:v>116.10787668959729</c:v>
                </c:pt>
                <c:pt idx="83" formatCode="0.000">
                  <c:v>120.09637746889398</c:v>
                </c:pt>
                <c:pt idx="84" formatCode="0.000">
                  <c:v>124.60203804328735</c:v>
                </c:pt>
                <c:pt idx="85" formatCode="0.000">
                  <c:v>129.65715039756128</c:v>
                </c:pt>
                <c:pt idx="86" formatCode="0.000">
                  <c:v>135.38667696914263</c:v>
                </c:pt>
                <c:pt idx="87" formatCode="0.000">
                  <c:v>141.94637231546827</c:v>
                </c:pt>
                <c:pt idx="88" formatCode="0.000">
                  <c:v>149.44000417483588</c:v>
                </c:pt>
                <c:pt idx="89" formatCode="0.000">
                  <c:v>158.10555017656824</c:v>
                </c:pt>
                <c:pt idx="90" formatCode="0.000">
                  <c:v>168.25984223844515</c:v>
                </c:pt>
                <c:pt idx="91" formatCode="0.000">
                  <c:v>180.19445207319197</c:v>
                </c:pt>
                <c:pt idx="92" formatCode="0.000">
                  <c:v>194.45574417214067</c:v>
                </c:pt>
                <c:pt idx="93" formatCode="0.000">
                  <c:v>211.7719070886362</c:v>
                </c:pt>
                <c:pt idx="94" formatCode="0.000">
                  <c:v>233.29032570725201</c:v>
                </c:pt>
                <c:pt idx="95" formatCode="0.000">
                  <c:v>260.47504385108749</c:v>
                </c:pt>
                <c:pt idx="96" formatCode="0.000">
                  <c:v>296.00862963352182</c:v>
                </c:pt>
                <c:pt idx="97" formatCode="0.000">
                  <c:v>344.53289619368445</c:v>
                </c:pt>
                <c:pt idx="98" formatCode="0.000">
                  <c:v>414.12109335339858</c:v>
                </c:pt>
                <c:pt idx="99" formatCode="0.000">
                  <c:v>522.59429028601096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C-40FD-87E3-2183D966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635453044223878"/>
          <c:y val="0.2611365818740507"/>
          <c:w val="0.23917004021897359"/>
          <c:h val="0.120414414409516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405854239522441"/>
          <c:y val="3.61346117691295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2488542715633284"/>
          <c:w val="0.87617458395028214"/>
          <c:h val="0.74455047332418423"/>
        </c:manualLayout>
      </c:layout>
      <c:scatterChart>
        <c:scatterStyle val="lineMarker"/>
        <c:varyColors val="0"/>
        <c:ser>
          <c:idx val="3"/>
          <c:order val="0"/>
          <c:tx>
            <c:strRef>
              <c:f>H.Marathon!$F$6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102.55196001052356</c:v>
                </c:pt>
                <c:pt idx="5">
                  <c:v>96.994127600278702</c:v>
                </c:pt>
                <c:pt idx="6">
                  <c:v>92.242888920441104</c:v>
                </c:pt>
                <c:pt idx="7">
                  <c:v>88.162120595286567</c:v>
                </c:pt>
                <c:pt idx="8">
                  <c:v>84.625070557075247</c:v>
                </c:pt>
                <c:pt idx="9">
                  <c:v>81.534471218206164</c:v>
                </c:pt>
                <c:pt idx="10">
                  <c:v>78.852611562891937</c:v>
                </c:pt>
                <c:pt idx="11">
                  <c:v>76.494367910828529</c:v>
                </c:pt>
                <c:pt idx="12">
                  <c:v>74.426242028487422</c:v>
                </c:pt>
                <c:pt idx="13">
                  <c:v>72.620910649079676</c:v>
                </c:pt>
                <c:pt idx="14">
                  <c:v>71.040641516311283</c:v>
                </c:pt>
                <c:pt idx="15">
                  <c:v>69.594715229423315</c:v>
                </c:pt>
                <c:pt idx="16">
                  <c:v>68.206474190726155</c:v>
                </c:pt>
                <c:pt idx="17">
                  <c:v>67.003575357535752</c:v>
                </c:pt>
                <c:pt idx="18">
                  <c:v>66.096924068233463</c:v>
                </c:pt>
                <c:pt idx="19">
                  <c:v>65.464194545210276</c:v>
                </c:pt>
                <c:pt idx="20">
                  <c:v>65.090338309454637</c:v>
                </c:pt>
                <c:pt idx="21">
                  <c:v>64.966666666666669</c:v>
                </c:pt>
                <c:pt idx="22">
                  <c:v>64.966666666666669</c:v>
                </c:pt>
                <c:pt idx="23">
                  <c:v>64.966666666666669</c:v>
                </c:pt>
                <c:pt idx="24">
                  <c:v>64.966666666666669</c:v>
                </c:pt>
                <c:pt idx="25">
                  <c:v>64.966666666666669</c:v>
                </c:pt>
                <c:pt idx="26">
                  <c:v>64.966666666666669</c:v>
                </c:pt>
                <c:pt idx="27">
                  <c:v>64.966666666666669</c:v>
                </c:pt>
                <c:pt idx="28">
                  <c:v>64.966666666666669</c:v>
                </c:pt>
                <c:pt idx="29">
                  <c:v>64.986162515421299</c:v>
                </c:pt>
                <c:pt idx="30">
                  <c:v>65.03820869623253</c:v>
                </c:pt>
                <c:pt idx="31">
                  <c:v>65.122961774926495</c:v>
                </c:pt>
                <c:pt idx="32">
                  <c:v>65.240677512217985</c:v>
                </c:pt>
                <c:pt idx="33">
                  <c:v>65.39829541641501</c:v>
                </c:pt>
                <c:pt idx="34">
                  <c:v>65.596392030156167</c:v>
                </c:pt>
                <c:pt idx="35">
                  <c:v>65.822357311719017</c:v>
                </c:pt>
                <c:pt idx="36">
                  <c:v>66.090200067819609</c:v>
                </c:pt>
                <c:pt idx="37">
                  <c:v>66.394140691534659</c:v>
                </c:pt>
                <c:pt idx="38">
                  <c:v>66.735148091080291</c:v>
                </c:pt>
                <c:pt idx="39">
                  <c:v>67.121259083238627</c:v>
                </c:pt>
                <c:pt idx="40">
                  <c:v>67.546960560060995</c:v>
                </c:pt>
                <c:pt idx="41">
                  <c:v>68.013679508654377</c:v>
                </c:pt>
                <c:pt idx="42">
                  <c:v>68.530239099859358</c:v>
                </c:pt>
                <c:pt idx="43">
                  <c:v>69.091424722606263</c:v>
                </c:pt>
                <c:pt idx="44">
                  <c:v>69.699245431462998</c:v>
                </c:pt>
                <c:pt idx="45">
                  <c:v>70.36355103072313</c:v>
                </c:pt>
                <c:pt idx="46">
                  <c:v>71.079504011670309</c:v>
                </c:pt>
                <c:pt idx="47">
                  <c:v>71.849885718498854</c:v>
                </c:pt>
                <c:pt idx="48">
                  <c:v>72.677779020770402</c:v>
                </c:pt>
                <c:pt idx="49">
                  <c:v>73.533295604602912</c:v>
                </c:pt>
                <c:pt idx="50">
                  <c:v>74.409193295918755</c:v>
                </c:pt>
                <c:pt idx="51">
                  <c:v>75.306209188207561</c:v>
                </c:pt>
                <c:pt idx="52">
                  <c:v>76.225116351832298</c:v>
                </c:pt>
                <c:pt idx="53">
                  <c:v>77.166726056142849</c:v>
                </c:pt>
                <c:pt idx="54">
                  <c:v>78.131890158348369</c:v>
                </c:pt>
                <c:pt idx="55">
                  <c:v>79.121503673933333</c:v>
                </c:pt>
                <c:pt idx="56">
                  <c:v>80.136507544920036</c:v>
                </c:pt>
                <c:pt idx="57">
                  <c:v>81.177891623974347</c:v>
                </c:pt>
                <c:pt idx="58">
                  <c:v>82.246697894248214</c:v>
                </c:pt>
                <c:pt idx="59">
                  <c:v>83.344023946974559</c:v>
                </c:pt>
                <c:pt idx="60">
                  <c:v>84.471026741212668</c:v>
                </c:pt>
                <c:pt idx="61">
                  <c:v>85.628926672817542</c:v>
                </c:pt>
                <c:pt idx="62">
                  <c:v>86.81901198271639</c:v>
                </c:pt>
                <c:pt idx="63">
                  <c:v>88.042643537968104</c:v>
                </c:pt>
                <c:pt idx="64">
                  <c:v>89.301260022909503</c:v>
                </c:pt>
                <c:pt idx="65">
                  <c:v>90.596383582020181</c:v>
                </c:pt>
                <c:pt idx="66">
                  <c:v>91.929625961039577</c:v>
                </c:pt>
                <c:pt idx="67">
                  <c:v>93.302695198429788</c:v>
                </c:pt>
                <c:pt idx="68">
                  <c:v>94.717402925596545</c:v>
                </c:pt>
                <c:pt idx="69">
                  <c:v>96.175672341475448</c:v>
                </c:pt>
                <c:pt idx="70">
                  <c:v>97.67954693529795</c:v>
                </c:pt>
                <c:pt idx="71">
                  <c:v>99.231200040731139</c:v>
                </c:pt>
                <c:pt idx="72">
                  <c:v>100.8329453153293</c:v>
                </c:pt>
                <c:pt idx="73">
                  <c:v>102.4872482515644</c:v>
                </c:pt>
                <c:pt idx="74">
                  <c:v>104.19673883988237</c:v>
                </c:pt>
                <c:pt idx="75">
                  <c:v>105.96422552057849</c:v>
                </c:pt>
                <c:pt idx="76">
                  <c:v>107.8822096756338</c:v>
                </c:pt>
                <c:pt idx="77">
                  <c:v>110.00112879557513</c:v>
                </c:pt>
                <c:pt idx="78">
                  <c:v>112.37963443464223</c:v>
                </c:pt>
                <c:pt idx="79">
                  <c:v>115.02596789423986</c:v>
                </c:pt>
                <c:pt idx="80">
                  <c:v>117.97106712668726</c:v>
                </c:pt>
                <c:pt idx="81">
                  <c:v>121.2290850283013</c:v>
                </c:pt>
                <c:pt idx="82">
                  <c:v>124.8878636421889</c:v>
                </c:pt>
                <c:pt idx="83">
                  <c:v>128.97888955065847</c:v>
                </c:pt>
                <c:pt idx="84">
                  <c:v>133.53888317917097</c:v>
                </c:pt>
                <c:pt idx="85">
                  <c:v>138.69911756333619</c:v>
                </c:pt>
                <c:pt idx="86">
                  <c:v>144.49881376037959</c:v>
                </c:pt>
                <c:pt idx="87">
                  <c:v>151.12041560052725</c:v>
                </c:pt>
                <c:pt idx="88">
                  <c:v>158.68751017749554</c:v>
                </c:pt>
                <c:pt idx="89">
                  <c:v>167.35359780182037</c:v>
                </c:pt>
                <c:pt idx="90">
                  <c:v>177.45606846945282</c:v>
                </c:pt>
                <c:pt idx="91">
                  <c:v>189.24167394892709</c:v>
                </c:pt>
                <c:pt idx="92">
                  <c:v>203.27492699207343</c:v>
                </c:pt>
                <c:pt idx="93">
                  <c:v>220.07678410117433</c:v>
                </c:pt>
                <c:pt idx="94">
                  <c:v>240.61728395061726</c:v>
                </c:pt>
                <c:pt idx="95">
                  <c:v>266.36599699330327</c:v>
                </c:pt>
                <c:pt idx="96">
                  <c:v>299.2476585290957</c:v>
                </c:pt>
                <c:pt idx="97">
                  <c:v>343.01302358324534</c:v>
                </c:pt>
                <c:pt idx="98">
                  <c:v>403.51966873706004</c:v>
                </c:pt>
                <c:pt idx="99">
                  <c:v>492.91856348002023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H.Marathon!$A$7:$A$105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4">
                  <c:v>111.51666666666668</c:v>
                </c:pt>
                <c:pt idx="5">
                  <c:v>160.36666666666667</c:v>
                </c:pt>
                <c:pt idx="6">
                  <c:v>101</c:v>
                </c:pt>
                <c:pt idx="7">
                  <c:v>95.416666666666657</c:v>
                </c:pt>
                <c:pt idx="8">
                  <c:v>88.516666666666666</c:v>
                </c:pt>
                <c:pt idx="9">
                  <c:v>85.86666666666666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76.38333333333334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70.133333333333326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65.599999999999994</c:v>
                </c:pt>
                <c:pt idx="22">
                  <c:v>64.849999999999994</c:v>
                </c:pt>
                <c:pt idx="23">
                  <c:v>66.183333333333337</c:v>
                </c:pt>
                <c:pt idx="24">
                  <c:v>65.849999999999994</c:v>
                </c:pt>
                <c:pt idx="25">
                  <c:v>64.816666666666663</c:v>
                </c:pt>
                <c:pt idx="26">
                  <c:v>65.150000000000006</c:v>
                </c:pt>
                <c:pt idx="27">
                  <c:v>64.516666666666666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65.866666666666674</c:v>
                </c:pt>
                <c:pt idx="31">
                  <c:v>66.11666666666666</c:v>
                </c:pt>
                <c:pt idx="32">
                  <c:v>66.033333333333331</c:v>
                </c:pt>
                <c:pt idx="33">
                  <c:v>67.433333333333337</c:v>
                </c:pt>
                <c:pt idx="34">
                  <c:v>65.216666666666669</c:v>
                </c:pt>
                <c:pt idx="35">
                  <c:v>68.350000000000009</c:v>
                </c:pt>
                <c:pt idx="36">
                  <c:v>68.916666666666671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69.966666666666669</c:v>
                </c:pt>
                <c:pt idx="42">
                  <c:v>71.899999999999991</c:v>
                </c:pt>
                <c:pt idx="43">
                  <c:v>72.05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80.216666666666669</c:v>
                </c:pt>
                <c:pt idx="53">
                  <c:v>79.800000000000011</c:v>
                </c:pt>
                <c:pt idx="54">
                  <c:v>79.649999999999991</c:v>
                </c:pt>
                <c:pt idx="55">
                  <c:v>80.099999999999994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86</c:v>
                </c:pt>
                <c:pt idx="59">
                  <c:v>84.933333333333337</c:v>
                </c:pt>
                <c:pt idx="60">
                  <c:v>86.516666666666666</c:v>
                </c:pt>
                <c:pt idx="61">
                  <c:v>86.883333333333326</c:v>
                </c:pt>
                <c:pt idx="62">
                  <c:v>87.95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95.199999999999989</c:v>
                </c:pt>
                <c:pt idx="69">
                  <c:v>97.633333333333326</c:v>
                </c:pt>
                <c:pt idx="70">
                  <c:v>97.016666666666666</c:v>
                </c:pt>
                <c:pt idx="71">
                  <c:v>105.7</c:v>
                </c:pt>
                <c:pt idx="72">
                  <c:v>101</c:v>
                </c:pt>
                <c:pt idx="73">
                  <c:v>109.96666666666668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125.89999999999999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136.45000000000002</c:v>
                </c:pt>
                <c:pt idx="83">
                  <c:v>143.6</c:v>
                </c:pt>
                <c:pt idx="84">
                  <c:v>132.61666666666667</c:v>
                </c:pt>
                <c:pt idx="86">
                  <c:v>163.5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C-4C75-B7E1-ED15D6A02F36}"/>
            </c:ext>
          </c:extLst>
        </c:ser>
        <c:ser>
          <c:idx val="0"/>
          <c:order val="2"/>
          <c:tx>
            <c:strRef>
              <c:f>H.Marathon!$C$6</c:f>
              <c:strCache>
                <c:ptCount val="1"/>
                <c:pt idx="0">
                  <c:v>2025 Bernhard Single age Bests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H.Marathon!$C$7:$C$106</c:f>
              <c:numCache>
                <c:formatCode>General</c:formatCode>
                <c:ptCount val="100"/>
                <c:pt idx="4" formatCode="0.000">
                  <c:v>111.51666666666667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75.233333333333334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64.233333333333334</c:v>
                </c:pt>
                <c:pt idx="20" formatCode="0.000">
                  <c:v>66.816666666666663</c:v>
                </c:pt>
                <c:pt idx="21" formatCode="0.000">
                  <c:v>63.85</c:v>
                </c:pt>
                <c:pt idx="22" formatCode="0.000">
                  <c:v>62.866666666666667</c:v>
                </c:pt>
                <c:pt idx="23" formatCode="0.000">
                  <c:v>66.183333333333337</c:v>
                </c:pt>
                <c:pt idx="24" formatCode="0.000">
                  <c:v>65.850000000000009</c:v>
                </c:pt>
                <c:pt idx="25" formatCode="0.000">
                  <c:v>64.033333333333331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64.8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67.25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69.766666666666666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79.63333333333334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84.316666666666663</c:v>
                </c:pt>
                <c:pt idx="58" formatCode="0.000">
                  <c:v>85.983333333333334</c:v>
                </c:pt>
                <c:pt idx="59" formatCode="0.000">
                  <c:v>83.649999999999991</c:v>
                </c:pt>
                <c:pt idx="60" formatCode="0.000">
                  <c:v>82.550000000000011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92.933333333333323</c:v>
                </c:pt>
                <c:pt idx="65" formatCode="0.000">
                  <c:v>94.73333333333332</c:v>
                </c:pt>
                <c:pt idx="66" formatCode="0.000">
                  <c:v>93.716666666666669</c:v>
                </c:pt>
                <c:pt idx="67" formatCode="0.000">
                  <c:v>91.63333333333334</c:v>
                </c:pt>
                <c:pt idx="68" formatCode="0.000">
                  <c:v>95.199999999999989</c:v>
                </c:pt>
                <c:pt idx="69" formatCode="0.000">
                  <c:v>97.63333333333334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109.96666666666665</c:v>
                </c:pt>
                <c:pt idx="74" formatCode="0.000">
                  <c:v>103.14999999999999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</c:v>
                </c:pt>
                <c:pt idx="78" formatCode="0.000">
                  <c:v>125.88333333333334</c:v>
                </c:pt>
                <c:pt idx="79" formatCode="0.000">
                  <c:v>124.31666666666666</c:v>
                </c:pt>
                <c:pt idx="80" formatCode="0.000">
                  <c:v>125.33333333333333</c:v>
                </c:pt>
                <c:pt idx="81" formatCode="0.000">
                  <c:v>136.1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5" formatCode="0.000">
                  <c:v>162.94999999999999</c:v>
                </c:pt>
                <c:pt idx="86" formatCode="0.000">
                  <c:v>163.5</c:v>
                </c:pt>
                <c:pt idx="87" formatCode="0.000">
                  <c:v>172.6</c:v>
                </c:pt>
                <c:pt idx="92" formatCode="0.000">
                  <c:v>289.41666666666663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BC-4C75-B7E1-ED15D6A02F36}"/>
            </c:ext>
          </c:extLst>
        </c:ser>
        <c:ser>
          <c:idx val="4"/>
          <c:order val="3"/>
          <c:tx>
            <c:strRef>
              <c:f>H.Marathon!$D$6</c:f>
              <c:strCache>
                <c:ptCount val="1"/>
                <c:pt idx="0">
                  <c:v>2025 Age-Grade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4" formatCode="0.000">
                  <c:v>103.39912280701755</c:v>
                </c:pt>
                <c:pt idx="5" formatCode="0.000">
                  <c:v>97.106374214807957</c:v>
                </c:pt>
                <c:pt idx="6" formatCode="0.000">
                  <c:v>91.816367265469069</c:v>
                </c:pt>
                <c:pt idx="7" formatCode="0.000">
                  <c:v>87.314814814814824</c:v>
                </c:pt>
                <c:pt idx="8" formatCode="0.000">
                  <c:v>83.455020133634235</c:v>
                </c:pt>
                <c:pt idx="9" formatCode="0.000">
                  <c:v>80.135967707669437</c:v>
                </c:pt>
                <c:pt idx="10" formatCode="0.000">
                  <c:v>77.260251525951418</c:v>
                </c:pt>
                <c:pt idx="11" formatCode="0.000">
                  <c:v>74.770060260069769</c:v>
                </c:pt>
                <c:pt idx="12" formatCode="0.000">
                  <c:v>72.602686992339372</c:v>
                </c:pt>
                <c:pt idx="13" formatCode="0.000">
                  <c:v>70.716160479940001</c:v>
                </c:pt>
                <c:pt idx="14" formatCode="0.000">
                  <c:v>69.08424908424908</c:v>
                </c:pt>
                <c:pt idx="15" formatCode="0.000">
                  <c:v>67.598566308243718</c:v>
                </c:pt>
                <c:pt idx="16" formatCode="0.000">
                  <c:v>66.175438596491233</c:v>
                </c:pt>
                <c:pt idx="17" formatCode="0.000">
                  <c:v>64.944903581267226</c:v>
                </c:pt>
                <c:pt idx="18" formatCode="0.000">
                  <c:v>64.019008825526143</c:v>
                </c:pt>
                <c:pt idx="19" formatCode="0.000">
                  <c:v>63.373655913978496</c:v>
                </c:pt>
                <c:pt idx="20" formatCode="0.000">
                  <c:v>62.992651970607881</c:v>
                </c:pt>
                <c:pt idx="21" formatCode="0.000">
                  <c:v>62.866666666666667</c:v>
                </c:pt>
                <c:pt idx="22" formatCode="0.000">
                  <c:v>62.866666666666667</c:v>
                </c:pt>
                <c:pt idx="23" formatCode="0.000">
                  <c:v>62.866666666666667</c:v>
                </c:pt>
                <c:pt idx="24" formatCode="0.000">
                  <c:v>62.866666666666667</c:v>
                </c:pt>
                <c:pt idx="25" formatCode="0.000">
                  <c:v>62.866666666666667</c:v>
                </c:pt>
                <c:pt idx="26" formatCode="0.000">
                  <c:v>62.866666666666667</c:v>
                </c:pt>
                <c:pt idx="27" formatCode="0.000">
                  <c:v>62.8792425151697</c:v>
                </c:pt>
                <c:pt idx="28" formatCode="0.000">
                  <c:v>62.923297634537754</c:v>
                </c:pt>
                <c:pt idx="29" formatCode="0.000">
                  <c:v>62.998964492100079</c:v>
                </c:pt>
                <c:pt idx="30" formatCode="0.000">
                  <c:v>63.106471257444959</c:v>
                </c:pt>
                <c:pt idx="31" formatCode="0.000">
                  <c:v>63.239781376789729</c:v>
                </c:pt>
                <c:pt idx="32" formatCode="0.000">
                  <c:v>63.405614388972936</c:v>
                </c:pt>
                <c:pt idx="33" formatCode="0.000">
                  <c:v>63.604478618642929</c:v>
                </c:pt>
                <c:pt idx="34" formatCode="0.000">
                  <c:v>63.830507327309036</c:v>
                </c:pt>
                <c:pt idx="35" formatCode="0.000">
                  <c:v>64.090800965100073</c:v>
                </c:pt>
                <c:pt idx="36" formatCode="0.000">
                  <c:v>64.386180527106376</c:v>
                </c:pt>
                <c:pt idx="37" formatCode="0.000">
                  <c:v>64.71758973303136</c:v>
                </c:pt>
                <c:pt idx="38" formatCode="0.000">
                  <c:v>65.079365079365076</c:v>
                </c:pt>
                <c:pt idx="39" formatCode="0.000">
                  <c:v>65.479290351699476</c:v>
                </c:pt>
                <c:pt idx="40" formatCode="0.000">
                  <c:v>65.918702596903287</c:v>
                </c:pt>
                <c:pt idx="41" formatCode="0.000">
                  <c:v>66.39909871849035</c:v>
                </c:pt>
                <c:pt idx="42" formatCode="0.000">
                  <c:v>66.915025722902257</c:v>
                </c:pt>
                <c:pt idx="43" formatCode="0.000">
                  <c:v>67.475224500017887</c:v>
                </c:pt>
                <c:pt idx="44" formatCode="0.000">
                  <c:v>68.081726951122661</c:v>
                </c:pt>
                <c:pt idx="45" formatCode="0.000">
                  <c:v>68.729273714514775</c:v>
                </c:pt>
                <c:pt idx="46" formatCode="0.000">
                  <c:v>69.427572243695934</c:v>
                </c:pt>
                <c:pt idx="47" formatCode="0.000">
                  <c:v>70.179355510902724</c:v>
                </c:pt>
                <c:pt idx="48" formatCode="0.000">
                  <c:v>70.987654320987644</c:v>
                </c:pt>
                <c:pt idx="49" formatCode="0.000">
                  <c:v>71.822994021097529</c:v>
                </c:pt>
                <c:pt idx="50" formatCode="0.000">
                  <c:v>72.686630438971747</c:v>
                </c:pt>
                <c:pt idx="51" formatCode="0.000">
                  <c:v>73.562680396286765</c:v>
                </c:pt>
                <c:pt idx="52" formatCode="0.000">
                  <c:v>74.468925215193877</c:v>
                </c:pt>
                <c:pt idx="53" formatCode="0.000">
                  <c:v>75.388735659751376</c:v>
                </c:pt>
                <c:pt idx="54" formatCode="0.000">
                  <c:v>76.340821696012952</c:v>
                </c:pt>
                <c:pt idx="55" formatCode="0.000">
                  <c:v>77.307755369732746</c:v>
                </c:pt>
                <c:pt idx="56" formatCode="0.000">
                  <c:v>78.309250954990873</c:v>
                </c:pt>
                <c:pt idx="57" formatCode="0.000">
                  <c:v>79.327024185068353</c:v>
                </c:pt>
                <c:pt idx="58" formatCode="0.000">
                  <c:v>80.381877850232286</c:v>
                </c:pt>
                <c:pt idx="59" formatCode="0.000">
                  <c:v>81.454608275028065</c:v>
                </c:pt>
                <c:pt idx="60" formatCode="0.000">
                  <c:v>82.567200770510468</c:v>
                </c:pt>
                <c:pt idx="61" formatCode="0.000">
                  <c:v>83.699463009807843</c:v>
                </c:pt>
                <c:pt idx="62" formatCode="0.000">
                  <c:v>84.874668106745872</c:v>
                </c:pt>
                <c:pt idx="63" formatCode="0.000">
                  <c:v>86.071558963125227</c:v>
                </c:pt>
                <c:pt idx="64" formatCode="0.000">
                  <c:v>87.314814814814824</c:v>
                </c:pt>
                <c:pt idx="65" formatCode="0.000">
                  <c:v>88.582029965713218</c:v>
                </c:pt>
                <c:pt idx="66" formatCode="0.000">
                  <c:v>89.899423232756561</c:v>
                </c:pt>
                <c:pt idx="67" formatCode="0.000">
                  <c:v>91.243347847121441</c:v>
                </c:pt>
                <c:pt idx="68" formatCode="0.000">
                  <c:v>92.641713331368507</c:v>
                </c:pt>
                <c:pt idx="69" formatCode="0.000">
                  <c:v>94.069529652351733</c:v>
                </c:pt>
                <c:pt idx="70" formatCode="0.000">
                  <c:v>95.55656888078228</c:v>
                </c:pt>
                <c:pt idx="71" formatCode="0.000">
                  <c:v>97.076384599547055</c:v>
                </c:pt>
                <c:pt idx="72" formatCode="0.000">
                  <c:v>98.660807700355718</c:v>
                </c:pt>
                <c:pt idx="73" formatCode="0.000">
                  <c:v>100.28180996437497</c:v>
                </c:pt>
                <c:pt idx="74" formatCode="0.000">
                  <c:v>101.97350635306839</c:v>
                </c:pt>
                <c:pt idx="75" formatCode="0.000">
                  <c:v>103.75749573637015</c:v>
                </c:pt>
                <c:pt idx="76" formatCode="0.000">
                  <c:v>105.7471264367816</c:v>
                </c:pt>
                <c:pt idx="77" formatCode="0.000">
                  <c:v>107.98122065727699</c:v>
                </c:pt>
                <c:pt idx="78" formatCode="0.000">
                  <c:v>110.44741157179666</c:v>
                </c:pt>
                <c:pt idx="79" formatCode="0.000">
                  <c:v>113.19169367422879</c:v>
                </c:pt>
                <c:pt idx="80" formatCode="0.000">
                  <c:v>116.2690339683127</c:v>
                </c:pt>
                <c:pt idx="81" formatCode="0.000">
                  <c:v>119.67764452059141</c:v>
                </c:pt>
                <c:pt idx="82" formatCode="0.000">
                  <c:v>123.48589013291429</c:v>
                </c:pt>
                <c:pt idx="83" formatCode="0.000">
                  <c:v>127.75181196233828</c:v>
                </c:pt>
                <c:pt idx="84" formatCode="0.000">
                  <c:v>132.574159988753</c:v>
                </c:pt>
                <c:pt idx="85" formatCode="0.000">
                  <c:v>137.98653789874157</c:v>
                </c:pt>
                <c:pt idx="86" formatCode="0.000">
                  <c:v>144.123490753477</c:v>
                </c:pt>
                <c:pt idx="87" formatCode="0.000">
                  <c:v>151.15813096096818</c:v>
                </c:pt>
                <c:pt idx="88" formatCode="0.000">
                  <c:v>159.19642103486115</c:v>
                </c:pt>
                <c:pt idx="89" formatCode="0.000">
                  <c:v>168.4981684981685</c:v>
                </c:pt>
                <c:pt idx="90" formatCode="0.000">
                  <c:v>179.41400304414003</c:v>
                </c:pt>
                <c:pt idx="91" formatCode="0.000">
                  <c:v>192.25280326197756</c:v>
                </c:pt>
                <c:pt idx="92" formatCode="0.000">
                  <c:v>207.61778952003522</c:v>
                </c:pt>
                <c:pt idx="93" formatCode="0.000">
                  <c:v>226.30189584833215</c:v>
                </c:pt>
                <c:pt idx="94" formatCode="0.000">
                  <c:v>249.56993515945479</c:v>
                </c:pt>
                <c:pt idx="95" formatCode="0.000">
                  <c:v>279.03536026039353</c:v>
                </c:pt>
                <c:pt idx="96" formatCode="0.000">
                  <c:v>317.66885632474316</c:v>
                </c:pt>
                <c:pt idx="97" formatCode="0.000">
                  <c:v>370.67610062893084</c:v>
                </c:pt>
                <c:pt idx="98" formatCode="0.000">
                  <c:v>447.13134186818399</c:v>
                </c:pt>
                <c:pt idx="99" formatCode="0.000">
                  <c:v>567.38868832731646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BC-4C75-B7E1-ED15D6A02F36}"/>
            </c:ext>
          </c:extLst>
        </c:ser>
        <c:ser>
          <c:idx val="1"/>
          <c:order val="4"/>
          <c:tx>
            <c:v>World Record</c:v>
          </c:tx>
          <c:spPr>
            <a:ln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H.Marathon!$C$29</c:f>
              <c:numCache>
                <c:formatCode>0.000</c:formatCode>
                <c:ptCount val="1"/>
                <c:pt idx="0">
                  <c:v>62.866666666666667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8-42DD-A05D-BCF703AE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  <c:extLst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20"/>
          <c:min val="6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158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01226083687602"/>
          <c:y val="0.14745778063972023"/>
          <c:w val="0.37883731852468094"/>
          <c:h val="0.280336400026488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'25K'!$B$6</c:f>
              <c:strCache>
                <c:ptCount val="1"/>
                <c:pt idx="0">
                  <c:v>Berhard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8" formatCode="0.000">
                  <c:v>139.88333333333333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95.9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85.183333333333337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84.616666666666674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78.783333333333331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94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97.999999999999986</c:v>
                </c:pt>
                <c:pt idx="49" formatCode="0.000">
                  <c:v>104.91666666666667</c:v>
                </c:pt>
                <c:pt idx="50" formatCode="0.000">
                  <c:v>96.633333333333326</c:v>
                </c:pt>
                <c:pt idx="51" formatCode="0.000">
                  <c:v>101.65</c:v>
                </c:pt>
                <c:pt idx="52" formatCode="0.000">
                  <c:v>96.75</c:v>
                </c:pt>
                <c:pt idx="53" formatCode="0.000">
                  <c:v>105.23333333333333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110.9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99.399999999999991</c:v>
                </c:pt>
                <c:pt idx="60" formatCode="0.000">
                  <c:v>110.83333333333333</c:v>
                </c:pt>
                <c:pt idx="61" formatCode="0.000">
                  <c:v>118.4</c:v>
                </c:pt>
                <c:pt idx="62" formatCode="0.000">
                  <c:v>122.53333333333333</c:v>
                </c:pt>
                <c:pt idx="63" formatCode="0.000">
                  <c:v>122.73333333333333</c:v>
                </c:pt>
                <c:pt idx="64" formatCode="0.000">
                  <c:v>123.88333333333333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130.88333333333335</c:v>
                </c:pt>
                <c:pt idx="68" formatCode="0.000">
                  <c:v>140.35</c:v>
                </c:pt>
                <c:pt idx="69" formatCode="0.000">
                  <c:v>118.86666666666667</c:v>
                </c:pt>
                <c:pt idx="70" formatCode="0.000">
                  <c:v>151.91666666666666</c:v>
                </c:pt>
                <c:pt idx="71" formatCode="0.000">
                  <c:v>146.21666666666667</c:v>
                </c:pt>
                <c:pt idx="72" formatCode="0.000">
                  <c:v>148.48333333333335</c:v>
                </c:pt>
                <c:pt idx="73" formatCode="0.000">
                  <c:v>150.18333333333334</c:v>
                </c:pt>
                <c:pt idx="74" formatCode="0.000">
                  <c:v>122.2</c:v>
                </c:pt>
                <c:pt idx="75" formatCode="0.000">
                  <c:v>149.56666666666666</c:v>
                </c:pt>
                <c:pt idx="76" formatCode="0.000">
                  <c:v>162.41666666666666</c:v>
                </c:pt>
                <c:pt idx="77" formatCode="0.000">
                  <c:v>169.8</c:v>
                </c:pt>
                <c:pt idx="78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126.80223655359693</c:v>
                </c:pt>
                <c:pt idx="5" formatCode="0.000">
                  <c:v>118.53797396421872</c:v>
                </c:pt>
                <c:pt idx="6" formatCode="0.000">
                  <c:v>111.67765330643785</c:v>
                </c:pt>
                <c:pt idx="7" formatCode="0.000">
                  <c:v>105.9025957166499</c:v>
                </c:pt>
                <c:pt idx="8" formatCode="0.000">
                  <c:v>101.00651862198504</c:v>
                </c:pt>
                <c:pt idx="9" formatCode="0.000">
                  <c:v>96.832373048165849</c:v>
                </c:pt>
                <c:pt idx="10" formatCode="0.000">
                  <c:v>93.254752359943708</c:v>
                </c:pt>
                <c:pt idx="11" formatCode="0.000">
                  <c:v>90.182993842851189</c:v>
                </c:pt>
                <c:pt idx="12" formatCode="0.000">
                  <c:v>87.54090073808149</c:v>
                </c:pt>
                <c:pt idx="13" formatCode="0.000">
                  <c:v>85.266269642698219</c:v>
                </c:pt>
                <c:pt idx="14" formatCode="0.000">
                  <c:v>83.325618277414563</c:v>
                </c:pt>
                <c:pt idx="15" formatCode="0.000">
                  <c:v>81.570796462585918</c:v>
                </c:pt>
                <c:pt idx="16" formatCode="0.000">
                  <c:v>79.888362604341893</c:v>
                </c:pt>
                <c:pt idx="17" formatCode="0.000">
                  <c:v>78.397499477479855</c:v>
                </c:pt>
                <c:pt idx="18" formatCode="0.000">
                  <c:v>77.200549489597663</c:v>
                </c:pt>
                <c:pt idx="19" formatCode="0.000">
                  <c:v>76.295980052303989</c:v>
                </c:pt>
                <c:pt idx="20" formatCode="0.000">
                  <c:v>75.690701173486971</c:v>
                </c:pt>
                <c:pt idx="21" formatCode="0.000">
                  <c:v>75.3672370541655</c:v>
                </c:pt>
                <c:pt idx="22" formatCode="0.000">
                  <c:v>75.20624467773159</c:v>
                </c:pt>
                <c:pt idx="23" formatCode="0.000">
                  <c:v>75.091933568015321</c:v>
                </c:pt>
                <c:pt idx="24" formatCode="0.000">
                  <c:v>75.022043520723287</c:v>
                </c:pt>
                <c:pt idx="25" formatCode="0.000">
                  <c:v>75</c:v>
                </c:pt>
                <c:pt idx="26" formatCode="0.000">
                  <c:v>75</c:v>
                </c:pt>
                <c:pt idx="27" formatCode="0.000">
                  <c:v>75.015003000600117</c:v>
                </c:pt>
                <c:pt idx="28" formatCode="0.000">
                  <c:v>75.065721119474858</c:v>
                </c:pt>
                <c:pt idx="29" formatCode="0.000">
                  <c:v>75.150455539408227</c:v>
                </c:pt>
                <c:pt idx="30" formatCode="0.000">
                  <c:v>75.271286384883496</c:v>
                </c:pt>
                <c:pt idx="31" formatCode="0.000">
                  <c:v>75.422833433536738</c:v>
                </c:pt>
                <c:pt idx="32" formatCode="0.000">
                  <c:v>75.611221815839301</c:v>
                </c:pt>
                <c:pt idx="33" formatCode="0.000">
                  <c:v>75.837000162264275</c:v>
                </c:pt>
                <c:pt idx="34" formatCode="0.000">
                  <c:v>76.093110393550333</c:v>
                </c:pt>
                <c:pt idx="35" formatCode="0.000">
                  <c:v>76.387934163239152</c:v>
                </c:pt>
                <c:pt idx="36" formatCode="0.000">
                  <c:v>76.722353667013309</c:v>
                </c:pt>
                <c:pt idx="37" formatCode="0.000">
                  <c:v>77.097381891575168</c:v>
                </c:pt>
                <c:pt idx="38" formatCode="0.000">
                  <c:v>77.508121301408877</c:v>
                </c:pt>
                <c:pt idx="39" formatCode="0.000">
                  <c:v>77.959793231635729</c:v>
                </c:pt>
                <c:pt idx="40" formatCode="0.000">
                  <c:v>78.455766604078633</c:v>
                </c:pt>
                <c:pt idx="41" formatCode="0.000">
                  <c:v>78.997638024169277</c:v>
                </c:pt>
                <c:pt idx="42" formatCode="0.000">
                  <c:v>79.580808832385543</c:v>
                </c:pt>
                <c:pt idx="43" formatCode="0.000">
                  <c:v>80.211326500671333</c:v>
                </c:pt>
                <c:pt idx="44" formatCode="0.000">
                  <c:v>80.895518844368212</c:v>
                </c:pt>
                <c:pt idx="45" formatCode="0.000">
                  <c:v>81.624828884792578</c:v>
                </c:pt>
                <c:pt idx="46" formatCode="0.000">
                  <c:v>82.410445494026689</c:v>
                </c:pt>
                <c:pt idx="47" formatCode="0.000">
                  <c:v>83.252992340170223</c:v>
                </c:pt>
                <c:pt idx="48" formatCode="0.000">
                  <c:v>84.160138227864209</c:v>
                </c:pt>
                <c:pt idx="49" formatCode="0.000">
                  <c:v>85.101653691075171</c:v>
                </c:pt>
                <c:pt idx="50" formatCode="0.000">
                  <c:v>86.081607534548567</c:v>
                </c:pt>
                <c:pt idx="51" formatCode="0.000">
                  <c:v>87.086660700666187</c:v>
                </c:pt>
                <c:pt idx="52" formatCode="0.000">
                  <c:v>88.130885151718999</c:v>
                </c:pt>
                <c:pt idx="53" formatCode="0.000">
                  <c:v>89.205432671171167</c:v>
                </c:pt>
                <c:pt idx="54" formatCode="0.000">
                  <c:v>90.322708314671402</c:v>
                </c:pt>
                <c:pt idx="55" formatCode="0.000">
                  <c:v>91.47082810586663</c:v>
                </c:pt>
                <c:pt idx="56" formatCode="0.000">
                  <c:v>92.662761466801086</c:v>
                </c:pt>
                <c:pt idx="57" formatCode="0.000">
                  <c:v>93.880171584004231</c:v>
                </c:pt>
                <c:pt idx="58" formatCode="0.000">
                  <c:v>95.136154093527296</c:v>
                </c:pt>
                <c:pt idx="59" formatCode="0.000">
                  <c:v>96.419873005755903</c:v>
                </c:pt>
                <c:pt idx="60" formatCode="0.000">
                  <c:v>97.748328798919701</c:v>
                </c:pt>
                <c:pt idx="61" formatCode="0.000">
                  <c:v>99.100806091855048</c:v>
                </c:pt>
                <c:pt idx="62" formatCode="0.000">
                  <c:v>100.50470157363755</c:v>
                </c:pt>
                <c:pt idx="63" formatCode="0.000">
                  <c:v>101.93508851641059</c:v>
                </c:pt>
                <c:pt idx="64" formatCode="0.000">
                  <c:v>103.42103717449766</c:v>
                </c:pt>
                <c:pt idx="65" formatCode="0.000">
                  <c:v>104.93986016815779</c:v>
                </c:pt>
                <c:pt idx="66" formatCode="0.000">
                  <c:v>106.51167661274788</c:v>
                </c:pt>
                <c:pt idx="67" formatCode="0.000">
                  <c:v>108.12334047931085</c:v>
                </c:pt>
                <c:pt idx="68" formatCode="0.000">
                  <c:v>109.79272797705028</c:v>
                </c:pt>
                <c:pt idx="69" formatCode="0.000">
                  <c:v>111.50601315374847</c:v>
                </c:pt>
                <c:pt idx="70" formatCode="0.000">
                  <c:v>113.28653702399923</c:v>
                </c:pt>
                <c:pt idx="71" formatCode="0.000">
                  <c:v>115.10717735897725</c:v>
                </c:pt>
                <c:pt idx="72" formatCode="0.000">
                  <c:v>117.00554382986729</c:v>
                </c:pt>
                <c:pt idx="73" formatCode="0.000">
                  <c:v>118.96718835337848</c:v>
                </c:pt>
                <c:pt idx="74" formatCode="0.000">
                  <c:v>121.05351410633843</c:v>
                </c:pt>
                <c:pt idx="75" formatCode="0.000">
                  <c:v>123.2845853186866</c:v>
                </c:pt>
                <c:pt idx="76" formatCode="0.000">
                  <c:v>125.7627709262125</c:v>
                </c:pt>
                <c:pt idx="77" formatCode="0.000">
                  <c:v>128.54059687912536</c:v>
                </c:pt>
                <c:pt idx="78" formatCode="0.000">
                  <c:v>131.60536150736149</c:v>
                </c:pt>
                <c:pt idx="79" formatCode="0.000">
                  <c:v>135.01995294317445</c:v>
                </c:pt>
                <c:pt idx="80" formatCode="0.000">
                  <c:v>138.84111666557189</c:v>
                </c:pt>
                <c:pt idx="81" formatCode="0.000">
                  <c:v>143.07566768955493</c:v>
                </c:pt>
                <c:pt idx="82" formatCode="0.000">
                  <c:v>147.81645307600743</c:v>
                </c:pt>
                <c:pt idx="83" formatCode="0.000">
                  <c:v>153.12423879848936</c:v>
                </c:pt>
                <c:pt idx="84" formatCode="0.000">
                  <c:v>159.13069702269942</c:v>
                </c:pt>
                <c:pt idx="85" formatCode="0.000">
                  <c:v>165.89303056217628</c:v>
                </c:pt>
                <c:pt idx="86" formatCode="0.000">
                  <c:v>173.56655267712586</c:v>
                </c:pt>
                <c:pt idx="87" formatCode="0.000">
                  <c:v>182.38268403272411</c:v>
                </c:pt>
                <c:pt idx="88" formatCode="0.000">
                  <c:v>192.48754718961374</c:v>
                </c:pt>
                <c:pt idx="89" formatCode="0.000">
                  <c:v>204.23532042431685</c:v>
                </c:pt>
                <c:pt idx="90" formatCode="0.000">
                  <c:v>218.0639523134457</c:v>
                </c:pt>
                <c:pt idx="91" formatCode="0.000">
                  <c:v>234.41298515593394</c:v>
                </c:pt>
                <c:pt idx="92" formatCode="0.000">
                  <c:v>254.12012936589412</c:v>
                </c:pt>
                <c:pt idx="93" formatCode="0.000">
                  <c:v>278.24321540155421</c:v>
                </c:pt>
                <c:pt idx="94" formatCode="0.000">
                  <c:v>308.56490150868393</c:v>
                </c:pt>
                <c:pt idx="95" formatCode="0.000">
                  <c:v>347.46583953459407</c:v>
                </c:pt>
                <c:pt idx="96" formatCode="0.000">
                  <c:v>399.23155421159368</c:v>
                </c:pt>
                <c:pt idx="97" formatCode="0.000">
                  <c:v>471.77749111066032</c:v>
                </c:pt>
                <c:pt idx="98" formatCode="0.000">
                  <c:v>579.66268181703856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'30K'!$B$6</c:f>
              <c:strCache>
                <c:ptCount val="1"/>
                <c:pt idx="0">
                  <c:v>Barnard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7" formatCode="0.000">
                  <c:v>206.28333333333333</c:v>
                </c:pt>
                <c:pt idx="16" formatCode="0.000">
                  <c:v>124.56666666666666</c:v>
                </c:pt>
                <c:pt idx="17" formatCode="0.000">
                  <c:v>112.18333333333334</c:v>
                </c:pt>
                <c:pt idx="18" formatCode="0.000">
                  <c:v>106.5</c:v>
                </c:pt>
                <c:pt idx="19" formatCode="0.000">
                  <c:v>103.95</c:v>
                </c:pt>
                <c:pt idx="20" formatCode="0.000">
                  <c:v>103.43333333333332</c:v>
                </c:pt>
                <c:pt idx="21" formatCode="0.000">
                  <c:v>99.95</c:v>
                </c:pt>
                <c:pt idx="22" formatCode="0.000">
                  <c:v>99.100000000000009</c:v>
                </c:pt>
                <c:pt idx="23" formatCode="0.000">
                  <c:v>103.08333333333333</c:v>
                </c:pt>
                <c:pt idx="24" formatCode="0.000">
                  <c:v>99.149999999999991</c:v>
                </c:pt>
                <c:pt idx="25" formatCode="0.000">
                  <c:v>104.60000000000001</c:v>
                </c:pt>
                <c:pt idx="26" formatCode="0.000">
                  <c:v>103.74999999999999</c:v>
                </c:pt>
                <c:pt idx="27" formatCode="0.000">
                  <c:v>101.95</c:v>
                </c:pt>
                <c:pt idx="28" formatCode="0.000">
                  <c:v>106.48333333333332</c:v>
                </c:pt>
                <c:pt idx="29" formatCode="0.000">
                  <c:v>94</c:v>
                </c:pt>
                <c:pt idx="30" formatCode="0.000">
                  <c:v>106.43333333333334</c:v>
                </c:pt>
                <c:pt idx="31" formatCode="0.000">
                  <c:v>103.43333333333332</c:v>
                </c:pt>
                <c:pt idx="32" formatCode="0.000">
                  <c:v>104.14999999999999</c:v>
                </c:pt>
                <c:pt idx="33" formatCode="0.000">
                  <c:v>103.81666666666668</c:v>
                </c:pt>
                <c:pt idx="34" formatCode="0.000">
                  <c:v>96.083333333333343</c:v>
                </c:pt>
                <c:pt idx="35" formatCode="0.000">
                  <c:v>103.39999999999999</c:v>
                </c:pt>
                <c:pt idx="36" formatCode="0.000">
                  <c:v>106.11666666666667</c:v>
                </c:pt>
                <c:pt idx="37" formatCode="0.000">
                  <c:v>107.05000000000001</c:v>
                </c:pt>
                <c:pt idx="38" formatCode="0.000">
                  <c:v>107.25</c:v>
                </c:pt>
                <c:pt idx="39" formatCode="0.000">
                  <c:v>103.78333333333335</c:v>
                </c:pt>
                <c:pt idx="40" formatCode="0.000">
                  <c:v>113.21666666666667</c:v>
                </c:pt>
                <c:pt idx="41" formatCode="0.000">
                  <c:v>105.06666666666668</c:v>
                </c:pt>
                <c:pt idx="42" formatCode="0.000">
                  <c:v>111.61666666666667</c:v>
                </c:pt>
                <c:pt idx="43" formatCode="0.000">
                  <c:v>113.33333333333334</c:v>
                </c:pt>
                <c:pt idx="44" formatCode="0.000">
                  <c:v>113.4</c:v>
                </c:pt>
                <c:pt idx="45" formatCode="0.000">
                  <c:v>113.08333333333334</c:v>
                </c:pt>
                <c:pt idx="46" formatCode="0.000">
                  <c:v>120.38333333333334</c:v>
                </c:pt>
                <c:pt idx="47" formatCode="0.000">
                  <c:v>119.41666666666667</c:v>
                </c:pt>
                <c:pt idx="48" formatCode="0.000">
                  <c:v>123.91666666666666</c:v>
                </c:pt>
                <c:pt idx="49" formatCode="0.000">
                  <c:v>120.68333333333332</c:v>
                </c:pt>
                <c:pt idx="50" formatCode="0.000">
                  <c:v>116.71666666666667</c:v>
                </c:pt>
                <c:pt idx="51" formatCode="0.000">
                  <c:v>122.11666666666666</c:v>
                </c:pt>
                <c:pt idx="52" formatCode="0.000">
                  <c:v>117.01666666666667</c:v>
                </c:pt>
                <c:pt idx="53" formatCode="0.000">
                  <c:v>122.18333333333334</c:v>
                </c:pt>
                <c:pt idx="54" formatCode="0.000">
                  <c:v>134.81666666666666</c:v>
                </c:pt>
                <c:pt idx="55" formatCode="0.000">
                  <c:v>133.46666666666667</c:v>
                </c:pt>
                <c:pt idx="56" formatCode="0.000">
                  <c:v>131.94999999999999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119.51666666666667</c:v>
                </c:pt>
                <c:pt idx="60" formatCode="0.000">
                  <c:v>144.69999999999999</c:v>
                </c:pt>
                <c:pt idx="61" formatCode="0.000">
                  <c:v>140.33333333333334</c:v>
                </c:pt>
                <c:pt idx="62" formatCode="0.000">
                  <c:v>143.5</c:v>
                </c:pt>
                <c:pt idx="63" formatCode="0.000">
                  <c:v>166.16666666666666</c:v>
                </c:pt>
                <c:pt idx="64" formatCode="0.000">
                  <c:v>147.9</c:v>
                </c:pt>
                <c:pt idx="65" formatCode="0.000">
                  <c:v>152.53333333333333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142.48333333333335</c:v>
                </c:pt>
                <c:pt idx="70" formatCode="0.000">
                  <c:v>194.79999999999998</c:v>
                </c:pt>
                <c:pt idx="71" formatCode="0.000">
                  <c:v>171.41666666666666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146.85</c:v>
                </c:pt>
                <c:pt idx="76" formatCode="0.000">
                  <c:v>217.86666666666665</c:v>
                </c:pt>
                <c:pt idx="77" formatCode="0.000">
                  <c:v>234.7</c:v>
                </c:pt>
                <c:pt idx="78" formatCode="0.000">
                  <c:v>244.4</c:v>
                </c:pt>
                <c:pt idx="80" formatCode="0.000">
                  <c:v>253.53333333333333</c:v>
                </c:pt>
                <c:pt idx="81" formatCode="0.000">
                  <c:v>257.88333333333333</c:v>
                </c:pt>
                <c:pt idx="82" formatCode="0.000">
                  <c:v>273.40000000000003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158.32417520538442</c:v>
                </c:pt>
                <c:pt idx="5" formatCode="0.000">
                  <c:v>147.23524206161866</c:v>
                </c:pt>
                <c:pt idx="6" formatCode="0.000">
                  <c:v>138.15437404373711</c:v>
                </c:pt>
                <c:pt idx="7" formatCode="0.000">
                  <c:v>130.59779023959516</c:v>
                </c:pt>
                <c:pt idx="8" formatCode="0.000">
                  <c:v>124.26702628218345</c:v>
                </c:pt>
                <c:pt idx="9" formatCode="0.000">
                  <c:v>118.91843609689282</c:v>
                </c:pt>
                <c:pt idx="10" formatCode="0.000">
                  <c:v>114.38591641099102</c:v>
                </c:pt>
                <c:pt idx="11" formatCode="0.000">
                  <c:v>110.52907281906604</c:v>
                </c:pt>
                <c:pt idx="12" formatCode="0.000">
                  <c:v>107.25328620275994</c:v>
                </c:pt>
                <c:pt idx="13" formatCode="0.000">
                  <c:v>104.46652791289364</c:v>
                </c:pt>
                <c:pt idx="14" formatCode="0.000">
                  <c:v>102.12528104133244</c:v>
                </c:pt>
                <c:pt idx="15" formatCode="0.000">
                  <c:v>100.02460182502828</c:v>
                </c:pt>
                <c:pt idx="16" formatCode="0.000">
                  <c:v>98.008601188972349</c:v>
                </c:pt>
                <c:pt idx="17" formatCode="0.000">
                  <c:v>96.17237420413467</c:v>
                </c:pt>
                <c:pt idx="18" formatCode="0.000">
                  <c:v>94.59721462554927</c:v>
                </c:pt>
                <c:pt idx="19" formatCode="0.000">
                  <c:v>93.319320790739312</c:v>
                </c:pt>
                <c:pt idx="20" formatCode="0.000">
                  <c:v>92.383492494236805</c:v>
                </c:pt>
                <c:pt idx="21" formatCode="0.000">
                  <c:v>91.760761172748531</c:v>
                </c:pt>
                <c:pt idx="22" formatCode="0.000">
                  <c:v>91.352983177248348</c:v>
                </c:pt>
                <c:pt idx="23" formatCode="0.000">
                  <c:v>91.064587503757281</c:v>
                </c:pt>
                <c:pt idx="24" formatCode="0.000">
                  <c:v>90.888727152884357</c:v>
                </c:pt>
                <c:pt idx="25" formatCode="0.000">
                  <c:v>90.833333333333343</c:v>
                </c:pt>
                <c:pt idx="26" formatCode="0.000">
                  <c:v>90.833333333333343</c:v>
                </c:pt>
                <c:pt idx="27" formatCode="0.000">
                  <c:v>90.851503634060151</c:v>
                </c:pt>
                <c:pt idx="28" formatCode="0.000">
                  <c:v>90.910535556076596</c:v>
                </c:pt>
                <c:pt idx="29" formatCode="0.000">
                  <c:v>91.005957421347773</c:v>
                </c:pt>
                <c:pt idx="30" formatCode="0.000">
                  <c:v>91.142642994534242</c:v>
                </c:pt>
                <c:pt idx="31" formatCode="0.000">
                  <c:v>91.316445863279085</c:v>
                </c:pt>
                <c:pt idx="32" formatCode="0.000">
                  <c:v>91.532327848652628</c:v>
                </c:pt>
                <c:pt idx="33" formatCode="0.000">
                  <c:v>91.790882229043504</c:v>
                </c:pt>
                <c:pt idx="34" formatCode="0.000">
                  <c:v>92.083489044573938</c:v>
                </c:pt>
                <c:pt idx="35" formatCode="0.000">
                  <c:v>92.420189493391348</c:v>
                </c:pt>
                <c:pt idx="36" formatCode="0.000">
                  <c:v>92.801932836923484</c:v>
                </c:pt>
                <c:pt idx="37" formatCode="0.000">
                  <c:v>93.229807822900995</c:v>
                </c:pt>
                <c:pt idx="38" formatCode="0.000">
                  <c:v>93.700293778162944</c:v>
                </c:pt>
                <c:pt idx="39" formatCode="0.000">
                  <c:v>94.214470741351022</c:v>
                </c:pt>
                <c:pt idx="40" formatCode="0.000">
                  <c:v>94.77872602013781</c:v>
                </c:pt>
                <c:pt idx="41" formatCode="0.000">
                  <c:v>95.394763822397948</c:v>
                </c:pt>
                <c:pt idx="42" formatCode="0.000">
                  <c:v>96.05947954113897</c:v>
                </c:pt>
                <c:pt idx="43" formatCode="0.000">
                  <c:v>96.774585449597211</c:v>
                </c:pt>
                <c:pt idx="44" formatCode="0.000">
                  <c:v>97.552774823659078</c:v>
                </c:pt>
                <c:pt idx="45" formatCode="0.000">
                  <c:v>98.380777120030231</c:v>
                </c:pt>
                <c:pt idx="46" formatCode="0.000">
                  <c:v>99.271668211339147</c:v>
                </c:pt>
                <c:pt idx="47" formatCode="0.000">
                  <c:v>100.22288109435677</c:v>
                </c:pt>
                <c:pt idx="48" formatCode="0.000">
                  <c:v>101.24889717814949</c:v>
                </c:pt>
                <c:pt idx="49" formatCode="0.000">
                  <c:v>102.31936608287005</c:v>
                </c:pt>
                <c:pt idx="50" formatCode="0.000">
                  <c:v>103.44243302139319</c:v>
                </c:pt>
                <c:pt idx="51" formatCode="0.000">
                  <c:v>104.60897041914309</c:v>
                </c:pt>
                <c:pt idx="52" formatCode="0.000">
                  <c:v>105.82696622633253</c:v>
                </c:pt>
                <c:pt idx="53" formatCode="0.000">
                  <c:v>107.09950650885274</c:v>
                </c:pt>
                <c:pt idx="54" formatCode="0.000">
                  <c:v>108.42910784080688</c:v>
                </c:pt>
                <c:pt idx="55" formatCode="0.000">
                  <c:v>109.81257077195721</c:v>
                </c:pt>
                <c:pt idx="56" formatCode="0.000">
                  <c:v>111.25233652362161</c:v>
                </c:pt>
                <c:pt idx="57" formatCode="0.000">
                  <c:v>112.73057851382859</c:v>
                </c:pt>
                <c:pt idx="58" formatCode="0.000">
                  <c:v>114.24840639357926</c:v>
                </c:pt>
                <c:pt idx="59" formatCode="0.000">
                  <c:v>115.80789780420642</c:v>
                </c:pt>
                <c:pt idx="60" formatCode="0.000">
                  <c:v>117.41802145868948</c:v>
                </c:pt>
                <c:pt idx="61" formatCode="0.000">
                  <c:v>119.05794144554281</c:v>
                </c:pt>
                <c:pt idx="62" formatCode="0.000">
                  <c:v>120.76037080808453</c:v>
                </c:pt>
                <c:pt idx="63" formatCode="0.000">
                  <c:v>122.49567138827773</c:v>
                </c:pt>
                <c:pt idx="64" formatCode="0.000">
                  <c:v>124.29857785381117</c:v>
                </c:pt>
                <c:pt idx="65" formatCode="0.000">
                  <c:v>126.14672608652401</c:v>
                </c:pt>
                <c:pt idx="66" formatCode="0.000">
                  <c:v>128.05037776792759</c:v>
                </c:pt>
                <c:pt idx="67" formatCode="0.000">
                  <c:v>130.01265859789163</c:v>
                </c:pt>
                <c:pt idx="68" formatCode="0.000">
                  <c:v>132.03571362279899</c:v>
                </c:pt>
                <c:pt idx="69" formatCode="0.000">
                  <c:v>134.12303561678138</c:v>
                </c:pt>
                <c:pt idx="70" formatCode="0.000">
                  <c:v>136.28747594304346</c:v>
                </c:pt>
                <c:pt idx="71" formatCode="0.000">
                  <c:v>138.50179854616505</c:v>
                </c:pt>
                <c:pt idx="72" formatCode="0.000">
                  <c:v>140.81108902214677</c:v>
                </c:pt>
                <c:pt idx="73" formatCode="0.000">
                  <c:v>143.22198407472479</c:v>
                </c:pt>
                <c:pt idx="74" formatCode="0.000">
                  <c:v>145.83532638904867</c:v>
                </c:pt>
                <c:pt idx="75" formatCode="0.000">
                  <c:v>148.66852630797655</c:v>
                </c:pt>
                <c:pt idx="76" formatCode="0.000">
                  <c:v>151.80382759904137</c:v>
                </c:pt>
                <c:pt idx="77" formatCode="0.000">
                  <c:v>155.31286045828435</c:v>
                </c:pt>
                <c:pt idx="78" formatCode="0.000">
                  <c:v>159.1829941521876</c:v>
                </c:pt>
                <c:pt idx="79" formatCode="0.000">
                  <c:v>163.5009383577891</c:v>
                </c:pt>
                <c:pt idx="80" formatCode="0.000">
                  <c:v>168.32414056174738</c:v>
                </c:pt>
                <c:pt idx="81" formatCode="0.000">
                  <c:v>173.67268890501296</c:v>
                </c:pt>
                <c:pt idx="82" formatCode="0.000">
                  <c:v>179.67416396369947</c:v>
                </c:pt>
                <c:pt idx="83" formatCode="0.000">
                  <c:v>186.39137878563869</c:v>
                </c:pt>
                <c:pt idx="84" formatCode="0.000">
                  <c:v>194.00255473684726</c:v>
                </c:pt>
                <c:pt idx="85" formatCode="0.000">
                  <c:v>202.60049824015468</c:v>
                </c:pt>
                <c:pt idx="86" formatCode="0.000">
                  <c:v>212.36722464061185</c:v>
                </c:pt>
                <c:pt idx="87" formatCode="0.000">
                  <c:v>223.61765522584571</c:v>
                </c:pt>
                <c:pt idx="88" formatCode="0.000">
                  <c:v>236.5572406509211</c:v>
                </c:pt>
                <c:pt idx="89" formatCode="0.000">
                  <c:v>251.67818836107261</c:v>
                </c:pt>
                <c:pt idx="90" formatCode="0.000">
                  <c:v>269.54175856095759</c:v>
                </c:pt>
                <c:pt idx="91" formatCode="0.000">
                  <c:v>290.78506958613383</c:v>
                </c:pt>
                <c:pt idx="92" formatCode="0.000">
                  <c:v>316.59942263613419</c:v>
                </c:pt>
                <c:pt idx="93" formatCode="0.000">
                  <c:v>348.44218019900495</c:v>
                </c:pt>
                <c:pt idx="94" formatCode="0.000">
                  <c:v>388.89933471186208</c:v>
                </c:pt>
                <c:pt idx="95" formatCode="0.000">
                  <c:v>441.5914047925063</c:v>
                </c:pt>
                <c:pt idx="96" formatCode="0.000">
                  <c:v>512.96099489240851</c:v>
                </c:pt>
                <c:pt idx="97" formatCode="0.000">
                  <c:v>615.57900975468635</c:v>
                </c:pt>
                <c:pt idx="98" formatCode="0.000">
                  <c:v>774.11286462821192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5343162519928808"/>
          <c:w val="0.36113846157332452"/>
          <c:h val="0.17378897373910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4423578802113081"/>
          <c:y val="0.114337735196740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25612426937614E-2"/>
          <c:y val="5.6141822664655276E-2"/>
          <c:w val="0.89527470505105788"/>
          <c:h val="0.82069610535485404"/>
        </c:manualLayout>
      </c:layout>
      <c:scatterChart>
        <c:scatterStyle val="lineMarker"/>
        <c:varyColors val="0"/>
        <c:ser>
          <c:idx val="1"/>
          <c:order val="0"/>
          <c:tx>
            <c:strRef>
              <c:f>Marathon!$G$6</c:f>
              <c:strCache>
                <c:ptCount val="1"/>
                <c:pt idx="0">
                  <c:v>2020 Barnard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5">
                  <c:v>267.5333333333333</c:v>
                </c:pt>
                <c:pt idx="6">
                  <c:v>237.70000000000002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140.98333333333335</c:v>
                </c:pt>
                <c:pt idx="19">
                  <c:v>139.28333333333333</c:v>
                </c:pt>
                <c:pt idx="20">
                  <c:v>140.85000000000002</c:v>
                </c:pt>
                <c:pt idx="21">
                  <c:v>139.86666666666667</c:v>
                </c:pt>
                <c:pt idx="22">
                  <c:v>140.21666666666664</c:v>
                </c:pt>
                <c:pt idx="23">
                  <c:v>137.13333333333335</c:v>
                </c:pt>
                <c:pt idx="24">
                  <c:v>134.06666666666663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137.29999999999998</c:v>
                </c:pt>
                <c:pt idx="28">
                  <c:v>135.41666666666669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138.51666666666665</c:v>
                </c:pt>
                <c:pt idx="32">
                  <c:v>138.58333333333331</c:v>
                </c:pt>
                <c:pt idx="33">
                  <c:v>138.51666666666665</c:v>
                </c:pt>
                <c:pt idx="34">
                  <c:v>137.01666666666668</c:v>
                </c:pt>
                <c:pt idx="35">
                  <c:v>139.31666666666666</c:v>
                </c:pt>
                <c:pt idx="36">
                  <c:v>141.48333333333335</c:v>
                </c:pt>
                <c:pt idx="37">
                  <c:v>141.30000000000001</c:v>
                </c:pt>
                <c:pt idx="38">
                  <c:v>142.20000000000002</c:v>
                </c:pt>
                <c:pt idx="39">
                  <c:v>143.51666666666665</c:v>
                </c:pt>
                <c:pt idx="40">
                  <c:v>142.18333333333334</c:v>
                </c:pt>
                <c:pt idx="41">
                  <c:v>144.18333333333334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148.56666666666666</c:v>
                </c:pt>
                <c:pt idx="45">
                  <c:v>150.43333333333334</c:v>
                </c:pt>
                <c:pt idx="46">
                  <c:v>149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173.81666666666666</c:v>
                </c:pt>
                <c:pt idx="54">
                  <c:v>172.23333333333335</c:v>
                </c:pt>
                <c:pt idx="55">
                  <c:v>175.06666666666666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179.71666666666667</c:v>
                </c:pt>
                <c:pt idx="59">
                  <c:v>181.5</c:v>
                </c:pt>
                <c:pt idx="60">
                  <c:v>186.6</c:v>
                </c:pt>
                <c:pt idx="61">
                  <c:v>194.61666666666667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192.95</c:v>
                </c:pt>
                <c:pt idx="65">
                  <c:v>199.08333333333334</c:v>
                </c:pt>
                <c:pt idx="66">
                  <c:v>205.85</c:v>
                </c:pt>
                <c:pt idx="67">
                  <c:v>204.9</c:v>
                </c:pt>
                <c:pt idx="68">
                  <c:v>209.68333333333334</c:v>
                </c:pt>
                <c:pt idx="69">
                  <c:v>207.83333333333334</c:v>
                </c:pt>
                <c:pt idx="70">
                  <c:v>204.8</c:v>
                </c:pt>
                <c:pt idx="71">
                  <c:v>215.48333333333335</c:v>
                </c:pt>
                <c:pt idx="72">
                  <c:v>222.31666666666666</c:v>
                </c:pt>
                <c:pt idx="73">
                  <c:v>229.51666666666668</c:v>
                </c:pt>
                <c:pt idx="74">
                  <c:v>245.64999999999998</c:v>
                </c:pt>
                <c:pt idx="75">
                  <c:v>233.7</c:v>
                </c:pt>
                <c:pt idx="76">
                  <c:v>264.46666666666664</c:v>
                </c:pt>
                <c:pt idx="77">
                  <c:v>259.86666666666667</c:v>
                </c:pt>
                <c:pt idx="78">
                  <c:v>251.83333333333331</c:v>
                </c:pt>
                <c:pt idx="79">
                  <c:v>252.73333333333338</c:v>
                </c:pt>
                <c:pt idx="80">
                  <c:v>247.51666666666665</c:v>
                </c:pt>
                <c:pt idx="81">
                  <c:v>274.06666666666666</c:v>
                </c:pt>
                <c:pt idx="82">
                  <c:v>291.39999999999998</c:v>
                </c:pt>
                <c:pt idx="83">
                  <c:v>344.36666666666667</c:v>
                </c:pt>
                <c:pt idx="84">
                  <c:v>312.05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391.53333333333336</c:v>
                </c:pt>
                <c:pt idx="88">
                  <c:v>489.38333333333338</c:v>
                </c:pt>
                <c:pt idx="89">
                  <c:v>407.51666666666671</c:v>
                </c:pt>
                <c:pt idx="91">
                  <c:v>593.80000000000007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1"/>
          <c:tx>
            <c:strRef>
              <c:f>Marathon!$C$6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</c:v>
                </c:pt>
                <c:pt idx="7" formatCode="0.000">
                  <c:v>193.4</c:v>
                </c:pt>
                <c:pt idx="8" formatCode="0.000">
                  <c:v>191.01666666666665</c:v>
                </c:pt>
                <c:pt idx="9" formatCode="0.000">
                  <c:v>178.01666666666665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153.13333333333333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142.63333333333335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</c:v>
                </c:pt>
                <c:pt idx="21" formatCode="0.000">
                  <c:v>139.86666666666667</c:v>
                </c:pt>
                <c:pt idx="22" formatCode="0.000">
                  <c:v>140.21666666666667</c:v>
                </c:pt>
                <c:pt idx="23" formatCode="0.000">
                  <c:v>137.13333333333335</c:v>
                </c:pt>
                <c:pt idx="24" formatCode="0.000">
                  <c:v>134.06666666666666</c:v>
                </c:pt>
                <c:pt idx="25" formatCode="0.000">
                  <c:v>129.93333333333334</c:v>
                </c:pt>
                <c:pt idx="26" formatCode="0.000">
                  <c:v>139.19999999999999</c:v>
                </c:pt>
                <c:pt idx="27" formatCode="0.000">
                  <c:v>137.30000000000001</c:v>
                </c:pt>
                <c:pt idx="28" formatCode="0.000">
                  <c:v>135.41666666666666</c:v>
                </c:pt>
                <c:pt idx="29" formatCode="0.000">
                  <c:v>133.73333333333332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139.19999999999999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149.41666666666666</c:v>
                </c:pt>
                <c:pt idx="43" formatCode="0.000">
                  <c:v>149.71666666666667</c:v>
                </c:pt>
                <c:pt idx="44" formatCode="0.000">
                  <c:v>141.56666666666666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157.76666666666668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172.23333333333332</c:v>
                </c:pt>
                <c:pt idx="55" formatCode="0.000">
                  <c:v>168.1</c:v>
                </c:pt>
                <c:pt idx="56" formatCode="0.000">
                  <c:v>174.48333333333332</c:v>
                </c:pt>
                <c:pt idx="57" formatCode="0.000">
                  <c:v>178.25</c:v>
                </c:pt>
                <c:pt idx="58" formatCode="0.000">
                  <c:v>165.45000000000002</c:v>
                </c:pt>
                <c:pt idx="59" formatCode="0.000">
                  <c:v>169.71666666666667</c:v>
                </c:pt>
                <c:pt idx="60" formatCode="0.000">
                  <c:v>186.6</c:v>
                </c:pt>
                <c:pt idx="61" formatCode="0.000">
                  <c:v>176.9</c:v>
                </c:pt>
                <c:pt idx="62" formatCode="0.000">
                  <c:v>172.25</c:v>
                </c:pt>
                <c:pt idx="63" formatCode="0.000">
                  <c:v>187.79999999999998</c:v>
                </c:pt>
                <c:pt idx="64" formatCode="0.000">
                  <c:v>199.3</c:v>
                </c:pt>
                <c:pt idx="65" formatCode="0.000">
                  <c:v>192.95</c:v>
                </c:pt>
                <c:pt idx="66" formatCode="0.000">
                  <c:v>199.08333333333334</c:v>
                </c:pt>
                <c:pt idx="67" formatCode="0.000">
                  <c:v>205.85</c:v>
                </c:pt>
                <c:pt idx="68" formatCode="0.000">
                  <c:v>204.9</c:v>
                </c:pt>
                <c:pt idx="69" formatCode="0.000">
                  <c:v>209.68333333333334</c:v>
                </c:pt>
                <c:pt idx="70" formatCode="0.000">
                  <c:v>207.83333333333334</c:v>
                </c:pt>
                <c:pt idx="71" formatCode="0.000">
                  <c:v>204.8</c:v>
                </c:pt>
                <c:pt idx="72" formatCode="0.000">
                  <c:v>215.48333333333335</c:v>
                </c:pt>
                <c:pt idx="73" formatCode="0.000">
                  <c:v>222.31666666666666</c:v>
                </c:pt>
                <c:pt idx="74" formatCode="0.000">
                  <c:v>211.85</c:v>
                </c:pt>
                <c:pt idx="75" formatCode="0.000">
                  <c:v>214.53333333333336</c:v>
                </c:pt>
                <c:pt idx="76" formatCode="0.000">
                  <c:v>213.45</c:v>
                </c:pt>
                <c:pt idx="77" formatCode="0.000">
                  <c:v>264.46666666666664</c:v>
                </c:pt>
                <c:pt idx="78" formatCode="0.000">
                  <c:v>259.86666666666667</c:v>
                </c:pt>
                <c:pt idx="79" formatCode="0.000">
                  <c:v>251.83333333333334</c:v>
                </c:pt>
                <c:pt idx="80" formatCode="0.000">
                  <c:v>252.73333333333332</c:v>
                </c:pt>
                <c:pt idx="81" formatCode="0.000">
                  <c:v>247.51666666666665</c:v>
                </c:pt>
                <c:pt idx="82" formatCode="0.000">
                  <c:v>274.06666666666666</c:v>
                </c:pt>
                <c:pt idx="83" formatCode="0.000">
                  <c:v>291.39999999999998</c:v>
                </c:pt>
                <c:pt idx="84" formatCode="0.000">
                  <c:v>344.36666666666667</c:v>
                </c:pt>
                <c:pt idx="85" formatCode="0.000">
                  <c:v>312.05</c:v>
                </c:pt>
                <c:pt idx="86" formatCode="0.000">
                  <c:v>391.7</c:v>
                </c:pt>
                <c:pt idx="87" formatCode="0.000">
                  <c:v>426.79999999999995</c:v>
                </c:pt>
                <c:pt idx="88" formatCode="0.000">
                  <c:v>391.53333333333336</c:v>
                </c:pt>
                <c:pt idx="89" formatCode="0.000">
                  <c:v>489.38333333333333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2"/>
          <c:tx>
            <c:strRef>
              <c:f>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208.85911616555012</c:v>
                </c:pt>
                <c:pt idx="4">
                  <c:v>198.03052683407182</c:v>
                </c:pt>
                <c:pt idx="5">
                  <c:v>188.74653902107084</c:v>
                </c:pt>
                <c:pt idx="6">
                  <c:v>180.73155387795447</c:v>
                </c:pt>
                <c:pt idx="7">
                  <c:v>173.79656036643328</c:v>
                </c:pt>
                <c:pt idx="8">
                  <c:v>167.75108441775103</c:v>
                </c:pt>
                <c:pt idx="9">
                  <c:v>162.44597923987232</c:v>
                </c:pt>
                <c:pt idx="10">
                  <c:v>157.83690448159481</c:v>
                </c:pt>
                <c:pt idx="11">
                  <c:v>153.78144834442145</c:v>
                </c:pt>
                <c:pt idx="12">
                  <c:v>150.23158523830864</c:v>
                </c:pt>
                <c:pt idx="13">
                  <c:v>147.14813595287742</c:v>
                </c:pt>
                <c:pt idx="14">
                  <c:v>144.46839080459765</c:v>
                </c:pt>
                <c:pt idx="15">
                  <c:v>142.0197740112994</c:v>
                </c:pt>
                <c:pt idx="16">
                  <c:v>139.65277777777774</c:v>
                </c:pt>
                <c:pt idx="17">
                  <c:v>137.58894362342633</c:v>
                </c:pt>
                <c:pt idx="18">
                  <c:v>136.02543290043286</c:v>
                </c:pt>
                <c:pt idx="19">
                  <c:v>134.93022007514756</c:v>
                </c:pt>
                <c:pt idx="20">
                  <c:v>134.28151709401706</c:v>
                </c:pt>
                <c:pt idx="21">
                  <c:v>134.06666666666663</c:v>
                </c:pt>
                <c:pt idx="22">
                  <c:v>134.06666666666663</c:v>
                </c:pt>
                <c:pt idx="23">
                  <c:v>134.06666666666663</c:v>
                </c:pt>
                <c:pt idx="24">
                  <c:v>134.06666666666663</c:v>
                </c:pt>
                <c:pt idx="25">
                  <c:v>134.06666666666663</c:v>
                </c:pt>
                <c:pt idx="26">
                  <c:v>134.06666666666663</c:v>
                </c:pt>
                <c:pt idx="27">
                  <c:v>134.06666666666663</c:v>
                </c:pt>
                <c:pt idx="28">
                  <c:v>134.06666666666663</c:v>
                </c:pt>
                <c:pt idx="29">
                  <c:v>134.06666666666663</c:v>
                </c:pt>
                <c:pt idx="30">
                  <c:v>134.06666666666663</c:v>
                </c:pt>
                <c:pt idx="31">
                  <c:v>134.08007467413404</c:v>
                </c:pt>
                <c:pt idx="32">
                  <c:v>134.16057907201704</c:v>
                </c:pt>
                <c:pt idx="33">
                  <c:v>134.32187823531373</c:v>
                </c:pt>
                <c:pt idx="34">
                  <c:v>134.59157380450421</c:v>
                </c:pt>
                <c:pt idx="35">
                  <c:v>134.94380137560807</c:v>
                </c:pt>
                <c:pt idx="36">
                  <c:v>135.39352319396752</c:v>
                </c:pt>
                <c:pt idx="37">
                  <c:v>135.94267558980596</c:v>
                </c:pt>
                <c:pt idx="38">
                  <c:v>136.5936491764306</c:v>
                </c:pt>
                <c:pt idx="39">
                  <c:v>137.33524550979988</c:v>
                </c:pt>
                <c:pt idx="40">
                  <c:v>138.18456675599529</c:v>
                </c:pt>
                <c:pt idx="41">
                  <c:v>139.14547656114854</c:v>
                </c:pt>
                <c:pt idx="42">
                  <c:v>140.20776685491177</c:v>
                </c:pt>
                <c:pt idx="43">
                  <c:v>141.39070519580957</c:v>
                </c:pt>
                <c:pt idx="44">
                  <c:v>142.70001773993255</c:v>
                </c:pt>
                <c:pt idx="45">
                  <c:v>144.14220693115431</c:v>
                </c:pt>
                <c:pt idx="46">
                  <c:v>145.72463768115938</c:v>
                </c:pt>
                <c:pt idx="47">
                  <c:v>147.43942226621206</c:v>
                </c:pt>
                <c:pt idx="48">
                  <c:v>149.26148593483259</c:v>
                </c:pt>
                <c:pt idx="49">
                  <c:v>151.11211301472795</c:v>
                </c:pt>
                <c:pt idx="50">
                  <c:v>153.02667123235548</c:v>
                </c:pt>
                <c:pt idx="51">
                  <c:v>154.97245019843561</c:v>
                </c:pt>
                <c:pt idx="52">
                  <c:v>156.98672911787662</c:v>
                </c:pt>
                <c:pt idx="53">
                  <c:v>159.05405939810967</c:v>
                </c:pt>
                <c:pt idx="54">
                  <c:v>161.15719036743195</c:v>
                </c:pt>
                <c:pt idx="55">
                  <c:v>163.33658219623129</c:v>
                </c:pt>
                <c:pt idx="56">
                  <c:v>165.55528113937595</c:v>
                </c:pt>
                <c:pt idx="57">
                  <c:v>167.8560994950127</c:v>
                </c:pt>
                <c:pt idx="58">
                  <c:v>170.22177078042998</c:v>
                </c:pt>
                <c:pt idx="59">
                  <c:v>172.63284402094598</c:v>
                </c:pt>
                <c:pt idx="60">
                  <c:v>175.13607663836268</c:v>
                </c:pt>
                <c:pt idx="61">
                  <c:v>177.68941904130767</c:v>
                </c:pt>
                <c:pt idx="62">
                  <c:v>180.34257017307863</c:v>
                </c:pt>
                <c:pt idx="63">
                  <c:v>183.07615276070823</c:v>
                </c:pt>
                <c:pt idx="64">
                  <c:v>185.86810850778681</c:v>
                </c:pt>
                <c:pt idx="65">
                  <c:v>188.7731155543039</c:v>
                </c:pt>
                <c:pt idx="66">
                  <c:v>191.74294431731497</c:v>
                </c:pt>
                <c:pt idx="67">
                  <c:v>194.83602189604218</c:v>
                </c:pt>
                <c:pt idx="68">
                  <c:v>198.03052683407182</c:v>
                </c:pt>
                <c:pt idx="69">
                  <c:v>201.30130130130124</c:v>
                </c:pt>
                <c:pt idx="70">
                  <c:v>204.71318776403515</c:v>
                </c:pt>
                <c:pt idx="71">
                  <c:v>208.21038463529527</c:v>
                </c:pt>
                <c:pt idx="72">
                  <c:v>211.86262115465649</c:v>
                </c:pt>
                <c:pt idx="73">
                  <c:v>215.64527371186526</c:v>
                </c:pt>
                <c:pt idx="74">
                  <c:v>219.6733846742039</c:v>
                </c:pt>
                <c:pt idx="75">
                  <c:v>224.19175027870676</c:v>
                </c:pt>
                <c:pt idx="76">
                  <c:v>229.17378917378915</c:v>
                </c:pt>
                <c:pt idx="77">
                  <c:v>234.75164886476384</c:v>
                </c:pt>
                <c:pt idx="78">
                  <c:v>240.95375029954462</c:v>
                </c:pt>
                <c:pt idx="79">
                  <c:v>247.81269254467028</c:v>
                </c:pt>
                <c:pt idx="80">
                  <c:v>255.51108569976486</c:v>
                </c:pt>
                <c:pt idx="81">
                  <c:v>264.0667060600091</c:v>
                </c:pt>
                <c:pt idx="82">
                  <c:v>273.71716346808216</c:v>
                </c:pt>
                <c:pt idx="83">
                  <c:v>284.58218354206457</c:v>
                </c:pt>
                <c:pt idx="84">
                  <c:v>296.80466386244552</c:v>
                </c:pt>
                <c:pt idx="85">
                  <c:v>310.77113274609792</c:v>
                </c:pt>
                <c:pt idx="86">
                  <c:v>326.67316439246258</c:v>
                </c:pt>
                <c:pt idx="87">
                  <c:v>345.087945087945</c:v>
                </c:pt>
                <c:pt idx="88">
                  <c:v>366.50264260980487</c:v>
                </c:pt>
                <c:pt idx="89">
                  <c:v>391.54984423676007</c:v>
                </c:pt>
                <c:pt idx="90">
                  <c:v>421.46075657550028</c:v>
                </c:pt>
                <c:pt idx="91">
                  <c:v>457.40930285454323</c:v>
                </c:pt>
                <c:pt idx="92">
                  <c:v>501.74650698602784</c:v>
                </c:pt>
                <c:pt idx="93">
                  <c:v>557.44975744975739</c:v>
                </c:pt>
                <c:pt idx="94">
                  <c:v>629.12560613170638</c:v>
                </c:pt>
                <c:pt idx="95">
                  <c:v>725.46897546897537</c:v>
                </c:pt>
                <c:pt idx="96">
                  <c:v>860.50492083868187</c:v>
                </c:pt>
                <c:pt idx="97">
                  <c:v>1064.8662960021177</c:v>
                </c:pt>
                <c:pt idx="98">
                  <c:v>1408.2633053221284</c:v>
                </c:pt>
                <c:pt idx="99">
                  <c:v>2101.3584117032387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3"/>
          <c:tx>
            <c:strRef>
              <c:f>Marathon!$D$6</c:f>
              <c:strCache>
                <c:ptCount val="1"/>
                <c:pt idx="0">
                  <c:v>2025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264.84576708791957</c:v>
                </c:pt>
                <c:pt idx="4" formatCode="0.000">
                  <c:v>240.39469626888686</c:v>
                </c:pt>
                <c:pt idx="5" formatCode="0.000">
                  <c:v>221.2007717625695</c:v>
                </c:pt>
                <c:pt idx="6" formatCode="0.000">
                  <c:v>205.88390640680294</c:v>
                </c:pt>
                <c:pt idx="7" formatCode="0.000">
                  <c:v>193.41073732261589</c:v>
                </c:pt>
                <c:pt idx="8" formatCode="0.000">
                  <c:v>183.1853000610931</c:v>
                </c:pt>
                <c:pt idx="9" formatCode="0.000">
                  <c:v>174.6885363448956</c:v>
                </c:pt>
                <c:pt idx="10" formatCode="0.000">
                  <c:v>167.63428374833356</c:v>
                </c:pt>
                <c:pt idx="11" formatCode="0.000">
                  <c:v>161.72931706912289</c:v>
                </c:pt>
                <c:pt idx="12" formatCode="0.000">
                  <c:v>156.8296117481392</c:v>
                </c:pt>
                <c:pt idx="13" formatCode="0.000">
                  <c:v>152.75491809702956</c:v>
                </c:pt>
                <c:pt idx="14" formatCode="0.000">
                  <c:v>149.43454092390263</c:v>
                </c:pt>
                <c:pt idx="15" formatCode="0.000">
                  <c:v>146.50280001503364</c:v>
                </c:pt>
                <c:pt idx="16" formatCode="0.000">
                  <c:v>143.6838807180508</c:v>
                </c:pt>
                <c:pt idx="17" formatCode="0.000">
                  <c:v>140.97139343965861</c:v>
                </c:pt>
                <c:pt idx="18" formatCode="0.000">
                  <c:v>138.35942214176694</c:v>
                </c:pt>
                <c:pt idx="19" formatCode="0.000">
                  <c:v>136.01311978785023</c:v>
                </c:pt>
                <c:pt idx="20" formatCode="0.000">
                  <c:v>134.10396669762963</c:v>
                </c:pt>
                <c:pt idx="21" formatCode="0.000">
                  <c:v>132.57150630888006</c:v>
                </c:pt>
                <c:pt idx="22" formatCode="0.000">
                  <c:v>131.40507011866237</c:v>
                </c:pt>
                <c:pt idx="23" formatCode="0.000">
                  <c:v>130.58626465661641</c:v>
                </c:pt>
                <c:pt idx="24" formatCode="0.000">
                  <c:v>130.08944066212788</c:v>
                </c:pt>
                <c:pt idx="25" formatCode="0.000">
                  <c:v>129.93333333333334</c:v>
                </c:pt>
                <c:pt idx="26" formatCode="0.000">
                  <c:v>129.93333333333334</c:v>
                </c:pt>
                <c:pt idx="27" formatCode="0.000">
                  <c:v>129.95932519837302</c:v>
                </c:pt>
                <c:pt idx="28" formatCode="0.000">
                  <c:v>130.03736322391248</c:v>
                </c:pt>
                <c:pt idx="29" formatCode="0.000">
                  <c:v>130.15459614678286</c:v>
                </c:pt>
                <c:pt idx="30" formatCode="0.000">
                  <c:v>130.3243062520896</c:v>
                </c:pt>
                <c:pt idx="31" formatCode="0.000">
                  <c:v>130.54690378110453</c:v>
                </c:pt>
                <c:pt idx="32" formatCode="0.000">
                  <c:v>130.82292925224863</c:v>
                </c:pt>
                <c:pt idx="33" formatCode="0.000">
                  <c:v>131.15305676121261</c:v>
                </c:pt>
                <c:pt idx="34" formatCode="0.000">
                  <c:v>131.52478321017648</c:v>
                </c:pt>
                <c:pt idx="35" formatCode="0.000">
                  <c:v>131.95220202430519</c:v>
                </c:pt>
                <c:pt idx="36" formatCode="0.000">
                  <c:v>132.43638093296642</c:v>
                </c:pt>
                <c:pt idx="37" formatCode="0.000">
                  <c:v>132.97854194384746</c:v>
                </c:pt>
                <c:pt idx="38" formatCode="0.000">
                  <c:v>133.58006922312464</c:v>
                </c:pt>
                <c:pt idx="39" formatCode="0.000">
                  <c:v>134.22865013774106</c:v>
                </c:pt>
                <c:pt idx="40" formatCode="0.000">
                  <c:v>134.93959220410565</c:v>
                </c:pt>
                <c:pt idx="41" formatCode="0.000">
                  <c:v>135.71478309309936</c:v>
                </c:pt>
                <c:pt idx="42" formatCode="0.000">
                  <c:v>136.55631459099666</c:v>
                </c:pt>
                <c:pt idx="43" formatCode="0.000">
                  <c:v>137.45195528756304</c:v>
                </c:pt>
                <c:pt idx="44" formatCode="0.000">
                  <c:v>138.43312735279494</c:v>
                </c:pt>
                <c:pt idx="45" formatCode="0.000">
                  <c:v>139.47330757120366</c:v>
                </c:pt>
                <c:pt idx="46" formatCode="0.000">
                  <c:v>140.59005987160066</c:v>
                </c:pt>
                <c:pt idx="47" formatCode="0.000">
                  <c:v>141.77123113293328</c:v>
                </c:pt>
                <c:pt idx="48" formatCode="0.000">
                  <c:v>143.05112114206025</c:v>
                </c:pt>
                <c:pt idx="49" formatCode="0.000">
                  <c:v>144.40245980588278</c:v>
                </c:pt>
                <c:pt idx="50" formatCode="0.000">
                  <c:v>145.84502562951323</c:v>
                </c:pt>
                <c:pt idx="51" formatCode="0.000">
                  <c:v>147.38354506957049</c:v>
                </c:pt>
                <c:pt idx="52" formatCode="0.000">
                  <c:v>149.00611620795107</c:v>
                </c:pt>
                <c:pt idx="53" formatCode="0.000">
                  <c:v>150.7522141006304</c:v>
                </c:pt>
                <c:pt idx="54" formatCode="0.000">
                  <c:v>152.59346251712662</c:v>
                </c:pt>
                <c:pt idx="55" formatCode="0.000">
                  <c:v>154.55374489512707</c:v>
                </c:pt>
                <c:pt idx="56" formatCode="0.000">
                  <c:v>156.60278815636175</c:v>
                </c:pt>
                <c:pt idx="57" formatCode="0.000">
                  <c:v>158.72628064174609</c:v>
                </c:pt>
                <c:pt idx="58" formatCode="0.000">
                  <c:v>160.8882284959551</c:v>
                </c:pt>
                <c:pt idx="59" formatCode="0.000">
                  <c:v>163.1303620004185</c:v>
                </c:pt>
                <c:pt idx="60" formatCode="0.000">
                  <c:v>165.43587131822426</c:v>
                </c:pt>
                <c:pt idx="61" formatCode="0.000">
                  <c:v>167.78581267217632</c:v>
                </c:pt>
                <c:pt idx="62" formatCode="0.000">
                  <c:v>170.22577405126862</c:v>
                </c:pt>
                <c:pt idx="63" formatCode="0.000">
                  <c:v>172.71478576808897</c:v>
                </c:pt>
                <c:pt idx="64" formatCode="0.000">
                  <c:v>175.3013131858248</c:v>
                </c:pt>
                <c:pt idx="65" formatCode="0.000">
                  <c:v>177.96648860886637</c:v>
                </c:pt>
                <c:pt idx="66" formatCode="0.000">
                  <c:v>180.68882399295418</c:v>
                </c:pt>
                <c:pt idx="67" formatCode="0.000">
                  <c:v>183.52165725047084</c:v>
                </c:pt>
                <c:pt idx="68" formatCode="0.000">
                  <c:v>186.41798182687711</c:v>
                </c:pt>
                <c:pt idx="69" formatCode="0.000">
                  <c:v>189.43480585119309</c:v>
                </c:pt>
                <c:pt idx="70" formatCode="0.000">
                  <c:v>192.55087927287099</c:v>
                </c:pt>
                <c:pt idx="71" formatCode="0.000">
                  <c:v>195.7416892638345</c:v>
                </c:pt>
                <c:pt idx="72" formatCode="0.000">
                  <c:v>199.070527552219</c:v>
                </c:pt>
                <c:pt idx="73" formatCode="0.000">
                  <c:v>202.60928322677896</c:v>
                </c:pt>
                <c:pt idx="74" formatCode="0.000">
                  <c:v>206.57127715951245</c:v>
                </c:pt>
                <c:pt idx="75" formatCode="0.000">
                  <c:v>210.96498349299128</c:v>
                </c:pt>
                <c:pt idx="76" formatCode="0.000">
                  <c:v>215.80025466423078</c:v>
                </c:pt>
                <c:pt idx="77" formatCode="0.000">
                  <c:v>221.2007717625695</c:v>
                </c:pt>
                <c:pt idx="78" formatCode="0.000">
                  <c:v>227.15617715617719</c:v>
                </c:pt>
                <c:pt idx="79" formatCode="0.000">
                  <c:v>233.8192070061784</c:v>
                </c:pt>
                <c:pt idx="80" formatCode="0.000">
                  <c:v>241.24272806040355</c:v>
                </c:pt>
                <c:pt idx="81" formatCode="0.000">
                  <c:v>249.48796722990269</c:v>
                </c:pt>
                <c:pt idx="82" formatCode="0.000">
                  <c:v>258.77979154218946</c:v>
                </c:pt>
                <c:pt idx="83" formatCode="0.000">
                  <c:v>269.18030522753952</c:v>
                </c:pt>
                <c:pt idx="84" formatCode="0.000">
                  <c:v>280.99769319492503</c:v>
                </c:pt>
                <c:pt idx="85" formatCode="0.000">
                  <c:v>294.43311428355616</c:v>
                </c:pt>
                <c:pt idx="86" formatCode="0.000">
                  <c:v>309.73381009137864</c:v>
                </c:pt>
                <c:pt idx="87" formatCode="0.000">
                  <c:v>327.45295698924735</c:v>
                </c:pt>
                <c:pt idx="88" formatCode="0.000">
                  <c:v>347.9735761471166</c:v>
                </c:pt>
                <c:pt idx="89" formatCode="0.000">
                  <c:v>372.19516852859732</c:v>
                </c:pt>
                <c:pt idx="90" formatCode="0.000">
                  <c:v>401.02880658436214</c:v>
                </c:pt>
                <c:pt idx="91" formatCode="0.000">
                  <c:v>435.72546389447797</c:v>
                </c:pt>
                <c:pt idx="92" formatCode="0.000">
                  <c:v>478.57581338244319</c:v>
                </c:pt>
                <c:pt idx="93" formatCode="0.000">
                  <c:v>532.29550730574897</c:v>
                </c:pt>
                <c:pt idx="94" formatCode="0.000">
                  <c:v>602.10071053444551</c:v>
                </c:pt>
                <c:pt idx="95" formatCode="0.000">
                  <c:v>695.94715229423321</c:v>
                </c:pt>
                <c:pt idx="96" formatCode="0.000">
                  <c:v>828.12831952411295</c:v>
                </c:pt>
                <c:pt idx="97" formatCode="0.000">
                  <c:v>1029.5826730058109</c:v>
                </c:pt>
                <c:pt idx="98" formatCode="0.000">
                  <c:v>1370.6047819971873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ser>
          <c:idx val="0"/>
          <c:order val="4"/>
          <c:tx>
            <c:v>World Record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Marathon!$C$32</c:f>
              <c:numCache>
                <c:formatCode>0.000</c:formatCode>
                <c:ptCount val="1"/>
                <c:pt idx="0">
                  <c:v>129.93333333333334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4-4257-8A7F-45758B9B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43512549378869"/>
          <c:y val="0.19869519611328082"/>
          <c:w val="0.39726931670645604"/>
          <c:h val="0.22107235409669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ser>
          <c:idx val="0"/>
          <c:order val="1"/>
          <c:tx>
            <c:strRef>
              <c:f>'50K'!$D$6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'50K'!$D$7:$D$106</c:f>
              <c:numCache>
                <c:formatCode>General</c:formatCode>
                <c:ptCount val="100"/>
                <c:pt idx="3" formatCode="0.0">
                  <c:v>226.84447021307437</c:v>
                </c:pt>
                <c:pt idx="4" formatCode="0.0">
                  <c:v>215.86206896551724</c:v>
                </c:pt>
                <c:pt idx="5" formatCode="0.0">
                  <c:v>206.49162158596121</c:v>
                </c:pt>
                <c:pt idx="6" formatCode="0.0">
                  <c:v>198.4529546030941</c:v>
                </c:pt>
                <c:pt idx="7" formatCode="0.0">
                  <c:v>191.5310243544242</c:v>
                </c:pt>
                <c:pt idx="8" formatCode="0.0">
                  <c:v>185.55845387716388</c:v>
                </c:pt>
                <c:pt idx="9" formatCode="0.0">
                  <c:v>180.4034582132565</c:v>
                </c:pt>
                <c:pt idx="10" formatCode="0.0">
                  <c:v>175.96132223971216</c:v>
                </c:pt>
                <c:pt idx="11" formatCode="0.0">
                  <c:v>172.14827851721483</c:v>
                </c:pt>
                <c:pt idx="12" formatCode="0.0">
                  <c:v>168.8970429527304</c:v>
                </c:pt>
                <c:pt idx="13" formatCode="0.0">
                  <c:v>166.15351948189829</c:v>
                </c:pt>
                <c:pt idx="14" formatCode="0.0">
                  <c:v>163.87434554973822</c:v>
                </c:pt>
                <c:pt idx="15" formatCode="0.0">
                  <c:v>161.84074457083764</c:v>
                </c:pt>
                <c:pt idx="16" formatCode="0.0">
                  <c:v>159.85699693564862</c:v>
                </c:pt>
                <c:pt idx="17" formatCode="0.0">
                  <c:v>158.19494584837545</c:v>
                </c:pt>
                <c:pt idx="18" formatCode="0.0">
                  <c:v>157.10598020937903</c:v>
                </c:pt>
                <c:pt idx="19" formatCode="0.0">
                  <c:v>156.56710018579392</c:v>
                </c:pt>
                <c:pt idx="20" formatCode="0.0">
                  <c:v>156.5</c:v>
                </c:pt>
                <c:pt idx="21" formatCode="0.0">
                  <c:v>156.5</c:v>
                </c:pt>
                <c:pt idx="22" formatCode="0.0">
                  <c:v>156.5</c:v>
                </c:pt>
                <c:pt idx="23" formatCode="0.0">
                  <c:v>156.5</c:v>
                </c:pt>
                <c:pt idx="24" formatCode="0.0">
                  <c:v>156.5</c:v>
                </c:pt>
                <c:pt idx="25" formatCode="0.0">
                  <c:v>156.5</c:v>
                </c:pt>
                <c:pt idx="26" formatCode="0.0">
                  <c:v>156.5</c:v>
                </c:pt>
                <c:pt idx="27" formatCode="0.0">
                  <c:v>156.66067761806983</c:v>
                </c:pt>
                <c:pt idx="28" formatCode="0.0">
                  <c:v>156.86198920585969</c:v>
                </c:pt>
                <c:pt idx="29" formatCode="0.0">
                  <c:v>157.14469618949536</c:v>
                </c:pt>
                <c:pt idx="30" formatCode="0.0">
                  <c:v>157.50967741935483</c:v>
                </c:pt>
                <c:pt idx="31" formatCode="0.0">
                  <c:v>157.95807453416148</c:v>
                </c:pt>
                <c:pt idx="32" formatCode="0.0">
                  <c:v>158.4913009607894</c:v>
                </c:pt>
                <c:pt idx="33" formatCode="0.0">
                  <c:v>159.11105318039625</c:v>
                </c:pt>
                <c:pt idx="34" formatCode="0.0">
                  <c:v>159.81932443047918</c:v>
                </c:pt>
                <c:pt idx="35" formatCode="0.0">
                  <c:v>160.61842105263159</c:v>
                </c:pt>
                <c:pt idx="36" formatCode="0.0">
                  <c:v>161.51098174120136</c:v>
                </c:pt>
                <c:pt idx="37" formatCode="0.0">
                  <c:v>162.5</c:v>
                </c:pt>
                <c:pt idx="38" formatCode="0.0">
                  <c:v>163.58885017421602</c:v>
                </c:pt>
                <c:pt idx="39" formatCode="0.0">
                  <c:v>164.78131749460044</c:v>
                </c:pt>
                <c:pt idx="40" formatCode="0.0">
                  <c:v>166.08163265306123</c:v>
                </c:pt>
                <c:pt idx="41" formatCode="0.0">
                  <c:v>167.49451152579582</c:v>
                </c:pt>
                <c:pt idx="42" formatCode="0.0">
                  <c:v>169.02520077540848</c:v>
                </c:pt>
                <c:pt idx="43" formatCode="0.0">
                  <c:v>170.67953020134229</c:v>
                </c:pt>
                <c:pt idx="44" formatCode="0.0">
                  <c:v>172.46397287369314</c:v>
                </c:pt>
                <c:pt idx="45" formatCode="0.0">
                  <c:v>174.37325905292479</c:v>
                </c:pt>
                <c:pt idx="46" formatCode="0.0">
                  <c:v>176.33802816901408</c:v>
                </c:pt>
                <c:pt idx="47" formatCode="0.0">
                  <c:v>178.34757834757835</c:v>
                </c:pt>
                <c:pt idx="48" formatCode="0.0">
                  <c:v>180.4034582132565</c:v>
                </c:pt>
                <c:pt idx="49" formatCode="0.0">
                  <c:v>182.50728862973762</c:v>
                </c:pt>
                <c:pt idx="50" formatCode="0.0">
                  <c:v>184.66076696165192</c:v>
                </c:pt>
                <c:pt idx="51" formatCode="0.0">
                  <c:v>186.86567164179104</c:v>
                </c:pt>
                <c:pt idx="52" formatCode="0.0">
                  <c:v>189.12386706948641</c:v>
                </c:pt>
                <c:pt idx="53" formatCode="0.0">
                  <c:v>191.43730886850153</c:v>
                </c:pt>
                <c:pt idx="54" formatCode="0.0">
                  <c:v>193.83445422905905</c:v>
                </c:pt>
                <c:pt idx="55" formatCode="0.0">
                  <c:v>196.34657365819388</c:v>
                </c:pt>
                <c:pt idx="56" formatCode="0.0">
                  <c:v>198.98030539980419</c:v>
                </c:pt>
                <c:pt idx="57" formatCode="0.0">
                  <c:v>201.74285198649034</c:v>
                </c:pt>
                <c:pt idx="58" formatCode="0.0">
                  <c:v>204.64203988231446</c:v>
                </c:pt>
                <c:pt idx="59" formatCode="0.0">
                  <c:v>207.68638692040238</c:v>
                </c:pt>
                <c:pt idx="60" formatCode="0.0">
                  <c:v>210.885178747086</c:v>
                </c:pt>
                <c:pt idx="61" formatCode="0.0">
                  <c:v>214.24855570462449</c:v>
                </c:pt>
                <c:pt idx="62" formatCode="0.0">
                  <c:v>217.78761185098594</c:v>
                </c:pt>
                <c:pt idx="63" formatCode="0.0">
                  <c:v>221.51450813871196</c:v>
                </c:pt>
                <c:pt idx="64" formatCode="0.0">
                  <c:v>225.44260216943485</c:v>
                </c:pt>
                <c:pt idx="65" formatCode="0.0">
                  <c:v>229.5865974239357</c:v>
                </c:pt>
                <c:pt idx="66" formatCode="0.0">
                  <c:v>233.96271546246879</c:v>
                </c:pt>
                <c:pt idx="67" formatCode="0.0">
                  <c:v>238.58889532579201</c:v>
                </c:pt>
                <c:pt idx="68" formatCode="0.0">
                  <c:v>243.48502528199145</c:v>
                </c:pt>
                <c:pt idx="69" formatCode="0.0">
                  <c:v>248.67321320748721</c:v>
                </c:pt>
                <c:pt idx="70" formatCode="0.0">
                  <c:v>254.17810332786539</c:v>
                </c:pt>
                <c:pt idx="71" formatCode="0.0">
                  <c:v>260.02724886186161</c:v>
                </c:pt>
                <c:pt idx="72" formatCode="0.0">
                  <c:v>266.25155242518588</c:v>
                </c:pt>
                <c:pt idx="73" formatCode="0.0">
                  <c:v>272.88578901482134</c:v>
                </c:pt>
                <c:pt idx="74" formatCode="0.0">
                  <c:v>279.9692302187874</c:v>
                </c:pt>
                <c:pt idx="75" formatCode="0.0">
                  <c:v>287.54639326792346</c:v>
                </c:pt>
                <c:pt idx="76" formatCode="0.0">
                  <c:v>295.66794506055055</c:v>
                </c:pt>
                <c:pt idx="77" formatCode="0.0">
                  <c:v>304.3917998988602</c:v>
                </c:pt>
                <c:pt idx="78" formatCode="0.0">
                  <c:v>313.78446115288222</c:v>
                </c:pt>
                <c:pt idx="79" formatCode="0.0">
                  <c:v>323.92267251728276</c:v>
                </c:pt>
                <c:pt idx="80" formatCode="0.0">
                  <c:v>334.89546553679571</c:v>
                </c:pt>
                <c:pt idx="81" formatCode="0.0">
                  <c:v>346.80671896467669</c:v>
                </c:pt>
                <c:pt idx="82" formatCode="0.0">
                  <c:v>359.77838571001632</c:v>
                </c:pt>
                <c:pt idx="83" formatCode="0.0">
                  <c:v>373.95459976105138</c:v>
                </c:pt>
                <c:pt idx="84" formatCode="0.0">
                  <c:v>389.50695637024319</c:v>
                </c:pt>
                <c:pt idx="85" formatCode="0.0">
                  <c:v>406.64137608481008</c:v>
                </c:pt>
                <c:pt idx="86" formatCode="0.0">
                  <c:v>425.60713605830682</c:v>
                </c:pt>
                <c:pt idx="87" formatCode="0.0">
                  <c:v>446.70891134326644</c:v>
                </c:pt>
                <c:pt idx="88" formatCode="0.0">
                  <c:v>470.32306536438767</c:v>
                </c:pt>
                <c:pt idx="89" formatCode="0.0">
                  <c:v>496.92004826316122</c:v>
                </c:pt>
                <c:pt idx="90" formatCode="0.0">
                  <c:v>527.09575292176078</c:v>
                </c:pt>
                <c:pt idx="91" formatCode="0.0">
                  <c:v>561.61630661020592</c:v>
                </c:pt>
                <c:pt idx="92" formatCode="0.0">
                  <c:v>601.48353126561381</c:v>
                </c:pt>
                <c:pt idx="93" formatCode="0.0">
                  <c:v>648.03312629399602</c:v>
                </c:pt>
                <c:pt idx="94" formatCode="0.0">
                  <c:v>703.08639202120503</c:v>
                </c:pt>
                <c:pt idx="95" formatCode="0.0">
                  <c:v>769.19296176152568</c:v>
                </c:pt>
                <c:pt idx="96" formatCode="0.0">
                  <c:v>850.03530498071802</c:v>
                </c:pt>
                <c:pt idx="97" formatCode="0.0">
                  <c:v>951.13650176248984</c:v>
                </c:pt>
                <c:pt idx="98" formatCode="0.0">
                  <c:v>1081.1744386873925</c:v>
                </c:pt>
                <c:pt idx="99" formatCode="0.0">
                  <c:v>1254.6095879429217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F71-9AF7-220DCED7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18038925809136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Youth Female</a:t>
            </a:r>
            <a:r>
              <a:rPr lang="en-US" sz="2400" baseline="0"/>
              <a:t> </a:t>
            </a:r>
            <a:r>
              <a:rPr lang="en-US" sz="2400"/>
              <a:t>Age</a:t>
            </a:r>
            <a:r>
              <a:rPr lang="en-US" sz="2400" baseline="0"/>
              <a:t> Factor vs Distance</a:t>
            </a:r>
            <a:endParaRPr lang="en-US" sz="2400"/>
          </a:p>
        </c:rich>
      </c:tx>
      <c:layout>
        <c:manualLayout>
          <c:xMode val="edge"/>
          <c:yMode val="edge"/>
          <c:x val="0.26113149914848188"/>
          <c:y val="3.5384892240792963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5794294619424"/>
          <c:y val="0.11377070524270037"/>
          <c:w val="0.85890171956640204"/>
          <c:h val="0.73182463778424678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Factors'!$B$6:$S$6</c:f>
              <c:numCache>
                <c:formatCode>0.0000</c:formatCode>
                <c:ptCount val="18"/>
                <c:pt idx="0">
                  <c:v>0.73529999999999995</c:v>
                </c:pt>
                <c:pt idx="1">
                  <c:v>0.72199999999999998</c:v>
                </c:pt>
                <c:pt idx="2">
                  <c:v>0.7046</c:v>
                </c:pt>
                <c:pt idx="3">
                  <c:v>0.69030000000000002</c:v>
                </c:pt>
                <c:pt idx="4">
                  <c:v>0.68889999999999996</c:v>
                </c:pt>
                <c:pt idx="5">
                  <c:v>0.68840000000000001</c:v>
                </c:pt>
                <c:pt idx="6">
                  <c:v>0.68669999999999998</c:v>
                </c:pt>
                <c:pt idx="7">
                  <c:v>0.68669999999999998</c:v>
                </c:pt>
                <c:pt idx="8">
                  <c:v>0.68500000000000005</c:v>
                </c:pt>
                <c:pt idx="9">
                  <c:v>0.67269999999999996</c:v>
                </c:pt>
                <c:pt idx="10">
                  <c:v>0.66620000000000001</c:v>
                </c:pt>
                <c:pt idx="11">
                  <c:v>0.64319999999999999</c:v>
                </c:pt>
                <c:pt idx="12">
                  <c:v>0.63590000000000002</c:v>
                </c:pt>
                <c:pt idx="13">
                  <c:v>0.61350000000000005</c:v>
                </c:pt>
                <c:pt idx="14">
                  <c:v>0.60799999999999998</c:v>
                </c:pt>
                <c:pt idx="15">
                  <c:v>0.59150000000000003</c:v>
                </c:pt>
                <c:pt idx="16">
                  <c:v>0.57369999999999999</c:v>
                </c:pt>
                <c:pt idx="17">
                  <c:v>0.54049999999999998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Factors'!$B$11:$S$11</c:f>
              <c:numCache>
                <c:formatCode>0.0000</c:formatCode>
                <c:ptCount val="18"/>
                <c:pt idx="0">
                  <c:v>0.86260000000000003</c:v>
                </c:pt>
                <c:pt idx="1">
                  <c:v>0.85450000000000004</c:v>
                </c:pt>
                <c:pt idx="2">
                  <c:v>0.84379999999999999</c:v>
                </c:pt>
                <c:pt idx="3">
                  <c:v>0.83509999999999995</c:v>
                </c:pt>
                <c:pt idx="4">
                  <c:v>0.83460000000000001</c:v>
                </c:pt>
                <c:pt idx="5">
                  <c:v>0.83440000000000003</c:v>
                </c:pt>
                <c:pt idx="6">
                  <c:v>0.83389999999999997</c:v>
                </c:pt>
                <c:pt idx="7">
                  <c:v>0.83389999999999997</c:v>
                </c:pt>
                <c:pt idx="8">
                  <c:v>0.83330000000000004</c:v>
                </c:pt>
                <c:pt idx="9">
                  <c:v>0.82550000000000001</c:v>
                </c:pt>
                <c:pt idx="10">
                  <c:v>0.82140000000000002</c:v>
                </c:pt>
                <c:pt idx="11">
                  <c:v>0.80679999999999996</c:v>
                </c:pt>
                <c:pt idx="12">
                  <c:v>0.80220000000000002</c:v>
                </c:pt>
                <c:pt idx="13">
                  <c:v>0.78800000000000003</c:v>
                </c:pt>
                <c:pt idx="14">
                  <c:v>0.78449999999999998</c:v>
                </c:pt>
                <c:pt idx="15">
                  <c:v>0.77449999999999997</c:v>
                </c:pt>
                <c:pt idx="16">
                  <c:v>0.76380000000000003</c:v>
                </c:pt>
                <c:pt idx="17">
                  <c:v>0.74380000000000002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Factors'!$B$16:$S$16</c:f>
              <c:numCache>
                <c:formatCode>0.0000</c:formatCode>
                <c:ptCount val="18"/>
                <c:pt idx="0">
                  <c:v>0.95569999999999999</c:v>
                </c:pt>
                <c:pt idx="1">
                  <c:v>0.95199999999999996</c:v>
                </c:pt>
                <c:pt idx="2">
                  <c:v>0.94720000000000004</c:v>
                </c:pt>
                <c:pt idx="3">
                  <c:v>0.94330000000000003</c:v>
                </c:pt>
                <c:pt idx="4">
                  <c:v>0.94140000000000001</c:v>
                </c:pt>
                <c:pt idx="5">
                  <c:v>0.94059999999999999</c:v>
                </c:pt>
                <c:pt idx="6">
                  <c:v>0.93840000000000001</c:v>
                </c:pt>
                <c:pt idx="7">
                  <c:v>0.93830000000000002</c:v>
                </c:pt>
                <c:pt idx="8">
                  <c:v>0.93600000000000005</c:v>
                </c:pt>
                <c:pt idx="9">
                  <c:v>0.93189999999999995</c:v>
                </c:pt>
                <c:pt idx="10">
                  <c:v>0.92969999999999997</c:v>
                </c:pt>
                <c:pt idx="11">
                  <c:v>0.92190000000000005</c:v>
                </c:pt>
                <c:pt idx="12">
                  <c:v>0.9194</c:v>
                </c:pt>
                <c:pt idx="13">
                  <c:v>0.91190000000000004</c:v>
                </c:pt>
                <c:pt idx="14">
                  <c:v>0.91</c:v>
                </c:pt>
                <c:pt idx="15">
                  <c:v>0.90010000000000001</c:v>
                </c:pt>
                <c:pt idx="16">
                  <c:v>0.88939999999999997</c:v>
                </c:pt>
                <c:pt idx="17">
                  <c:v>0.86950000000000005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logBase val="10"/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97888456583704"/>
          <c:y val="0.11543390990439362"/>
          <c:w val="0.10884540654904119"/>
          <c:h val="0.21066286605498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30347448385603731"/>
          <c:y val="3.420087484681235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04259105875266"/>
          <c:y val="0.10462589415367367"/>
          <c:w val="0.83654271348316667"/>
          <c:h val="0.7695531542491495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Factors'!$B$41:$S$41</c:f>
              <c:numCache>
                <c:formatCode>0.0000</c:formatCode>
                <c:ptCount val="18"/>
                <c:pt idx="0">
                  <c:v>0.98529999999999995</c:v>
                </c:pt>
                <c:pt idx="1">
                  <c:v>0.9748</c:v>
                </c:pt>
                <c:pt idx="2">
                  <c:v>0.96109999999999995</c:v>
                </c:pt>
                <c:pt idx="3">
                  <c:v>0.94989999999999997</c:v>
                </c:pt>
                <c:pt idx="4">
                  <c:v>0.95320000000000005</c:v>
                </c:pt>
                <c:pt idx="5">
                  <c:v>0.95440000000000003</c:v>
                </c:pt>
                <c:pt idx="6">
                  <c:v>0.95830000000000004</c:v>
                </c:pt>
                <c:pt idx="7">
                  <c:v>0.95840000000000003</c:v>
                </c:pt>
                <c:pt idx="8">
                  <c:v>0.96230000000000004</c:v>
                </c:pt>
                <c:pt idx="9">
                  <c:v>0.96189999999999998</c:v>
                </c:pt>
                <c:pt idx="10">
                  <c:v>0.96179999999999999</c:v>
                </c:pt>
                <c:pt idx="11">
                  <c:v>0.96109999999999995</c:v>
                </c:pt>
                <c:pt idx="12">
                  <c:v>0.96089999999999998</c:v>
                </c:pt>
                <c:pt idx="13">
                  <c:v>0.96030000000000004</c:v>
                </c:pt>
                <c:pt idx="14">
                  <c:v>0.96009999999999995</c:v>
                </c:pt>
                <c:pt idx="15">
                  <c:v>0.96199999999999997</c:v>
                </c:pt>
                <c:pt idx="16">
                  <c:v>0.96409999999999996</c:v>
                </c:pt>
                <c:pt idx="17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Factors'!$B$51:$S$51</c:f>
              <c:numCache>
                <c:formatCode>0.0000</c:formatCode>
                <c:ptCount val="18"/>
                <c:pt idx="0">
                  <c:v>0.91500000000000004</c:v>
                </c:pt>
                <c:pt idx="1">
                  <c:v>0.89849999999999997</c:v>
                </c:pt>
                <c:pt idx="2">
                  <c:v>0.87690000000000001</c:v>
                </c:pt>
                <c:pt idx="3">
                  <c:v>0.85919999999999996</c:v>
                </c:pt>
                <c:pt idx="4">
                  <c:v>0.86519999999999997</c:v>
                </c:pt>
                <c:pt idx="5">
                  <c:v>0.86760000000000004</c:v>
                </c:pt>
                <c:pt idx="6">
                  <c:v>0.87480000000000002</c:v>
                </c:pt>
                <c:pt idx="7">
                  <c:v>0.875</c:v>
                </c:pt>
                <c:pt idx="8">
                  <c:v>0.88219999999999998</c:v>
                </c:pt>
                <c:pt idx="9">
                  <c:v>0.88109999999999999</c:v>
                </c:pt>
                <c:pt idx="10">
                  <c:v>0.88049999999999995</c:v>
                </c:pt>
                <c:pt idx="11">
                  <c:v>0.87849999999999995</c:v>
                </c:pt>
                <c:pt idx="12">
                  <c:v>0.87780000000000002</c:v>
                </c:pt>
                <c:pt idx="13">
                  <c:v>0.87580000000000002</c:v>
                </c:pt>
                <c:pt idx="14">
                  <c:v>0.87529999999999997</c:v>
                </c:pt>
                <c:pt idx="15">
                  <c:v>0.88129999999999997</c:v>
                </c:pt>
                <c:pt idx="16">
                  <c:v>0.88770000000000004</c:v>
                </c:pt>
                <c:pt idx="17">
                  <c:v>0.89980000000000004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Factors'!$B$61:$S$61</c:f>
              <c:numCache>
                <c:formatCode>0.0000</c:formatCode>
                <c:ptCount val="18"/>
                <c:pt idx="0">
                  <c:v>0.81789999999999996</c:v>
                </c:pt>
                <c:pt idx="1">
                  <c:v>0.8014</c:v>
                </c:pt>
                <c:pt idx="2">
                  <c:v>0.77980000000000005</c:v>
                </c:pt>
                <c:pt idx="3">
                  <c:v>0.7621</c:v>
                </c:pt>
                <c:pt idx="4">
                  <c:v>0.76749999999999996</c:v>
                </c:pt>
                <c:pt idx="5">
                  <c:v>0.76959999999999995</c:v>
                </c:pt>
                <c:pt idx="6">
                  <c:v>0.77610000000000001</c:v>
                </c:pt>
                <c:pt idx="7">
                  <c:v>0.77629999999999999</c:v>
                </c:pt>
                <c:pt idx="8">
                  <c:v>0.78280000000000005</c:v>
                </c:pt>
                <c:pt idx="9">
                  <c:v>0.78100000000000003</c:v>
                </c:pt>
                <c:pt idx="10">
                  <c:v>0.78010000000000002</c:v>
                </c:pt>
                <c:pt idx="11">
                  <c:v>0.77680000000000005</c:v>
                </c:pt>
                <c:pt idx="12">
                  <c:v>0.77580000000000005</c:v>
                </c:pt>
                <c:pt idx="13">
                  <c:v>0.77259999999999995</c:v>
                </c:pt>
                <c:pt idx="14">
                  <c:v>0.77180000000000004</c:v>
                </c:pt>
                <c:pt idx="15">
                  <c:v>0.77780000000000005</c:v>
                </c:pt>
                <c:pt idx="16">
                  <c:v>0.7843</c:v>
                </c:pt>
                <c:pt idx="17">
                  <c:v>0.79649999999999999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Factors'!$B$71:$S$71</c:f>
              <c:numCache>
                <c:formatCode>0.0000</c:formatCode>
                <c:ptCount val="18"/>
                <c:pt idx="0">
                  <c:v>0.7208</c:v>
                </c:pt>
                <c:pt idx="1">
                  <c:v>0.70430000000000004</c:v>
                </c:pt>
                <c:pt idx="2">
                  <c:v>0.68269999999999997</c:v>
                </c:pt>
                <c:pt idx="3">
                  <c:v>0.66500000000000004</c:v>
                </c:pt>
                <c:pt idx="4">
                  <c:v>0.66979999999999995</c:v>
                </c:pt>
                <c:pt idx="5">
                  <c:v>0.67169999999999996</c:v>
                </c:pt>
                <c:pt idx="6">
                  <c:v>0.67749999999999999</c:v>
                </c:pt>
                <c:pt idx="7">
                  <c:v>0.67759999999999998</c:v>
                </c:pt>
                <c:pt idx="8">
                  <c:v>0.68340000000000001</c:v>
                </c:pt>
                <c:pt idx="9">
                  <c:v>0.68100000000000005</c:v>
                </c:pt>
                <c:pt idx="10">
                  <c:v>0.67969999999999997</c:v>
                </c:pt>
                <c:pt idx="11">
                  <c:v>0.67520000000000002</c:v>
                </c:pt>
                <c:pt idx="12">
                  <c:v>0.67379999999999995</c:v>
                </c:pt>
                <c:pt idx="13">
                  <c:v>0.6694</c:v>
                </c:pt>
                <c:pt idx="14">
                  <c:v>0.66830000000000001</c:v>
                </c:pt>
                <c:pt idx="15">
                  <c:v>0.67259999999999998</c:v>
                </c:pt>
                <c:pt idx="16">
                  <c:v>0.67720000000000002</c:v>
                </c:pt>
                <c:pt idx="17">
                  <c:v>0.68589999999999995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Factors'!$B$81:$S$81</c:f>
              <c:numCache>
                <c:formatCode>0.0000</c:formatCode>
                <c:ptCount val="18"/>
                <c:pt idx="0">
                  <c:v>0.62390000000000001</c:v>
                </c:pt>
                <c:pt idx="1">
                  <c:v>0.60619999999999996</c:v>
                </c:pt>
                <c:pt idx="2">
                  <c:v>0.58299999999999996</c:v>
                </c:pt>
                <c:pt idx="3">
                  <c:v>0.56399999999999995</c:v>
                </c:pt>
                <c:pt idx="4">
                  <c:v>0.56679999999999997</c:v>
                </c:pt>
                <c:pt idx="5">
                  <c:v>0.56779999999999997</c:v>
                </c:pt>
                <c:pt idx="6">
                  <c:v>0.57110000000000005</c:v>
                </c:pt>
                <c:pt idx="7">
                  <c:v>0.57120000000000004</c:v>
                </c:pt>
                <c:pt idx="8">
                  <c:v>0.57450000000000001</c:v>
                </c:pt>
                <c:pt idx="9">
                  <c:v>0.57150000000000001</c:v>
                </c:pt>
                <c:pt idx="10">
                  <c:v>0.56979999999999997</c:v>
                </c:pt>
                <c:pt idx="11">
                  <c:v>0.56410000000000005</c:v>
                </c:pt>
                <c:pt idx="12">
                  <c:v>0.56230000000000002</c:v>
                </c:pt>
                <c:pt idx="13">
                  <c:v>0.55679999999999996</c:v>
                </c:pt>
                <c:pt idx="14">
                  <c:v>0.5554</c:v>
                </c:pt>
                <c:pt idx="15">
                  <c:v>0.55549999999999999</c:v>
                </c:pt>
                <c:pt idx="16">
                  <c:v>0.55559999999999998</c:v>
                </c:pt>
                <c:pt idx="17">
                  <c:v>0.55569999999999997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Factors'!$B$91:$S$91</c:f>
              <c:numCache>
                <c:formatCode>0.0000</c:formatCode>
                <c:ptCount val="18"/>
                <c:pt idx="0">
                  <c:v>0.4662</c:v>
                </c:pt>
                <c:pt idx="1">
                  <c:v>0.44800000000000001</c:v>
                </c:pt>
                <c:pt idx="2">
                  <c:v>0.42420000000000002</c:v>
                </c:pt>
                <c:pt idx="3">
                  <c:v>0.40460000000000002</c:v>
                </c:pt>
                <c:pt idx="4">
                  <c:v>0.4032</c:v>
                </c:pt>
                <c:pt idx="5">
                  <c:v>0.40260000000000001</c:v>
                </c:pt>
                <c:pt idx="6">
                  <c:v>0.40089999999999998</c:v>
                </c:pt>
                <c:pt idx="7">
                  <c:v>0.40079999999999999</c:v>
                </c:pt>
                <c:pt idx="8">
                  <c:v>0.39910000000000001</c:v>
                </c:pt>
                <c:pt idx="9">
                  <c:v>0.39500000000000002</c:v>
                </c:pt>
                <c:pt idx="10">
                  <c:v>0.39279999999999998</c:v>
                </c:pt>
                <c:pt idx="11">
                  <c:v>0.38500000000000001</c:v>
                </c:pt>
                <c:pt idx="12">
                  <c:v>0.38250000000000001</c:v>
                </c:pt>
                <c:pt idx="13">
                  <c:v>0.375</c:v>
                </c:pt>
                <c:pt idx="14">
                  <c:v>0.37309999999999999</c:v>
                </c:pt>
                <c:pt idx="15">
                  <c:v>0.36720000000000003</c:v>
                </c:pt>
                <c:pt idx="16">
                  <c:v>0.3609</c:v>
                </c:pt>
                <c:pt idx="17">
                  <c:v>0.34910000000000002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Factors'!$B$96:$S$96</c:f>
              <c:numCache>
                <c:formatCode>0.0000</c:formatCode>
                <c:ptCount val="18"/>
                <c:pt idx="0">
                  <c:v>0.34920000000000001</c:v>
                </c:pt>
                <c:pt idx="1">
                  <c:v>0.33360000000000001</c:v>
                </c:pt>
                <c:pt idx="2">
                  <c:v>0.31319999999999998</c:v>
                </c:pt>
                <c:pt idx="3">
                  <c:v>0.2964</c:v>
                </c:pt>
                <c:pt idx="4">
                  <c:v>0.2928</c:v>
                </c:pt>
                <c:pt idx="5">
                  <c:v>0.29149999999999998</c:v>
                </c:pt>
                <c:pt idx="6">
                  <c:v>0.28720000000000001</c:v>
                </c:pt>
                <c:pt idx="7">
                  <c:v>0.28710000000000002</c:v>
                </c:pt>
                <c:pt idx="8">
                  <c:v>0.28289999999999998</c:v>
                </c:pt>
                <c:pt idx="9">
                  <c:v>0.27800000000000002</c:v>
                </c:pt>
                <c:pt idx="10">
                  <c:v>0.27529999999999999</c:v>
                </c:pt>
                <c:pt idx="11">
                  <c:v>0.2661</c:v>
                </c:pt>
                <c:pt idx="12">
                  <c:v>0.2631</c:v>
                </c:pt>
                <c:pt idx="13">
                  <c:v>0.25409999999999999</c:v>
                </c:pt>
                <c:pt idx="14">
                  <c:v>0.25190000000000001</c:v>
                </c:pt>
                <c:pt idx="15">
                  <c:v>0.24310000000000001</c:v>
                </c:pt>
                <c:pt idx="16">
                  <c:v>0.2336</c:v>
                </c:pt>
                <c:pt idx="17">
                  <c:v>0.21579999999999999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Age-Factor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3542325410938"/>
          <c:y val="0.42117270700139847"/>
          <c:w val="0.10044973200900834"/>
          <c:h val="0.38013845064819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630036076487458"/>
          <c:y val="2.00973946084218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52730469208932E-2"/>
          <c:y val="0.10253503319050378"/>
          <c:w val="0.88027819587447143"/>
          <c:h val="0.78725859973522883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175.6</c:v>
                </c:pt>
                <c:pt idx="1">
                  <c:v>176.16666666666666</c:v>
                </c:pt>
                <c:pt idx="2">
                  <c:v>176.93544698958084</c:v>
                </c:pt>
                <c:pt idx="3">
                  <c:v>178</c:v>
                </c:pt>
                <c:pt idx="4">
                  <c:v>178.33353217211484</c:v>
                </c:pt>
                <c:pt idx="5">
                  <c:v>179.4</c:v>
                </c:pt>
                <c:pt idx="6">
                  <c:v>180.58333333333334</c:v>
                </c:pt>
                <c:pt idx="7">
                  <c:v>182.33333333333334</c:v>
                </c:pt>
                <c:pt idx="8">
                  <c:v>183.11809035234231</c:v>
                </c:pt>
                <c:pt idx="9">
                  <c:v>185.2</c:v>
                </c:pt>
                <c:pt idx="10">
                  <c:v>186.23059604218508</c:v>
                </c:pt>
                <c:pt idx="11">
                  <c:v>187.12</c:v>
                </c:pt>
                <c:pt idx="12">
                  <c:v>188.43333333333334</c:v>
                </c:pt>
                <c:pt idx="13">
                  <c:v>190.87569617253229</c:v>
                </c:pt>
                <c:pt idx="14">
                  <c:v>194</c:v>
                </c:pt>
                <c:pt idx="15">
                  <c:v>219.53044221745009</c:v>
                </c:pt>
                <c:pt idx="16">
                  <c:v>243.71</c:v>
                </c:pt>
                <c:pt idx="17">
                  <c:v>273.41333333333336</c:v>
                </c:pt>
                <c:pt idx="18">
                  <c:v>279.2317863676131</c:v>
                </c:pt>
                <c:pt idx="19">
                  <c:v>297.52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194.2</c:v>
                </c:pt>
                <c:pt idx="1">
                  <c:v>194.16666666666666</c:v>
                </c:pt>
                <c:pt idx="2">
                  <c:v>194.64452596834485</c:v>
                </c:pt>
                <c:pt idx="3">
                  <c:v>195</c:v>
                </c:pt>
                <c:pt idx="4">
                  <c:v>195.23482860097033</c:v>
                </c:pt>
                <c:pt idx="5">
                  <c:v>195.6</c:v>
                </c:pt>
                <c:pt idx="6">
                  <c:v>197.25</c:v>
                </c:pt>
                <c:pt idx="7">
                  <c:v>199.53333333333333</c:v>
                </c:pt>
                <c:pt idx="8">
                  <c:v>200.45434661576394</c:v>
                </c:pt>
                <c:pt idx="9">
                  <c:v>203.05</c:v>
                </c:pt>
                <c:pt idx="10">
                  <c:v>204.24220879251095</c:v>
                </c:pt>
                <c:pt idx="11">
                  <c:v>204.24</c:v>
                </c:pt>
                <c:pt idx="12">
                  <c:v>204.63333333333333</c:v>
                </c:pt>
                <c:pt idx="13">
                  <c:v>205.3323853537149</c:v>
                </c:pt>
                <c:pt idx="14">
                  <c:v>208.72</c:v>
                </c:pt>
                <c:pt idx="15">
                  <c:v>236.17076274556587</c:v>
                </c:pt>
                <c:pt idx="16">
                  <c:v>262.18</c:v>
                </c:pt>
                <c:pt idx="17">
                  <c:v>294.14</c:v>
                </c:pt>
                <c:pt idx="18">
                  <c:v>300.39568917521672</c:v>
                </c:pt>
                <c:pt idx="19">
                  <c:v>320.07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218.8</c:v>
                </c:pt>
                <c:pt idx="1">
                  <c:v>218.83333333333334</c:v>
                </c:pt>
                <c:pt idx="2">
                  <c:v>219.34403085977888</c:v>
                </c:pt>
                <c:pt idx="3">
                  <c:v>219.875</c:v>
                </c:pt>
                <c:pt idx="4">
                  <c:v>220.08967629046367</c:v>
                </c:pt>
                <c:pt idx="5">
                  <c:v>220.5</c:v>
                </c:pt>
                <c:pt idx="6">
                  <c:v>222.58333333333334</c:v>
                </c:pt>
                <c:pt idx="7">
                  <c:v>225.6</c:v>
                </c:pt>
                <c:pt idx="8">
                  <c:v>226.80048516662688</c:v>
                </c:pt>
                <c:pt idx="9">
                  <c:v>230.2</c:v>
                </c:pt>
                <c:pt idx="10">
                  <c:v>231.63881976537505</c:v>
                </c:pt>
                <c:pt idx="11">
                  <c:v>231.44</c:v>
                </c:pt>
                <c:pt idx="12">
                  <c:v>231.63333333333333</c:v>
                </c:pt>
                <c:pt idx="13">
                  <c:v>231.9706126318284</c:v>
                </c:pt>
                <c:pt idx="14">
                  <c:v>235.78</c:v>
                </c:pt>
                <c:pt idx="15">
                  <c:v>266.80436252286643</c:v>
                </c:pt>
                <c:pt idx="16">
                  <c:v>296.18</c:v>
                </c:pt>
                <c:pt idx="17">
                  <c:v>332.28666666666669</c:v>
                </c:pt>
                <c:pt idx="18">
                  <c:v>339.35566292849757</c:v>
                </c:pt>
                <c:pt idx="19">
                  <c:v>361.58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250.8</c:v>
                </c:pt>
                <c:pt idx="1">
                  <c:v>250.83333333333334</c:v>
                </c:pt>
                <c:pt idx="2">
                  <c:v>251.34464726000158</c:v>
                </c:pt>
                <c:pt idx="3">
                  <c:v>251.875</c:v>
                </c:pt>
                <c:pt idx="4">
                  <c:v>252.1524298099101</c:v>
                </c:pt>
                <c:pt idx="5">
                  <c:v>252.6</c:v>
                </c:pt>
                <c:pt idx="6">
                  <c:v>255.5</c:v>
                </c:pt>
                <c:pt idx="7">
                  <c:v>259.60000000000002</c:v>
                </c:pt>
                <c:pt idx="8">
                  <c:v>261.16231209735145</c:v>
                </c:pt>
                <c:pt idx="9">
                  <c:v>265.7</c:v>
                </c:pt>
                <c:pt idx="10">
                  <c:v>267.51984832326104</c:v>
                </c:pt>
                <c:pt idx="11">
                  <c:v>267.60000000000002</c:v>
                </c:pt>
                <c:pt idx="12">
                  <c:v>268.26666666666665</c:v>
                </c:pt>
                <c:pt idx="13">
                  <c:v>269.36840857921555</c:v>
                </c:pt>
                <c:pt idx="14">
                  <c:v>273.8</c:v>
                </c:pt>
                <c:pt idx="15">
                  <c:v>309.82810387337946</c:v>
                </c:pt>
                <c:pt idx="16">
                  <c:v>343.94</c:v>
                </c:pt>
                <c:pt idx="17">
                  <c:v>385.86666666666667</c:v>
                </c:pt>
                <c:pt idx="18">
                  <c:v>394.07361011691717</c:v>
                </c:pt>
                <c:pt idx="19">
                  <c:v>419.88499999999999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295.8</c:v>
                </c:pt>
                <c:pt idx="1">
                  <c:v>296.33333333333331</c:v>
                </c:pt>
                <c:pt idx="2">
                  <c:v>297.32611548556429</c:v>
                </c:pt>
                <c:pt idx="3">
                  <c:v>298.75</c:v>
                </c:pt>
                <c:pt idx="4">
                  <c:v>299.12809194305254</c:v>
                </c:pt>
                <c:pt idx="5">
                  <c:v>300.39999999999998</c:v>
                </c:pt>
                <c:pt idx="6">
                  <c:v>304.75</c:v>
                </c:pt>
                <c:pt idx="7">
                  <c:v>310.73333333333335</c:v>
                </c:pt>
                <c:pt idx="8">
                  <c:v>312.92253241072137</c:v>
                </c:pt>
                <c:pt idx="9">
                  <c:v>319.39999999999998</c:v>
                </c:pt>
                <c:pt idx="10">
                  <c:v>321.93387842161394</c:v>
                </c:pt>
                <c:pt idx="11">
                  <c:v>324.04000000000002</c:v>
                </c:pt>
                <c:pt idx="12">
                  <c:v>326.96666666666664</c:v>
                </c:pt>
                <c:pt idx="13">
                  <c:v>332.48015167673896</c:v>
                </c:pt>
                <c:pt idx="14">
                  <c:v>337.96</c:v>
                </c:pt>
                <c:pt idx="15">
                  <c:v>382.4166865505448</c:v>
                </c:pt>
                <c:pt idx="16">
                  <c:v>424.53</c:v>
                </c:pt>
                <c:pt idx="17">
                  <c:v>476.27333333333331</c:v>
                </c:pt>
                <c:pt idx="18">
                  <c:v>486.40936928338499</c:v>
                </c:pt>
                <c:pt idx="19">
                  <c:v>518.26499999999999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ser>
          <c:idx val="5"/>
          <c:order val="5"/>
          <c:tx>
            <c:v>10 yrs</c:v>
          </c:tx>
          <c:xVal>
            <c:numRef>
              <c:f>Pace!$B$3:$P$3</c:f>
              <c:numCache>
                <c:formatCode>0.0000</c:formatCode>
                <c:ptCount val="15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</c:numCache>
            </c:numRef>
          </c:xVal>
          <c:yVal>
            <c:numRef>
              <c:f>Pace!$B$11:$P$11</c:f>
              <c:numCache>
                <c:formatCode>0</c:formatCode>
                <c:ptCount val="15"/>
                <c:pt idx="0">
                  <c:v>199.8</c:v>
                </c:pt>
                <c:pt idx="1">
                  <c:v>201.33333333333334</c:v>
                </c:pt>
                <c:pt idx="2">
                  <c:v>202.41166587131153</c:v>
                </c:pt>
                <c:pt idx="3">
                  <c:v>204.625</c:v>
                </c:pt>
                <c:pt idx="4">
                  <c:v>204.92821919987273</c:v>
                </c:pt>
                <c:pt idx="5">
                  <c:v>207.1</c:v>
                </c:pt>
                <c:pt idx="6">
                  <c:v>211.41666666666666</c:v>
                </c:pt>
                <c:pt idx="7">
                  <c:v>217.26666666666668</c:v>
                </c:pt>
                <c:pt idx="8">
                  <c:v>219.34403085977888</c:v>
                </c:pt>
                <c:pt idx="9">
                  <c:v>225.7</c:v>
                </c:pt>
                <c:pt idx="10">
                  <c:v>227.89430027254414</c:v>
                </c:pt>
                <c:pt idx="11">
                  <c:v>232.4</c:v>
                </c:pt>
                <c:pt idx="12">
                  <c:v>237.83333333333334</c:v>
                </c:pt>
                <c:pt idx="13">
                  <c:v>248.3943595212703</c:v>
                </c:pt>
                <c:pt idx="14">
                  <c:v>252.48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1-4D9A-BD9D-1966D262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  <c:majorUnit val="10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68610796"/>
          <c:y val="0.13302066936788992"/>
          <c:w val="8.6003980126238402E-2"/>
          <c:h val="0.245189293678733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Parameters!$J$2:$J$36</c:f>
              <c:numCache>
                <c:formatCode>0.0000</c:formatCode>
                <c:ptCount val="35"/>
                <c:pt idx="11">
                  <c:v>2.666666666666667</c:v>
                </c:pt>
                <c:pt idx="12">
                  <c:v>2.7029646862324026</c:v>
                </c:pt>
                <c:pt idx="13">
                  <c:v>2.75</c:v>
                </c:pt>
                <c:pt idx="14">
                  <c:v>2.7800000000000002</c:v>
                </c:pt>
                <c:pt idx="15">
                  <c:v>2.8000000000000003</c:v>
                </c:pt>
                <c:pt idx="16">
                  <c:v>2.8142936915082584</c:v>
                </c:pt>
                <c:pt idx="17">
                  <c:v>2.84375</c:v>
                </c:pt>
                <c:pt idx="18">
                  <c:v>2.8479512977544474</c:v>
                </c:pt>
                <c:pt idx="19">
                  <c:v>2.8766666666666669</c:v>
                </c:pt>
                <c:pt idx="20">
                  <c:v>2.8849376782447647</c:v>
                </c:pt>
                <c:pt idx="21">
                  <c:v>2.8944444444444448</c:v>
                </c:pt>
                <c:pt idx="22">
                  <c:v>2.9211111111111112</c:v>
                </c:pt>
                <c:pt idx="23">
                  <c:v>2.932872027360216</c:v>
                </c:pt>
                <c:pt idx="24">
                  <c:v>2.9641666666666668</c:v>
                </c:pt>
                <c:pt idx="25">
                  <c:v>2.9798159339574197</c:v>
                </c:pt>
                <c:pt idx="26">
                  <c:v>3</c:v>
                </c:pt>
                <c:pt idx="27">
                  <c:v>3.0277777777777781</c:v>
                </c:pt>
                <c:pt idx="28">
                  <c:v>3.0793537938934317</c:v>
                </c:pt>
                <c:pt idx="29">
                  <c:v>3.13</c:v>
                </c:pt>
                <c:pt idx="30">
                  <c:v>3.5418157957528029</c:v>
                </c:pt>
                <c:pt idx="31">
                  <c:v>3.9318333333333326</c:v>
                </c:pt>
                <c:pt idx="32">
                  <c:v>4.4111111111111114</c:v>
                </c:pt>
                <c:pt idx="33">
                  <c:v>4.5049411437206706</c:v>
                </c:pt>
                <c:pt idx="34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 formatCode="@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2.8033333333333332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Parameters!$N$16:$N$30</c:f>
              <c:numCache>
                <c:formatCode>0.000000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Parameters!$AK$2:$AK$36</c:f>
              <c:numCache>
                <c:formatCode>0.000000</c:formatCode>
                <c:ptCount val="35"/>
                <c:pt idx="14">
                  <c:v>2.58</c:v>
                </c:pt>
                <c:pt idx="15">
                  <c:v>2.6111111111111112</c:v>
                </c:pt>
                <c:pt idx="16">
                  <c:v>2.6175261472997695</c:v>
                </c:pt>
                <c:pt idx="17">
                  <c:v>2.65</c:v>
                </c:pt>
                <c:pt idx="18">
                  <c:v>2.6511837535459581</c:v>
                </c:pt>
                <c:pt idx="19">
                  <c:v>2.6850000000000001</c:v>
                </c:pt>
                <c:pt idx="21">
                  <c:v>2.7097222222222221</c:v>
                </c:pt>
                <c:pt idx="22">
                  <c:v>2.7433333333333332</c:v>
                </c:pt>
                <c:pt idx="23">
                  <c:v>2.7578524748800337</c:v>
                </c:pt>
                <c:pt idx="24">
                  <c:v>2.7983333333333338</c:v>
                </c:pt>
                <c:pt idx="25">
                  <c:v>2.8068096535924476</c:v>
                </c:pt>
                <c:pt idx="26">
                  <c:v>2.8393333333333328</c:v>
                </c:pt>
                <c:pt idx="27">
                  <c:v>2.8772222222222221</c:v>
                </c:pt>
                <c:pt idx="28">
                  <c:v>2.9604613500809731</c:v>
                </c:pt>
                <c:pt idx="29">
                  <c:v>3.0266666666666673</c:v>
                </c:pt>
                <c:pt idx="30">
                  <c:v>3.3305429679810552</c:v>
                </c:pt>
                <c:pt idx="31">
                  <c:v>3.56</c:v>
                </c:pt>
                <c:pt idx="32">
                  <c:v>4.0333333333333332</c:v>
                </c:pt>
                <c:pt idx="33">
                  <c:v>4.1269403351096265</c:v>
                </c:pt>
                <c:pt idx="3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Parameters!$AL$2:$AL$36</c:f>
              <c:numCache>
                <c:formatCode>0.00000</c:formatCode>
                <c:ptCount val="35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4">
                  <c:v>2.6</c:v>
                </c:pt>
                <c:pt idx="17">
                  <c:v>2.7562500000000001</c:v>
                </c:pt>
                <c:pt idx="19">
                  <c:v>2.7183333333333333</c:v>
                </c:pt>
                <c:pt idx="21">
                  <c:v>2.7930555555555556</c:v>
                </c:pt>
                <c:pt idx="22">
                  <c:v>2.7655555555555558</c:v>
                </c:pt>
                <c:pt idx="23">
                  <c:v>2.8085977889127496</c:v>
                </c:pt>
                <c:pt idx="24">
                  <c:v>2.8149999999999999</c:v>
                </c:pt>
                <c:pt idx="25">
                  <c:v>2.8099695856539082</c:v>
                </c:pt>
                <c:pt idx="26">
                  <c:v>2.9146666666666663</c:v>
                </c:pt>
                <c:pt idx="27">
                  <c:v>2.9794444444444443</c:v>
                </c:pt>
                <c:pt idx="28">
                  <c:v>2.9604613500809736</c:v>
                </c:pt>
                <c:pt idx="29">
                  <c:v>3.2726666666666664</c:v>
                </c:pt>
                <c:pt idx="30">
                  <c:v>3.6145090381988418</c:v>
                </c:pt>
                <c:pt idx="31">
                  <c:v>3.7033333333333331</c:v>
                </c:pt>
                <c:pt idx="32">
                  <c:v>4.2446666666666673</c:v>
                </c:pt>
                <c:pt idx="33">
                  <c:v>4.2753444881889759</c:v>
                </c:pt>
                <c:pt idx="34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Parameters!$C$2:$C$36</c:f>
              <c:numCache>
                <c:formatCode>0.0000</c:formatCode>
                <c:ptCount val="35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2.8033333333333337</c:v>
                </c:pt>
                <c:pt idx="7">
                  <c:v>2.8899999999999997</c:v>
                </c:pt>
                <c:pt idx="8">
                  <c:v>3.0738239127858749</c:v>
                </c:pt>
                <c:pt idx="9">
                  <c:v>3.2093059999210016</c:v>
                </c:pt>
                <c:pt idx="11">
                  <c:v>3</c:v>
                </c:pt>
                <c:pt idx="12">
                  <c:v>2.5683342612476467</c:v>
                </c:pt>
                <c:pt idx="13">
                  <c:v>2.3333333333333335</c:v>
                </c:pt>
                <c:pt idx="14">
                  <c:v>2.7800000000000002</c:v>
                </c:pt>
                <c:pt idx="17">
                  <c:v>3.0583333333333331</c:v>
                </c:pt>
                <c:pt idx="18">
                  <c:v>3.0447188419629359</c:v>
                </c:pt>
                <c:pt idx="19">
                  <c:v>2.8766666666666669</c:v>
                </c:pt>
                <c:pt idx="20">
                  <c:v>2.8849376782447647</c:v>
                </c:pt>
                <c:pt idx="21">
                  <c:v>3.1777777777777776</c:v>
                </c:pt>
                <c:pt idx="22">
                  <c:v>2.9555555555555557</c:v>
                </c:pt>
                <c:pt idx="23">
                  <c:v>3.0747517829210746</c:v>
                </c:pt>
                <c:pt idx="24">
                  <c:v>3.0708333333333337</c:v>
                </c:pt>
                <c:pt idx="25">
                  <c:v>2.9798159339574197</c:v>
                </c:pt>
                <c:pt idx="26">
                  <c:v>3.1513333333333331</c:v>
                </c:pt>
                <c:pt idx="27">
                  <c:v>3.2027777777777779</c:v>
                </c:pt>
                <c:pt idx="28">
                  <c:v>3.0793537938934312</c:v>
                </c:pt>
                <c:pt idx="29">
                  <c:v>3.7730000000000001</c:v>
                </c:pt>
                <c:pt idx="30">
                  <c:v>4.229052334367295</c:v>
                </c:pt>
                <c:pt idx="31">
                  <c:v>4.2061666666666664</c:v>
                </c:pt>
                <c:pt idx="32">
                  <c:v>5.5060000000000002</c:v>
                </c:pt>
                <c:pt idx="33">
                  <c:v>5.1429857962830399</c:v>
                </c:pt>
                <c:pt idx="34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Parameters!$AM$2:$AM$36</c:f>
              <c:numCache>
                <c:formatCode>General</c:formatCode>
                <c:ptCount val="35"/>
                <c:pt idx="14" formatCode="0.0000">
                  <c:v>2.6011947544716691</c:v>
                </c:pt>
                <c:pt idx="15" formatCode="0.0000">
                  <c:v>2.6312929744937663</c:v>
                </c:pt>
                <c:pt idx="16" formatCode="0.0000">
                  <c:v>2.6430013951486009</c:v>
                </c:pt>
                <c:pt idx="17" formatCode="0.0000">
                  <c:v>2.6794943180815198</c:v>
                </c:pt>
                <c:pt idx="18" formatCode="0.0000">
                  <c:v>2.6804790313079039</c:v>
                </c:pt>
                <c:pt idx="19" formatCode="0.0000">
                  <c:v>2.7174894221810897</c:v>
                </c:pt>
                <c:pt idx="21" formatCode="0.0000">
                  <c:v>2.7489332786612395</c:v>
                </c:pt>
                <c:pt idx="22" formatCode="0.0000">
                  <c:v>2.7879130239738878</c:v>
                </c:pt>
                <c:pt idx="23" formatCode="0.0000">
                  <c:v>2.8003183542621493</c:v>
                </c:pt>
                <c:pt idx="24" formatCode="0.0000">
                  <c:v>2.8389834121305668</c:v>
                </c:pt>
                <c:pt idx="25" formatCode="0.0000">
                  <c:v>2.8485696191191034</c:v>
                </c:pt>
                <c:pt idx="26" formatCode="0.0000">
                  <c:v>2.8792400641237994</c:v>
                </c:pt>
                <c:pt idx="27" formatCode="0.0000">
                  <c:v>2.9125555245665282</c:v>
                </c:pt>
                <c:pt idx="28" formatCode="0.0000">
                  <c:v>2.9759239653221776</c:v>
                </c:pt>
                <c:pt idx="29" formatCode="0.0000">
                  <c:v>3.0079656299190201</c:v>
                </c:pt>
                <c:pt idx="30" formatCode="0.0000">
                  <c:v>3.0996482612584857</c:v>
                </c:pt>
                <c:pt idx="31" formatCode="0.0000">
                  <c:v>3.1424462807089837</c:v>
                </c:pt>
                <c:pt idx="32" formatCode="0.0000">
                  <c:v>3.2238826181318867</c:v>
                </c:pt>
                <c:pt idx="33" formatCode="0.0000">
                  <c:v>3.2382278750838078</c:v>
                </c:pt>
                <c:pt idx="34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Parameters!$AN$2:$AN$36</c:f>
              <c:numCache>
                <c:formatCode>General</c:formatCode>
                <c:ptCount val="35"/>
                <c:pt idx="14" formatCode="0.0000">
                  <c:v>2.9803750963887921</c:v>
                </c:pt>
                <c:pt idx="15" formatCode="0.0000">
                  <c:v>3.0035587331855651</c:v>
                </c:pt>
                <c:pt idx="16" formatCode="0.0000">
                  <c:v>3.0125539134726247</c:v>
                </c:pt>
                <c:pt idx="17" formatCode="0.0000">
                  <c:v>3.0405071224784468</c:v>
                </c:pt>
                <c:pt idx="18" formatCode="0.0000">
                  <c:v>3.0412596744150644</c:v>
                </c:pt>
                <c:pt idx="19" formatCode="0.0000">
                  <c:v>3.0694792415204732</c:v>
                </c:pt>
                <c:pt idx="21" formatCode="0.0000">
                  <c:v>3.0933559985021257</c:v>
                </c:pt>
                <c:pt idx="22" formatCode="0.0000">
                  <c:v>3.1228316993039442</c:v>
                </c:pt>
                <c:pt idx="23" formatCode="0.0000">
                  <c:v>3.1321840831381662</c:v>
                </c:pt>
                <c:pt idx="24" formatCode="0.0000">
                  <c:v>3.1612473294187096</c:v>
                </c:pt>
                <c:pt idx="25" formatCode="0.0000">
                  <c:v>3.1684329273190817</c:v>
                </c:pt>
                <c:pt idx="26" formatCode="0.0000">
                  <c:v>3.1913699472123334</c:v>
                </c:pt>
                <c:pt idx="27" formatCode="0.0000">
                  <c:v>3.2161948633210322</c:v>
                </c:pt>
                <c:pt idx="28" formatCode="0.0000">
                  <c:v>3.2631594292744608</c:v>
                </c:pt>
                <c:pt idx="29" formatCode="0.0000">
                  <c:v>3.286782196257712</c:v>
                </c:pt>
                <c:pt idx="30" formatCode="0.0000">
                  <c:v>3.3539262102195408</c:v>
                </c:pt>
                <c:pt idx="31" formatCode="0.0000">
                  <c:v>3.3850469811790553</c:v>
                </c:pt>
                <c:pt idx="32" formatCode="0.0000">
                  <c:v>3.4438845109187777</c:v>
                </c:pt>
                <c:pt idx="33" formatCode="0.0000">
                  <c:v>3.4541983968172794</c:v>
                </c:pt>
                <c:pt idx="34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Parameters!$B$2:$B$36</c15:sqref>
                        </c15:formulaRef>
                      </c:ext>
                    </c:extLst>
                    <c:numCache>
                      <c:formatCode>0.0000</c:formatCode>
                      <c:ptCount val="3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1">
                        <c:v>1</c:v>
                      </c:pt>
                      <c:pt idx="12">
                        <c:v>1.6093440000000001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6.4373760000000004</c:v>
                      </c:pt>
                      <c:pt idx="17">
                        <c:v>8</c:v>
                      </c:pt>
                      <c:pt idx="18">
                        <c:v>8.0467200000000005</c:v>
                      </c:pt>
                      <c:pt idx="19">
                        <c:v>10</c:v>
                      </c:pt>
                      <c:pt idx="20">
                        <c:v>11.265408000000001</c:v>
                      </c:pt>
                      <c:pt idx="21">
                        <c:v>12</c:v>
                      </c:pt>
                      <c:pt idx="22">
                        <c:v>15</c:v>
                      </c:pt>
                      <c:pt idx="23">
                        <c:v>16.093440000000001</c:v>
                      </c:pt>
                      <c:pt idx="24">
                        <c:v>20</c:v>
                      </c:pt>
                      <c:pt idx="25">
                        <c:v>21.0975</c:v>
                      </c:pt>
                      <c:pt idx="26">
                        <c:v>25</c:v>
                      </c:pt>
                      <c:pt idx="27">
                        <c:v>30</c:v>
                      </c:pt>
                      <c:pt idx="28">
                        <c:v>42.195</c:v>
                      </c:pt>
                      <c:pt idx="29">
                        <c:v>50</c:v>
                      </c:pt>
                      <c:pt idx="30">
                        <c:v>80.467200000000005</c:v>
                      </c:pt>
                      <c:pt idx="31">
                        <c:v>100</c:v>
                      </c:pt>
                      <c:pt idx="32">
                        <c:v>150</c:v>
                      </c:pt>
                      <c:pt idx="33">
                        <c:v>160.93440000000001</c:v>
                      </c:pt>
                      <c:pt idx="34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Parameters!$B$2:$B$30</c15:sqref>
                        </c15:formulaRef>
                      </c:ext>
                    </c:extLst>
                    <c:numCache>
                      <c:formatCode>0.0000</c:formatCode>
                      <c:ptCount val="2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1">
                        <c:v>1</c:v>
                      </c:pt>
                      <c:pt idx="12">
                        <c:v>1.6093440000000001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6.4373760000000004</c:v>
                      </c:pt>
                      <c:pt idx="17">
                        <c:v>8</c:v>
                      </c:pt>
                      <c:pt idx="18">
                        <c:v>8.0467200000000005</c:v>
                      </c:pt>
                      <c:pt idx="19">
                        <c:v>10</c:v>
                      </c:pt>
                      <c:pt idx="20">
                        <c:v>11.265408000000001</c:v>
                      </c:pt>
                      <c:pt idx="21">
                        <c:v>12</c:v>
                      </c:pt>
                      <c:pt idx="22">
                        <c:v>15</c:v>
                      </c:pt>
                      <c:pt idx="23">
                        <c:v>16.093440000000001</c:v>
                      </c:pt>
                      <c:pt idx="24">
                        <c:v>20</c:v>
                      </c:pt>
                      <c:pt idx="25">
                        <c:v>21.0975</c:v>
                      </c:pt>
                      <c:pt idx="26">
                        <c:v>25</c:v>
                      </c:pt>
                      <c:pt idx="27">
                        <c:v>30</c:v>
                      </c:pt>
                      <c:pt idx="28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Road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8209826219591997"/>
          <c:y val="9.48258248451320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7.4915292473567846E-2"/>
          <c:w val="0.88605868509410035"/>
          <c:h val="0.80009648535952027"/>
        </c:manualLayout>
      </c:layout>
      <c:scatterChart>
        <c:scatterStyle val="lineMarker"/>
        <c:varyColors val="0"/>
        <c:ser>
          <c:idx val="1"/>
          <c:order val="0"/>
          <c:tx>
            <c:strRef>
              <c:f>Mile!$F$6</c:f>
              <c:strCache>
                <c:ptCount val="1"/>
                <c:pt idx="0">
                  <c:v>Bernhard 2020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Mile!$F$7:$F$106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684-B958-DB59751EA46C}"/>
            </c:ext>
          </c:extLst>
        </c:ser>
        <c:ser>
          <c:idx val="0"/>
          <c:order val="1"/>
          <c:tx>
            <c:strRef>
              <c:f>Mile!$C$6</c:f>
              <c:strCache>
                <c:ptCount val="1"/>
                <c:pt idx="0">
                  <c:v>2025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20" formatCode="0.000">
                  <c:v>4.3499999999999996</c:v>
                </c:pt>
                <c:pt idx="39" formatCode="0.000">
                  <c:v>4.7833333333333332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5.3333333333333339</c:v>
                </c:pt>
                <c:pt idx="52" formatCode="0.000">
                  <c:v>5.4166666666666661</c:v>
                </c:pt>
                <c:pt idx="53" formatCode="0.000">
                  <c:v>5.583333333333333</c:v>
                </c:pt>
                <c:pt idx="54" formatCode="0.000">
                  <c:v>5.4166666666666661</c:v>
                </c:pt>
                <c:pt idx="55" formatCode="0.000">
                  <c:v>5.45</c:v>
                </c:pt>
                <c:pt idx="56" formatCode="0.000">
                  <c:v>5.5333333333333332</c:v>
                </c:pt>
                <c:pt idx="57" formatCode="0.000">
                  <c:v>5.6</c:v>
                </c:pt>
                <c:pt idx="58" formatCode="0.000">
                  <c:v>5.9666666666666668</c:v>
                </c:pt>
                <c:pt idx="59" formatCode="0.000">
                  <c:v>5.7666666666666666</c:v>
                </c:pt>
                <c:pt idx="60" formatCode="0.000">
                  <c:v>5.7333333333333334</c:v>
                </c:pt>
                <c:pt idx="61" formatCode="0.000">
                  <c:v>6.0333333333333332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6" formatCode="0.000">
                  <c:v>6.65</c:v>
                </c:pt>
                <c:pt idx="67" formatCode="0.000">
                  <c:v>6.1000000000000005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</c:v>
                </c:pt>
                <c:pt idx="72" formatCode="0.000">
                  <c:v>6.9833333333333325</c:v>
                </c:pt>
                <c:pt idx="73" formatCode="0.000">
                  <c:v>6.8666666666666663</c:v>
                </c:pt>
                <c:pt idx="74" formatCode="0.000">
                  <c:v>6.7333333333333334</c:v>
                </c:pt>
                <c:pt idx="75" formatCode="0.000">
                  <c:v>10.25</c:v>
                </c:pt>
                <c:pt idx="79" formatCode="0.000">
                  <c:v>7.4666666666666668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  <c:pt idx="84" formatCode="0.000">
                  <c:v>14.4</c:v>
                </c:pt>
                <c:pt idx="86" formatCode="0.000">
                  <c:v>11.433333333333334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3-4684-B958-DB59751EA46C}"/>
            </c:ext>
          </c:extLst>
        </c:ser>
        <c:ser>
          <c:idx val="2"/>
          <c:order val="2"/>
          <c:tx>
            <c:strRef>
              <c:f>Mile!$G$6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Mile!$G$7:$G$106</c:f>
              <c:numCache>
                <c:formatCode>General</c:formatCode>
                <c:ptCount val="100"/>
                <c:pt idx="2" formatCode="0.0000">
                  <c:v>6.7758899676375401</c:v>
                </c:pt>
                <c:pt idx="3" formatCode="0.0000">
                  <c:v>6.4612565697478184</c:v>
                </c:pt>
                <c:pt idx="4" formatCode="0.0000">
                  <c:v>6.1865189289012008</c:v>
                </c:pt>
                <c:pt idx="5" formatCode="0.0000">
                  <c:v>5.9452504547672929</c:v>
                </c:pt>
                <c:pt idx="6" formatCode="0.0000">
                  <c:v>5.7323750855578375</c:v>
                </c:pt>
                <c:pt idx="7" formatCode="0.0000">
                  <c:v>5.5438335195068476</c:v>
                </c:pt>
                <c:pt idx="8" formatCode="0.0000">
                  <c:v>5.3763440860215059</c:v>
                </c:pt>
                <c:pt idx="9" formatCode="0.0000">
                  <c:v>5.227228398673688</c:v>
                </c:pt>
                <c:pt idx="10" formatCode="0.0000">
                  <c:v>5.0942822384428226</c:v>
                </c:pt>
                <c:pt idx="11" formatCode="0.0000">
                  <c:v>4.975678586016115</c:v>
                </c:pt>
                <c:pt idx="12" formatCode="0.0000">
                  <c:v>4.8698938799244074</c:v>
                </c:pt>
                <c:pt idx="13" formatCode="0.0000">
                  <c:v>4.7756513061762718</c:v>
                </c:pt>
                <c:pt idx="14" formatCode="0.0000">
                  <c:v>4.6918767507002803</c:v>
                </c:pt>
                <c:pt idx="15" formatCode="0.0000">
                  <c:v>4.6143250688705235</c:v>
                </c:pt>
                <c:pt idx="16" formatCode="0.0000">
                  <c:v>4.5392953929539299</c:v>
                </c:pt>
                <c:pt idx="17" formatCode="0.0000">
                  <c:v>4.4846050870147254</c:v>
                </c:pt>
                <c:pt idx="18" formatCode="0.0000">
                  <c:v>4.4666666666666668</c:v>
                </c:pt>
                <c:pt idx="19" formatCode="0.0000">
                  <c:v>4.4666666666666668</c:v>
                </c:pt>
                <c:pt idx="20" formatCode="0.0000">
                  <c:v>4.4666666666666668</c:v>
                </c:pt>
                <c:pt idx="21" formatCode="0.0000">
                  <c:v>4.4666666666666668</c:v>
                </c:pt>
                <c:pt idx="22" formatCode="0.0000">
                  <c:v>4.4666666666666668</c:v>
                </c:pt>
                <c:pt idx="23" formatCode="0.0000">
                  <c:v>4.4666666666666668</c:v>
                </c:pt>
                <c:pt idx="24" formatCode="0.0000">
                  <c:v>4.4666666666666668</c:v>
                </c:pt>
                <c:pt idx="25" formatCode="0.0000">
                  <c:v>4.4666666666666668</c:v>
                </c:pt>
                <c:pt idx="26" formatCode="0.0000">
                  <c:v>4.4666666666666668</c:v>
                </c:pt>
                <c:pt idx="27" formatCode="0.0000">
                  <c:v>4.4666666666666668</c:v>
                </c:pt>
                <c:pt idx="28" formatCode="0.0000">
                  <c:v>4.4666666666666668</c:v>
                </c:pt>
                <c:pt idx="29" formatCode="0.0000">
                  <c:v>4.4666666666666668</c:v>
                </c:pt>
                <c:pt idx="30" formatCode="0.0000">
                  <c:v>4.4675601787024073</c:v>
                </c:pt>
                <c:pt idx="31" formatCode="0.0000">
                  <c:v>4.4711378044711383</c:v>
                </c:pt>
                <c:pt idx="32" formatCode="0.0000">
                  <c:v>4.4769636831378836</c:v>
                </c:pt>
                <c:pt idx="33" formatCode="0.0000">
                  <c:v>4.4850553937811695</c:v>
                </c:pt>
                <c:pt idx="34" formatCode="0.0000">
                  <c:v>4.4958899513504447</c:v>
                </c:pt>
                <c:pt idx="35" formatCode="0.0000">
                  <c:v>4.5090517531462408</c:v>
                </c:pt>
                <c:pt idx="36" formatCode="0.0000">
                  <c:v>4.525039678519569</c:v>
                </c:pt>
                <c:pt idx="37" formatCode="0.0000">
                  <c:v>4.5434509883701217</c:v>
                </c:pt>
                <c:pt idx="38" formatCode="0.0000">
                  <c:v>4.5648100834610794</c:v>
                </c:pt>
                <c:pt idx="39" formatCode="0.0000">
                  <c:v>4.5887267995342782</c:v>
                </c:pt>
                <c:pt idx="40" formatCode="0.0000">
                  <c:v>4.6152786388372258</c:v>
                </c:pt>
                <c:pt idx="41" formatCode="0.0000">
                  <c:v>4.645036051026068</c:v>
                </c:pt>
                <c:pt idx="42" formatCode="0.0000">
                  <c:v>4.6776276748001537</c:v>
                </c:pt>
                <c:pt idx="43" formatCode="0.0000">
                  <c:v>4.7136625861826369</c:v>
                </c:pt>
                <c:pt idx="44" formatCode="0.0000">
                  <c:v>4.7527842803433353</c:v>
                </c:pt>
                <c:pt idx="45" formatCode="0.0000">
                  <c:v>4.7956481282656931</c:v>
                </c:pt>
                <c:pt idx="46" formatCode="0.0000">
                  <c:v>4.8419150858175248</c:v>
                </c:pt>
                <c:pt idx="47" formatCode="0.0000">
                  <c:v>4.8917606687839958</c:v>
                </c:pt>
                <c:pt idx="48" formatCode="0.0000">
                  <c:v>4.9442845546454137</c:v>
                </c:pt>
                <c:pt idx="49" formatCode="0.0000">
                  <c:v>4.99794860318526</c:v>
                </c:pt>
                <c:pt idx="50" formatCode="0.0000">
                  <c:v>5.0527903469079938</c:v>
                </c:pt>
                <c:pt idx="51" formatCode="0.0000">
                  <c:v>5.1088489839490645</c:v>
                </c:pt>
                <c:pt idx="52" formatCode="0.0000">
                  <c:v>5.1667630614999034</c:v>
                </c:pt>
                <c:pt idx="53" formatCode="0.0000">
                  <c:v>5.2253938543128999</c:v>
                </c:pt>
                <c:pt idx="54" formatCode="0.0000">
                  <c:v>5.2853705675856908</c:v>
                </c:pt>
                <c:pt idx="55" formatCode="0.0000">
                  <c:v>5.3467400845902162</c:v>
                </c:pt>
                <c:pt idx="56" formatCode="0.0000">
                  <c:v>5.4095514916636391</c:v>
                </c:pt>
                <c:pt idx="57" formatCode="0.0000">
                  <c:v>5.4738562091503269</c:v>
                </c:pt>
                <c:pt idx="58" formatCode="0.0000">
                  <c:v>5.539708131795444</c:v>
                </c:pt>
                <c:pt idx="59" formatCode="0.0000">
                  <c:v>5.6071637793957656</c:v>
                </c:pt>
                <c:pt idx="60" formatCode="0.0000">
                  <c:v>5.67628245859279</c:v>
                </c:pt>
                <c:pt idx="61" formatCode="0.0000">
                  <c:v>5.7471264367816097</c:v>
                </c:pt>
                <c:pt idx="62" formatCode="0.0000">
                  <c:v>5.8205195030840073</c:v>
                </c:pt>
                <c:pt idx="63" formatCode="0.0000">
                  <c:v>5.8950332145528135</c:v>
                </c:pt>
                <c:pt idx="64" formatCode="0.0000">
                  <c:v>5.9714795008912658</c:v>
                </c:pt>
                <c:pt idx="65" formatCode="0.0000">
                  <c:v>6.0499345342904878</c:v>
                </c:pt>
                <c:pt idx="66" formatCode="0.0000">
                  <c:v>6.1304785433250979</c:v>
                </c:pt>
                <c:pt idx="67" formatCode="0.0000">
                  <c:v>6.2131960866138085</c:v>
                </c:pt>
                <c:pt idx="68" formatCode="0.0000">
                  <c:v>6.29817634893777</c:v>
                </c:pt>
                <c:pt idx="69" formatCode="0.0000">
                  <c:v>6.3855134619966645</c:v>
                </c:pt>
                <c:pt idx="70" formatCode="0.0000">
                  <c:v>6.4753068522276997</c:v>
                </c:pt>
                <c:pt idx="71" formatCode="0.0000">
                  <c:v>6.5676616183894527</c:v>
                </c:pt>
                <c:pt idx="72" formatCode="0.0000">
                  <c:v>6.6636829280421699</c:v>
                </c:pt>
                <c:pt idx="73" formatCode="0.0000">
                  <c:v>6.7615299222928655</c:v>
                </c:pt>
                <c:pt idx="74" formatCode="0.0000">
                  <c:v>6.8622932350079378</c:v>
                </c:pt>
                <c:pt idx="75" formatCode="0.0000">
                  <c:v>6.9661052193803288</c:v>
                </c:pt>
                <c:pt idx="76" formatCode="0.0000">
                  <c:v>7.0731063605172872</c:v>
                </c:pt>
                <c:pt idx="77" formatCode="0.0000">
                  <c:v>7.1834459097244556</c:v>
                </c:pt>
                <c:pt idx="78" formatCode="0.0000">
                  <c:v>7.2984749455337692</c:v>
                </c:pt>
                <c:pt idx="79" formatCode="0.0000">
                  <c:v>7.4283496867897343</c:v>
                </c:pt>
                <c:pt idx="80" formatCode="0.0000">
                  <c:v>7.5744728958227352</c:v>
                </c:pt>
                <c:pt idx="81" formatCode="0.0000">
                  <c:v>7.7385077385077379</c:v>
                </c:pt>
                <c:pt idx="82" formatCode="0.0000">
                  <c:v>7.9238365560877542</c:v>
                </c:pt>
                <c:pt idx="83" formatCode="0.0000">
                  <c:v>8.1315613811517693</c:v>
                </c:pt>
                <c:pt idx="84" formatCode="0.0000">
                  <c:v>8.3645443196004994</c:v>
                </c:pt>
                <c:pt idx="85" formatCode="0.0000">
                  <c:v>8.6279054793638519</c:v>
                </c:pt>
                <c:pt idx="86" formatCode="0.0000">
                  <c:v>8.926192379429791</c:v>
                </c:pt>
                <c:pt idx="87" formatCode="0.0000">
                  <c:v>9.2611790724998269</c:v>
                </c:pt>
                <c:pt idx="88" formatCode="0.0000">
                  <c:v>9.6430627518710423</c:v>
                </c:pt>
                <c:pt idx="89" formatCode="0.0000">
                  <c:v>10.080493492815767</c:v>
                </c:pt>
                <c:pt idx="90" formatCode="0.0000">
                  <c:v>10.582010582010582</c:v>
                </c:pt>
                <c:pt idx="91" formatCode="0.0000">
                  <c:v>11.161086123604864</c:v>
                </c:pt>
                <c:pt idx="92" formatCode="0.0000">
                  <c:v>11.838501634420002</c:v>
                </c:pt>
                <c:pt idx="93" formatCode="0.0000">
                  <c:v>12.635549269212637</c:v>
                </c:pt>
                <c:pt idx="94" formatCode="0.0000">
                  <c:v>13.584752635847527</c:v>
                </c:pt>
                <c:pt idx="95" formatCode="0.0000">
                  <c:v>14.736610579566701</c:v>
                </c:pt>
                <c:pt idx="96" formatCode="0.0000">
                  <c:v>16.160154365653643</c:v>
                </c:pt>
                <c:pt idx="97" formatCode="0.0000">
                  <c:v>17.945627427346992</c:v>
                </c:pt>
                <c:pt idx="98" formatCode="0.0000">
                  <c:v>20.26618269812462</c:v>
                </c:pt>
                <c:pt idx="99" formatCode="0.0000">
                  <c:v>23.397939584424659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B3-4684-B958-DB59751EA46C}"/>
            </c:ext>
          </c:extLst>
        </c:ser>
        <c:ser>
          <c:idx val="3"/>
          <c:order val="3"/>
          <c:tx>
            <c:strRef>
              <c:f>Mile!$D$6</c:f>
              <c:strCache>
                <c:ptCount val="1"/>
                <c:pt idx="0">
                  <c:v>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3" formatCode="0.000">
                  <c:v>6.292492405612613</c:v>
                </c:pt>
                <c:pt idx="4" formatCode="0.000">
                  <c:v>6.0249307479224372</c:v>
                </c:pt>
                <c:pt idx="5" formatCode="0.000">
                  <c:v>5.789964062292027</c:v>
                </c:pt>
                <c:pt idx="6" formatCode="0.000">
                  <c:v>5.5826488706365502</c:v>
                </c:pt>
                <c:pt idx="7" formatCode="0.000">
                  <c:v>5.3990318977286833</c:v>
                </c:pt>
                <c:pt idx="8" formatCode="0.000">
                  <c:v>5.2359171882522864</c:v>
                </c:pt>
                <c:pt idx="9" formatCode="0.000">
                  <c:v>5.0906963136337033</c:v>
                </c:pt>
                <c:pt idx="10" formatCode="0.000">
                  <c:v>4.961222627737226</c:v>
                </c:pt>
                <c:pt idx="11" formatCode="0.000">
                  <c:v>4.8457168319037534</c:v>
                </c:pt>
                <c:pt idx="12" formatCode="0.000">
                  <c:v>4.742695159180113</c:v>
                </c:pt>
                <c:pt idx="13" formatCode="0.000">
                  <c:v>4.6509141451940552</c:v>
                </c:pt>
                <c:pt idx="14" formatCode="0.000">
                  <c:v>4.5693277310924367</c:v>
                </c:pt>
                <c:pt idx="15" formatCode="0.000">
                  <c:v>4.4938016528925617</c:v>
                </c:pt>
                <c:pt idx="16" formatCode="0.000">
                  <c:v>4.4207317073170724</c:v>
                </c:pt>
                <c:pt idx="17" formatCode="0.000">
                  <c:v>4.3674698795180715</c:v>
                </c:pt>
                <c:pt idx="18" formatCode="0.000">
                  <c:v>4.3499999999999996</c:v>
                </c:pt>
                <c:pt idx="19" formatCode="0.000">
                  <c:v>4.3499999999999996</c:v>
                </c:pt>
                <c:pt idx="20" formatCode="0.000">
                  <c:v>4.3499999999999996</c:v>
                </c:pt>
                <c:pt idx="21" formatCode="0.000">
                  <c:v>4.3499999999999996</c:v>
                </c:pt>
                <c:pt idx="22" formatCode="0.000">
                  <c:v>4.3499999999999996</c:v>
                </c:pt>
                <c:pt idx="23" formatCode="0.000">
                  <c:v>4.3499999999999996</c:v>
                </c:pt>
                <c:pt idx="24" formatCode="0.000">
                  <c:v>4.3499999999999996</c:v>
                </c:pt>
                <c:pt idx="25" formatCode="0.000">
                  <c:v>4.3499999999999996</c:v>
                </c:pt>
                <c:pt idx="26" formatCode="0.000">
                  <c:v>4.3499999999999996</c:v>
                </c:pt>
                <c:pt idx="27" formatCode="0.000">
                  <c:v>4.3499999999999996</c:v>
                </c:pt>
                <c:pt idx="28" formatCode="0.000">
                  <c:v>4.3499999999999996</c:v>
                </c:pt>
                <c:pt idx="29" formatCode="0.000">
                  <c:v>4.3499999999999996</c:v>
                </c:pt>
                <c:pt idx="30" formatCode="0.000">
                  <c:v>4.3499999999999996</c:v>
                </c:pt>
                <c:pt idx="31" formatCode="0.000">
                  <c:v>4.3499999999999996</c:v>
                </c:pt>
                <c:pt idx="32" formatCode="0.000">
                  <c:v>4.3499999999999996</c:v>
                </c:pt>
                <c:pt idx="33" formatCode="0.000">
                  <c:v>4.3499999999999996</c:v>
                </c:pt>
                <c:pt idx="34" formatCode="0.000">
                  <c:v>4.3771382571946065</c:v>
                </c:pt>
                <c:pt idx="35" formatCode="0.000">
                  <c:v>4.3890626576531124</c:v>
                </c:pt>
                <c:pt idx="36" formatCode="0.000">
                  <c:v>4.4037254504960517</c:v>
                </c:pt>
                <c:pt idx="37" formatCode="0.000">
                  <c:v>4.4207317073170724</c:v>
                </c:pt>
                <c:pt idx="38" formatCode="0.000">
                  <c:v>4.4401347351229967</c:v>
                </c:pt>
                <c:pt idx="39" formatCode="0.000">
                  <c:v>4.4624538366844479</c:v>
                </c:pt>
                <c:pt idx="40" formatCode="0.000">
                  <c:v>4.4868488911810207</c:v>
                </c:pt>
                <c:pt idx="41" formatCode="0.000">
                  <c:v>4.5143212951432128</c:v>
                </c:pt>
                <c:pt idx="42" formatCode="0.000">
                  <c:v>4.5440300846129738</c:v>
                </c:pt>
                <c:pt idx="43" formatCode="0.000">
                  <c:v>4.5770202020202015</c:v>
                </c:pt>
                <c:pt idx="44" formatCode="0.000">
                  <c:v>4.6129374337221636</c:v>
                </c:pt>
                <c:pt idx="45" formatCode="0.000">
                  <c:v>4.6519088867500793</c:v>
                </c:pt>
                <c:pt idx="46" formatCode="0.000">
                  <c:v>4.6945823440535284</c:v>
                </c:pt>
                <c:pt idx="47" formatCode="0.000">
                  <c:v>4.7401111474338018</c:v>
                </c:pt>
                <c:pt idx="48" formatCode="0.000">
                  <c:v>4.7896939000220211</c:v>
                </c:pt>
                <c:pt idx="49" formatCode="0.000">
                  <c:v>4.8414023372287147</c:v>
                </c:pt>
                <c:pt idx="50" formatCode="0.000">
                  <c:v>4.8942394239423939</c:v>
                </c:pt>
                <c:pt idx="51" formatCode="0.000">
                  <c:v>4.9482425207598677</c:v>
                </c:pt>
                <c:pt idx="52" formatCode="0.000">
                  <c:v>5.0034506556245688</c:v>
                </c:pt>
                <c:pt idx="53" formatCode="0.000">
                  <c:v>5.0599046178899609</c:v>
                </c:pt>
                <c:pt idx="54" formatCode="0.000">
                  <c:v>5.117647058823529</c:v>
                </c:pt>
                <c:pt idx="55" formatCode="0.000">
                  <c:v>5.1767225990717591</c:v>
                </c:pt>
                <c:pt idx="56" formatCode="0.000">
                  <c:v>5.2371779436551886</c:v>
                </c:pt>
                <c:pt idx="57" formatCode="0.000">
                  <c:v>5.299062005116336</c:v>
                </c:pt>
                <c:pt idx="58" formatCode="0.000">
                  <c:v>5.3630871655776096</c:v>
                </c:pt>
                <c:pt idx="59" formatCode="0.000">
                  <c:v>5.428000998253057</c:v>
                </c:pt>
                <c:pt idx="60" formatCode="0.000">
                  <c:v>5.4945054945054945</c:v>
                </c:pt>
                <c:pt idx="61" formatCode="0.000">
                  <c:v>5.562659846547314</c:v>
                </c:pt>
                <c:pt idx="62" formatCode="0.000">
                  <c:v>5.6325262203806803</c:v>
                </c:pt>
                <c:pt idx="63" formatCode="0.000">
                  <c:v>5.7041699449252556</c:v>
                </c:pt>
                <c:pt idx="64" formatCode="0.000">
                  <c:v>5.7776597157657053</c:v>
                </c:pt>
                <c:pt idx="65" formatCode="0.000">
                  <c:v>5.8530678148546826</c:v>
                </c:pt>
                <c:pt idx="66" formatCode="0.000">
                  <c:v>5.930470347648261</c:v>
                </c:pt>
                <c:pt idx="67" formatCode="0.000">
                  <c:v>6.0099474993092006</c:v>
                </c:pt>
                <c:pt idx="68" formatCode="0.000">
                  <c:v>6.0924369747899156</c:v>
                </c:pt>
                <c:pt idx="69" formatCode="0.000">
                  <c:v>6.1763453073974146</c:v>
                </c:pt>
                <c:pt idx="70" formatCode="0.000">
                  <c:v>6.2625971782320757</c:v>
                </c:pt>
                <c:pt idx="71" formatCode="0.000">
                  <c:v>6.3512921594393346</c:v>
                </c:pt>
                <c:pt idx="72" formatCode="0.000">
                  <c:v>6.4425355450236959</c:v>
                </c:pt>
                <c:pt idx="73" formatCode="0.000">
                  <c:v>6.5364387678437259</c:v>
                </c:pt>
                <c:pt idx="74" formatCode="0.000">
                  <c:v>6.6331198536139055</c:v>
                </c:pt>
                <c:pt idx="75" formatCode="0.000">
                  <c:v>6.7327039158025066</c:v>
                </c:pt>
                <c:pt idx="76" formatCode="0.000">
                  <c:v>6.8353236957888122</c:v>
                </c:pt>
                <c:pt idx="77" formatCode="0.000">
                  <c:v>6.9411201531833404</c:v>
                </c:pt>
                <c:pt idx="78" formatCode="0.000">
                  <c:v>7.0525291828793764</c:v>
                </c:pt>
                <c:pt idx="79" formatCode="0.000">
                  <c:v>7.1758495546024417</c:v>
                </c:pt>
                <c:pt idx="80" formatCode="0.000">
                  <c:v>7.3158425832492426</c:v>
                </c:pt>
                <c:pt idx="81" formatCode="0.000">
                  <c:v>7.4729427933344788</c:v>
                </c:pt>
                <c:pt idx="82" formatCode="0.000">
                  <c:v>7.6503693281744631</c:v>
                </c:pt>
                <c:pt idx="83" formatCode="0.000">
                  <c:v>7.8491519307109341</c:v>
                </c:pt>
                <c:pt idx="84" formatCode="0.000">
                  <c:v>8.0734966592427622</c:v>
                </c:pt>
                <c:pt idx="85" formatCode="0.000">
                  <c:v>8.3253588516746415</c:v>
                </c:pt>
                <c:pt idx="86" formatCode="0.000">
                  <c:v>8.6087472788442501</c:v>
                </c:pt>
                <c:pt idx="87" formatCode="0.000">
                  <c:v>8.930404434407718</c:v>
                </c:pt>
                <c:pt idx="88" formatCode="0.000">
                  <c:v>9.2948717948717938</c:v>
                </c:pt>
                <c:pt idx="89" formatCode="0.000">
                  <c:v>9.709821428571427</c:v>
                </c:pt>
                <c:pt idx="90" formatCode="0.000">
                  <c:v>10.187353629976581</c:v>
                </c:pt>
                <c:pt idx="91" formatCode="0.000">
                  <c:v>10.73808936065169</c:v>
                </c:pt>
                <c:pt idx="92" formatCode="0.000">
                  <c:v>11.381475667189953</c:v>
                </c:pt>
                <c:pt idx="93" formatCode="0.000">
                  <c:v>12.137276785714285</c:v>
                </c:pt>
                <c:pt idx="94" formatCode="0.000">
                  <c:v>13.03956834532374</c:v>
                </c:pt>
                <c:pt idx="95" formatCode="0.000">
                  <c:v>14.127963624553425</c:v>
                </c:pt>
                <c:pt idx="96" formatCode="0.000">
                  <c:v>15.463917525773194</c:v>
                </c:pt>
                <c:pt idx="97" formatCode="0.000">
                  <c:v>17.14623571147024</c:v>
                </c:pt>
                <c:pt idx="98" formatCode="0.000">
                  <c:v>19.31616341030195</c:v>
                </c:pt>
                <c:pt idx="99" formatCode="0.000">
                  <c:v>22.216547497446371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B3-4684-B958-DB59751EA46C}"/>
            </c:ext>
          </c:extLst>
        </c:ser>
        <c:ser>
          <c:idx val="4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Mile!$A$27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Mile!$C$27</c:f>
              <c:numCache>
                <c:formatCode>0.000</c:formatCode>
                <c:ptCount val="1"/>
                <c:pt idx="0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F-422C-8551-3FBC17EB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10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37742686969208"/>
          <c:y val="0.21500767796516873"/>
          <c:w val="0.42098865884942277"/>
          <c:h val="0.20788315428182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40198587622760407"/>
          <c:y val="5.1007296930351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764374007151959E-2"/>
          <c:y val="3.4555502147903573E-2"/>
          <c:w val="0.8955250063455068"/>
          <c:h val="0.84092924902431121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2020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86" formatCode="0.0000">
                  <c:v>38.15</c:v>
                </c:pt>
                <c:pt idx="87" formatCode="0.0000">
                  <c:v>41.433333333333337</c:v>
                </c:pt>
                <c:pt idx="88" formatCode="0.0000">
                  <c:v>41.083333333333336</c:v>
                </c:pt>
                <c:pt idx="89" formatCode="0.0000">
                  <c:v>43.199999999999996</c:v>
                </c:pt>
                <c:pt idx="90" formatCode="0.0000">
                  <c:v>42.366666666666667</c:v>
                </c:pt>
                <c:pt idx="91" formatCode="0.0000">
                  <c:v>44.43333333333333</c:v>
                </c:pt>
                <c:pt idx="93" formatCode="0.0000">
                  <c:v>48.916666666666664</c:v>
                </c:pt>
                <c:pt idx="96" formatCode="0.0000">
                  <c:v>55.783333333333331</c:v>
                </c:pt>
                <c:pt idx="97" formatCode="0.0000">
                  <c:v>59.066666666666663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1"/>
          <c:tx>
            <c:strRef>
              <c:f>'5K'!$B$6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18.466666666666669</c:v>
                </c:pt>
                <c:pt idx="7" formatCode="0.000">
                  <c:v>18.583333333333336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14.666666666666668</c:v>
                </c:pt>
                <c:pt idx="18" formatCode="0.000">
                  <c:v>14.633333333333333</c:v>
                </c:pt>
                <c:pt idx="19" formatCode="0.000">
                  <c:v>14.966666666666667</c:v>
                </c:pt>
                <c:pt idx="20" formatCode="0.000">
                  <c:v>14.316666666666666</c:v>
                </c:pt>
                <c:pt idx="21" formatCode="0.000">
                  <c:v>14.216666666666667</c:v>
                </c:pt>
                <c:pt idx="22" formatCode="0.000">
                  <c:v>14.216666666666667</c:v>
                </c:pt>
                <c:pt idx="23" formatCode="0.000">
                  <c:v>13.9</c:v>
                </c:pt>
                <c:pt idx="24" formatCode="0.000">
                  <c:v>14.649999999999999</c:v>
                </c:pt>
                <c:pt idx="25" formatCode="0.000">
                  <c:v>14.483333333333333</c:v>
                </c:pt>
                <c:pt idx="26" formatCode="0.000">
                  <c:v>14.95</c:v>
                </c:pt>
                <c:pt idx="27" formatCode="0.000">
                  <c:v>15.166666666666666</c:v>
                </c:pt>
                <c:pt idx="28" formatCode="0.000">
                  <c:v>14.716666666666665</c:v>
                </c:pt>
                <c:pt idx="29" formatCode="0.000">
                  <c:v>14.833333333333332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15.25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</c:v>
                </c:pt>
                <c:pt idx="36" formatCode="0.000">
                  <c:v>15.5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15.799999999999999</c:v>
                </c:pt>
                <c:pt idx="40" formatCode="0.000">
                  <c:v>15.883333333333335</c:v>
                </c:pt>
                <c:pt idx="41" formatCode="0.000">
                  <c:v>15.799999999999999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16.333333333333336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17.650000000000002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18.783333333333331</c:v>
                </c:pt>
                <c:pt idx="58" formatCode="0.000">
                  <c:v>18.966666666666665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19.950000000000003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21.400000000000002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23.916666666666664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25.216666666666669</c:v>
                </c:pt>
                <c:pt idx="79" formatCode="0.000">
                  <c:v>25.18333333333333</c:v>
                </c:pt>
                <c:pt idx="80" formatCode="0.000">
                  <c:v>26.81666666666667</c:v>
                </c:pt>
                <c:pt idx="81" formatCode="0.000">
                  <c:v>29.666666666666664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34.85</c:v>
                </c:pt>
                <c:pt idx="85" formatCode="0.000">
                  <c:v>34.383333333333333</c:v>
                </c:pt>
                <c:pt idx="86" formatCode="0.000">
                  <c:v>38.15</c:v>
                </c:pt>
                <c:pt idx="87" formatCode="0.000">
                  <c:v>41.433333333333337</c:v>
                </c:pt>
                <c:pt idx="88" formatCode="0.000">
                  <c:v>41.083333333333336</c:v>
                </c:pt>
                <c:pt idx="89" formatCode="0.000">
                  <c:v>43.199999999999996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3" formatCode="0.000">
                  <c:v>48.916666666666664</c:v>
                </c:pt>
                <c:pt idx="96" formatCode="0.000">
                  <c:v>55.783333333333331</c:v>
                </c:pt>
                <c:pt idx="97" formatCode="0.000">
                  <c:v>59.066666666666663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2"/>
          <c:tx>
            <c:strRef>
              <c:f>'5K'!$F$6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22.350323624595472</c:v>
                </c:pt>
                <c:pt idx="3" formatCode="0.0000">
                  <c:v>21.312503013645788</c:v>
                </c:pt>
                <c:pt idx="4" formatCode="0.0000">
                  <c:v>20.406278855032319</c:v>
                </c:pt>
                <c:pt idx="5" formatCode="0.0000">
                  <c:v>19.610452992590623</c:v>
                </c:pt>
                <c:pt idx="6" formatCode="0.0000">
                  <c:v>18.908281998631075</c:v>
                </c:pt>
                <c:pt idx="7" formatCode="0.0000">
                  <c:v>18.286376235985273</c:v>
                </c:pt>
                <c:pt idx="8" formatCode="0.0000">
                  <c:v>17.733911089712727</c:v>
                </c:pt>
                <c:pt idx="9" formatCode="0.0000">
                  <c:v>17.242051882192314</c:v>
                </c:pt>
                <c:pt idx="10" formatCode="0.0000">
                  <c:v>16.803527980535282</c:v>
                </c:pt>
                <c:pt idx="11" formatCode="0.0000">
                  <c:v>16.412312947903903</c:v>
                </c:pt>
                <c:pt idx="12" formatCode="0.0000">
                  <c:v>16.0633813054223</c:v>
                </c:pt>
                <c:pt idx="13" formatCode="0.0000">
                  <c:v>15.752521472611283</c:v>
                </c:pt>
                <c:pt idx="14" formatCode="0.0000">
                  <c:v>15.476190476190478</c:v>
                </c:pt>
                <c:pt idx="15" formatCode="0.0000">
                  <c:v>15.220385674931132</c:v>
                </c:pt>
                <c:pt idx="16" formatCode="0.0000">
                  <c:v>14.972899728997291</c:v>
                </c:pt>
                <c:pt idx="17" formatCode="0.0000">
                  <c:v>14.792503346720215</c:v>
                </c:pt>
                <c:pt idx="18" formatCode="0.0000">
                  <c:v>14.733333333333334</c:v>
                </c:pt>
                <c:pt idx="19" formatCode="0.0000">
                  <c:v>14.733333333333334</c:v>
                </c:pt>
                <c:pt idx="20" formatCode="0.0000">
                  <c:v>14.733333333333334</c:v>
                </c:pt>
                <c:pt idx="21" formatCode="0.0000">
                  <c:v>14.733333333333334</c:v>
                </c:pt>
                <c:pt idx="22" formatCode="0.0000">
                  <c:v>14.733333333333334</c:v>
                </c:pt>
                <c:pt idx="23" formatCode="0.0000">
                  <c:v>14.733333333333334</c:v>
                </c:pt>
                <c:pt idx="24" formatCode="0.0000">
                  <c:v>14.733333333333334</c:v>
                </c:pt>
                <c:pt idx="25" formatCode="0.0000">
                  <c:v>14.733333333333334</c:v>
                </c:pt>
                <c:pt idx="26" formatCode="0.0000">
                  <c:v>14.733333333333334</c:v>
                </c:pt>
                <c:pt idx="27" formatCode="0.0000">
                  <c:v>14.733333333333334</c:v>
                </c:pt>
                <c:pt idx="28" formatCode="0.0000">
                  <c:v>14.733333333333334</c:v>
                </c:pt>
                <c:pt idx="29" formatCode="0.0000">
                  <c:v>14.733333333333334</c:v>
                </c:pt>
                <c:pt idx="30" formatCode="0.0000">
                  <c:v>14.736280589451225</c:v>
                </c:pt>
                <c:pt idx="31" formatCode="0.0000">
                  <c:v>14.748081414748082</c:v>
                </c:pt>
                <c:pt idx="32" formatCode="0.0000">
                  <c:v>14.768778401496926</c:v>
                </c:pt>
                <c:pt idx="33" formatCode="0.0000">
                  <c:v>14.796960262461921</c:v>
                </c:pt>
                <c:pt idx="34" formatCode="0.0000">
                  <c:v>14.832712507131113</c:v>
                </c:pt>
                <c:pt idx="35" formatCode="0.0000">
                  <c:v>14.879148993469334</c:v>
                </c:pt>
                <c:pt idx="36" formatCode="0.0000">
                  <c:v>14.933441448746537</c:v>
                </c:pt>
                <c:pt idx="37" formatCode="0.0000">
                  <c:v>14.995759117896522</c:v>
                </c:pt>
                <c:pt idx="38" formatCode="0.0000">
                  <c:v>15.067839367287108</c:v>
                </c:pt>
                <c:pt idx="39" formatCode="0.0000">
                  <c:v>15.149957155098544</c:v>
                </c:pt>
                <c:pt idx="40" formatCode="0.0000">
                  <c:v>15.240853763663322</c:v>
                </c:pt>
                <c:pt idx="41" formatCode="0.0000">
                  <c:v>15.342427713561735</c:v>
                </c:pt>
                <c:pt idx="42" formatCode="0.0000">
                  <c:v>15.455085842162314</c:v>
                </c:pt>
                <c:pt idx="43" formatCode="0.0000">
                  <c:v>15.577641502784241</c:v>
                </c:pt>
                <c:pt idx="44" formatCode="0.0000">
                  <c:v>15.712203618783549</c:v>
                </c:pt>
                <c:pt idx="45" formatCode="0.0000">
                  <c:v>15.857640010045564</c:v>
                </c:pt>
                <c:pt idx="46" formatCode="0.0000">
                  <c:v>16.017974922084512</c:v>
                </c:pt>
                <c:pt idx="47" formatCode="0.0000">
                  <c:v>16.186918625943019</c:v>
                </c:pt>
                <c:pt idx="48" formatCode="0.0000">
                  <c:v>16.361280769942628</c:v>
                </c:pt>
                <c:pt idx="49" formatCode="0.0000">
                  <c:v>16.539440203562343</c:v>
                </c:pt>
                <c:pt idx="50" formatCode="0.0000">
                  <c:v>16.72152233949987</c:v>
                </c:pt>
                <c:pt idx="51" formatCode="0.0000">
                  <c:v>16.909598683958837</c:v>
                </c:pt>
                <c:pt idx="52" formatCode="0.0000">
                  <c:v>17.099969049829774</c:v>
                </c:pt>
                <c:pt idx="53" formatCode="0.0000">
                  <c:v>17.294674648824198</c:v>
                </c:pt>
                <c:pt idx="54" formatCode="0.0000">
                  <c:v>17.493865273490069</c:v>
                </c:pt>
                <c:pt idx="55" formatCode="0.0000">
                  <c:v>17.697697697697699</c:v>
                </c:pt>
                <c:pt idx="56" formatCode="0.0000">
                  <c:v>17.906336088154273</c:v>
                </c:pt>
                <c:pt idx="57" formatCode="0.0000">
                  <c:v>18.119952445373674</c:v>
                </c:pt>
                <c:pt idx="58" formatCode="0.0000">
                  <c:v>18.338727076591155</c:v>
                </c:pt>
                <c:pt idx="59" formatCode="0.0000">
                  <c:v>18.562849103355592</c:v>
                </c:pt>
                <c:pt idx="60" formatCode="0.0000">
                  <c:v>18.792517006802722</c:v>
                </c:pt>
                <c:pt idx="61" formatCode="0.0000">
                  <c:v>19.03039696891415</c:v>
                </c:pt>
                <c:pt idx="62" formatCode="0.0000">
                  <c:v>19.271855243078267</c:v>
                </c:pt>
                <c:pt idx="63" formatCode="0.0000">
                  <c:v>19.51951951951952</c:v>
                </c:pt>
                <c:pt idx="64" formatCode="0.0000">
                  <c:v>19.773632174652175</c:v>
                </c:pt>
                <c:pt idx="65" formatCode="0.0000">
                  <c:v>20.034448372767656</c:v>
                </c:pt>
                <c:pt idx="66" formatCode="0.0000">
                  <c:v>20.302236920674293</c:v>
                </c:pt>
                <c:pt idx="67" formatCode="0.0000">
                  <c:v>20.577281191806335</c:v>
                </c:pt>
                <c:pt idx="68" formatCode="0.0000">
                  <c:v>20.859880126480721</c:v>
                </c:pt>
                <c:pt idx="69" formatCode="0.0000">
                  <c:v>21.150349315723993</c:v>
                </c:pt>
                <c:pt idx="70" formatCode="0.0000">
                  <c:v>21.449022176930171</c:v>
                </c:pt>
                <c:pt idx="71" formatCode="0.0000">
                  <c:v>21.759464382415203</c:v>
                </c:pt>
                <c:pt idx="72" formatCode="0.0000">
                  <c:v>22.075716711617222</c:v>
                </c:pt>
                <c:pt idx="73" formatCode="0.0000">
                  <c:v>22.401297450712079</c:v>
                </c:pt>
                <c:pt idx="74" formatCode="0.0000">
                  <c:v>22.736625514403293</c:v>
                </c:pt>
                <c:pt idx="75" formatCode="0.0000">
                  <c:v>23.082145281737951</c:v>
                </c:pt>
                <c:pt idx="76" formatCode="0.0000">
                  <c:v>23.453252679613712</c:v>
                </c:pt>
                <c:pt idx="77" formatCode="0.0000">
                  <c:v>23.867379448134351</c:v>
                </c:pt>
                <c:pt idx="78" formatCode="0.0000">
                  <c:v>24.324473061471576</c:v>
                </c:pt>
                <c:pt idx="79" formatCode="0.0000">
                  <c:v>24.837042031917289</c:v>
                </c:pt>
                <c:pt idx="80" formatCode="0.0000">
                  <c:v>25.402298850574716</c:v>
                </c:pt>
                <c:pt idx="81" formatCode="0.0000">
                  <c:v>26.030624263839815</c:v>
                </c:pt>
                <c:pt idx="82" formatCode="0.0000">
                  <c:v>26.729559748427672</c:v>
                </c:pt>
                <c:pt idx="83" formatCode="0.0000">
                  <c:v>27.502955634372476</c:v>
                </c:pt>
                <c:pt idx="84" formatCode="0.0000">
                  <c:v>28.371525771872395</c:v>
                </c:pt>
                <c:pt idx="85" formatCode="0.0000">
                  <c:v>29.337581308907478</c:v>
                </c:pt>
                <c:pt idx="86" formatCode="0.0000">
                  <c:v>30.42191479110744</c:v>
                </c:pt>
                <c:pt idx="87" formatCode="0.0000">
                  <c:v>31.643757159221078</c:v>
                </c:pt>
                <c:pt idx="88" formatCode="0.0000">
                  <c:v>33.019572687882864</c:v>
                </c:pt>
                <c:pt idx="89" formatCode="0.0000">
                  <c:v>34.593410033654223</c:v>
                </c:pt>
                <c:pt idx="90" formatCode="0.0000">
                  <c:v>36.387585412035897</c:v>
                </c:pt>
                <c:pt idx="91" formatCode="0.0000">
                  <c:v>38.458191942921779</c:v>
                </c:pt>
                <c:pt idx="92" formatCode="0.0000">
                  <c:v>40.869163199260292</c:v>
                </c:pt>
                <c:pt idx="93" formatCode="0.0000">
                  <c:v>43.693159351522347</c:v>
                </c:pt>
                <c:pt idx="94" formatCode="0.0000">
                  <c:v>47.071352502662407</c:v>
                </c:pt>
                <c:pt idx="95" formatCode="0.0000">
                  <c:v>51.139650584287864</c:v>
                </c:pt>
                <c:pt idx="96" formatCode="0.0000">
                  <c:v>56.148373983739837</c:v>
                </c:pt>
                <c:pt idx="97" formatCode="0.0000">
                  <c:v>62.455842871273141</c:v>
                </c:pt>
                <c:pt idx="98" formatCode="0.0000">
                  <c:v>70.595751477399787</c:v>
                </c:pt>
                <c:pt idx="99" formatCode="0.0000">
                  <c:v>81.579918789221111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3"/>
          <c:tx>
            <c:strRef>
              <c:f>'5K'!$D$6</c:f>
              <c:strCache>
                <c:ptCount val="1"/>
                <c:pt idx="0">
                  <c:v>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22.34726688102894</c:v>
                </c:pt>
                <c:pt idx="3" formatCode="0.000">
                  <c:v>21.159993910793119</c:v>
                </c:pt>
                <c:pt idx="4" formatCode="0.000">
                  <c:v>20.136172678545559</c:v>
                </c:pt>
                <c:pt idx="5" formatCode="0.000">
                  <c:v>19.246746053724731</c:v>
                </c:pt>
                <c:pt idx="6" formatCode="0.000">
                  <c:v>18.466852663743854</c:v>
                </c:pt>
                <c:pt idx="7" formatCode="0.000">
                  <c:v>17.78403275332651</c:v>
                </c:pt>
                <c:pt idx="8" formatCode="0.000">
                  <c:v>17.17958225188481</c:v>
                </c:pt>
                <c:pt idx="9" formatCode="0.000">
                  <c:v>16.644713207999043</c:v>
                </c:pt>
                <c:pt idx="10" formatCode="0.000">
                  <c:v>16.170311772917636</c:v>
                </c:pt>
                <c:pt idx="11" formatCode="0.000">
                  <c:v>15.747139458479664</c:v>
                </c:pt>
                <c:pt idx="12" formatCode="0.000">
                  <c:v>15.372705153727052</c:v>
                </c:pt>
                <c:pt idx="13" formatCode="0.000">
                  <c:v>15.038407443470735</c:v>
                </c:pt>
                <c:pt idx="14" formatCode="0.000">
                  <c:v>14.735503021308173</c:v>
                </c:pt>
                <c:pt idx="15" formatCode="0.000">
                  <c:v>14.44606110995635</c:v>
                </c:pt>
                <c:pt idx="16" formatCode="0.000">
                  <c:v>14.167770869432271</c:v>
                </c:pt>
                <c:pt idx="17" formatCode="0.000">
                  <c:v>13.965638500954487</c:v>
                </c:pt>
                <c:pt idx="18" formatCode="0.000">
                  <c:v>13.9</c:v>
                </c:pt>
                <c:pt idx="19" formatCode="0.000">
                  <c:v>13.9</c:v>
                </c:pt>
                <c:pt idx="20" formatCode="0.000">
                  <c:v>13.9</c:v>
                </c:pt>
                <c:pt idx="21" formatCode="0.000">
                  <c:v>13.9</c:v>
                </c:pt>
                <c:pt idx="22" formatCode="0.000">
                  <c:v>13.9</c:v>
                </c:pt>
                <c:pt idx="23" formatCode="0.000">
                  <c:v>13.9</c:v>
                </c:pt>
                <c:pt idx="24" formatCode="0.000">
                  <c:v>13.9</c:v>
                </c:pt>
                <c:pt idx="25" formatCode="0.000">
                  <c:v>13.9</c:v>
                </c:pt>
                <c:pt idx="26" formatCode="0.000">
                  <c:v>13.904171251375413</c:v>
                </c:pt>
                <c:pt idx="27" formatCode="0.000">
                  <c:v>13.913913913913914</c:v>
                </c:pt>
                <c:pt idx="28" formatCode="0.000">
                  <c:v>13.932043700511176</c:v>
                </c:pt>
                <c:pt idx="29" formatCode="0.000">
                  <c:v>13.957224620945878</c:v>
                </c:pt>
                <c:pt idx="30" formatCode="0.000">
                  <c:v>13.989533011272142</c:v>
                </c:pt>
                <c:pt idx="31" formatCode="0.000">
                  <c:v>14.029067420266452</c:v>
                </c:pt>
                <c:pt idx="32" formatCode="0.000">
                  <c:v>14.075949367088608</c:v>
                </c:pt>
                <c:pt idx="33" formatCode="0.000">
                  <c:v>14.131760878405856</c:v>
                </c:pt>
                <c:pt idx="34" formatCode="0.000">
                  <c:v>14.193811906463802</c:v>
                </c:pt>
                <c:pt idx="35" formatCode="0.000">
                  <c:v>14.265188834154351</c:v>
                </c:pt>
                <c:pt idx="36" formatCode="0.000">
                  <c:v>14.343205035600041</c:v>
                </c:pt>
                <c:pt idx="37" formatCode="0.000">
                  <c:v>14.43106312292359</c:v>
                </c:pt>
                <c:pt idx="38" formatCode="0.000">
                  <c:v>14.527591973244148</c:v>
                </c:pt>
                <c:pt idx="39" formatCode="0.000">
                  <c:v>14.633119275713234</c:v>
                </c:pt>
                <c:pt idx="40" formatCode="0.000">
                  <c:v>14.748010610079575</c:v>
                </c:pt>
                <c:pt idx="41" formatCode="0.000">
                  <c:v>14.872672801198375</c:v>
                </c:pt>
                <c:pt idx="42" formatCode="0.000">
                  <c:v>15.007557762902181</c:v>
                </c:pt>
                <c:pt idx="43" formatCode="0.000">
                  <c:v>15.154819014391627</c:v>
                </c:pt>
                <c:pt idx="44" formatCode="0.000">
                  <c:v>15.311742674597928</c:v>
                </c:pt>
                <c:pt idx="45" formatCode="0.000">
                  <c:v>15.478841870824054</c:v>
                </c:pt>
                <c:pt idx="46" formatCode="0.000">
                  <c:v>15.6478667116965</c:v>
                </c:pt>
                <c:pt idx="47" formatCode="0.000">
                  <c:v>15.820623719553835</c:v>
                </c:pt>
                <c:pt idx="48" formatCode="0.000">
                  <c:v>15.997237886983543</c:v>
                </c:pt>
                <c:pt idx="49" formatCode="0.000">
                  <c:v>16.17783985102421</c:v>
                </c:pt>
                <c:pt idx="50" formatCode="0.000">
                  <c:v>16.362566215420834</c:v>
                </c:pt>
                <c:pt idx="51" formatCode="0.000">
                  <c:v>16.551559895213146</c:v>
                </c:pt>
                <c:pt idx="52" formatCode="0.000">
                  <c:v>16.744970485483677</c:v>
                </c:pt>
                <c:pt idx="53" formatCode="0.000">
                  <c:v>16.942954656265236</c:v>
                </c:pt>
                <c:pt idx="54" formatCode="0.000">
                  <c:v>17.145676575798692</c:v>
                </c:pt>
                <c:pt idx="55" formatCode="0.000">
                  <c:v>17.355475090523164</c:v>
                </c:pt>
                <c:pt idx="56" formatCode="0.000">
                  <c:v>17.568250758341758</c:v>
                </c:pt>
                <c:pt idx="57" formatCode="0.000">
                  <c:v>17.78630838131798</c:v>
                </c:pt>
                <c:pt idx="58" formatCode="0.000">
                  <c:v>18.009847110650426</c:v>
                </c:pt>
                <c:pt idx="59" formatCode="0.000">
                  <c:v>18.239076236714343</c:v>
                </c:pt>
                <c:pt idx="60" formatCode="0.000">
                  <c:v>18.474215842636898</c:v>
                </c:pt>
                <c:pt idx="61" formatCode="0.000">
                  <c:v>18.715497509088461</c:v>
                </c:pt>
                <c:pt idx="62" formatCode="0.000">
                  <c:v>18.963165075034109</c:v>
                </c:pt>
                <c:pt idx="63" formatCode="0.000">
                  <c:v>19.217475459698601</c:v>
                </c:pt>
                <c:pt idx="64" formatCode="0.000">
                  <c:v>19.478699551569505</c:v>
                </c:pt>
                <c:pt idx="65" formatCode="0.000">
                  <c:v>19.749928957090084</c:v>
                </c:pt>
                <c:pt idx="66" formatCode="0.000">
                  <c:v>20.025932862699896</c:v>
                </c:pt>
                <c:pt idx="67" formatCode="0.000">
                  <c:v>20.309760374050263</c:v>
                </c:pt>
                <c:pt idx="68" formatCode="0.000">
                  <c:v>20.601748925448348</c:v>
                </c:pt>
                <c:pt idx="69" formatCode="0.000">
                  <c:v>20.902255639097742</c:v>
                </c:pt>
                <c:pt idx="70" formatCode="0.000">
                  <c:v>21.211658782237144</c:v>
                </c:pt>
                <c:pt idx="71" formatCode="0.000">
                  <c:v>21.530359355638168</c:v>
                </c:pt>
                <c:pt idx="72" formatCode="0.000">
                  <c:v>21.8587828274886</c:v>
                </c:pt>
                <c:pt idx="73" formatCode="0.000">
                  <c:v>22.197381028425426</c:v>
                </c:pt>
                <c:pt idx="74" formatCode="0.000">
                  <c:v>22.546634225466342</c:v>
                </c:pt>
                <c:pt idx="75" formatCode="0.000">
                  <c:v>22.91082907532553</c:v>
                </c:pt>
                <c:pt idx="76" formatCode="0.000">
                  <c:v>23.28308207705193</c:v>
                </c:pt>
                <c:pt idx="77" formatCode="0.000">
                  <c:v>23.687798227675529</c:v>
                </c:pt>
                <c:pt idx="78" formatCode="0.000">
                  <c:v>24.140326502257729</c:v>
                </c:pt>
                <c:pt idx="79" formatCode="0.000">
                  <c:v>24.645390070921987</c:v>
                </c:pt>
                <c:pt idx="80" formatCode="0.000">
                  <c:v>25.203989120580236</c:v>
                </c:pt>
                <c:pt idx="81" formatCode="0.000">
                  <c:v>25.826830174656262</c:v>
                </c:pt>
                <c:pt idx="82" formatCode="0.000">
                  <c:v>26.516596718809616</c:v>
                </c:pt>
                <c:pt idx="83" formatCode="0.000">
                  <c:v>27.287004318806442</c:v>
                </c:pt>
                <c:pt idx="84" formatCode="0.000">
                  <c:v>28.14904819765087</c:v>
                </c:pt>
                <c:pt idx="85" formatCode="0.000">
                  <c:v>29.109947643979059</c:v>
                </c:pt>
                <c:pt idx="86" formatCode="0.000">
                  <c:v>30.191138140747178</c:v>
                </c:pt>
                <c:pt idx="87" formatCode="0.000">
                  <c:v>31.405332128332581</c:v>
                </c:pt>
                <c:pt idx="88" formatCode="0.000">
                  <c:v>32.783018867924532</c:v>
                </c:pt>
                <c:pt idx="89" formatCode="0.000">
                  <c:v>34.35491843796342</c:v>
                </c:pt>
                <c:pt idx="90" formatCode="0.000">
                  <c:v>36.150845253576072</c:v>
                </c:pt>
                <c:pt idx="91" formatCode="0.000">
                  <c:v>38.228822882288235</c:v>
                </c:pt>
                <c:pt idx="92" formatCode="0.000">
                  <c:v>40.655162328166135</c:v>
                </c:pt>
                <c:pt idx="93" formatCode="0.000">
                  <c:v>43.505477308294211</c:v>
                </c:pt>
                <c:pt idx="94" formatCode="0.000">
                  <c:v>46.896086369770579</c:v>
                </c:pt>
                <c:pt idx="95" formatCode="0.000">
                  <c:v>51.0091743119266</c:v>
                </c:pt>
                <c:pt idx="96" formatCode="0.000">
                  <c:v>56.093623890234063</c:v>
                </c:pt>
                <c:pt idx="97" formatCode="0.000">
                  <c:v>62.52811515969411</c:v>
                </c:pt>
                <c:pt idx="98" formatCode="0.000">
                  <c:v>70.882202957674664</c:v>
                </c:pt>
                <c:pt idx="99" formatCode="0.000">
                  <c:v>82.151300236406627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ser>
          <c:idx val="1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'5K'!$A$30</c:f>
              <c:numCache>
                <c:formatCode>General</c:formatCode>
                <c:ptCount val="1"/>
                <c:pt idx="0">
                  <c:v>24</c:v>
                </c:pt>
              </c:numCache>
            </c:numRef>
          </c:xVal>
          <c:yVal>
            <c:numRef>
              <c:f>'5K'!$C$30</c:f>
              <c:numCache>
                <c:formatCode>0.000</c:formatCode>
                <c:ptCount val="1"/>
                <c:pt idx="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0-4C96-BC2C-F5E176C9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119577925712441"/>
          <c:y val="0.17122414894203214"/>
          <c:w val="0.31706166989049001"/>
          <c:h val="0.23789379986244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12832582356866126"/>
          <c:w val="0.8829690115482518"/>
          <c:h val="0.7539350441618997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36.937973340167041</c:v>
                </c:pt>
                <c:pt idx="3" formatCode="0.000">
                  <c:v>34.88442539427767</c:v>
                </c:pt>
                <c:pt idx="4" formatCode="0.000">
                  <c:v>33.129159710168196</c:v>
                </c:pt>
                <c:pt idx="5" formatCode="0.000">
                  <c:v>31.616740308785733</c:v>
                </c:pt>
                <c:pt idx="6" formatCode="0.000">
                  <c:v>30.303692625897824</c:v>
                </c:pt>
                <c:pt idx="7" formatCode="0.000">
                  <c:v>29.162619724734672</c:v>
                </c:pt>
                <c:pt idx="8" formatCode="0.000">
                  <c:v>28.162504988851833</c:v>
                </c:pt>
                <c:pt idx="9" formatCode="0.000">
                  <c:v>27.282120261849641</c:v>
                </c:pt>
                <c:pt idx="10" formatCode="0.000">
                  <c:v>26.51180689285388</c:v>
                </c:pt>
                <c:pt idx="11" formatCode="0.000">
                  <c:v>25.830739533727989</c:v>
                </c:pt>
                <c:pt idx="12" formatCode="0.000">
                  <c:v>25.232266429638759</c:v>
                </c:pt>
                <c:pt idx="13" formatCode="0.000">
                  <c:v>24.707473663784658</c:v>
                </c:pt>
                <c:pt idx="14" formatCode="0.000">
                  <c:v>24.244682878885104</c:v>
                </c:pt>
                <c:pt idx="15" formatCode="0.000">
                  <c:v>23.814915711619289</c:v>
                </c:pt>
                <c:pt idx="16" formatCode="0.000">
                  <c:v>23.40011948131168</c:v>
                </c:pt>
                <c:pt idx="17" formatCode="0.000">
                  <c:v>23.066433554953612</c:v>
                </c:pt>
                <c:pt idx="18" formatCode="0.000">
                  <c:v>22.874082179851158</c:v>
                </c:pt>
                <c:pt idx="19" formatCode="0.000">
                  <c:v>22.780894168618168</c:v>
                </c:pt>
                <c:pt idx="20" formatCode="0.000">
                  <c:v>22.75</c:v>
                </c:pt>
                <c:pt idx="21" formatCode="0.000">
                  <c:v>22.75</c:v>
                </c:pt>
                <c:pt idx="22" formatCode="0.000">
                  <c:v>22.75</c:v>
                </c:pt>
                <c:pt idx="23" formatCode="0.000">
                  <c:v>22.75</c:v>
                </c:pt>
                <c:pt idx="24" formatCode="0.000">
                  <c:v>22.75</c:v>
                </c:pt>
                <c:pt idx="25" formatCode="0.000">
                  <c:v>22.75</c:v>
                </c:pt>
                <c:pt idx="26" formatCode="0.000">
                  <c:v>22.752197371466288</c:v>
                </c:pt>
                <c:pt idx="27" formatCode="0.000">
                  <c:v>22.760413856108457</c:v>
                </c:pt>
                <c:pt idx="28" formatCode="0.000">
                  <c:v>22.780769970801195</c:v>
                </c:pt>
                <c:pt idx="29" formatCode="0.000">
                  <c:v>22.811043470050183</c:v>
                </c:pt>
                <c:pt idx="30" formatCode="0.000">
                  <c:v>22.852869877975785</c:v>
                </c:pt>
                <c:pt idx="31" formatCode="0.000">
                  <c:v>22.904812278046588</c:v>
                </c:pt>
                <c:pt idx="32" formatCode="0.000">
                  <c:v>22.967007825438792</c:v>
                </c:pt>
                <c:pt idx="33" formatCode="0.000">
                  <c:v>23.041955505622511</c:v>
                </c:pt>
                <c:pt idx="34" formatCode="0.000">
                  <c:v>23.128388291646026</c:v>
                </c:pt>
                <c:pt idx="35" formatCode="0.000">
                  <c:v>23.226478684442085</c:v>
                </c:pt>
                <c:pt idx="36" formatCode="0.000">
                  <c:v>23.334974718232026</c:v>
                </c:pt>
                <c:pt idx="37" formatCode="0.000">
                  <c:v>23.457354056283549</c:v>
                </c:pt>
                <c:pt idx="38" formatCode="0.000">
                  <c:v>23.59159235441718</c:v>
                </c:pt>
                <c:pt idx="39" formatCode="0.000">
                  <c:v>23.739755720376898</c:v>
                </c:pt>
                <c:pt idx="40" formatCode="0.000">
                  <c:v>23.900639091801647</c:v>
                </c:pt>
                <c:pt idx="41" formatCode="0.000">
                  <c:v>24.074723705699537</c:v>
                </c:pt>
                <c:pt idx="42" formatCode="0.000">
                  <c:v>24.266050611423328</c:v>
                </c:pt>
                <c:pt idx="43" formatCode="0.000">
                  <c:v>24.47087716624721</c:v>
                </c:pt>
                <c:pt idx="44" formatCode="0.000">
                  <c:v>24.691721466939885</c:v>
                </c:pt>
                <c:pt idx="45" formatCode="0.000">
                  <c:v>24.92936098565605</c:v>
                </c:pt>
                <c:pt idx="46" formatCode="0.000">
                  <c:v>25.17638896115669</c:v>
                </c:pt>
                <c:pt idx="47" formatCode="0.000">
                  <c:v>25.439930168178801</c:v>
                </c:pt>
                <c:pt idx="48" formatCode="0.000">
                  <c:v>25.716929547749466</c:v>
                </c:pt>
                <c:pt idx="49" formatCode="0.000">
                  <c:v>26.006073419225913</c:v>
                </c:pt>
                <c:pt idx="50" formatCode="0.000">
                  <c:v>26.301793103435468</c:v>
                </c:pt>
                <c:pt idx="51" formatCode="0.000">
                  <c:v>26.60642526433373</c:v>
                </c:pt>
                <c:pt idx="52" formatCode="0.000">
                  <c:v>26.916037233130989</c:v>
                </c:pt>
                <c:pt idx="53" formatCode="0.000">
                  <c:v>27.232939786543596</c:v>
                </c:pt>
                <c:pt idx="54" formatCode="0.000">
                  <c:v>27.55965713949178</c:v>
                </c:pt>
                <c:pt idx="55" formatCode="0.000">
                  <c:v>27.893091005788833</c:v>
                </c:pt>
                <c:pt idx="56" formatCode="0.000">
                  <c:v>28.235939904123473</c:v>
                </c:pt>
                <c:pt idx="57" formatCode="0.000">
                  <c:v>28.584886375840508</c:v>
                </c:pt>
                <c:pt idx="58" formatCode="0.000">
                  <c:v>28.942565494941629</c:v>
                </c:pt>
                <c:pt idx="59" formatCode="0.000">
                  <c:v>29.311869836962099</c:v>
                </c:pt>
                <c:pt idx="60" formatCode="0.000">
                  <c:v>29.688093339705834</c:v>
                </c:pt>
                <c:pt idx="61" formatCode="0.000">
                  <c:v>30.07679620817008</c:v>
                </c:pt>
                <c:pt idx="62" formatCode="0.000">
                  <c:v>30.473044600093647</c:v>
                </c:pt>
                <c:pt idx="63" formatCode="0.000">
                  <c:v>30.879873173291095</c:v>
                </c:pt>
                <c:pt idx="64" formatCode="0.000">
                  <c:v>31.30063125835575</c:v>
                </c:pt>
                <c:pt idx="65" formatCode="0.000">
                  <c:v>31.731437611185285</c:v>
                </c:pt>
                <c:pt idx="66" formatCode="0.000">
                  <c:v>32.17588889782801</c:v>
                </c:pt>
                <c:pt idx="67" formatCode="0.000">
                  <c:v>32.629793908233339</c:v>
                </c:pt>
                <c:pt idx="68" formatCode="0.000">
                  <c:v>33.096688633229164</c:v>
                </c:pt>
                <c:pt idx="69" formatCode="0.000">
                  <c:v>33.580499435526889</c:v>
                </c:pt>
                <c:pt idx="70" formatCode="0.000">
                  <c:v>34.07520375768479</c:v>
                </c:pt>
                <c:pt idx="71" formatCode="0.000">
                  <c:v>34.588267274005524</c:v>
                </c:pt>
                <c:pt idx="72" formatCode="0.000">
                  <c:v>35.113341939380994</c:v>
                </c:pt>
                <c:pt idx="73" formatCode="0.000">
                  <c:v>35.654604365392238</c:v>
                </c:pt>
                <c:pt idx="74" formatCode="0.000">
                  <c:v>36.216723862644784</c:v>
                </c:pt>
                <c:pt idx="75" formatCode="0.000">
                  <c:v>36.810880050226395</c:v>
                </c:pt>
                <c:pt idx="76" formatCode="0.000">
                  <c:v>37.456297546979833</c:v>
                </c:pt>
                <c:pt idx="77" formatCode="0.000">
                  <c:v>38.16540427590563</c:v>
                </c:pt>
                <c:pt idx="78" formatCode="0.000">
                  <c:v>38.955167940659919</c:v>
                </c:pt>
                <c:pt idx="79" formatCode="0.000">
                  <c:v>39.834027453407387</c:v>
                </c:pt>
                <c:pt idx="80" formatCode="0.000">
                  <c:v>40.804624876565036</c:v>
                </c:pt>
                <c:pt idx="81" formatCode="0.000">
                  <c:v>41.88530451123939</c:v>
                </c:pt>
                <c:pt idx="82" formatCode="0.000">
                  <c:v>43.081816774924015</c:v>
                </c:pt>
                <c:pt idx="83" formatCode="0.000">
                  <c:v>44.417969832265136</c:v>
                </c:pt>
                <c:pt idx="84" formatCode="0.000">
                  <c:v>45.913665620100616</c:v>
                </c:pt>
                <c:pt idx="85" formatCode="0.000">
                  <c:v>47.5831658071181</c:v>
                </c:pt>
                <c:pt idx="86" formatCode="0.000">
                  <c:v>49.464549011052178</c:v>
                </c:pt>
                <c:pt idx="87" formatCode="0.000">
                  <c:v>51.582572059843251</c:v>
                </c:pt>
                <c:pt idx="88" formatCode="0.000">
                  <c:v>53.992410075020402</c:v>
                </c:pt>
                <c:pt idx="89" formatCode="0.000">
                  <c:v>56.75147976273788</c:v>
                </c:pt>
                <c:pt idx="90" formatCode="0.000">
                  <c:v>59.917981190006962</c:v>
                </c:pt>
                <c:pt idx="91" formatCode="0.000">
                  <c:v>63.600645082575781</c:v>
                </c:pt>
                <c:pt idx="92" formatCode="0.000">
                  <c:v>67.913758999327143</c:v>
                </c:pt>
                <c:pt idx="93" formatCode="0.000">
                  <c:v>73.034000582706526</c:v>
                </c:pt>
                <c:pt idx="94" formatCode="0.000">
                  <c:v>79.200398546662996</c:v>
                </c:pt>
                <c:pt idx="95" formatCode="0.000">
                  <c:v>86.745608728733202</c:v>
                </c:pt>
                <c:pt idx="96" formatCode="0.000">
                  <c:v>96.204184938877859</c:v>
                </c:pt>
                <c:pt idx="97" formatCode="0.000">
                  <c:v>108.35444112574061</c:v>
                </c:pt>
                <c:pt idx="98" formatCode="0.000">
                  <c:v>124.53867570905248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2020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38.890712175910728</c:v>
                </c:pt>
                <c:pt idx="3">
                  <c:v>36.562789262573276</c:v>
                </c:pt>
                <c:pt idx="4">
                  <c:v>34.598540145985396</c:v>
                </c:pt>
                <c:pt idx="5">
                  <c:v>32.925812725757154</c:v>
                </c:pt>
                <c:pt idx="6">
                  <c:v>31.490831783151737</c:v>
                </c:pt>
                <c:pt idx="7">
                  <c:v>30.248883216336949</c:v>
                </c:pt>
                <c:pt idx="8">
                  <c:v>29.172821270310191</c:v>
                </c:pt>
                <c:pt idx="9">
                  <c:v>28.237817228642914</c:v>
                </c:pt>
                <c:pt idx="10">
                  <c:v>27.424207359407546</c:v>
                </c:pt>
                <c:pt idx="11">
                  <c:v>26.716266486303685</c:v>
                </c:pt>
                <c:pt idx="12">
                  <c:v>26.101321585903083</c:v>
                </c:pt>
                <c:pt idx="13">
                  <c:v>25.566343042071196</c:v>
                </c:pt>
                <c:pt idx="14">
                  <c:v>25.10593220338983</c:v>
                </c:pt>
                <c:pt idx="15">
                  <c:v>24.6875</c:v>
                </c:pt>
                <c:pt idx="16">
                  <c:v>24.282786885245901</c:v>
                </c:pt>
                <c:pt idx="17">
                  <c:v>23.956332760537755</c:v>
                </c:pt>
                <c:pt idx="18">
                  <c:v>23.764163240750026</c:v>
                </c:pt>
                <c:pt idx="19">
                  <c:v>23.7</c:v>
                </c:pt>
                <c:pt idx="20">
                  <c:v>23.7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23.7</c:v>
                </c:pt>
                <c:pt idx="26">
                  <c:v>23.7</c:v>
                </c:pt>
                <c:pt idx="27">
                  <c:v>23.7</c:v>
                </c:pt>
                <c:pt idx="28">
                  <c:v>23.704740948189638</c:v>
                </c:pt>
                <c:pt idx="29">
                  <c:v>23.721349214292864</c:v>
                </c:pt>
                <c:pt idx="30">
                  <c:v>23.749874736947589</c:v>
                </c:pt>
                <c:pt idx="31">
                  <c:v>23.790403533427021</c:v>
                </c:pt>
                <c:pt idx="32">
                  <c:v>23.840659893370887</c:v>
                </c:pt>
                <c:pt idx="33">
                  <c:v>23.903177004538577</c:v>
                </c:pt>
                <c:pt idx="34">
                  <c:v>23.97814649939296</c:v>
                </c:pt>
                <c:pt idx="35">
                  <c:v>24.063356685957963</c:v>
                </c:pt>
                <c:pt idx="36">
                  <c:v>24.161484351106125</c:v>
                </c:pt>
                <c:pt idx="37">
                  <c:v>24.272839000409665</c:v>
                </c:pt>
                <c:pt idx="38">
                  <c:v>24.397776405188385</c:v>
                </c:pt>
                <c:pt idx="39">
                  <c:v>24.534161490683228</c:v>
                </c:pt>
                <c:pt idx="40">
                  <c:v>24.684928653265285</c:v>
                </c:pt>
                <c:pt idx="41">
                  <c:v>24.850581944007548</c:v>
                </c:pt>
                <c:pt idx="42">
                  <c:v>25.031685678073512</c:v>
                </c:pt>
                <c:pt idx="43">
                  <c:v>25.226184140500266</c:v>
                </c:pt>
                <c:pt idx="44">
                  <c:v>25.437372544810561</c:v>
                </c:pt>
                <c:pt idx="45">
                  <c:v>25.666016894087068</c:v>
                </c:pt>
                <c:pt idx="46">
                  <c:v>25.910134470318138</c:v>
                </c:pt>
                <c:pt idx="47">
                  <c:v>26.173384870237438</c:v>
                </c:pt>
                <c:pt idx="48">
                  <c:v>26.456798392498325</c:v>
                </c:pt>
                <c:pt idx="49">
                  <c:v>26.752455130375889</c:v>
                </c:pt>
                <c:pt idx="50">
                  <c:v>27.051706426207055</c:v>
                </c:pt>
                <c:pt idx="51">
                  <c:v>27.360886631262989</c:v>
                </c:pt>
                <c:pt idx="52">
                  <c:v>27.677215928996848</c:v>
                </c:pt>
                <c:pt idx="53">
                  <c:v>27.997637330183107</c:v>
                </c:pt>
                <c:pt idx="54">
                  <c:v>28.328950513985177</c:v>
                </c:pt>
                <c:pt idx="55">
                  <c:v>28.664731494920176</c:v>
                </c:pt>
                <c:pt idx="56">
                  <c:v>29.012118986412045</c:v>
                </c:pt>
                <c:pt idx="57">
                  <c:v>29.368029739776947</c:v>
                </c:pt>
                <c:pt idx="58">
                  <c:v>29.729051680883089</c:v>
                </c:pt>
                <c:pt idx="59">
                  <c:v>30.10288327194208</c:v>
                </c:pt>
                <c:pt idx="60">
                  <c:v>30.486236171854902</c:v>
                </c:pt>
                <c:pt idx="61">
                  <c:v>30.875455966649298</c:v>
                </c:pt>
                <c:pt idx="62">
                  <c:v>31.278870265276492</c:v>
                </c:pt>
                <c:pt idx="63">
                  <c:v>31.692966033698848</c:v>
                </c:pt>
                <c:pt idx="64">
                  <c:v>32.113821138211378</c:v>
                </c:pt>
                <c:pt idx="65">
                  <c:v>32.550473836011534</c:v>
                </c:pt>
                <c:pt idx="66">
                  <c:v>32.999164578111944</c:v>
                </c:pt>
                <c:pt idx="67">
                  <c:v>33.455674760022582</c:v>
                </c:pt>
                <c:pt idx="68">
                  <c:v>33.929849677881172</c:v>
                </c:pt>
                <c:pt idx="69">
                  <c:v>34.417659018297996</c:v>
                </c:pt>
                <c:pt idx="70">
                  <c:v>34.914555097230405</c:v>
                </c:pt>
                <c:pt idx="71">
                  <c:v>35.431305127821794</c:v>
                </c:pt>
                <c:pt idx="72">
                  <c:v>35.963581183611531</c:v>
                </c:pt>
                <c:pt idx="73">
                  <c:v>36.506469500924212</c:v>
                </c:pt>
                <c:pt idx="74">
                  <c:v>37.07179727827311</c:v>
                </c:pt>
                <c:pt idx="75">
                  <c:v>37.654909437559581</c:v>
                </c:pt>
                <c:pt idx="76">
                  <c:v>38.269013402228325</c:v>
                </c:pt>
                <c:pt idx="77">
                  <c:v>38.961038961038966</c:v>
                </c:pt>
                <c:pt idx="78">
                  <c:v>39.731768650461021</c:v>
                </c:pt>
                <c:pt idx="79">
                  <c:v>40.596094552929088</c:v>
                </c:pt>
                <c:pt idx="80">
                  <c:v>41.549789621318368</c:v>
                </c:pt>
                <c:pt idx="81">
                  <c:v>42.618234130552054</c:v>
                </c:pt>
                <c:pt idx="82">
                  <c:v>43.80776340110905</c:v>
                </c:pt>
                <c:pt idx="83">
                  <c:v>45.125666412795127</c:v>
                </c:pt>
                <c:pt idx="84">
                  <c:v>46.616837136113297</c:v>
                </c:pt>
                <c:pt idx="85">
                  <c:v>48.278671827256062</c:v>
                </c:pt>
                <c:pt idx="86">
                  <c:v>50.148116800677101</c:v>
                </c:pt>
                <c:pt idx="87">
                  <c:v>52.271724746360825</c:v>
                </c:pt>
                <c:pt idx="88">
                  <c:v>54.683894785417628</c:v>
                </c:pt>
                <c:pt idx="89">
                  <c:v>57.440620455647114</c:v>
                </c:pt>
                <c:pt idx="90">
                  <c:v>60.613810741687978</c:v>
                </c:pt>
                <c:pt idx="91">
                  <c:v>64.314789687924019</c:v>
                </c:pt>
                <c:pt idx="92">
                  <c:v>68.635968722849697</c:v>
                </c:pt>
                <c:pt idx="93">
                  <c:v>73.785803237858033</c:v>
                </c:pt>
                <c:pt idx="94">
                  <c:v>79.986500168747881</c:v>
                </c:pt>
                <c:pt idx="95">
                  <c:v>87.58314855875831</c:v>
                </c:pt>
                <c:pt idx="96">
                  <c:v>97.091356001638658</c:v>
                </c:pt>
                <c:pt idx="97">
                  <c:v>109.36778957083526</c:v>
                </c:pt>
                <c:pt idx="98">
                  <c:v>125.72944297082228</c:v>
                </c:pt>
                <c:pt idx="99">
                  <c:v>148.49624060150376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6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6914017402351407"/>
          <c:y val="8.08767466883287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88955491742E-2"/>
          <c:y val="5.2327485748004082E-2"/>
          <c:w val="0.88843997171735134"/>
          <c:h val="0.81888693903700638"/>
        </c:manualLayout>
      </c:layout>
      <c:scatterChart>
        <c:scatterStyle val="lineMarker"/>
        <c:varyColors val="0"/>
        <c:ser>
          <c:idx val="3"/>
          <c:order val="0"/>
          <c:tx>
            <c:strRef>
              <c:f>'10K'!$G$6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48.033333333333331</c:v>
                </c:pt>
                <c:pt idx="6" formatCode="0.000">
                  <c:v>46.133333333333297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36.483333333333299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  <c:pt idx="88" formatCode="0.000">
                  <c:v>84.86666666666666</c:v>
                </c:pt>
                <c:pt idx="89" formatCode="0.000">
                  <c:v>140.51666666666668</c:v>
                </c:pt>
                <c:pt idx="91" formatCode="0.000">
                  <c:v>84.86666666666666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EAC-97F4-5872F9CCEEBF}"/>
            </c:ext>
          </c:extLst>
        </c:ser>
        <c:ser>
          <c:idx val="0"/>
          <c:order val="1"/>
          <c:tx>
            <c:strRef>
              <c:f>'10K'!$C$6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'10K'!$C$7:$C$106</c:f>
              <c:numCache>
                <c:formatCode>General</c:formatCode>
                <c:ptCount val="100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45.683333333333337</c:v>
                </c:pt>
                <c:pt idx="8" formatCode="0.000">
                  <c:v>37.616666666666667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33.316666666666663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30.916666666666664</c:v>
                </c:pt>
                <c:pt idx="21" formatCode="0.000">
                  <c:v>28.766666666666669</c:v>
                </c:pt>
                <c:pt idx="22" formatCode="0.000">
                  <c:v>28.95</c:v>
                </c:pt>
                <c:pt idx="23" formatCode="0.000">
                  <c:v>30.65</c:v>
                </c:pt>
                <c:pt idx="24" formatCode="0.000">
                  <c:v>30.016666666666666</c:v>
                </c:pt>
                <c:pt idx="25" formatCode="0.000">
                  <c:v>30.416666666666668</c:v>
                </c:pt>
                <c:pt idx="26" formatCode="0.000">
                  <c:v>30.783333333333331</c:v>
                </c:pt>
                <c:pt idx="27" formatCode="0.000">
                  <c:v>30.5</c:v>
                </c:pt>
                <c:pt idx="28" formatCode="0.000">
                  <c:v>30.349999999999998</c:v>
                </c:pt>
                <c:pt idx="29" formatCode="0.000">
                  <c:v>29.633333333333333</c:v>
                </c:pt>
                <c:pt idx="30" formatCode="0.000">
                  <c:v>30.833333333333336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31.216666666666669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32.15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33.483333333333334</c:v>
                </c:pt>
                <c:pt idx="45" formatCode="0.000">
                  <c:v>34.016666666666666</c:v>
                </c:pt>
                <c:pt idx="46" formatCode="0.000">
                  <c:v>33.466666666666669</c:v>
                </c:pt>
                <c:pt idx="47" formatCode="0.000">
                  <c:v>34.016666666666666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35.683333333333337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41.949999999999996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45.183333333333337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49.233333333333327</c:v>
                </c:pt>
                <c:pt idx="75" formatCode="0.000">
                  <c:v>47.5</c:v>
                </c:pt>
                <c:pt idx="76" formatCode="0.000">
                  <c:v>51.383333333333333</c:v>
                </c:pt>
                <c:pt idx="77" formatCode="0.000">
                  <c:v>53.63333333333334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54.283333333333331</c:v>
                </c:pt>
                <c:pt idx="81" formatCode="0.000">
                  <c:v>53.266666666666666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6" formatCode="0.000">
                  <c:v>75.5</c:v>
                </c:pt>
                <c:pt idx="87" formatCode="0.000">
                  <c:v>78.483333333333334</c:v>
                </c:pt>
                <c:pt idx="88" formatCode="0.000">
                  <c:v>84.866666666666674</c:v>
                </c:pt>
                <c:pt idx="89" formatCode="0.000">
                  <c:v>140.51666666666668</c:v>
                </c:pt>
                <c:pt idx="91" formatCode="0.000">
                  <c:v>84.866666666666674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2-4EAC-97F4-5872F9CCEEBF}"/>
            </c:ext>
          </c:extLst>
        </c:ser>
        <c:ser>
          <c:idx val="1"/>
          <c:order val="2"/>
          <c:tx>
            <c:strRef>
              <c:f>'10K'!$F$6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2" formatCode="0.000">
                  <c:v>46.927678085916298</c:v>
                </c:pt>
                <c:pt idx="3" formatCode="0.000">
                  <c:v>44.263219982561424</c:v>
                </c:pt>
                <c:pt idx="4" formatCode="0.000">
                  <c:v>41.995133819951299</c:v>
                </c:pt>
                <c:pt idx="5" formatCode="0.000">
                  <c:v>40.048262100329481</c:v>
                </c:pt>
                <c:pt idx="6" formatCode="0.000">
                  <c:v>38.365786431937408</c:v>
                </c:pt>
                <c:pt idx="7" formatCode="0.000">
                  <c:v>36.908733213583105</c:v>
                </c:pt>
                <c:pt idx="8" formatCode="0.000">
                  <c:v>35.637594978526593</c:v>
                </c:pt>
                <c:pt idx="9" formatCode="0.000">
                  <c:v>34.521380855234213</c:v>
                </c:pt>
                <c:pt idx="10" formatCode="0.000">
                  <c:v>33.551045797371899</c:v>
                </c:pt>
                <c:pt idx="11" formatCode="0.000">
                  <c:v>32.696825035993029</c:v>
                </c:pt>
                <c:pt idx="12" formatCode="0.000">
                  <c:v>31.948763512512961</c:v>
                </c:pt>
                <c:pt idx="13" formatCode="0.000">
                  <c:v>31.2987342690313</c:v>
                </c:pt>
                <c:pt idx="14" formatCode="0.000">
                  <c:v>30.733618233618234</c:v>
                </c:pt>
                <c:pt idx="15" formatCode="0.000">
                  <c:v>30.217086834733898</c:v>
                </c:pt>
                <c:pt idx="16" formatCode="0.000">
                  <c:v>29.717630853994493</c:v>
                </c:pt>
                <c:pt idx="17" formatCode="0.000">
                  <c:v>29.293957909029196</c:v>
                </c:pt>
                <c:pt idx="18" formatCode="0.000">
                  <c:v>28.998655913978496</c:v>
                </c:pt>
                <c:pt idx="19" formatCode="0.000">
                  <c:v>28.82431529726119</c:v>
                </c:pt>
                <c:pt idx="20" formatCode="0.000">
                  <c:v>28.766666666666669</c:v>
                </c:pt>
                <c:pt idx="21" formatCode="0.000">
                  <c:v>28.766666666666669</c:v>
                </c:pt>
                <c:pt idx="22" formatCode="0.000">
                  <c:v>28.766666666666669</c:v>
                </c:pt>
                <c:pt idx="23" formatCode="0.000">
                  <c:v>28.766666666666669</c:v>
                </c:pt>
                <c:pt idx="24" formatCode="0.000">
                  <c:v>28.766666666666669</c:v>
                </c:pt>
                <c:pt idx="25" formatCode="0.000">
                  <c:v>28.766666666666669</c:v>
                </c:pt>
                <c:pt idx="26" formatCode="0.000">
                  <c:v>28.766666666666669</c:v>
                </c:pt>
                <c:pt idx="27" formatCode="0.000">
                  <c:v>28.772421150896847</c:v>
                </c:pt>
                <c:pt idx="28" formatCode="0.000">
                  <c:v>28.79257998865646</c:v>
                </c:pt>
                <c:pt idx="29" formatCode="0.000">
                  <c:v>28.82431529726119</c:v>
                </c:pt>
                <c:pt idx="30" formatCode="0.000">
                  <c:v>28.870600829653423</c:v>
                </c:pt>
                <c:pt idx="31" formatCode="0.000">
                  <c:v>28.928667203003489</c:v>
                </c:pt>
                <c:pt idx="32" formatCode="0.000">
                  <c:v>28.998655913978496</c:v>
                </c:pt>
                <c:pt idx="33" formatCode="0.000">
                  <c:v>29.083678765207431</c:v>
                </c:pt>
                <c:pt idx="34" formatCode="0.000">
                  <c:v>29.183997835717427</c:v>
                </c:pt>
                <c:pt idx="35" formatCode="0.000">
                  <c:v>29.296941304274029</c:v>
                </c:pt>
                <c:pt idx="36" formatCode="0.000">
                  <c:v>29.422794995056428</c:v>
                </c:pt>
                <c:pt idx="37" formatCode="0.000">
                  <c:v>29.564919492977051</c:v>
                </c:pt>
                <c:pt idx="38" formatCode="0.000">
                  <c:v>29.720701174363747</c:v>
                </c:pt>
                <c:pt idx="39" formatCode="0.000">
                  <c:v>29.893657556548547</c:v>
                </c:pt>
                <c:pt idx="40" formatCode="0.000">
                  <c:v>30.081215796995366</c:v>
                </c:pt>
                <c:pt idx="41" formatCode="0.000">
                  <c:v>30.283889532231466</c:v>
                </c:pt>
                <c:pt idx="42" formatCode="0.000">
                  <c:v>30.50871425036236</c:v>
                </c:pt>
                <c:pt idx="43" formatCode="0.000">
                  <c:v>30.746757873735216</c:v>
                </c:pt>
                <c:pt idx="44" formatCode="0.000">
                  <c:v>31.005245383344114</c:v>
                </c:pt>
                <c:pt idx="45" formatCode="0.000">
                  <c:v>31.285118723944176</c:v>
                </c:pt>
                <c:pt idx="46" formatCode="0.000">
                  <c:v>31.580488161891171</c:v>
                </c:pt>
                <c:pt idx="47" formatCode="0.000">
                  <c:v>31.902702303057193</c:v>
                </c:pt>
                <c:pt idx="48" formatCode="0.000">
                  <c:v>32.246011284235699</c:v>
                </c:pt>
                <c:pt idx="49" formatCode="0.000">
                  <c:v>32.607874253759547</c:v>
                </c:pt>
                <c:pt idx="50" formatCode="0.000">
                  <c:v>32.977951010737897</c:v>
                </c:pt>
                <c:pt idx="51" formatCode="0.000">
                  <c:v>33.360392748076855</c:v>
                </c:pt>
                <c:pt idx="52" formatCode="0.000">
                  <c:v>33.747849210073518</c:v>
                </c:pt>
                <c:pt idx="53" formatCode="0.000">
                  <c:v>34.144411473788331</c:v>
                </c:pt>
                <c:pt idx="54" formatCode="0.000">
                  <c:v>34.554554554554556</c:v>
                </c:pt>
                <c:pt idx="55" formatCode="0.000">
                  <c:v>34.970418996677203</c:v>
                </c:pt>
                <c:pt idx="56" formatCode="0.000">
                  <c:v>35.400771187135945</c:v>
                </c:pt>
                <c:pt idx="57" formatCode="0.000">
                  <c:v>35.837382168514601</c:v>
                </c:pt>
                <c:pt idx="58" formatCode="0.000">
                  <c:v>36.284897410023554</c:v>
                </c:pt>
                <c:pt idx="59" formatCode="0.000">
                  <c:v>36.748424459206269</c:v>
                </c:pt>
                <c:pt idx="60" formatCode="0.000">
                  <c:v>37.219131409841722</c:v>
                </c:pt>
                <c:pt idx="61" formatCode="0.000">
                  <c:v>37.706995237471055</c:v>
                </c:pt>
                <c:pt idx="62" formatCode="0.000">
                  <c:v>38.20274457724657</c:v>
                </c:pt>
                <c:pt idx="63" formatCode="0.000">
                  <c:v>38.711703225227652</c:v>
                </c:pt>
                <c:pt idx="64" formatCode="0.000">
                  <c:v>39.239758104851546</c:v>
                </c:pt>
                <c:pt idx="65" formatCode="0.000">
                  <c:v>39.776917404129797</c:v>
                </c:pt>
                <c:pt idx="66" formatCode="0.000">
                  <c:v>40.334641989156857</c:v>
                </c:pt>
                <c:pt idx="67" formatCode="0.000">
                  <c:v>40.902412436608373</c:v>
                </c:pt>
                <c:pt idx="68" formatCode="0.000">
                  <c:v>41.486395538890491</c:v>
                </c:pt>
                <c:pt idx="69" formatCode="0.000">
                  <c:v>42.093454297141747</c:v>
                </c:pt>
                <c:pt idx="70" formatCode="0.000">
                  <c:v>42.712199950507305</c:v>
                </c:pt>
                <c:pt idx="71" formatCode="0.000">
                  <c:v>43.355940718412462</c:v>
                </c:pt>
                <c:pt idx="72" formatCode="0.000">
                  <c:v>44.012647898816816</c:v>
                </c:pt>
                <c:pt idx="73" formatCode="0.000">
                  <c:v>44.689555175806532</c:v>
                </c:pt>
                <c:pt idx="74" formatCode="0.000">
                  <c:v>45.39477144810899</c:v>
                </c:pt>
                <c:pt idx="75" formatCode="0.000">
                  <c:v>46.144797347877237</c:v>
                </c:pt>
                <c:pt idx="76" formatCode="0.000">
                  <c:v>46.981327236104313</c:v>
                </c:pt>
                <c:pt idx="77" formatCode="0.000">
                  <c:v>47.9045240077713</c:v>
                </c:pt>
                <c:pt idx="78" formatCode="0.000">
                  <c:v>48.931224131088058</c:v>
                </c:pt>
                <c:pt idx="79" formatCode="0.000">
                  <c:v>50.072526834928929</c:v>
                </c:pt>
                <c:pt idx="80" formatCode="0.000">
                  <c:v>51.332381632167504</c:v>
                </c:pt>
                <c:pt idx="81" formatCode="0.000">
                  <c:v>52.734494347693257</c:v>
                </c:pt>
                <c:pt idx="82" formatCode="0.000">
                  <c:v>54.286972384726681</c:v>
                </c:pt>
                <c:pt idx="83" formatCode="0.000">
                  <c:v>56.020772476468686</c:v>
                </c:pt>
                <c:pt idx="84" formatCode="0.000">
                  <c:v>57.962254013029757</c:v>
                </c:pt>
                <c:pt idx="85" formatCode="0.000">
                  <c:v>60.130992196209597</c:v>
                </c:pt>
                <c:pt idx="86" formatCode="0.000">
                  <c:v>62.577042999057362</c:v>
                </c:pt>
                <c:pt idx="87" formatCode="0.000">
                  <c:v>65.334241804830043</c:v>
                </c:pt>
                <c:pt idx="88" formatCode="0.000">
                  <c:v>68.475759739744518</c:v>
                </c:pt>
                <c:pt idx="89" formatCode="0.000">
                  <c:v>72.078844065814749</c:v>
                </c:pt>
                <c:pt idx="90" formatCode="0.000">
                  <c:v>76.22328210563505</c:v>
                </c:pt>
                <c:pt idx="91" formatCode="0.000">
                  <c:v>81.055696440311834</c:v>
                </c:pt>
                <c:pt idx="92" formatCode="0.000">
                  <c:v>86.724952266103912</c:v>
                </c:pt>
                <c:pt idx="93" formatCode="0.000">
                  <c:v>93.489329433430854</c:v>
                </c:pt>
                <c:pt idx="94" formatCode="0.000">
                  <c:v>101.68492989277721</c:v>
                </c:pt>
                <c:pt idx="95" formatCode="0.000">
                  <c:v>111.75861175861176</c:v>
                </c:pt>
                <c:pt idx="96" formatCode="0.000">
                  <c:v>124.47713832395789</c:v>
                </c:pt>
                <c:pt idx="97" formatCode="0.000">
                  <c:v>140.94398170831292</c:v>
                </c:pt>
                <c:pt idx="98" formatCode="0.000">
                  <c:v>163.1688409907355</c:v>
                </c:pt>
                <c:pt idx="99" formatCode="0.000">
                  <c:v>194.76416158880616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A2-4EAC-97F4-5872F9CCEEBF}"/>
            </c:ext>
          </c:extLst>
        </c:ser>
        <c:ser>
          <c:idx val="4"/>
          <c:order val="3"/>
          <c:tx>
            <c:strRef>
              <c:f>'10K'!$D$6</c:f>
              <c:strCache>
                <c:ptCount val="1"/>
                <c:pt idx="0">
                  <c:v>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2" formatCode="0.000">
                  <c:v>46.927678085916263</c:v>
                </c:pt>
                <c:pt idx="3" formatCode="0.000">
                  <c:v>44.263219982561424</c:v>
                </c:pt>
                <c:pt idx="4" formatCode="0.000">
                  <c:v>41.995133819951342</c:v>
                </c:pt>
                <c:pt idx="5" formatCode="0.000">
                  <c:v>40.048262100329481</c:v>
                </c:pt>
                <c:pt idx="6" formatCode="0.000">
                  <c:v>38.365786431937408</c:v>
                </c:pt>
                <c:pt idx="7" formatCode="0.000">
                  <c:v>36.908733213583105</c:v>
                </c:pt>
                <c:pt idx="8" formatCode="0.000">
                  <c:v>35.637594978526593</c:v>
                </c:pt>
                <c:pt idx="9" formatCode="0.000">
                  <c:v>34.521380855234213</c:v>
                </c:pt>
                <c:pt idx="10" formatCode="0.000">
                  <c:v>33.551045797371899</c:v>
                </c:pt>
                <c:pt idx="11" formatCode="0.000">
                  <c:v>32.696825035993029</c:v>
                </c:pt>
                <c:pt idx="12" formatCode="0.000">
                  <c:v>31.948763512512961</c:v>
                </c:pt>
                <c:pt idx="13" formatCode="0.000">
                  <c:v>31.2987342690313</c:v>
                </c:pt>
                <c:pt idx="14" formatCode="0.000">
                  <c:v>30.733618233618234</c:v>
                </c:pt>
                <c:pt idx="15" formatCode="0.000">
                  <c:v>30.217086834733898</c:v>
                </c:pt>
                <c:pt idx="16" formatCode="0.000">
                  <c:v>29.717630853994493</c:v>
                </c:pt>
                <c:pt idx="17" formatCode="0.000">
                  <c:v>29.293957909029196</c:v>
                </c:pt>
                <c:pt idx="18" formatCode="0.000">
                  <c:v>28.998655913978496</c:v>
                </c:pt>
                <c:pt idx="19" formatCode="0.000">
                  <c:v>28.82431529726119</c:v>
                </c:pt>
                <c:pt idx="20" formatCode="0.000">
                  <c:v>28.766666666666669</c:v>
                </c:pt>
                <c:pt idx="21" formatCode="0.000">
                  <c:v>28.766666666666669</c:v>
                </c:pt>
                <c:pt idx="22" formatCode="0.000">
                  <c:v>28.766666666666669</c:v>
                </c:pt>
                <c:pt idx="23" formatCode="0.000">
                  <c:v>28.766666666666669</c:v>
                </c:pt>
                <c:pt idx="24" formatCode="0.000">
                  <c:v>28.766666666666669</c:v>
                </c:pt>
                <c:pt idx="25" formatCode="0.000">
                  <c:v>28.766666666666669</c:v>
                </c:pt>
                <c:pt idx="26" formatCode="0.000">
                  <c:v>28.766666666666669</c:v>
                </c:pt>
                <c:pt idx="27" formatCode="0.000">
                  <c:v>28.772421150896847</c:v>
                </c:pt>
                <c:pt idx="28" formatCode="0.000">
                  <c:v>28.79257998865646</c:v>
                </c:pt>
                <c:pt idx="29" formatCode="0.000">
                  <c:v>28.82431529726119</c:v>
                </c:pt>
                <c:pt idx="30" formatCode="0.000">
                  <c:v>28.870600829653423</c:v>
                </c:pt>
                <c:pt idx="31" formatCode="0.000">
                  <c:v>28.928667203003489</c:v>
                </c:pt>
                <c:pt idx="32" formatCode="0.000">
                  <c:v>28.998655913978496</c:v>
                </c:pt>
                <c:pt idx="33" formatCode="0.000">
                  <c:v>29.083678765207431</c:v>
                </c:pt>
                <c:pt idx="34" formatCode="0.000">
                  <c:v>29.183997835717427</c:v>
                </c:pt>
                <c:pt idx="35" formatCode="0.000">
                  <c:v>29.296941304274029</c:v>
                </c:pt>
                <c:pt idx="36" formatCode="0.000">
                  <c:v>29.422794995056428</c:v>
                </c:pt>
                <c:pt idx="37" formatCode="0.000">
                  <c:v>29.564919492977051</c:v>
                </c:pt>
                <c:pt idx="38" formatCode="0.000">
                  <c:v>29.720701174363747</c:v>
                </c:pt>
                <c:pt idx="39" formatCode="0.000">
                  <c:v>29.893657556548547</c:v>
                </c:pt>
                <c:pt idx="40" formatCode="0.000">
                  <c:v>30.081215796995366</c:v>
                </c:pt>
                <c:pt idx="41" formatCode="0.000">
                  <c:v>30.283889532231466</c:v>
                </c:pt>
                <c:pt idx="42" formatCode="0.000">
                  <c:v>30.50871425036236</c:v>
                </c:pt>
                <c:pt idx="43" formatCode="0.000">
                  <c:v>30.746757873735216</c:v>
                </c:pt>
                <c:pt idx="44" formatCode="0.000">
                  <c:v>31.005245383344114</c:v>
                </c:pt>
                <c:pt idx="45" formatCode="0.000">
                  <c:v>31.285118723944176</c:v>
                </c:pt>
                <c:pt idx="46" formatCode="0.000">
                  <c:v>31.580488161891171</c:v>
                </c:pt>
                <c:pt idx="47" formatCode="0.000">
                  <c:v>31.902702303057193</c:v>
                </c:pt>
                <c:pt idx="48" formatCode="0.000">
                  <c:v>32.246011284235699</c:v>
                </c:pt>
                <c:pt idx="49" formatCode="0.000">
                  <c:v>32.607874253759547</c:v>
                </c:pt>
                <c:pt idx="50" formatCode="0.000">
                  <c:v>32.977951010737897</c:v>
                </c:pt>
                <c:pt idx="51" formatCode="0.000">
                  <c:v>33.360392748076855</c:v>
                </c:pt>
                <c:pt idx="52" formatCode="0.000">
                  <c:v>33.747849210073518</c:v>
                </c:pt>
                <c:pt idx="53" formatCode="0.000">
                  <c:v>34.144411473788331</c:v>
                </c:pt>
                <c:pt idx="54" formatCode="0.000">
                  <c:v>34.554554554554556</c:v>
                </c:pt>
                <c:pt idx="55" formatCode="0.000">
                  <c:v>34.970418996677203</c:v>
                </c:pt>
                <c:pt idx="56" formatCode="0.000">
                  <c:v>35.400771187135945</c:v>
                </c:pt>
                <c:pt idx="57" formatCode="0.000">
                  <c:v>35.837382168514601</c:v>
                </c:pt>
                <c:pt idx="58" formatCode="0.000">
                  <c:v>36.284897410023554</c:v>
                </c:pt>
                <c:pt idx="59" formatCode="0.000">
                  <c:v>36.748424459206269</c:v>
                </c:pt>
                <c:pt idx="60" formatCode="0.000">
                  <c:v>37.219131409841722</c:v>
                </c:pt>
                <c:pt idx="61" formatCode="0.000">
                  <c:v>37.706995237471055</c:v>
                </c:pt>
                <c:pt idx="62" formatCode="0.000">
                  <c:v>38.20274457724657</c:v>
                </c:pt>
                <c:pt idx="63" formatCode="0.000">
                  <c:v>38.711703225227652</c:v>
                </c:pt>
                <c:pt idx="64" formatCode="0.000">
                  <c:v>39.239758104851546</c:v>
                </c:pt>
                <c:pt idx="65" formatCode="0.000">
                  <c:v>39.776917404129797</c:v>
                </c:pt>
                <c:pt idx="66" formatCode="0.000">
                  <c:v>40.334641989156857</c:v>
                </c:pt>
                <c:pt idx="67" formatCode="0.000">
                  <c:v>40.902412436608373</c:v>
                </c:pt>
                <c:pt idx="68" formatCode="0.000">
                  <c:v>41.486395538890491</c:v>
                </c:pt>
                <c:pt idx="69" formatCode="0.000">
                  <c:v>42.093454297141747</c:v>
                </c:pt>
                <c:pt idx="70" formatCode="0.000">
                  <c:v>42.712199950507305</c:v>
                </c:pt>
                <c:pt idx="71" formatCode="0.000">
                  <c:v>43.355940718412462</c:v>
                </c:pt>
                <c:pt idx="72" formatCode="0.000">
                  <c:v>44.012647898816816</c:v>
                </c:pt>
                <c:pt idx="73" formatCode="0.000">
                  <c:v>44.689555175806532</c:v>
                </c:pt>
                <c:pt idx="74" formatCode="0.000">
                  <c:v>45.39477144810899</c:v>
                </c:pt>
                <c:pt idx="75" formatCode="0.000">
                  <c:v>46.144797347877237</c:v>
                </c:pt>
                <c:pt idx="76" formatCode="0.000">
                  <c:v>46.981327236104313</c:v>
                </c:pt>
                <c:pt idx="77" formatCode="0.000">
                  <c:v>47.9045240077713</c:v>
                </c:pt>
                <c:pt idx="78" formatCode="0.000">
                  <c:v>48.931224131088058</c:v>
                </c:pt>
                <c:pt idx="79" formatCode="0.000">
                  <c:v>50.072526834928929</c:v>
                </c:pt>
                <c:pt idx="80" formatCode="0.000">
                  <c:v>51.332381632167504</c:v>
                </c:pt>
                <c:pt idx="81" formatCode="0.000">
                  <c:v>52.734494347693257</c:v>
                </c:pt>
                <c:pt idx="82" formatCode="0.000">
                  <c:v>54.286972384726681</c:v>
                </c:pt>
                <c:pt idx="83" formatCode="0.000">
                  <c:v>56.020772476468686</c:v>
                </c:pt>
                <c:pt idx="84" formatCode="0.000">
                  <c:v>57.962254013029757</c:v>
                </c:pt>
                <c:pt idx="85" formatCode="0.000">
                  <c:v>60.130992196209597</c:v>
                </c:pt>
                <c:pt idx="86" formatCode="0.000">
                  <c:v>62.577042999057362</c:v>
                </c:pt>
                <c:pt idx="87" formatCode="0.000">
                  <c:v>65.334241804830043</c:v>
                </c:pt>
                <c:pt idx="88" formatCode="0.000">
                  <c:v>68.475759739744518</c:v>
                </c:pt>
                <c:pt idx="89" formatCode="0.000">
                  <c:v>72.078844065814749</c:v>
                </c:pt>
                <c:pt idx="90" formatCode="0.000">
                  <c:v>76.22328210563505</c:v>
                </c:pt>
                <c:pt idx="91" formatCode="0.000">
                  <c:v>81.055696440311834</c:v>
                </c:pt>
                <c:pt idx="92" formatCode="0.000">
                  <c:v>86.724952266103912</c:v>
                </c:pt>
                <c:pt idx="93" formatCode="0.000">
                  <c:v>93.489329433430854</c:v>
                </c:pt>
                <c:pt idx="94" formatCode="0.000">
                  <c:v>101.68492989277721</c:v>
                </c:pt>
                <c:pt idx="95" formatCode="0.000">
                  <c:v>111.75861175861176</c:v>
                </c:pt>
                <c:pt idx="96" formatCode="0.000">
                  <c:v>124.47713832395789</c:v>
                </c:pt>
                <c:pt idx="97" formatCode="0.000">
                  <c:v>140.94398170831292</c:v>
                </c:pt>
                <c:pt idx="98" formatCode="0.000">
                  <c:v>163.1688409907355</c:v>
                </c:pt>
                <c:pt idx="99" formatCode="0.000">
                  <c:v>194.76416158880616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A2-4EAC-97F4-5872F9CCEEBF}"/>
            </c:ext>
          </c:extLst>
        </c:ser>
        <c:ser>
          <c:idx val="2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'10K'!$A$28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'10K'!$C$28</c:f>
              <c:numCache>
                <c:formatCode>0.000</c:formatCode>
                <c:ptCount val="1"/>
                <c:pt idx="0">
                  <c:v>28.766666666666669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A-4DF5-9064-04463429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9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83977982976998"/>
          <c:y val="0.21641104821057366"/>
          <c:w val="0.41767214756744397"/>
          <c:h val="0.242548224696236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'12K'!$B$6</c:f>
              <c:strCache>
                <c:ptCount val="1"/>
                <c:pt idx="0">
                  <c:v>Barnard 2025 bests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62.35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51.43333333333333</c:v>
                </c:pt>
                <c:pt idx="13" formatCode="0.000">
                  <c:v>48.283333333333331</c:v>
                </c:pt>
                <c:pt idx="14" formatCode="0.000">
                  <c:v>41.366666666666667</c:v>
                </c:pt>
                <c:pt idx="15" formatCode="0.000">
                  <c:v>44.666666666666664</c:v>
                </c:pt>
                <c:pt idx="16" formatCode="0.000">
                  <c:v>41.366666666666667</c:v>
                </c:pt>
                <c:pt idx="17" formatCode="0.000">
                  <c:v>39.616666666666667</c:v>
                </c:pt>
                <c:pt idx="18" formatCode="0.000">
                  <c:v>39.883333333333333</c:v>
                </c:pt>
                <c:pt idx="19" formatCode="0.000">
                  <c:v>39.56666666666667</c:v>
                </c:pt>
                <c:pt idx="20" formatCode="0.000">
                  <c:v>38.616666666666667</c:v>
                </c:pt>
                <c:pt idx="21" formatCode="0.000">
                  <c:v>38.166666666666664</c:v>
                </c:pt>
                <c:pt idx="22" formatCode="0.000">
                  <c:v>38.35</c:v>
                </c:pt>
                <c:pt idx="23" formatCode="0.000">
                  <c:v>38.833333333333329</c:v>
                </c:pt>
                <c:pt idx="24" formatCode="0.000">
                  <c:v>39.25</c:v>
                </c:pt>
                <c:pt idx="25" formatCode="0.000">
                  <c:v>38.049999999999997</c:v>
                </c:pt>
                <c:pt idx="26" formatCode="0.000">
                  <c:v>38.866666666666667</c:v>
                </c:pt>
                <c:pt idx="27" formatCode="0.000">
                  <c:v>38.433333333333337</c:v>
                </c:pt>
                <c:pt idx="28" formatCode="0.000">
                  <c:v>37.833333333333336</c:v>
                </c:pt>
                <c:pt idx="29" formatCode="0.000">
                  <c:v>38.133333333333333</c:v>
                </c:pt>
                <c:pt idx="30" formatCode="0.000">
                  <c:v>38.6</c:v>
                </c:pt>
                <c:pt idx="31" formatCode="0.000">
                  <c:v>37.966666666666669</c:v>
                </c:pt>
                <c:pt idx="32" formatCode="0.000">
                  <c:v>39.083333333333329</c:v>
                </c:pt>
                <c:pt idx="33" formatCode="0.000">
                  <c:v>39.383333333333333</c:v>
                </c:pt>
                <c:pt idx="34" formatCode="0.000">
                  <c:v>39.283333333333331</c:v>
                </c:pt>
                <c:pt idx="35" formatCode="0.000">
                  <c:v>40.016666666666666</c:v>
                </c:pt>
                <c:pt idx="36" formatCode="0.000">
                  <c:v>39.966666666666669</c:v>
                </c:pt>
                <c:pt idx="37" formatCode="0.000">
                  <c:v>38.883333333333333</c:v>
                </c:pt>
                <c:pt idx="38" formatCode="0.000">
                  <c:v>40.366666666666667</c:v>
                </c:pt>
                <c:pt idx="39" formatCode="0.000">
                  <c:v>40.516666666666666</c:v>
                </c:pt>
                <c:pt idx="40" formatCode="0.000">
                  <c:v>40.06666666666667</c:v>
                </c:pt>
                <c:pt idx="41" formatCode="0.000">
                  <c:v>40.81666666666667</c:v>
                </c:pt>
                <c:pt idx="42" formatCode="0.000">
                  <c:v>41.466666666666669</c:v>
                </c:pt>
                <c:pt idx="43" formatCode="0.000">
                  <c:v>42.066666666666663</c:v>
                </c:pt>
                <c:pt idx="44" formatCode="0.000">
                  <c:v>43.3</c:v>
                </c:pt>
                <c:pt idx="45" formatCode="0.000">
                  <c:v>42.93333333333333</c:v>
                </c:pt>
                <c:pt idx="46" formatCode="0.000">
                  <c:v>42.966666666666669</c:v>
                </c:pt>
                <c:pt idx="47" formatCode="0.000">
                  <c:v>46.216666666666661</c:v>
                </c:pt>
                <c:pt idx="48" formatCode="0.000">
                  <c:v>45.866666666666667</c:v>
                </c:pt>
                <c:pt idx="49" formatCode="0.000">
                  <c:v>45.916666666666664</c:v>
                </c:pt>
                <c:pt idx="50" formatCode="0.000">
                  <c:v>47.083333333333336</c:v>
                </c:pt>
                <c:pt idx="51" formatCode="0.000">
                  <c:v>44.93333333333333</c:v>
                </c:pt>
                <c:pt idx="52" formatCode="0.000">
                  <c:v>47.633333333333326</c:v>
                </c:pt>
                <c:pt idx="53" formatCode="0.000">
                  <c:v>48.55</c:v>
                </c:pt>
                <c:pt idx="54" formatCode="0.000">
                  <c:v>48.366666666666667</c:v>
                </c:pt>
                <c:pt idx="55" formatCode="0.000">
                  <c:v>49.06666666666667</c:v>
                </c:pt>
                <c:pt idx="56" formatCode="0.000">
                  <c:v>46.449999999999996</c:v>
                </c:pt>
                <c:pt idx="57" formatCode="0.000">
                  <c:v>49.65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51.3</c:v>
                </c:pt>
                <c:pt idx="61" formatCode="0.000">
                  <c:v>48.983333333333327</c:v>
                </c:pt>
                <c:pt idx="62" formatCode="0.000">
                  <c:v>48.9</c:v>
                </c:pt>
                <c:pt idx="63" formatCode="0.000">
                  <c:v>49.416666666666664</c:v>
                </c:pt>
                <c:pt idx="64" formatCode="0.000">
                  <c:v>51.449999999999996</c:v>
                </c:pt>
                <c:pt idx="65" formatCode="0.000">
                  <c:v>52.483333333333334</c:v>
                </c:pt>
                <c:pt idx="66" formatCode="0.000">
                  <c:v>57.81666666666667</c:v>
                </c:pt>
                <c:pt idx="67" formatCode="0.000">
                  <c:v>62.066666666666663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61.733333333333334</c:v>
                </c:pt>
                <c:pt idx="71" formatCode="0.000">
                  <c:v>59.733333333333334</c:v>
                </c:pt>
                <c:pt idx="72" formatCode="0.000">
                  <c:v>62.099999999999994</c:v>
                </c:pt>
                <c:pt idx="73" formatCode="0.000">
                  <c:v>63.333333333333336</c:v>
                </c:pt>
                <c:pt idx="74" formatCode="0.000">
                  <c:v>54.833333333333336</c:v>
                </c:pt>
                <c:pt idx="75" formatCode="0.000">
                  <c:v>65.016666666666666</c:v>
                </c:pt>
                <c:pt idx="76" formatCode="0.000">
                  <c:v>61.18333333333333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52.136836659764725</c:v>
                </c:pt>
                <c:pt idx="5" formatCode="0.000">
                  <c:v>49.549300802989571</c:v>
                </c:pt>
                <c:pt idx="6" formatCode="0.000">
                  <c:v>47.326951342820415</c:v>
                </c:pt>
                <c:pt idx="7" formatCode="0.000">
                  <c:v>45.409355157949832</c:v>
                </c:pt>
                <c:pt idx="8" formatCode="0.000">
                  <c:v>43.742716735472854</c:v>
                </c:pt>
                <c:pt idx="9" formatCode="0.000">
                  <c:v>42.286433168272701</c:v>
                </c:pt>
                <c:pt idx="10" formatCode="0.000">
                  <c:v>41.020654546860492</c:v>
                </c:pt>
                <c:pt idx="11" formatCode="0.000">
                  <c:v>39.910723415414076</c:v>
                </c:pt>
                <c:pt idx="12" formatCode="0.000">
                  <c:v>38.939820248371717</c:v>
                </c:pt>
                <c:pt idx="13" formatCode="0.000">
                  <c:v>38.095271302733963</c:v>
                </c:pt>
                <c:pt idx="14" formatCode="0.000">
                  <c:v>37.361711976248166</c:v>
                </c:pt>
                <c:pt idx="15" formatCode="0.000">
                  <c:v>36.691665638969042</c:v>
                </c:pt>
                <c:pt idx="16" formatCode="0.000">
                  <c:v>36.045229153771963</c:v>
                </c:pt>
                <c:pt idx="17" formatCode="0.000">
                  <c:v>35.493569179804304</c:v>
                </c:pt>
                <c:pt idx="18" formatCode="0.000">
                  <c:v>35.099850340801275</c:v>
                </c:pt>
                <c:pt idx="19" formatCode="0.000">
                  <c:v>34.8541124074153</c:v>
                </c:pt>
                <c:pt idx="20" formatCode="0.000">
                  <c:v>34.75030624824263</c:v>
                </c:pt>
                <c:pt idx="21" formatCode="0.000">
                  <c:v>34.733333333333334</c:v>
                </c:pt>
                <c:pt idx="22" formatCode="0.000">
                  <c:v>34.733333333333334</c:v>
                </c:pt>
                <c:pt idx="23" formatCode="0.000">
                  <c:v>34.733333333333334</c:v>
                </c:pt>
                <c:pt idx="24" formatCode="0.000">
                  <c:v>34.733333333333334</c:v>
                </c:pt>
                <c:pt idx="25" formatCode="0.000">
                  <c:v>34.733333333333334</c:v>
                </c:pt>
                <c:pt idx="26" formatCode="0.000">
                  <c:v>34.733333333333334</c:v>
                </c:pt>
                <c:pt idx="27" formatCode="0.000">
                  <c:v>34.740281389611255</c:v>
                </c:pt>
                <c:pt idx="28" formatCode="0.000">
                  <c:v>34.764621492676739</c:v>
                </c:pt>
                <c:pt idx="29" formatCode="0.000">
                  <c:v>34.803790866973728</c:v>
                </c:pt>
                <c:pt idx="30" formatCode="0.000">
                  <c:v>34.860533930769535</c:v>
                </c:pt>
                <c:pt idx="31" formatCode="0.000">
                  <c:v>34.931508996540529</c:v>
                </c:pt>
                <c:pt idx="32" formatCode="0.000">
                  <c:v>35.017751228586398</c:v>
                </c:pt>
                <c:pt idx="33" formatCode="0.000">
                  <c:v>35.122169065840275</c:v>
                </c:pt>
                <c:pt idx="34" formatCode="0.000">
                  <c:v>35.244211213848779</c:v>
                </c:pt>
                <c:pt idx="35" formatCode="0.000">
                  <c:v>35.382395513653741</c:v>
                </c:pt>
                <c:pt idx="36" formatCode="0.000">
                  <c:v>35.537092680761162</c:v>
                </c:pt>
                <c:pt idx="37" formatCode="0.000">
                  <c:v>35.711497678442477</c:v>
                </c:pt>
                <c:pt idx="38" formatCode="0.000">
                  <c:v>35.902461211502199</c:v>
                </c:pt>
                <c:pt idx="39" formatCode="0.000">
                  <c:v>36.114243311485012</c:v>
                </c:pt>
                <c:pt idx="40" formatCode="0.000">
                  <c:v>36.344672664910192</c:v>
                </c:pt>
                <c:pt idx="41" formatCode="0.000">
                  <c:v>36.594417782855771</c:v>
                </c:pt>
                <c:pt idx="42" formatCode="0.000">
                  <c:v>36.869176619013764</c:v>
                </c:pt>
                <c:pt idx="43" formatCode="0.000">
                  <c:v>37.16195750634548</c:v>
                </c:pt>
                <c:pt idx="44" formatCode="0.000">
                  <c:v>37.479636242884936</c:v>
                </c:pt>
                <c:pt idx="45" formatCode="0.000">
                  <c:v>37.822370270013742</c:v>
                </c:pt>
                <c:pt idx="46" formatCode="0.000">
                  <c:v>38.186069939019958</c:v>
                </c:pt>
                <c:pt idx="47" formatCode="0.000">
                  <c:v>38.581483417094518</c:v>
                </c:pt>
                <c:pt idx="48" formatCode="0.000">
                  <c:v>39.003751984573285</c:v>
                </c:pt>
                <c:pt idx="49" formatCode="0.000">
                  <c:v>39.446614689446513</c:v>
                </c:pt>
                <c:pt idx="50" formatCode="0.000">
                  <c:v>39.900769106341492</c:v>
                </c:pt>
                <c:pt idx="51" formatCode="0.000">
                  <c:v>40.367902801579945</c:v>
                </c:pt>
                <c:pt idx="52" formatCode="0.000">
                  <c:v>40.843646709577129</c:v>
                </c:pt>
                <c:pt idx="53" formatCode="0.000">
                  <c:v>41.32953678999607</c:v>
                </c:pt>
                <c:pt idx="54" formatCode="0.000">
                  <c:v>41.832164266125574</c:v>
                </c:pt>
                <c:pt idx="55" formatCode="0.000">
                  <c:v>42.342005245726753</c:v>
                </c:pt>
                <c:pt idx="56" formatCode="0.000">
                  <c:v>42.869717767626184</c:v>
                </c:pt>
                <c:pt idx="57" formatCode="0.000">
                  <c:v>43.405325234875036</c:v>
                </c:pt>
                <c:pt idx="58" formatCode="0.000">
                  <c:v>43.955844062143363</c:v>
                </c:pt>
                <c:pt idx="59" formatCode="0.000">
                  <c:v>44.523426493935112</c:v>
                </c:pt>
                <c:pt idx="60" formatCode="0.000">
                  <c:v>45.102862154398395</c:v>
                </c:pt>
                <c:pt idx="61" formatCode="0.000">
                  <c:v>45.700654378390439</c:v>
                </c:pt>
                <c:pt idx="62" formatCode="0.000">
                  <c:v>46.311346566934496</c:v>
                </c:pt>
                <c:pt idx="63" formatCode="0.000">
                  <c:v>46.937031960644568</c:v>
                </c:pt>
                <c:pt idx="64" formatCode="0.000">
                  <c:v>47.586374106425545</c:v>
                </c:pt>
                <c:pt idx="65" formatCode="0.000">
                  <c:v>48.247231875451298</c:v>
                </c:pt>
                <c:pt idx="66" formatCode="0.000">
                  <c:v>48.933596499384521</c:v>
                </c:pt>
                <c:pt idx="67" formatCode="0.000">
                  <c:v>49.632678031988554</c:v>
                </c:pt>
                <c:pt idx="68" formatCode="0.000">
                  <c:v>50.353806352585885</c:v>
                </c:pt>
                <c:pt idx="69" formatCode="0.000">
                  <c:v>51.100044287097262</c:v>
                </c:pt>
                <c:pt idx="70" formatCode="0.000">
                  <c:v>51.86477103146192</c:v>
                </c:pt>
                <c:pt idx="71" formatCode="0.000">
                  <c:v>52.656817779373092</c:v>
                </c:pt>
                <c:pt idx="72" formatCode="0.000">
                  <c:v>53.469219798592363</c:v>
                </c:pt>
                <c:pt idx="73" formatCode="0.000">
                  <c:v>54.30500893263644</c:v>
                </c:pt>
                <c:pt idx="74" formatCode="0.000">
                  <c:v>55.17610546745248</c:v>
                </c:pt>
                <c:pt idx="75" formatCode="0.000">
                  <c:v>56.100563547225008</c:v>
                </c:pt>
                <c:pt idx="76" formatCode="0.000">
                  <c:v>57.131607679357309</c:v>
                </c:pt>
                <c:pt idx="77" formatCode="0.000">
                  <c:v>58.274382461160805</c:v>
                </c:pt>
                <c:pt idx="78" formatCode="0.000">
                  <c:v>59.542867979299196</c:v>
                </c:pt>
                <c:pt idx="79" formatCode="0.000">
                  <c:v>60.953258899669969</c:v>
                </c:pt>
                <c:pt idx="80" formatCode="0.000">
                  <c:v>62.516234866298291</c:v>
                </c:pt>
                <c:pt idx="81" formatCode="0.000">
                  <c:v>64.253532333488238</c:v>
                </c:pt>
                <c:pt idx="82" formatCode="0.000">
                  <c:v>66.181372883413388</c:v>
                </c:pt>
                <c:pt idx="83" formatCode="0.000">
                  <c:v>68.335864791258203</c:v>
                </c:pt>
                <c:pt idx="84" formatCode="0.000">
                  <c:v>70.753978008809739</c:v>
                </c:pt>
                <c:pt idx="85" formatCode="0.000">
                  <c:v>73.458091999973433</c:v>
                </c:pt>
                <c:pt idx="86" formatCode="0.000">
                  <c:v>76.511710844450533</c:v>
                </c:pt>
                <c:pt idx="87" formatCode="0.000">
                  <c:v>79.96785024722459</c:v>
                </c:pt>
                <c:pt idx="88" formatCode="0.000">
                  <c:v>83.907916092946081</c:v>
                </c:pt>
                <c:pt idx="89" formatCode="0.000">
                  <c:v>88.436132942135941</c:v>
                </c:pt>
                <c:pt idx="90" formatCode="0.000">
                  <c:v>93.669758905114918</c:v>
                </c:pt>
                <c:pt idx="91" formatCode="0.000">
                  <c:v>99.783634427416956</c:v>
                </c:pt>
                <c:pt idx="92" formatCode="0.000">
                  <c:v>106.9895623413868</c:v>
                </c:pt>
                <c:pt idx="93" formatCode="0.000">
                  <c:v>115.62436439518751</c:v>
                </c:pt>
                <c:pt idx="94" formatCode="0.000">
                  <c:v>126.15191680944901</c:v>
                </c:pt>
                <c:pt idx="95" formatCode="0.000">
                  <c:v>139.17785193435751</c:v>
                </c:pt>
                <c:pt idx="96" formatCode="0.000">
                  <c:v>155.7603433917634</c:v>
                </c:pt>
                <c:pt idx="97" formatCode="0.000">
                  <c:v>177.505515935544</c:v>
                </c:pt>
                <c:pt idx="98" formatCode="0.000">
                  <c:v>207.26219417510089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9684838380814585"/>
          <c:y val="0.100317631134293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6.2310661081371177E-2"/>
          <c:w val="0.86783367103383802"/>
          <c:h val="0.82378155168869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75.86666666666666</c:v>
                </c:pt>
                <c:pt idx="8" formatCode="0.000">
                  <c:v>77.733333333333334</c:v>
                </c:pt>
                <c:pt idx="9" formatCode="0.000">
                  <c:v>72.316666666666663</c:v>
                </c:pt>
                <c:pt idx="11" formatCode="0.000">
                  <c:v>65</c:v>
                </c:pt>
                <c:pt idx="12" formatCode="0.000">
                  <c:v>61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49.233333333333327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44.333333333333336</c:v>
                </c:pt>
                <c:pt idx="21" formatCode="0.000">
                  <c:v>48.233333333333334</c:v>
                </c:pt>
                <c:pt idx="22" formatCode="0.000">
                  <c:v>44.333333333333336</c:v>
                </c:pt>
                <c:pt idx="23" formatCode="0.000">
                  <c:v>46.466666666666661</c:v>
                </c:pt>
                <c:pt idx="24" formatCode="0.000">
                  <c:v>46.949999999999996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47.61666666666666</c:v>
                </c:pt>
                <c:pt idx="33" formatCode="0.000">
                  <c:v>47.333333333333329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49.033333333333339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50.816666666666663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55.816666666666663</c:v>
                </c:pt>
                <c:pt idx="52" formatCode="0.000">
                  <c:v>57.15</c:v>
                </c:pt>
                <c:pt idx="53" formatCode="0.000">
                  <c:v>57.866666666666667</c:v>
                </c:pt>
                <c:pt idx="54" formatCode="0.000">
                  <c:v>59.083333333333329</c:v>
                </c:pt>
                <c:pt idx="55" formatCode="0.000">
                  <c:v>59.583333333333336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58.916666666666671</c:v>
                </c:pt>
                <c:pt idx="59" formatCode="0.000">
                  <c:v>59.283333333333331</c:v>
                </c:pt>
                <c:pt idx="60" formatCode="0.000">
                  <c:v>64.016666666666666</c:v>
                </c:pt>
                <c:pt idx="61" formatCode="0.000">
                  <c:v>60.716666666666661</c:v>
                </c:pt>
                <c:pt idx="62" formatCode="0.000">
                  <c:v>64.083333333333329</c:v>
                </c:pt>
                <c:pt idx="63" formatCode="0.000">
                  <c:v>65.150000000000006</c:v>
                </c:pt>
                <c:pt idx="64" formatCode="0.000">
                  <c:v>65.066666666666663</c:v>
                </c:pt>
                <c:pt idx="65" formatCode="0.000">
                  <c:v>67.2</c:v>
                </c:pt>
                <c:pt idx="66" formatCode="0.000">
                  <c:v>66.716666666666669</c:v>
                </c:pt>
                <c:pt idx="67" formatCode="0.000">
                  <c:v>67.400000000000006</c:v>
                </c:pt>
                <c:pt idx="68" formatCode="0.000">
                  <c:v>70.150000000000006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74.650000000000006</c:v>
                </c:pt>
                <c:pt idx="73" formatCode="0.000">
                  <c:v>76.583333333333343</c:v>
                </c:pt>
                <c:pt idx="74" formatCode="0.000">
                  <c:v>73.38333333333334</c:v>
                </c:pt>
                <c:pt idx="75" formatCode="0.000">
                  <c:v>81.61666666666666</c:v>
                </c:pt>
                <c:pt idx="76" formatCode="0.000">
                  <c:v>79.733333333333334</c:v>
                </c:pt>
                <c:pt idx="77" formatCode="0.000">
                  <c:v>89.35</c:v>
                </c:pt>
                <c:pt idx="78" formatCode="0.000">
                  <c:v>85.083333333333343</c:v>
                </c:pt>
                <c:pt idx="79" formatCode="0.000">
                  <c:v>85.15</c:v>
                </c:pt>
                <c:pt idx="80" formatCode="0.000">
                  <c:v>87.5</c:v>
                </c:pt>
                <c:pt idx="81" formatCode="0.000">
                  <c:v>101.91666666666666</c:v>
                </c:pt>
                <c:pt idx="82" formatCode="0.000">
                  <c:v>110.55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strRef>
              <c:f>'15K'!$D$6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72.465037372961262</c:v>
                </c:pt>
                <c:pt idx="4" formatCode="0.000">
                  <c:v>68.124943003845061</c:v>
                </c:pt>
                <c:pt idx="5" formatCode="0.000">
                  <c:v>64.45581005290309</c:v>
                </c:pt>
                <c:pt idx="6" formatCode="0.000">
                  <c:v>61.329750574803796</c:v>
                </c:pt>
                <c:pt idx="7" formatCode="0.000">
                  <c:v>58.645889627773009</c:v>
                </c:pt>
                <c:pt idx="8" formatCode="0.000">
                  <c:v>56.324931381711068</c:v>
                </c:pt>
                <c:pt idx="9" formatCode="0.000">
                  <c:v>54.309440120565881</c:v>
                </c:pt>
                <c:pt idx="10" formatCode="0.000">
                  <c:v>52.55899696752109</c:v>
                </c:pt>
                <c:pt idx="11" formatCode="0.000">
                  <c:v>51.031563697171748</c:v>
                </c:pt>
                <c:pt idx="12" formatCode="0.000">
                  <c:v>49.697754826433645</c:v>
                </c:pt>
                <c:pt idx="13" formatCode="0.000">
                  <c:v>48.536740443423717</c:v>
                </c:pt>
                <c:pt idx="14" formatCode="0.000">
                  <c:v>47.52972245944936</c:v>
                </c:pt>
                <c:pt idx="15" formatCode="0.000">
                  <c:v>46.610911347016504</c:v>
                </c:pt>
                <c:pt idx="16" formatCode="0.000">
                  <c:v>45.726950158743996</c:v>
                </c:pt>
                <c:pt idx="17" formatCode="0.000">
                  <c:v>44.968003167744612</c:v>
                </c:pt>
                <c:pt idx="18" formatCode="0.000">
                  <c:v>44.413182039717078</c:v>
                </c:pt>
                <c:pt idx="19" formatCode="0.000">
                  <c:v>44.048300203673271</c:v>
                </c:pt>
                <c:pt idx="20" formatCode="0.000">
                  <c:v>43.864312463120989</c:v>
                </c:pt>
                <c:pt idx="21" formatCode="0.000">
                  <c:v>43.81666666666667</c:v>
                </c:pt>
                <c:pt idx="22" formatCode="0.000">
                  <c:v>43.81666666666667</c:v>
                </c:pt>
                <c:pt idx="23" formatCode="0.000">
                  <c:v>43.81666666666667</c:v>
                </c:pt>
                <c:pt idx="24" formatCode="0.000">
                  <c:v>43.81666666666667</c:v>
                </c:pt>
                <c:pt idx="25" formatCode="0.000">
                  <c:v>43.81666666666667</c:v>
                </c:pt>
                <c:pt idx="26" formatCode="0.000">
                  <c:v>43.81666666666667</c:v>
                </c:pt>
                <c:pt idx="27" formatCode="0.000">
                  <c:v>43.82543175301727</c:v>
                </c:pt>
                <c:pt idx="28" formatCode="0.000">
                  <c:v>43.856137190137787</c:v>
                </c:pt>
                <c:pt idx="29" formatCode="0.000">
                  <c:v>43.906864997531038</c:v>
                </c:pt>
                <c:pt idx="30" formatCode="0.000">
                  <c:v>43.979770962981178</c:v>
                </c:pt>
                <c:pt idx="31" formatCode="0.000">
                  <c:v>44.070642753215289</c:v>
                </c:pt>
                <c:pt idx="32" formatCode="0.000">
                  <c:v>44.182121388591462</c:v>
                </c:pt>
                <c:pt idx="33" formatCode="0.000">
                  <c:v>44.316565190291342</c:v>
                </c:pt>
                <c:pt idx="34" formatCode="0.000">
                  <c:v>44.471937697440588</c:v>
                </c:pt>
                <c:pt idx="35" formatCode="0.000">
                  <c:v>44.649063821935314</c:v>
                </c:pt>
                <c:pt idx="36" formatCode="0.000">
                  <c:v>44.848451745694071</c:v>
                </c:pt>
                <c:pt idx="37" formatCode="0.000">
                  <c:v>45.072799012006861</c:v>
                </c:pt>
                <c:pt idx="38" formatCode="0.000">
                  <c:v>45.318142760840161</c:v>
                </c:pt>
                <c:pt idx="39" formatCode="0.000">
                  <c:v>45.589877167662259</c:v>
                </c:pt>
                <c:pt idx="40" formatCode="0.000">
                  <c:v>45.886711255136667</c:v>
                </c:pt>
                <c:pt idx="41" formatCode="0.000">
                  <c:v>46.209565400549174</c:v>
                </c:pt>
                <c:pt idx="42" formatCode="0.000">
                  <c:v>46.561294565400459</c:v>
                </c:pt>
                <c:pt idx="43" formatCode="0.000">
                  <c:v>46.938957242505829</c:v>
                </c:pt>
                <c:pt idx="44" formatCode="0.000">
                  <c:v>47.348365075228315</c:v>
                </c:pt>
                <c:pt idx="45" formatCode="0.000">
                  <c:v>47.788195488827867</c:v>
                </c:pt>
                <c:pt idx="46" formatCode="0.000">
                  <c:v>48.257982117327686</c:v>
                </c:pt>
                <c:pt idx="47" formatCode="0.000">
                  <c:v>48.766696853560823</c:v>
                </c:pt>
                <c:pt idx="48" formatCode="0.000">
                  <c:v>49.311450367092014</c:v>
                </c:pt>
                <c:pt idx="49" formatCode="0.000">
                  <c:v>49.879376143523984</c:v>
                </c:pt>
                <c:pt idx="50" formatCode="0.000">
                  <c:v>50.463692350139048</c:v>
                </c:pt>
                <c:pt idx="51" formatCode="0.000">
                  <c:v>51.061347894909979</c:v>
                </c:pt>
                <c:pt idx="52" formatCode="0.000">
                  <c:v>51.673854859219517</c:v>
                </c:pt>
                <c:pt idx="53" formatCode="0.000">
                  <c:v>52.29784458985781</c:v>
                </c:pt>
                <c:pt idx="54" formatCode="0.000">
                  <c:v>52.943484915219365</c:v>
                </c:pt>
                <c:pt idx="55" formatCode="0.000">
                  <c:v>53.598708682391205</c:v>
                </c:pt>
                <c:pt idx="56" formatCode="0.000">
                  <c:v>54.277076295310259</c:v>
                </c:pt>
                <c:pt idx="57" formatCode="0.000">
                  <c:v>54.965939346856516</c:v>
                </c:pt>
                <c:pt idx="58" formatCode="0.000">
                  <c:v>55.676354706164439</c:v>
                </c:pt>
                <c:pt idx="59" formatCode="0.000">
                  <c:v>56.404748291730137</c:v>
                </c:pt>
                <c:pt idx="60" formatCode="0.000">
                  <c:v>57.153095805875772</c:v>
                </c:pt>
                <c:pt idx="61" formatCode="0.000">
                  <c:v>57.920907588259162</c:v>
                </c:pt>
                <c:pt idx="62" formatCode="0.000">
                  <c:v>58.710308485750446</c:v>
                </c:pt>
                <c:pt idx="63" formatCode="0.000">
                  <c:v>59.517133133510015</c:v>
                </c:pt>
                <c:pt idx="64" formatCode="0.000">
                  <c:v>60.354754651056645</c:v>
                </c:pt>
                <c:pt idx="65" formatCode="0.000">
                  <c:v>61.207738112467446</c:v>
                </c:pt>
                <c:pt idx="66" formatCode="0.000">
                  <c:v>62.093975628505532</c:v>
                </c:pt>
                <c:pt idx="67" formatCode="0.000">
                  <c:v>62.99719547928521</c:v>
                </c:pt>
                <c:pt idx="68" formatCode="0.000">
                  <c:v>63.932145488171209</c:v>
                </c:pt>
                <c:pt idx="69" formatCode="0.000">
                  <c:v>64.894436431473466</c:v>
                </c:pt>
                <c:pt idx="70" formatCode="0.000">
                  <c:v>65.886992489204133</c:v>
                </c:pt>
                <c:pt idx="71" formatCode="0.000">
                  <c:v>66.909501472354449</c:v>
                </c:pt>
                <c:pt idx="72" formatCode="0.000">
                  <c:v>67.965156475350256</c:v>
                </c:pt>
                <c:pt idx="73" formatCode="0.000">
                  <c:v>69.048746278823671</c:v>
                </c:pt>
                <c:pt idx="74" formatCode="0.000">
                  <c:v>70.17868622998428</c:v>
                </c:pt>
                <c:pt idx="75" formatCode="0.000">
                  <c:v>71.374776711959001</c:v>
                </c:pt>
                <c:pt idx="76" formatCode="0.000">
                  <c:v>72.70873875804169</c:v>
                </c:pt>
                <c:pt idx="77" formatCode="0.000">
                  <c:v>74.194964650945309</c:v>
                </c:pt>
                <c:pt idx="78" formatCode="0.000">
                  <c:v>75.840978943430301</c:v>
                </c:pt>
                <c:pt idx="79" formatCode="0.000">
                  <c:v>77.67167571845863</c:v>
                </c:pt>
                <c:pt idx="80" formatCode="0.000">
                  <c:v>79.71002245353057</c:v>
                </c:pt>
                <c:pt idx="81" formatCode="0.000">
                  <c:v>81.972433103424677</c:v>
                </c:pt>
                <c:pt idx="82" formatCode="0.000">
                  <c:v>84.489735596089702</c:v>
                </c:pt>
                <c:pt idx="83" formatCode="0.000">
                  <c:v>87.305489479079085</c:v>
                </c:pt>
                <c:pt idx="84" formatCode="0.000">
                  <c:v>90.474710767953781</c:v>
                </c:pt>
                <c:pt idx="85" formatCode="0.000">
                  <c:v>94.023707012950467</c:v>
                </c:pt>
                <c:pt idx="86" formatCode="0.000">
                  <c:v>98.037669620398447</c:v>
                </c:pt>
                <c:pt idx="87" formatCode="0.000">
                  <c:v>102.60354943904129</c:v>
                </c:pt>
                <c:pt idx="88" formatCode="0.000">
                  <c:v>107.81294783269242</c:v>
                </c:pt>
                <c:pt idx="89" formatCode="0.000">
                  <c:v>113.81564700150867</c:v>
                </c:pt>
                <c:pt idx="90" formatCode="0.000">
                  <c:v>120.79486062840849</c:v>
                </c:pt>
                <c:pt idx="91" formatCode="0.000">
                  <c:v>128.96836907803575</c:v>
                </c:pt>
                <c:pt idx="92" formatCode="0.000">
                  <c:v>138.65845744327603</c:v>
                </c:pt>
                <c:pt idx="93" formatCode="0.000">
                  <c:v>150.33448573364052</c:v>
                </c:pt>
                <c:pt idx="94" formatCode="0.000">
                  <c:v>164.68483245986994</c:v>
                </c:pt>
                <c:pt idx="95" formatCode="0.000">
                  <c:v>182.59504513436616</c:v>
                </c:pt>
                <c:pt idx="96" formatCode="0.000">
                  <c:v>205.64549422160275</c:v>
                </c:pt>
                <c:pt idx="97" formatCode="0.000">
                  <c:v>236.38315195610809</c:v>
                </c:pt>
                <c:pt idx="98" formatCode="0.000">
                  <c:v>279.24503525131462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34764332058078412"/>
          <c:h val="0.1211837287596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'10MI'!$C$6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56.316666666666663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51.466666666666669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49.483333333333341</c:v>
                </c:pt>
                <c:pt idx="23" formatCode="0.000">
                  <c:v>51.68333333333333</c:v>
                </c:pt>
                <c:pt idx="24" formatCode="0.000">
                  <c:v>52.050000000000004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52.233333333333341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51.183333333333337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54.483333333333327</c:v>
                </c:pt>
                <c:pt idx="38" formatCode="0.000">
                  <c:v>53</c:v>
                </c:pt>
                <c:pt idx="39" formatCode="0.000">
                  <c:v>54.516666666666666</c:v>
                </c:pt>
                <c:pt idx="40" formatCode="0.000">
                  <c:v>54.533333333333339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55.933333333333337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62.45</c:v>
                </c:pt>
                <c:pt idx="54" formatCode="0.000">
                  <c:v>61.333333333333329</c:v>
                </c:pt>
                <c:pt idx="55" formatCode="0.000">
                  <c:v>63.9</c:v>
                </c:pt>
                <c:pt idx="56" formatCode="0.000">
                  <c:v>64.7</c:v>
                </c:pt>
                <c:pt idx="57" formatCode="0.000">
                  <c:v>60.633333333333333</c:v>
                </c:pt>
                <c:pt idx="58" formatCode="0.000">
                  <c:v>63.916666666666664</c:v>
                </c:pt>
                <c:pt idx="59" formatCode="0.000">
                  <c:v>62.966666666666661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62.966666666666661</c:v>
                </c:pt>
                <c:pt idx="64" formatCode="0.000">
                  <c:v>68.900000000000006</c:v>
                </c:pt>
                <c:pt idx="65" formatCode="0.000">
                  <c:v>71.400000000000006</c:v>
                </c:pt>
                <c:pt idx="66" formatCode="0.000">
                  <c:v>73.38333333333334</c:v>
                </c:pt>
                <c:pt idx="67" formatCode="0.000">
                  <c:v>71.916666666666657</c:v>
                </c:pt>
                <c:pt idx="68" formatCode="0.000">
                  <c:v>73.516666666666666</c:v>
                </c:pt>
                <c:pt idx="69" formatCode="0.000">
                  <c:v>74.716666666666669</c:v>
                </c:pt>
                <c:pt idx="70" formatCode="0.000">
                  <c:v>71.683333333333337</c:v>
                </c:pt>
                <c:pt idx="71" formatCode="0.000">
                  <c:v>79.466666666666669</c:v>
                </c:pt>
                <c:pt idx="72" formatCode="0.000">
                  <c:v>80.95</c:v>
                </c:pt>
                <c:pt idx="73" formatCode="0.000">
                  <c:v>80.55</c:v>
                </c:pt>
                <c:pt idx="74" formatCode="0.000">
                  <c:v>79.366666666666674</c:v>
                </c:pt>
                <c:pt idx="75" formatCode="0.000">
                  <c:v>84.9</c:v>
                </c:pt>
                <c:pt idx="76" formatCode="0.000">
                  <c:v>84.88333333333334</c:v>
                </c:pt>
                <c:pt idx="77" formatCode="0.000">
                  <c:v>96.300000000000011</c:v>
                </c:pt>
                <c:pt idx="78" formatCode="0.000">
                  <c:v>90.76666666666668</c:v>
                </c:pt>
                <c:pt idx="79" formatCode="0.000">
                  <c:v>95.433333333333337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strRef>
              <c:f>'10MI'!$D$6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74.222707233972002</c:v>
                </c:pt>
                <c:pt idx="5" formatCode="0.000">
                  <c:v>70.122077831929062</c:v>
                </c:pt>
                <c:pt idx="6" formatCode="0.000">
                  <c:v>66.637633858136184</c:v>
                </c:pt>
                <c:pt idx="7" formatCode="0.000">
                  <c:v>63.651203287507911</c:v>
                </c:pt>
                <c:pt idx="8" formatCode="0.000">
                  <c:v>61.072906692526679</c:v>
                </c:pt>
                <c:pt idx="9" formatCode="0.000">
                  <c:v>58.838394404161392</c:v>
                </c:pt>
                <c:pt idx="10" formatCode="0.000">
                  <c:v>56.898471324739674</c:v>
                </c:pt>
                <c:pt idx="11" formatCode="0.000">
                  <c:v>55.208338339378891</c:v>
                </c:pt>
                <c:pt idx="12" formatCode="0.000">
                  <c:v>53.733364735785038</c:v>
                </c:pt>
                <c:pt idx="13" formatCode="0.000">
                  <c:v>52.449354820301352</c:v>
                </c:pt>
                <c:pt idx="14" formatCode="0.000">
                  <c:v>51.336216504701973</c:v>
                </c:pt>
                <c:pt idx="15" formatCode="0.000">
                  <c:v>50.320994513812884</c:v>
                </c:pt>
                <c:pt idx="16" formatCode="0.000">
                  <c:v>49.345147780620756</c:v>
                </c:pt>
                <c:pt idx="17" formatCode="0.000">
                  <c:v>48.505920594512489</c:v>
                </c:pt>
                <c:pt idx="18" formatCode="0.000">
                  <c:v>47.888323197768926</c:v>
                </c:pt>
                <c:pt idx="19" formatCode="0.000">
                  <c:v>47.476508159761948</c:v>
                </c:pt>
                <c:pt idx="20" formatCode="0.000">
                  <c:v>47.260242707228045</c:v>
                </c:pt>
                <c:pt idx="21" formatCode="0.000">
                  <c:v>47.2</c:v>
                </c:pt>
                <c:pt idx="22" formatCode="0.000">
                  <c:v>47.2</c:v>
                </c:pt>
                <c:pt idx="23" formatCode="0.000">
                  <c:v>47.2</c:v>
                </c:pt>
                <c:pt idx="24" formatCode="0.000">
                  <c:v>47.2</c:v>
                </c:pt>
                <c:pt idx="25" formatCode="0.000">
                  <c:v>47.2</c:v>
                </c:pt>
                <c:pt idx="26" formatCode="0.000">
                  <c:v>47.2</c:v>
                </c:pt>
                <c:pt idx="27" formatCode="0.000">
                  <c:v>47.209441888377675</c:v>
                </c:pt>
                <c:pt idx="28" formatCode="0.000">
                  <c:v>47.242518266439802</c:v>
                </c:pt>
                <c:pt idx="29" formatCode="0.000">
                  <c:v>47.29760973642486</c:v>
                </c:pt>
                <c:pt idx="30" formatCode="0.000">
                  <c:v>47.37659484358521</c:v>
                </c:pt>
                <c:pt idx="31" formatCode="0.000">
                  <c:v>47.474937104563693</c:v>
                </c:pt>
                <c:pt idx="32" formatCode="0.000">
                  <c:v>47.595935134804499</c:v>
                </c:pt>
                <c:pt idx="33" formatCode="0.000">
                  <c:v>47.741684097127845</c:v>
                </c:pt>
                <c:pt idx="34" formatCode="0.000">
                  <c:v>47.909534487370294</c:v>
                </c:pt>
                <c:pt idx="35" formatCode="0.000">
                  <c:v>48.10129075900268</c:v>
                </c:pt>
                <c:pt idx="36" formatCode="0.000">
                  <c:v>48.317514338240159</c:v>
                </c:pt>
                <c:pt idx="37" formatCode="0.000">
                  <c:v>48.560658046246878</c:v>
                </c:pt>
                <c:pt idx="38" formatCode="0.000">
                  <c:v>48.826456456542566</c:v>
                </c:pt>
                <c:pt idx="39" formatCode="0.000">
                  <c:v>49.120727108644402</c:v>
                </c:pt>
                <c:pt idx="40" formatCode="0.000">
                  <c:v>49.4425722933495</c:v>
                </c:pt>
                <c:pt idx="41" formatCode="0.000">
                  <c:v>49.79301021850862</c:v>
                </c:pt>
                <c:pt idx="42" formatCode="0.000">
                  <c:v>50.173640804729885</c:v>
                </c:pt>
                <c:pt idx="43" formatCode="0.000">
                  <c:v>50.583297660201161</c:v>
                </c:pt>
                <c:pt idx="44" formatCode="0.000">
                  <c:v>51.027266636222748</c:v>
                </c:pt>
                <c:pt idx="45" formatCode="0.000">
                  <c:v>51.503604290283604</c:v>
                </c:pt>
                <c:pt idx="46" formatCode="0.000">
                  <c:v>52.013408996595722</c:v>
                </c:pt>
                <c:pt idx="47" formatCode="0.000">
                  <c:v>52.564780982041668</c:v>
                </c:pt>
                <c:pt idx="48" formatCode="0.000">
                  <c:v>53.155713978520197</c:v>
                </c:pt>
                <c:pt idx="49" formatCode="0.000">
                  <c:v>53.770650981761335</c:v>
                </c:pt>
                <c:pt idx="50" formatCode="0.000">
                  <c:v>54.403978796997905</c:v>
                </c:pt>
                <c:pt idx="51" formatCode="0.000">
                  <c:v>55.050639666158148</c:v>
                </c:pt>
                <c:pt idx="52" formatCode="0.000">
                  <c:v>55.714664767300071</c:v>
                </c:pt>
                <c:pt idx="53" formatCode="0.000">
                  <c:v>56.390610286253626</c:v>
                </c:pt>
                <c:pt idx="54" formatCode="0.000">
                  <c:v>57.09006315686598</c:v>
                </c:pt>
                <c:pt idx="55" formatCode="0.000">
                  <c:v>57.800006659239024</c:v>
                </c:pt>
                <c:pt idx="56" formatCode="0.000">
                  <c:v>58.535087835343127</c:v>
                </c:pt>
                <c:pt idx="57" formatCode="0.000">
                  <c:v>59.281660372315827</c:v>
                </c:pt>
                <c:pt idx="58" formatCode="0.000">
                  <c:v>60.052392169052013</c:v>
                </c:pt>
                <c:pt idx="59" formatCode="0.000">
                  <c:v>60.841274381126865</c:v>
                </c:pt>
                <c:pt idx="60" formatCode="0.000">
                  <c:v>61.653371061569345</c:v>
                </c:pt>
                <c:pt idx="61" formatCode="0.000">
                  <c:v>62.485168002658561</c:v>
                </c:pt>
                <c:pt idx="62" formatCode="0.000">
                  <c:v>63.342051286547509</c:v>
                </c:pt>
                <c:pt idx="63" formatCode="0.000">
                  <c:v>64.217193886018379</c:v>
                </c:pt>
                <c:pt idx="64" formatCode="0.000">
                  <c:v>65.125842179568778</c:v>
                </c:pt>
                <c:pt idx="65" formatCode="0.000">
                  <c:v>66.051329110573135</c:v>
                </c:pt>
                <c:pt idx="66" formatCode="0.000">
                  <c:v>67.0130118857561</c:v>
                </c:pt>
                <c:pt idx="67" formatCode="0.000">
                  <c:v>67.993315796538539</c:v>
                </c:pt>
                <c:pt idx="68" formatCode="0.000">
                  <c:v>69.009156344632075</c:v>
                </c:pt>
                <c:pt idx="69" formatCode="0.000">
                  <c:v>70.0529549851139</c:v>
                </c:pt>
                <c:pt idx="70" formatCode="0.000">
                  <c:v>71.1317591490387</c:v>
                </c:pt>
                <c:pt idx="71" formatCode="0.000">
                  <c:v>72.241272378981506</c:v>
                </c:pt>
                <c:pt idx="72" formatCode="0.000">
                  <c:v>73.389080889518624</c:v>
                </c:pt>
                <c:pt idx="73" formatCode="0.000">
                  <c:v>74.566443542267606</c:v>
                </c:pt>
                <c:pt idx="74" formatCode="0.000">
                  <c:v>75.794367582795701</c:v>
                </c:pt>
                <c:pt idx="75" formatCode="0.000">
                  <c:v>77.093149114400546</c:v>
                </c:pt>
                <c:pt idx="76" formatCode="0.000">
                  <c:v>78.541634181923115</c:v>
                </c:pt>
                <c:pt idx="77" formatCode="0.000">
                  <c:v>80.158077119738181</c:v>
                </c:pt>
                <c:pt idx="78" formatCode="0.000">
                  <c:v>81.947070735106436</c:v>
                </c:pt>
                <c:pt idx="79" formatCode="0.000">
                  <c:v>83.936986134837085</c:v>
                </c:pt>
                <c:pt idx="80" formatCode="0.000">
                  <c:v>86.155883244208255</c:v>
                </c:pt>
                <c:pt idx="81" formatCode="0.000">
                  <c:v>88.617609892767391</c:v>
                </c:pt>
                <c:pt idx="82" formatCode="0.000">
                  <c:v>91.359005274072118</c:v>
                </c:pt>
                <c:pt idx="83" formatCode="0.000">
                  <c:v>94.426308524137141</c:v>
                </c:pt>
                <c:pt idx="84" formatCode="0.000">
                  <c:v>97.881742198881611</c:v>
                </c:pt>
                <c:pt idx="85" formatCode="0.000">
                  <c:v>101.75299681251715</c:v>
                </c:pt>
                <c:pt idx="86" formatCode="0.000">
                  <c:v>106.13365836342327</c:v>
                </c:pt>
                <c:pt idx="87" formatCode="0.000">
                  <c:v>111.12454639839902</c:v>
                </c:pt>
                <c:pt idx="88" formatCode="0.000">
                  <c:v>116.82047540671667</c:v>
                </c:pt>
                <c:pt idx="89" formatCode="0.000">
                  <c:v>123.38937678799888</c:v>
                </c:pt>
                <c:pt idx="90" formatCode="0.000">
                  <c:v>131.04139405604155</c:v>
                </c:pt>
                <c:pt idx="91" formatCode="0.000">
                  <c:v>140.01035908887516</c:v>
                </c:pt>
                <c:pt idx="92" formatCode="0.000">
                  <c:v>150.66367261177666</c:v>
                </c:pt>
                <c:pt idx="93" formatCode="0.000">
                  <c:v>163.52367975478796</c:v>
                </c:pt>
                <c:pt idx="94" formatCode="0.000">
                  <c:v>179.37074870782484</c:v>
                </c:pt>
                <c:pt idx="95" formatCode="0.000">
                  <c:v>199.20567644678908</c:v>
                </c:pt>
                <c:pt idx="96" formatCode="0.000">
                  <c:v>224.82619075110696</c:v>
                </c:pt>
                <c:pt idx="97" formatCode="0.000">
                  <c:v>259.18202098216551</c:v>
                </c:pt>
                <c:pt idx="98" formatCode="0.000">
                  <c:v>307.39858303168791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9697974843"/>
          <c:y val="0.25574264781060713"/>
          <c:w val="0.34736930331855936"/>
          <c:h val="0.116562358902322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262758</xdr:colOff>
      <xdr:row>17</xdr:row>
      <xdr:rowOff>76637</xdr:rowOff>
    </xdr:from>
    <xdr:to>
      <xdr:col>26</xdr:col>
      <xdr:colOff>656897</xdr:colOff>
      <xdr:row>54</xdr:row>
      <xdr:rowOff>54742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98532</xdr:colOff>
      <xdr:row>76</xdr:row>
      <xdr:rowOff>98534</xdr:rowOff>
    </xdr:from>
    <xdr:to>
      <xdr:col>33</xdr:col>
      <xdr:colOff>134774</xdr:colOff>
      <xdr:row>113</xdr:row>
      <xdr:rowOff>49485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175173</xdr:rowOff>
    </xdr:from>
    <xdr:to>
      <xdr:col>8</xdr:col>
      <xdr:colOff>102914</xdr:colOff>
      <xdr:row>60</xdr:row>
      <xdr:rowOff>62559</xdr:rowOff>
    </xdr:to>
    <xdr:pic>
      <xdr:nvPicPr>
        <xdr:cNvPr id="2" name="Picture 1" descr="A close up of a map&#10;&#10;Description generated with very high confidence">
          <a:extLst>
            <a:ext uri="{FF2B5EF4-FFF2-40B4-BE49-F238E27FC236}">
              <a16:creationId xmlns:a16="http://schemas.microsoft.com/office/drawing/2014/main" id="{BC817065-3C2A-D8A6-BC1E-58D328AF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73276"/>
          <a:ext cx="6858000" cy="4211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9</xdr:col>
      <xdr:colOff>579671</xdr:colOff>
      <xdr:row>74</xdr:row>
      <xdr:rowOff>121371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C132A-9D44-4FC0-6523-B9ABCD21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293" y="12623362"/>
          <a:ext cx="7323809" cy="12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525518</xdr:colOff>
      <xdr:row>15</xdr:row>
      <xdr:rowOff>43795</xdr:rowOff>
    </xdr:from>
    <xdr:to>
      <xdr:col>15</xdr:col>
      <xdr:colOff>347167</xdr:colOff>
      <xdr:row>50</xdr:row>
      <xdr:rowOff>98536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1171470</xdr:colOff>
      <xdr:row>2</xdr:row>
      <xdr:rowOff>120430</xdr:rowOff>
    </xdr:from>
    <xdr:to>
      <xdr:col>31</xdr:col>
      <xdr:colOff>730254</xdr:colOff>
      <xdr:row>37</xdr:row>
      <xdr:rowOff>54741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383846</xdr:colOff>
      <xdr:row>5</xdr:row>
      <xdr:rowOff>55289</xdr:rowOff>
    </xdr:from>
    <xdr:to>
      <xdr:col>23</xdr:col>
      <xdr:colOff>409683</xdr:colOff>
      <xdr:row>42</xdr:row>
      <xdr:rowOff>98534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525519</xdr:colOff>
      <xdr:row>11</xdr:row>
      <xdr:rowOff>153272</xdr:rowOff>
    </xdr:from>
    <xdr:to>
      <xdr:col>22</xdr:col>
      <xdr:colOff>65691</xdr:colOff>
      <xdr:row>45</xdr:row>
      <xdr:rowOff>76638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41932</xdr:colOff>
      <xdr:row>4</xdr:row>
      <xdr:rowOff>54741</xdr:rowOff>
    </xdr:from>
    <xdr:to>
      <xdr:col>22</xdr:col>
      <xdr:colOff>440887</xdr:colOff>
      <xdr:row>29</xdr:row>
      <xdr:rowOff>152400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87587</xdr:colOff>
      <xdr:row>0</xdr:row>
      <xdr:rowOff>237579</xdr:rowOff>
    </xdr:from>
    <xdr:to>
      <xdr:col>39</xdr:col>
      <xdr:colOff>54742</xdr:colOff>
      <xdr:row>33</xdr:row>
      <xdr:rowOff>54743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368740</xdr:colOff>
      <xdr:row>38</xdr:row>
      <xdr:rowOff>102366</xdr:rowOff>
    </xdr:from>
    <xdr:to>
      <xdr:col>38</xdr:col>
      <xdr:colOff>711634</xdr:colOff>
      <xdr:row>74</xdr:row>
      <xdr:rowOff>109481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361293</xdr:colOff>
      <xdr:row>3</xdr:row>
      <xdr:rowOff>153276</xdr:rowOff>
    </xdr:from>
    <xdr:to>
      <xdr:col>35</xdr:col>
      <xdr:colOff>634999</xdr:colOff>
      <xdr:row>42</xdr:row>
      <xdr:rowOff>120431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285751</xdr:colOff>
      <xdr:row>0</xdr:row>
      <xdr:rowOff>314324</xdr:rowOff>
    </xdr:from>
    <xdr:to>
      <xdr:col>24</xdr:col>
      <xdr:colOff>9526</xdr:colOff>
      <xdr:row>24</xdr:row>
      <xdr:rowOff>95249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875861</xdr:colOff>
      <xdr:row>15</xdr:row>
      <xdr:rowOff>131375</xdr:rowOff>
    </xdr:from>
    <xdr:to>
      <xdr:col>22</xdr:col>
      <xdr:colOff>689741</xdr:colOff>
      <xdr:row>52</xdr:row>
      <xdr:rowOff>76636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570732</xdr:colOff>
      <xdr:row>9</xdr:row>
      <xdr:rowOff>43794</xdr:rowOff>
    </xdr:from>
    <xdr:to>
      <xdr:col>15</xdr:col>
      <xdr:colOff>108824</xdr:colOff>
      <xdr:row>41</xdr:row>
      <xdr:rowOff>154699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469133</xdr:colOff>
      <xdr:row>8</xdr:row>
      <xdr:rowOff>32847</xdr:rowOff>
    </xdr:from>
    <xdr:to>
      <xdr:col>15</xdr:col>
      <xdr:colOff>405085</xdr:colOff>
      <xdr:row>39</xdr:row>
      <xdr:rowOff>131382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974400</xdr:colOff>
      <xdr:row>6</xdr:row>
      <xdr:rowOff>2</xdr:rowOff>
    </xdr:from>
    <xdr:to>
      <xdr:col>22</xdr:col>
      <xdr:colOff>273711</xdr:colOff>
      <xdr:row>37</xdr:row>
      <xdr:rowOff>66678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98536</xdr:colOff>
      <xdr:row>5</xdr:row>
      <xdr:rowOff>547414</xdr:rowOff>
    </xdr:from>
    <xdr:to>
      <xdr:col>33</xdr:col>
      <xdr:colOff>689743</xdr:colOff>
      <xdr:row>39</xdr:row>
      <xdr:rowOff>21896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426983</xdr:colOff>
      <xdr:row>8</xdr:row>
      <xdr:rowOff>153274</xdr:rowOff>
    </xdr:from>
    <xdr:to>
      <xdr:col>29</xdr:col>
      <xdr:colOff>85506</xdr:colOff>
      <xdr:row>48</xdr:row>
      <xdr:rowOff>32842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437931</xdr:colOff>
      <xdr:row>5</xdr:row>
      <xdr:rowOff>405634</xdr:rowOff>
    </xdr:from>
    <xdr:to>
      <xdr:col>26</xdr:col>
      <xdr:colOff>308304</xdr:colOff>
      <xdr:row>43</xdr:row>
      <xdr:rowOff>65690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Documents\AgeGrade\2025\2025-01\maleRoad2025.xlsx" TargetMode="External"/><Relationship Id="rId1" Type="http://schemas.openxmlformats.org/officeDocument/2006/relationships/externalLinkPath" Target="maleRoad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1K"/>
      <sheetName val="Mile"/>
      <sheetName val="3K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50K"/>
      <sheetName val="100K"/>
      <sheetName val="200K"/>
      <sheetName val="Age Factors"/>
      <sheetName val="AgeStanSec"/>
      <sheetName val="Age Stan HMS"/>
      <sheetName val="Pace"/>
      <sheetName val="Perf"/>
      <sheetName val="2010 Perf"/>
      <sheetName val="Sheet1"/>
    </sheetNames>
    <sheetDataSet>
      <sheetData sheetId="0">
        <row r="13">
          <cell r="M13">
            <v>-0.41974410028276538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3"/>
  <sheetViews>
    <sheetView zoomScale="87" zoomScaleNormal="87" workbookViewId="0">
      <selection activeCell="G18" sqref="G18"/>
    </sheetView>
  </sheetViews>
  <sheetFormatPr defaultColWidth="9.6640625" defaultRowHeight="15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1.5546875" style="1" customWidth="1"/>
    <col min="26" max="26" width="11.77734375" style="1" customWidth="1"/>
    <col min="27" max="27" width="10.44140625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1145</v>
      </c>
      <c r="H1" s="2" t="s">
        <v>34</v>
      </c>
      <c r="I1" s="2" t="s">
        <v>35</v>
      </c>
      <c r="J1" s="2" t="s">
        <v>36</v>
      </c>
      <c r="K1" s="2" t="s">
        <v>37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" t="s">
        <v>0</v>
      </c>
      <c r="AK1" s="2" t="s">
        <v>40</v>
      </c>
      <c r="AL1" s="2" t="s">
        <v>41</v>
      </c>
      <c r="AM1" s="1" t="s">
        <v>42</v>
      </c>
      <c r="AN1" s="1" t="s">
        <v>43</v>
      </c>
      <c r="AO1" s="1" t="s">
        <v>44</v>
      </c>
    </row>
    <row r="2" spans="1:47" ht="18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192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 t="s">
        <v>1</v>
      </c>
      <c r="AK2" s="6"/>
      <c r="AL2" s="7">
        <v>1.63</v>
      </c>
    </row>
    <row r="3" spans="1:47" ht="18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 t="s">
        <v>2</v>
      </c>
      <c r="AK3" s="6"/>
      <c r="AL3" s="7">
        <v>1.61</v>
      </c>
    </row>
    <row r="4" spans="1:47" ht="18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 t="s">
        <v>3</v>
      </c>
      <c r="AK4" s="6"/>
      <c r="AL4" s="7">
        <v>1.79925</v>
      </c>
    </row>
    <row r="5" spans="1:47" ht="18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" t="s">
        <v>4</v>
      </c>
      <c r="AK5" s="6"/>
      <c r="AL5" s="7">
        <v>2.1065</v>
      </c>
    </row>
    <row r="6" spans="1:47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M6" s="6"/>
      <c r="N6" s="6"/>
      <c r="O6" s="10"/>
      <c r="P6" s="10"/>
      <c r="Q6" s="11"/>
      <c r="R6" s="11"/>
      <c r="S6" s="11"/>
      <c r="T6" s="3"/>
      <c r="U6" s="3"/>
      <c r="V6" s="3"/>
      <c r="W6" s="3"/>
      <c r="X6" s="1">
        <v>1500</v>
      </c>
      <c r="AB6" s="3"/>
      <c r="AK6" s="6"/>
      <c r="AL6" s="7">
        <v>2.2888888888888888</v>
      </c>
      <c r="AT6" s="1">
        <v>0.876</v>
      </c>
      <c r="AU6" s="3" t="s">
        <v>48</v>
      </c>
    </row>
    <row r="7" spans="1:47" ht="15.75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18">
        <f t="shared" si="1"/>
        <v>249.1</v>
      </c>
      <c r="I7" s="5">
        <v>249.1</v>
      </c>
      <c r="J7" s="4"/>
      <c r="K7" s="4">
        <f>(+I7/MILE)/60</f>
        <v>2.5797260664386648</v>
      </c>
      <c r="L7" s="6"/>
      <c r="M7" s="445" t="s">
        <v>2369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20" t="s">
        <v>6</v>
      </c>
      <c r="Y7" s="21">
        <v>-1.6355</v>
      </c>
      <c r="AB7" s="21"/>
      <c r="AC7" s="21"/>
      <c r="AD7" s="11"/>
      <c r="AE7" s="11"/>
      <c r="AK7" s="6"/>
      <c r="AL7" s="7">
        <v>2.3094295978154245</v>
      </c>
      <c r="AT7" s="1">
        <v>0.79700000000000004</v>
      </c>
      <c r="AU7" s="3" t="s">
        <v>49</v>
      </c>
    </row>
    <row r="8" spans="1:47">
      <c r="A8" s="3" t="s">
        <v>7</v>
      </c>
      <c r="B8" s="4">
        <v>5</v>
      </c>
      <c r="C8" s="4">
        <f>(+D8/B8)</f>
        <v>2.8033333333333337</v>
      </c>
      <c r="D8" s="4">
        <f t="shared" si="0"/>
        <v>14.016666666666667</v>
      </c>
      <c r="E8" s="8">
        <v>9.7337962962962959E-3</v>
      </c>
      <c r="F8" s="5">
        <f t="shared" ref="F8:F16" si="2">(E8)*86400</f>
        <v>841</v>
      </c>
      <c r="G8" s="8">
        <v>9.7337962962962959E-3</v>
      </c>
      <c r="H8" s="18">
        <f>G8*86400</f>
        <v>841</v>
      </c>
      <c r="I8" s="5">
        <v>841</v>
      </c>
      <c r="J8" s="4"/>
      <c r="K8" s="4">
        <f>(+I8/B8)/60</f>
        <v>2.8033333333333332</v>
      </c>
      <c r="M8" s="4">
        <f>LOG10(B16)-LOG10(B14)</f>
        <v>0.49232111913464371</v>
      </c>
      <c r="N8" s="446" t="s">
        <v>2375</v>
      </c>
      <c r="O8" s="10"/>
      <c r="P8" s="10"/>
      <c r="Q8" s="11"/>
      <c r="R8" s="11"/>
      <c r="S8" s="11"/>
      <c r="T8" s="3"/>
      <c r="U8" s="3"/>
      <c r="V8" s="3"/>
      <c r="W8" s="3"/>
      <c r="X8" s="9">
        <v>5000</v>
      </c>
      <c r="AK8" s="6"/>
      <c r="AL8" s="7">
        <v>2.5333333333333337</v>
      </c>
      <c r="AT8" s="5" t="e">
        <f>L30-L16</f>
        <v>#VALUE!</v>
      </c>
    </row>
    <row r="9" spans="1:47" ht="15.75" thickBot="1">
      <c r="A9" s="3" t="s">
        <v>8</v>
      </c>
      <c r="B9" s="4">
        <v>10</v>
      </c>
      <c r="C9" s="4">
        <f>(+D9/B9)</f>
        <v>2.8899999999999997</v>
      </c>
      <c r="D9" s="4">
        <f t="shared" si="0"/>
        <v>28.9</v>
      </c>
      <c r="E9" s="8">
        <v>2.0069444444444445E-2</v>
      </c>
      <c r="F9" s="5">
        <f t="shared" si="2"/>
        <v>1734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4">
        <f>LOG10(B21)-LOG10(B16)</f>
        <v>0.30102999566398114</v>
      </c>
      <c r="N9" s="446" t="s">
        <v>2377</v>
      </c>
      <c r="O9" s="10"/>
      <c r="P9" s="10"/>
      <c r="Q9" s="11"/>
      <c r="R9" s="11"/>
      <c r="S9" s="11"/>
      <c r="T9" s="3"/>
      <c r="U9" s="3"/>
      <c r="V9" s="3"/>
      <c r="W9" s="3"/>
      <c r="X9" s="437">
        <v>10000</v>
      </c>
      <c r="Y9" s="1">
        <v>0.30099999999999999</v>
      </c>
      <c r="AK9" s="6"/>
      <c r="AL9" s="7">
        <v>2.6383333333333332</v>
      </c>
    </row>
    <row r="10" spans="1:47">
      <c r="A10" s="1" t="s">
        <v>9</v>
      </c>
      <c r="B10" s="4">
        <v>21.0975</v>
      </c>
      <c r="C10" s="4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2"/>
        <v>3890.9999999999995</v>
      </c>
      <c r="G10" s="8">
        <v>4.5821759259259257E-2</v>
      </c>
      <c r="H10" s="9">
        <f t="shared" ref="H10:H36" si="3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4">
        <f>LOG10(B27)-LOG10(B21)</f>
        <v>0.32423099555690094</v>
      </c>
      <c r="N10" s="6" t="s">
        <v>2376</v>
      </c>
      <c r="O10" s="10"/>
      <c r="P10" s="10"/>
      <c r="Q10" s="11"/>
      <c r="R10" s="11"/>
      <c r="S10" s="11"/>
      <c r="T10" s="3"/>
      <c r="U10" s="3"/>
      <c r="V10" s="3"/>
      <c r="W10" s="3"/>
      <c r="X10" s="20"/>
      <c r="Y10" s="1">
        <v>0.30099999999999999</v>
      </c>
      <c r="AK10" s="13"/>
      <c r="AL10" s="14">
        <v>2.8099695856539082</v>
      </c>
    </row>
    <row r="11" spans="1:47" ht="15.75" thickBot="1">
      <c r="A11" s="1" t="s">
        <v>10</v>
      </c>
      <c r="B11" s="75">
        <v>42.195</v>
      </c>
      <c r="C11" s="75">
        <f>D11/B11</f>
        <v>3.2093059999210016</v>
      </c>
      <c r="D11" s="75">
        <f>E11*1440</f>
        <v>135.41666666666666</v>
      </c>
      <c r="E11" s="76">
        <v>9.4039351851851846E-2</v>
      </c>
      <c r="F11" s="77">
        <f t="shared" si="2"/>
        <v>8124.9999999999991</v>
      </c>
      <c r="G11" s="76">
        <v>9.4039351851851846E-2</v>
      </c>
      <c r="H11" s="78">
        <f t="shared" si="3"/>
        <v>8124.9999999999991</v>
      </c>
      <c r="I11" s="5">
        <v>8125</v>
      </c>
      <c r="J11" s="4"/>
      <c r="K11" s="4">
        <f>(+I11/B11)/60</f>
        <v>3.2093059999210016</v>
      </c>
      <c r="L11" s="6"/>
      <c r="M11" s="4">
        <f>LOG10(B30)-LOG10(B27)</f>
        <v>0.30102999566398125</v>
      </c>
      <c r="N11" s="446" t="s">
        <v>2378</v>
      </c>
      <c r="O11" s="10"/>
      <c r="P11" s="10"/>
      <c r="Q11" s="11"/>
      <c r="R11" s="11"/>
      <c r="S11" s="11"/>
      <c r="T11" s="3"/>
      <c r="U11" s="3"/>
      <c r="V11" s="3"/>
      <c r="W11" s="3"/>
      <c r="X11" s="20"/>
      <c r="Y11" s="15">
        <v>0.32419999999999999</v>
      </c>
      <c r="AB11" s="15"/>
      <c r="AC11" s="15"/>
      <c r="AD11" s="15"/>
      <c r="AE11" s="15"/>
      <c r="AF11" s="108"/>
      <c r="AG11" s="108"/>
      <c r="AK11" s="6"/>
      <c r="AL11" s="7">
        <v>2.9604613500809736</v>
      </c>
      <c r="AS11" s="1" t="s">
        <v>46</v>
      </c>
      <c r="AT11" s="1" t="s">
        <v>47</v>
      </c>
      <c r="AU11" s="3" t="s">
        <v>50</v>
      </c>
    </row>
    <row r="12" spans="1:47" ht="15.75">
      <c r="B12" s="4"/>
      <c r="C12" s="4"/>
      <c r="D12" s="4"/>
      <c r="E12" s="8"/>
      <c r="F12" s="5"/>
      <c r="G12" s="8"/>
      <c r="H12" s="9"/>
      <c r="I12" s="447"/>
      <c r="J12" s="448"/>
      <c r="K12" s="448"/>
      <c r="L12" s="449" t="s">
        <v>0</v>
      </c>
      <c r="M12" s="450" t="s">
        <v>2359</v>
      </c>
      <c r="N12" s="6"/>
      <c r="O12" s="10"/>
      <c r="P12" s="10"/>
      <c r="Q12" s="11"/>
      <c r="R12" s="11"/>
      <c r="S12" s="11"/>
      <c r="T12" s="3"/>
      <c r="U12" s="3"/>
      <c r="V12" s="3"/>
      <c r="W12" s="3"/>
      <c r="X12" s="20"/>
      <c r="Y12" s="15"/>
      <c r="AB12" s="15"/>
      <c r="AC12" s="15"/>
      <c r="AD12" s="15"/>
      <c r="AE12" s="15"/>
      <c r="AF12" s="108"/>
      <c r="AG12" s="108"/>
      <c r="AK12" s="6"/>
      <c r="AL12" s="7"/>
      <c r="AU12" s="3"/>
    </row>
    <row r="13" spans="1:47">
      <c r="A13" s="1" t="s">
        <v>2373</v>
      </c>
      <c r="B13" s="4">
        <v>1</v>
      </c>
      <c r="C13" s="4">
        <f t="shared" ref="C13" si="4">D13/B13</f>
        <v>3</v>
      </c>
      <c r="D13" s="4">
        <f t="shared" ref="D13" si="5">E13*1440</f>
        <v>3</v>
      </c>
      <c r="E13" s="8">
        <v>2.0833333333333333E-3</v>
      </c>
      <c r="F13" s="9">
        <f t="shared" si="2"/>
        <v>180</v>
      </c>
      <c r="G13" s="8">
        <v>1.8518518518518519E-3</v>
      </c>
      <c r="H13" s="9">
        <f t="shared" si="3"/>
        <v>160</v>
      </c>
      <c r="I13" s="5"/>
      <c r="J13" s="4">
        <f t="shared" ref="J13:J36" si="6">1440*(+G13/B13)</f>
        <v>2.666666666666667</v>
      </c>
      <c r="K13" s="4"/>
      <c r="L13" s="1" t="s">
        <v>2373</v>
      </c>
      <c r="M13" s="7">
        <f>(LOG10(+B13)-LOG10(+$B$14))/+$M$8</f>
        <v>-0.41974410028276538</v>
      </c>
      <c r="N13" s="6"/>
      <c r="O13" s="10"/>
      <c r="P13" s="10"/>
      <c r="Q13" s="11"/>
      <c r="R13" s="11"/>
      <c r="S13" s="11"/>
      <c r="T13" s="3"/>
      <c r="U13" s="3"/>
      <c r="V13" s="3"/>
      <c r="W13" s="3"/>
      <c r="X13" s="20"/>
      <c r="Y13" s="15"/>
      <c r="AB13" s="15"/>
      <c r="AC13" s="15"/>
      <c r="AD13" s="15"/>
      <c r="AE13" s="15"/>
      <c r="AF13" s="108"/>
      <c r="AG13" s="108"/>
      <c r="AK13" s="6"/>
      <c r="AL13" s="7"/>
      <c r="AU13" s="3"/>
    </row>
    <row r="14" spans="1:47" ht="15.75">
      <c r="A14" s="1" t="s">
        <v>6</v>
      </c>
      <c r="B14" s="4">
        <v>1.6093440000000001</v>
      </c>
      <c r="C14" s="4">
        <f>D14/B14</f>
        <v>2.5683342612476467</v>
      </c>
      <c r="D14" s="4">
        <f>E14*1440</f>
        <v>4.1333333333333329</v>
      </c>
      <c r="E14" s="8">
        <v>2.8703703703703703E-3</v>
      </c>
      <c r="F14" s="9">
        <f t="shared" si="2"/>
        <v>248</v>
      </c>
      <c r="G14" s="8">
        <v>3.0208333333333333E-3</v>
      </c>
      <c r="H14" s="9">
        <f t="shared" si="3"/>
        <v>261</v>
      </c>
      <c r="I14" s="4"/>
      <c r="J14" s="4">
        <f t="shared" si="6"/>
        <v>2.7029646862324026</v>
      </c>
      <c r="K14" s="4"/>
      <c r="L14" s="1" t="s">
        <v>6</v>
      </c>
      <c r="M14" s="7">
        <f>(LOG10(+B14)-LOG10(+$B$14))/+$M$8</f>
        <v>0</v>
      </c>
      <c r="N14" s="6"/>
      <c r="O14" s="10"/>
      <c r="P14" s="10"/>
      <c r="Q14" s="11"/>
      <c r="R14" s="11"/>
      <c r="S14" s="11"/>
      <c r="T14" s="3"/>
      <c r="U14" s="3"/>
      <c r="V14" s="3"/>
      <c r="W14" s="3"/>
      <c r="X14" s="378" t="s">
        <v>0</v>
      </c>
      <c r="Y14" s="15" t="s">
        <v>2359</v>
      </c>
      <c r="AB14" s="15"/>
      <c r="AC14" s="15"/>
      <c r="AD14" s="15"/>
      <c r="AE14" s="15"/>
      <c r="AF14" s="108"/>
      <c r="AG14" s="108"/>
      <c r="AK14" s="6"/>
      <c r="AL14" s="7"/>
      <c r="AU14" s="3"/>
    </row>
    <row r="15" spans="1:47" ht="15.75">
      <c r="A15" s="1" t="s">
        <v>2374</v>
      </c>
      <c r="B15" s="4">
        <v>3</v>
      </c>
      <c r="C15" s="4">
        <f t="shared" ref="C15" si="7">D15/B15</f>
        <v>2.3333333333333335</v>
      </c>
      <c r="D15" s="4">
        <f t="shared" ref="D15" si="8">E15*1440</f>
        <v>7</v>
      </c>
      <c r="E15" s="8">
        <v>4.8611111111111112E-3</v>
      </c>
      <c r="F15" s="9">
        <f t="shared" si="2"/>
        <v>420</v>
      </c>
      <c r="G15" s="8">
        <v>5.7291666666666663E-3</v>
      </c>
      <c r="H15" s="9">
        <f t="shared" si="3"/>
        <v>494.99999999999994</v>
      </c>
      <c r="I15" s="4"/>
      <c r="J15" s="4">
        <f t="shared" si="6"/>
        <v>2.75</v>
      </c>
      <c r="K15" s="4"/>
      <c r="L15" s="1" t="s">
        <v>2374</v>
      </c>
      <c r="M15" s="7">
        <f>(LOG10(+B15)-LOG10(+$B$14))/+$M$8</f>
        <v>0.54938201715518198</v>
      </c>
      <c r="N15" s="6"/>
      <c r="O15" s="10"/>
      <c r="P15" s="10"/>
      <c r="Q15" s="11"/>
      <c r="R15" s="11"/>
      <c r="S15" s="11"/>
      <c r="T15" s="3"/>
      <c r="U15" s="3"/>
      <c r="V15" s="3"/>
      <c r="W15" s="3"/>
      <c r="X15" s="378"/>
      <c r="Y15" s="15"/>
      <c r="AB15" s="15"/>
      <c r="AC15" s="15"/>
      <c r="AD15" s="15"/>
      <c r="AE15" s="15"/>
      <c r="AF15" s="108"/>
      <c r="AG15" s="108"/>
      <c r="AK15" s="6"/>
      <c r="AL15" s="7"/>
      <c r="AU15" s="3"/>
    </row>
    <row r="16" spans="1:47" ht="15.75" thickBot="1">
      <c r="A16" s="3" t="s">
        <v>11</v>
      </c>
      <c r="B16" s="4">
        <v>5</v>
      </c>
      <c r="C16" s="4">
        <f>D16/B16</f>
        <v>2.7800000000000002</v>
      </c>
      <c r="D16" s="4">
        <f>E16*1440</f>
        <v>13.9</v>
      </c>
      <c r="E16" s="8">
        <v>9.6527777777777775E-3</v>
      </c>
      <c r="F16" s="9">
        <f t="shared" si="2"/>
        <v>834</v>
      </c>
      <c r="G16" s="8">
        <v>9.6527777777777775E-3</v>
      </c>
      <c r="H16" s="9">
        <f t="shared" si="3"/>
        <v>834</v>
      </c>
      <c r="I16" s="4"/>
      <c r="J16" s="4">
        <f t="shared" si="6"/>
        <v>2.7800000000000002</v>
      </c>
      <c r="K16" s="4"/>
      <c r="L16" s="1" t="s">
        <v>11</v>
      </c>
      <c r="M16" s="7">
        <f>(LOG10(+B16)-LOG10(+$B$16))/+$M$9</f>
        <v>0</v>
      </c>
      <c r="N16" s="6"/>
      <c r="O16" s="10"/>
      <c r="P16" s="10"/>
      <c r="Q16" s="11"/>
      <c r="R16" s="11"/>
      <c r="S16" s="17"/>
      <c r="T16" s="17"/>
      <c r="U16" s="17"/>
      <c r="V16" s="17"/>
      <c r="W16" s="17"/>
      <c r="X16" s="11" t="s">
        <v>11</v>
      </c>
      <c r="Y16" s="10">
        <v>0</v>
      </c>
      <c r="AB16" s="21"/>
      <c r="AC16" s="21"/>
      <c r="AD16" s="11"/>
      <c r="AE16" s="11"/>
      <c r="AF16" s="18"/>
      <c r="AG16" s="24"/>
      <c r="AK16" s="6">
        <v>2.58</v>
      </c>
      <c r="AL16" s="7">
        <v>2.6</v>
      </c>
      <c r="AM16" s="4">
        <f t="shared" ref="AM16:AM36" si="9">2.35*(B16^0.0631)</f>
        <v>2.6011947544716691</v>
      </c>
      <c r="AN16" s="4">
        <f t="shared" ref="AN16:AN36" si="10">2.78333*(B16^0.0425)</f>
        <v>2.9803750963887921</v>
      </c>
      <c r="AO16" s="9">
        <f>(2783/D16)*(B16^1.0425)</f>
        <v>1071.9502640747583</v>
      </c>
      <c r="AP16" s="18">
        <v>5</v>
      </c>
      <c r="AS16" s="3" t="s">
        <v>11</v>
      </c>
      <c r="AT16" s="6" t="e">
        <f t="shared" ref="AT16:AT30" si="11">(+L16-L$16)/AT$8</f>
        <v>#VALUE!</v>
      </c>
      <c r="AU16" s="6" t="e">
        <f t="shared" ref="AU16:AU30" si="12">AT$6*(1-AT16)+AT$7*AT16</f>
        <v>#VALUE!</v>
      </c>
    </row>
    <row r="17" spans="1:47">
      <c r="A17" s="3" t="s">
        <v>12</v>
      </c>
      <c r="B17" s="4">
        <v>6</v>
      </c>
      <c r="C17" s="4"/>
      <c r="D17" s="4"/>
      <c r="E17" s="8"/>
      <c r="F17" s="9"/>
      <c r="G17" s="8">
        <v>1.1666666666666667E-2</v>
      </c>
      <c r="H17" s="9">
        <f t="shared" si="3"/>
        <v>1008</v>
      </c>
      <c r="I17" s="4"/>
      <c r="J17" s="4">
        <f t="shared" si="6"/>
        <v>2.8000000000000003</v>
      </c>
      <c r="K17" s="4"/>
      <c r="L17" s="1" t="s">
        <v>12</v>
      </c>
      <c r="M17" s="7">
        <f t="shared" ref="M17:M20" si="13">(LOG10(+B17)-LOG10(+$B$16))/+$M$9</f>
        <v>0.26303440583379373</v>
      </c>
      <c r="N17" s="6"/>
      <c r="O17" s="10"/>
      <c r="P17" s="10"/>
      <c r="Q17" s="11"/>
      <c r="R17" s="11"/>
      <c r="S17" s="17"/>
      <c r="T17" s="17"/>
      <c r="U17" s="17"/>
      <c r="V17" s="17"/>
      <c r="W17" s="17"/>
      <c r="X17" s="11" t="s">
        <v>12</v>
      </c>
      <c r="Y17" s="10">
        <v>0.26303399999999999</v>
      </c>
      <c r="AB17" s="21"/>
      <c r="AC17" s="21"/>
      <c r="AD17" s="11"/>
      <c r="AE17" s="11"/>
      <c r="AF17" s="107"/>
      <c r="AG17" s="24"/>
      <c r="AK17" s="6">
        <v>2.6111111111111112</v>
      </c>
      <c r="AL17" s="7"/>
      <c r="AM17" s="4">
        <f t="shared" si="9"/>
        <v>2.6312929744937663</v>
      </c>
      <c r="AN17" s="4">
        <f t="shared" si="10"/>
        <v>3.0035587331855651</v>
      </c>
      <c r="AO17" s="9"/>
      <c r="AP17" s="19">
        <v>6</v>
      </c>
      <c r="AS17" s="3" t="s">
        <v>12</v>
      </c>
      <c r="AT17" s="6" t="e">
        <f t="shared" si="11"/>
        <v>#VALUE!</v>
      </c>
      <c r="AU17" s="6" t="e">
        <f t="shared" si="12"/>
        <v>#VALUE!</v>
      </c>
    </row>
    <row r="18" spans="1:47">
      <c r="A18" s="3" t="s">
        <v>13</v>
      </c>
      <c r="B18" s="4">
        <f>MILE*4</f>
        <v>6.4373760000000004</v>
      </c>
      <c r="C18" s="4"/>
      <c r="D18" s="4"/>
      <c r="E18" s="8"/>
      <c r="F18" s="9"/>
      <c r="G18" s="8">
        <v>1.2581018518518519E-2</v>
      </c>
      <c r="H18" s="9">
        <f t="shared" si="3"/>
        <v>1087</v>
      </c>
      <c r="I18" s="4"/>
      <c r="J18" s="4">
        <f t="shared" si="6"/>
        <v>2.8142936915082584</v>
      </c>
      <c r="K18" s="4"/>
      <c r="L18" s="1" t="s">
        <v>13</v>
      </c>
      <c r="M18" s="7">
        <f t="shared" si="13"/>
        <v>0.36454464264023895</v>
      </c>
      <c r="N18" s="6"/>
      <c r="O18" s="10"/>
      <c r="P18" s="10"/>
      <c r="Q18" s="11"/>
      <c r="R18" s="11"/>
      <c r="S18" s="17"/>
      <c r="T18" s="17"/>
      <c r="U18" s="17"/>
      <c r="V18" s="17"/>
      <c r="W18" s="17"/>
      <c r="X18" s="11" t="s">
        <v>13</v>
      </c>
      <c r="Y18" s="10">
        <v>0.36454500000000001</v>
      </c>
      <c r="AB18" s="21"/>
      <c r="AC18" s="21"/>
      <c r="AD18" s="11"/>
      <c r="AE18" s="11"/>
      <c r="AF18" s="107"/>
      <c r="AG18" s="24"/>
      <c r="AK18" s="6">
        <v>2.6175261472997695</v>
      </c>
      <c r="AL18" s="7"/>
      <c r="AM18" s="4">
        <f t="shared" si="9"/>
        <v>2.6430013951486009</v>
      </c>
      <c r="AN18" s="4">
        <f t="shared" si="10"/>
        <v>3.0125539134726247</v>
      </c>
      <c r="AO18" s="9"/>
      <c r="AP18" s="18">
        <f>AP7*4</f>
        <v>0</v>
      </c>
      <c r="AS18" s="3" t="s">
        <v>13</v>
      </c>
      <c r="AT18" s="6" t="e">
        <f t="shared" si="11"/>
        <v>#VALUE!</v>
      </c>
      <c r="AU18" s="6" t="e">
        <f t="shared" si="12"/>
        <v>#VALUE!</v>
      </c>
    </row>
    <row r="19" spans="1:47">
      <c r="A19" s="3" t="s">
        <v>14</v>
      </c>
      <c r="B19" s="4">
        <v>8</v>
      </c>
      <c r="C19" s="4">
        <f>D19/B19</f>
        <v>3.0583333333333331</v>
      </c>
      <c r="D19" s="4">
        <f>E19*1440</f>
        <v>24.466666666666665</v>
      </c>
      <c r="E19" s="8">
        <v>1.699074074074074E-2</v>
      </c>
      <c r="F19" s="9">
        <f>(E19)*86400</f>
        <v>1468</v>
      </c>
      <c r="G19" s="8">
        <v>1.579861111111111E-2</v>
      </c>
      <c r="H19" s="9">
        <f t="shared" si="3"/>
        <v>1365</v>
      </c>
      <c r="I19" s="4"/>
      <c r="J19" s="4">
        <f t="shared" si="6"/>
        <v>2.84375</v>
      </c>
      <c r="K19" s="4"/>
      <c r="L19" s="1" t="s">
        <v>14</v>
      </c>
      <c r="M19" s="7">
        <f t="shared" si="13"/>
        <v>0.67807190511263749</v>
      </c>
      <c r="N19" s="6"/>
      <c r="O19" s="10"/>
      <c r="P19" s="10"/>
      <c r="Q19" s="11"/>
      <c r="R19" s="11"/>
      <c r="S19" s="17"/>
      <c r="T19" s="17"/>
      <c r="U19" s="17"/>
      <c r="V19" s="17"/>
      <c r="W19" s="17"/>
      <c r="X19" s="11" t="s">
        <v>14</v>
      </c>
      <c r="Y19" s="10">
        <v>0.67807200000000001</v>
      </c>
      <c r="AB19" s="21"/>
      <c r="AC19" s="21"/>
      <c r="AD19" s="11"/>
      <c r="AE19" s="11"/>
      <c r="AF19" s="107"/>
      <c r="AG19" s="24"/>
      <c r="AK19" s="6">
        <v>2.65</v>
      </c>
      <c r="AL19" s="7">
        <v>2.7562500000000001</v>
      </c>
      <c r="AM19" s="4">
        <f t="shared" si="9"/>
        <v>2.6794943180815198</v>
      </c>
      <c r="AN19" s="4">
        <f t="shared" si="10"/>
        <v>3.0405071224784468</v>
      </c>
      <c r="AO19" s="9">
        <f>(2783/D19)*(B19^1.0425)</f>
        <v>994.05339426150294</v>
      </c>
      <c r="AP19" s="18">
        <v>8</v>
      </c>
      <c r="AS19" s="3" t="s">
        <v>14</v>
      </c>
      <c r="AT19" s="6" t="e">
        <f t="shared" si="11"/>
        <v>#VALUE!</v>
      </c>
      <c r="AU19" s="6" t="e">
        <f t="shared" si="12"/>
        <v>#VALUE!</v>
      </c>
    </row>
    <row r="20" spans="1:47">
      <c r="A20" s="3" t="s">
        <v>15</v>
      </c>
      <c r="B20" s="4">
        <f>MILE*5</f>
        <v>8.0467200000000005</v>
      </c>
      <c r="C20" s="4">
        <f>D20/B20</f>
        <v>3.0447188419629359</v>
      </c>
      <c r="D20" s="4">
        <f>E20*1440</f>
        <v>24.499999999999996</v>
      </c>
      <c r="E20" s="8">
        <v>1.7013888888888887E-2</v>
      </c>
      <c r="F20" s="9">
        <f>(E20)*86400</f>
        <v>1469.9999999999998</v>
      </c>
      <c r="G20" s="8">
        <v>1.5914351851851853E-2</v>
      </c>
      <c r="H20" s="9">
        <f t="shared" si="3"/>
        <v>1375</v>
      </c>
      <c r="I20" s="4"/>
      <c r="J20" s="4">
        <f t="shared" si="6"/>
        <v>2.8479512977544474</v>
      </c>
      <c r="K20" s="4"/>
      <c r="L20" s="1" t="s">
        <v>2360</v>
      </c>
      <c r="M20" s="7">
        <f t="shared" si="13"/>
        <v>0.68647273752760152</v>
      </c>
      <c r="N20" s="6"/>
      <c r="O20" s="10"/>
      <c r="P20" s="10"/>
      <c r="Q20" s="11"/>
      <c r="R20" s="11"/>
      <c r="S20" s="17"/>
      <c r="T20" s="17"/>
      <c r="U20" s="17"/>
      <c r="V20" s="17"/>
      <c r="W20" s="17"/>
      <c r="X20" s="11" t="s">
        <v>2360</v>
      </c>
      <c r="Y20" s="10">
        <v>0.686473</v>
      </c>
      <c r="AB20" s="21"/>
      <c r="AC20" s="21"/>
      <c r="AD20" s="11"/>
      <c r="AE20" s="11"/>
      <c r="AF20" s="107"/>
      <c r="AG20" s="24"/>
      <c r="AK20" s="6">
        <v>2.6511837535459581</v>
      </c>
      <c r="AL20" s="7"/>
      <c r="AM20" s="4">
        <f t="shared" si="9"/>
        <v>2.6804790313079039</v>
      </c>
      <c r="AN20" s="4">
        <f t="shared" si="10"/>
        <v>3.0412596744150644</v>
      </c>
      <c r="AO20" s="9"/>
      <c r="AP20" s="18">
        <f>AP7*5</f>
        <v>0</v>
      </c>
      <c r="AS20" s="3" t="s">
        <v>15</v>
      </c>
      <c r="AT20" s="6" t="e">
        <f t="shared" si="11"/>
        <v>#VALUE!</v>
      </c>
      <c r="AU20" s="6" t="e">
        <f t="shared" si="12"/>
        <v>#VALUE!</v>
      </c>
    </row>
    <row r="21" spans="1:47">
      <c r="A21" s="3" t="s">
        <v>16</v>
      </c>
      <c r="B21" s="4">
        <v>10</v>
      </c>
      <c r="C21" s="4">
        <f t="shared" ref="C21:C36" si="14">D21/B21</f>
        <v>2.8766666666666669</v>
      </c>
      <c r="D21" s="4">
        <f t="shared" ref="D21:D36" si="15">E21*1440</f>
        <v>28.766666666666669</v>
      </c>
      <c r="E21" s="8">
        <v>1.9976851851851853E-2</v>
      </c>
      <c r="F21" s="9">
        <f t="shared" ref="F21:F36" si="16">(E21)*86400</f>
        <v>1726.0000000000002</v>
      </c>
      <c r="G21" s="8">
        <v>1.9976851851851853E-2</v>
      </c>
      <c r="H21" s="9">
        <f t="shared" si="3"/>
        <v>1726.0000000000002</v>
      </c>
      <c r="I21" s="4"/>
      <c r="J21" s="4">
        <f t="shared" si="6"/>
        <v>2.8766666666666669</v>
      </c>
      <c r="K21" s="4"/>
      <c r="L21" s="1" t="s">
        <v>16</v>
      </c>
      <c r="M21" s="7">
        <f t="shared" ref="M21:M26" si="17">(LOG10(+B21)-LOG10(+$B$21))/+$M$10</f>
        <v>0</v>
      </c>
      <c r="N21" s="6"/>
      <c r="O21" s="10"/>
      <c r="P21" s="10"/>
      <c r="Q21" s="11"/>
      <c r="R21" s="11"/>
      <c r="S21" s="17"/>
      <c r="T21" s="17"/>
      <c r="U21" s="17"/>
      <c r="V21" s="17"/>
      <c r="W21" s="17"/>
      <c r="X21" s="11" t="s">
        <v>16</v>
      </c>
      <c r="Y21" s="10">
        <v>0</v>
      </c>
      <c r="AB21" s="21"/>
      <c r="AC21" s="21"/>
      <c r="AD21" s="11"/>
      <c r="AE21" s="11"/>
      <c r="AF21" s="18"/>
      <c r="AG21" s="24"/>
      <c r="AK21" s="6">
        <v>2.6850000000000001</v>
      </c>
      <c r="AL21" s="7">
        <v>2.7183333333333333</v>
      </c>
      <c r="AM21" s="4">
        <f t="shared" si="9"/>
        <v>2.7174894221810897</v>
      </c>
      <c r="AN21" s="4">
        <f t="shared" si="10"/>
        <v>3.0694792415204732</v>
      </c>
      <c r="AO21" s="9">
        <f t="shared" ref="AO21:AO36" si="18">(2783/D21)*(B21^1.0425)</f>
        <v>1066.8998776836513</v>
      </c>
      <c r="AP21" s="18">
        <v>10</v>
      </c>
      <c r="AQ21" s="3" t="s">
        <v>45</v>
      </c>
      <c r="AS21" s="3" t="s">
        <v>16</v>
      </c>
      <c r="AT21" s="6" t="e">
        <f t="shared" si="11"/>
        <v>#VALUE!</v>
      </c>
      <c r="AU21" s="6" t="e">
        <f t="shared" si="12"/>
        <v>#VALUE!</v>
      </c>
    </row>
    <row r="22" spans="1:47">
      <c r="A22" s="4" t="s">
        <v>2351</v>
      </c>
      <c r="B22" s="430">
        <f>MILE*7</f>
        <v>11.265408000000001</v>
      </c>
      <c r="C22" s="4">
        <f t="shared" si="14"/>
        <v>2.8849376782447647</v>
      </c>
      <c r="D22" s="4">
        <f t="shared" si="15"/>
        <v>32.5</v>
      </c>
      <c r="E22" s="8">
        <v>2.2569444444444444E-2</v>
      </c>
      <c r="F22" s="9">
        <f t="shared" si="16"/>
        <v>1950</v>
      </c>
      <c r="G22" s="8">
        <v>2.2569444444444444E-2</v>
      </c>
      <c r="H22" s="9">
        <f t="shared" si="3"/>
        <v>1950</v>
      </c>
      <c r="I22" s="4"/>
      <c r="J22" s="4">
        <f t="shared" si="6"/>
        <v>2.8849376782447647</v>
      </c>
      <c r="K22" s="4"/>
      <c r="L22" s="1" t="s">
        <v>2361</v>
      </c>
      <c r="M22" s="7">
        <f t="shared" si="17"/>
        <v>0.1595989461980683</v>
      </c>
      <c r="N22" s="6"/>
      <c r="O22" s="10"/>
      <c r="P22" s="10"/>
      <c r="Q22" s="11"/>
      <c r="R22" s="11"/>
      <c r="S22" s="17"/>
      <c r="T22" s="17"/>
      <c r="U22" s="17"/>
      <c r="V22" s="17"/>
      <c r="W22" s="17"/>
      <c r="X22" s="11" t="s">
        <v>2361</v>
      </c>
      <c r="Y22" s="10">
        <v>0.15959899999999999</v>
      </c>
      <c r="AB22" s="21"/>
      <c r="AC22" s="21"/>
      <c r="AD22" s="11"/>
      <c r="AE22" s="11"/>
      <c r="AF22" s="107"/>
      <c r="AG22" s="24"/>
      <c r="AK22" s="6"/>
      <c r="AL22" s="7"/>
      <c r="AM22" s="4"/>
      <c r="AN22" s="4"/>
      <c r="AO22" s="9"/>
      <c r="AP22" s="18"/>
      <c r="AQ22" s="3"/>
      <c r="AS22" s="3"/>
      <c r="AT22" s="6"/>
      <c r="AU22" s="6"/>
    </row>
    <row r="23" spans="1:47">
      <c r="A23" s="3" t="s">
        <v>17</v>
      </c>
      <c r="B23" s="4">
        <v>12</v>
      </c>
      <c r="C23" s="4">
        <f t="shared" si="14"/>
        <v>3.1777777777777776</v>
      </c>
      <c r="D23" s="4">
        <f t="shared" si="15"/>
        <v>38.133333333333333</v>
      </c>
      <c r="E23" s="8">
        <v>2.6481481481481481E-2</v>
      </c>
      <c r="F23" s="9">
        <f t="shared" si="16"/>
        <v>2288</v>
      </c>
      <c r="G23" s="8">
        <v>2.4120370370370372E-2</v>
      </c>
      <c r="H23" s="9">
        <f t="shared" si="3"/>
        <v>2084</v>
      </c>
      <c r="I23" s="4"/>
      <c r="J23" s="4">
        <f t="shared" si="6"/>
        <v>2.8944444444444448</v>
      </c>
      <c r="K23" s="4"/>
      <c r="L23" s="1" t="s">
        <v>17</v>
      </c>
      <c r="M23" s="7">
        <f t="shared" si="17"/>
        <v>0.24421245079182743</v>
      </c>
      <c r="N23" s="6"/>
      <c r="O23" s="10"/>
      <c r="P23" s="10"/>
      <c r="Q23" s="11"/>
      <c r="R23" s="11"/>
      <c r="S23" s="17"/>
      <c r="T23" s="17"/>
      <c r="U23" s="17"/>
      <c r="V23" s="17"/>
      <c r="W23" s="17"/>
      <c r="X23" s="11" t="s">
        <v>17</v>
      </c>
      <c r="Y23" s="10">
        <v>0.24421200000000001</v>
      </c>
      <c r="AB23" s="21"/>
      <c r="AC23" s="21"/>
      <c r="AD23" s="11"/>
      <c r="AE23" s="11"/>
      <c r="AF23" s="107"/>
      <c r="AG23" s="24"/>
      <c r="AK23" s="6">
        <v>2.7097222222222221</v>
      </c>
      <c r="AL23" s="7">
        <v>2.7930555555555556</v>
      </c>
      <c r="AM23" s="4">
        <f t="shared" si="9"/>
        <v>2.7489332786612395</v>
      </c>
      <c r="AN23" s="4">
        <f t="shared" si="10"/>
        <v>3.0933559985021257</v>
      </c>
      <c r="AO23" s="9">
        <f t="shared" si="18"/>
        <v>973.31829258607252</v>
      </c>
      <c r="AP23" s="18">
        <v>12</v>
      </c>
      <c r="AS23" s="3" t="s">
        <v>17</v>
      </c>
      <c r="AT23" s="6" t="e">
        <f t="shared" si="11"/>
        <v>#VALUE!</v>
      </c>
      <c r="AU23" s="6" t="e">
        <f t="shared" si="12"/>
        <v>#VALUE!</v>
      </c>
    </row>
    <row r="24" spans="1:47">
      <c r="A24" s="3" t="s">
        <v>18</v>
      </c>
      <c r="B24" s="4">
        <v>15</v>
      </c>
      <c r="C24" s="4">
        <f t="shared" si="14"/>
        <v>2.9555555555555557</v>
      </c>
      <c r="D24" s="4">
        <f t="shared" si="15"/>
        <v>44.333333333333336</v>
      </c>
      <c r="E24" s="8">
        <v>3.0787037037037036E-2</v>
      </c>
      <c r="F24" s="9">
        <f t="shared" si="16"/>
        <v>2660</v>
      </c>
      <c r="G24" s="8">
        <v>3.0428240740740742E-2</v>
      </c>
      <c r="H24" s="9">
        <f t="shared" si="3"/>
        <v>2629</v>
      </c>
      <c r="I24" s="4"/>
      <c r="J24" s="4">
        <f t="shared" si="6"/>
        <v>2.9211111111111112</v>
      </c>
      <c r="K24" s="4"/>
      <c r="L24" s="1" t="s">
        <v>18</v>
      </c>
      <c r="M24" s="7">
        <f t="shared" si="17"/>
        <v>0.54310433446754847</v>
      </c>
      <c r="N24" s="6"/>
      <c r="O24" s="10"/>
      <c r="P24" s="10"/>
      <c r="Q24" s="11"/>
      <c r="R24" s="11"/>
      <c r="S24" s="17"/>
      <c r="T24" s="17"/>
      <c r="U24" s="17"/>
      <c r="V24" s="17"/>
      <c r="W24" s="17"/>
      <c r="X24" s="11" t="s">
        <v>18</v>
      </c>
      <c r="Y24" s="10">
        <v>0.54310400000000003</v>
      </c>
      <c r="AB24" s="21"/>
      <c r="AC24" s="21"/>
      <c r="AD24" s="11"/>
      <c r="AE24" s="11"/>
      <c r="AF24" s="107"/>
      <c r="AG24" s="24"/>
      <c r="AK24" s="6">
        <v>2.7433333333333332</v>
      </c>
      <c r="AL24" s="7">
        <v>2.7655555555555558</v>
      </c>
      <c r="AM24" s="4">
        <f t="shared" si="9"/>
        <v>2.7879130239738878</v>
      </c>
      <c r="AN24" s="4">
        <f t="shared" si="10"/>
        <v>3.1228316993039442</v>
      </c>
      <c r="AO24" s="9">
        <f t="shared" si="18"/>
        <v>1056.4719181438381</v>
      </c>
      <c r="AP24" s="18">
        <v>15</v>
      </c>
      <c r="AS24" s="3" t="s">
        <v>18</v>
      </c>
      <c r="AT24" s="6" t="e">
        <f t="shared" si="11"/>
        <v>#VALUE!</v>
      </c>
      <c r="AU24" s="6" t="e">
        <f t="shared" si="12"/>
        <v>#VALUE!</v>
      </c>
    </row>
    <row r="25" spans="1:47">
      <c r="A25" s="3" t="s">
        <v>19</v>
      </c>
      <c r="B25" s="4">
        <f>MILE*10</f>
        <v>16.093440000000001</v>
      </c>
      <c r="C25" s="4">
        <f t="shared" si="14"/>
        <v>3.0747517829210746</v>
      </c>
      <c r="D25" s="4">
        <f t="shared" si="15"/>
        <v>49.483333333333341</v>
      </c>
      <c r="E25" s="8">
        <v>3.4363425925925929E-2</v>
      </c>
      <c r="F25" s="9">
        <f t="shared" si="16"/>
        <v>2969.0000000000005</v>
      </c>
      <c r="G25" s="8">
        <v>3.2777777777777781E-2</v>
      </c>
      <c r="H25" s="9">
        <f t="shared" si="3"/>
        <v>2832.0000000000005</v>
      </c>
      <c r="I25" s="4"/>
      <c r="J25" s="4">
        <f t="shared" si="6"/>
        <v>2.932872027360216</v>
      </c>
      <c r="K25" s="4"/>
      <c r="L25" s="1" t="s">
        <v>19</v>
      </c>
      <c r="M25" s="7">
        <f t="shared" si="17"/>
        <v>0.63735080246240494</v>
      </c>
      <c r="N25" s="6"/>
      <c r="O25" s="10"/>
      <c r="P25" s="10"/>
      <c r="Q25" s="11"/>
      <c r="R25" s="11"/>
      <c r="S25" s="17"/>
      <c r="T25" s="17"/>
      <c r="U25" s="17"/>
      <c r="V25" s="17"/>
      <c r="W25" s="17"/>
      <c r="X25" s="11" t="s">
        <v>19</v>
      </c>
      <c r="Y25" s="10">
        <v>0.637351</v>
      </c>
      <c r="AB25" s="21"/>
      <c r="AC25" s="21"/>
      <c r="AD25" s="11"/>
      <c r="AE25" s="11"/>
      <c r="AF25" s="107"/>
      <c r="AG25" s="24"/>
      <c r="AK25" s="6">
        <v>2.7578524748800337</v>
      </c>
      <c r="AL25" s="7">
        <v>2.8085977889127496</v>
      </c>
      <c r="AM25" s="4">
        <f t="shared" si="9"/>
        <v>2.8003183542621493</v>
      </c>
      <c r="AN25" s="4">
        <f t="shared" si="10"/>
        <v>3.1321840831381662</v>
      </c>
      <c r="AO25" s="9">
        <f t="shared" si="18"/>
        <v>1018.5579009472297</v>
      </c>
      <c r="AP25" s="18">
        <f>AP7*10</f>
        <v>0</v>
      </c>
      <c r="AS25" s="3" t="s">
        <v>19</v>
      </c>
      <c r="AT25" s="6" t="e">
        <f t="shared" si="11"/>
        <v>#VALUE!</v>
      </c>
      <c r="AU25" s="6" t="e">
        <f t="shared" si="12"/>
        <v>#VALUE!</v>
      </c>
    </row>
    <row r="26" spans="1:47">
      <c r="A26" s="3" t="s">
        <v>20</v>
      </c>
      <c r="B26" s="4">
        <v>20</v>
      </c>
      <c r="C26" s="4">
        <f t="shared" si="14"/>
        <v>3.0708333333333337</v>
      </c>
      <c r="D26" s="4">
        <f t="shared" si="15"/>
        <v>61.416666666666671</v>
      </c>
      <c r="E26" s="80">
        <v>4.2650462962962966E-2</v>
      </c>
      <c r="F26" s="9">
        <f t="shared" si="16"/>
        <v>3685.0000000000005</v>
      </c>
      <c r="G26" s="8">
        <v>4.116898148148148E-2</v>
      </c>
      <c r="H26" s="9">
        <f t="shared" si="3"/>
        <v>3557</v>
      </c>
      <c r="I26" s="4"/>
      <c r="J26" s="4">
        <f t="shared" si="6"/>
        <v>2.9641666666666668</v>
      </c>
      <c r="K26" s="4"/>
      <c r="L26" s="1" t="s">
        <v>20</v>
      </c>
      <c r="M26" s="7">
        <f t="shared" si="17"/>
        <v>0.92844299215419079</v>
      </c>
      <c r="N26" s="6"/>
      <c r="O26" s="10"/>
      <c r="P26" s="10"/>
      <c r="Q26" s="11"/>
      <c r="R26" s="11"/>
      <c r="S26" s="17"/>
      <c r="T26" s="17"/>
      <c r="U26" s="17"/>
      <c r="V26" s="17"/>
      <c r="W26" s="17"/>
      <c r="X26" s="11" t="s">
        <v>20</v>
      </c>
      <c r="Y26" s="10">
        <v>0.92844300000000002</v>
      </c>
      <c r="AB26" s="21"/>
      <c r="AC26" s="21"/>
      <c r="AD26" s="11"/>
      <c r="AE26" s="11"/>
      <c r="AF26" s="107"/>
      <c r="AG26" s="24"/>
      <c r="AK26" s="6">
        <v>2.7983333333333338</v>
      </c>
      <c r="AL26" s="7">
        <v>2.8149999999999999</v>
      </c>
      <c r="AM26" s="4">
        <f t="shared" si="9"/>
        <v>2.8389834121305668</v>
      </c>
      <c r="AN26" s="4">
        <f t="shared" si="10"/>
        <v>3.1612473294187096</v>
      </c>
      <c r="AO26" s="9">
        <f t="shared" si="18"/>
        <v>1029.3207671316939</v>
      </c>
      <c r="AP26" s="18">
        <v>20</v>
      </c>
      <c r="AS26" s="3" t="s">
        <v>20</v>
      </c>
      <c r="AT26" s="6" t="e">
        <f t="shared" si="11"/>
        <v>#VALUE!</v>
      </c>
      <c r="AU26" s="6" t="e">
        <f t="shared" si="12"/>
        <v>#VALUE!</v>
      </c>
    </row>
    <row r="27" spans="1:47">
      <c r="A27" s="1" t="s">
        <v>9</v>
      </c>
      <c r="B27" s="4">
        <v>21.0975</v>
      </c>
      <c r="C27" s="4">
        <f t="shared" si="14"/>
        <v>2.9798159339574197</v>
      </c>
      <c r="D27" s="4">
        <f t="shared" si="15"/>
        <v>62.866666666666667</v>
      </c>
      <c r="E27" s="8">
        <v>4.3657407407407409E-2</v>
      </c>
      <c r="F27" s="9">
        <f t="shared" si="16"/>
        <v>3772</v>
      </c>
      <c r="G27" s="8">
        <v>4.3657407407407409E-2</v>
      </c>
      <c r="H27" s="9">
        <f t="shared" si="3"/>
        <v>3772</v>
      </c>
      <c r="I27" s="4"/>
      <c r="J27" s="4">
        <f t="shared" si="6"/>
        <v>2.9798159339574197</v>
      </c>
      <c r="K27" s="4"/>
      <c r="L27" s="1" t="s">
        <v>9</v>
      </c>
      <c r="M27" s="7">
        <f>(LOG10(+B27)-LOG10(+$B$27))/+$M$11</f>
        <v>0</v>
      </c>
      <c r="N27" s="6"/>
      <c r="O27" s="10"/>
      <c r="P27" s="10"/>
      <c r="Q27" s="11"/>
      <c r="R27" s="11"/>
      <c r="S27" s="17"/>
      <c r="T27" s="17"/>
      <c r="U27" s="17"/>
      <c r="V27" s="17"/>
      <c r="W27" s="17"/>
      <c r="X27" s="11" t="s">
        <v>9</v>
      </c>
      <c r="Y27" s="10">
        <v>0</v>
      </c>
      <c r="AB27" s="21"/>
      <c r="AC27" s="21"/>
      <c r="AD27" s="11"/>
      <c r="AE27" s="11"/>
      <c r="AF27" s="18"/>
      <c r="AG27" s="24"/>
      <c r="AK27" s="6">
        <v>2.8068096535924476</v>
      </c>
      <c r="AL27" s="7">
        <v>2.8099695856539082</v>
      </c>
      <c r="AM27" s="4">
        <f t="shared" si="9"/>
        <v>2.8485696191191034</v>
      </c>
      <c r="AN27" s="4">
        <f t="shared" si="10"/>
        <v>3.1684329273190817</v>
      </c>
      <c r="AO27" s="9">
        <f t="shared" si="18"/>
        <v>1063.1721349805102</v>
      </c>
      <c r="AP27" s="18">
        <v>21.0975</v>
      </c>
      <c r="AS27" s="1" t="s">
        <v>9</v>
      </c>
      <c r="AT27" s="6" t="e">
        <f t="shared" si="11"/>
        <v>#VALUE!</v>
      </c>
      <c r="AU27" s="6" t="e">
        <f t="shared" si="12"/>
        <v>#VALUE!</v>
      </c>
    </row>
    <row r="28" spans="1:47">
      <c r="A28" s="3" t="s">
        <v>21</v>
      </c>
      <c r="B28" s="4">
        <v>25</v>
      </c>
      <c r="C28" s="4">
        <f t="shared" si="14"/>
        <v>3.1513333333333331</v>
      </c>
      <c r="D28" s="4">
        <f t="shared" si="15"/>
        <v>78.783333333333331</v>
      </c>
      <c r="E28" s="8">
        <v>5.4710648148148147E-2</v>
      </c>
      <c r="F28" s="9">
        <f t="shared" si="16"/>
        <v>4727</v>
      </c>
      <c r="G28" s="8">
        <v>5.2083333333333336E-2</v>
      </c>
      <c r="H28" s="9">
        <f t="shared" si="3"/>
        <v>4500</v>
      </c>
      <c r="I28" s="4"/>
      <c r="J28" s="4">
        <f t="shared" si="6"/>
        <v>3</v>
      </c>
      <c r="K28" s="4"/>
      <c r="L28" s="1" t="s">
        <v>21</v>
      </c>
      <c r="M28" s="7">
        <f>(LOG10(+B28)-LOG10(+$B$27))/+$M$11</f>
        <v>0.24485604151359389</v>
      </c>
      <c r="N28" s="6"/>
      <c r="O28" s="10"/>
      <c r="P28" s="10"/>
      <c r="Q28" s="11"/>
      <c r="R28" s="11"/>
      <c r="S28" s="17"/>
      <c r="T28" s="17"/>
      <c r="U28" s="17"/>
      <c r="V28" s="17"/>
      <c r="W28" s="17"/>
      <c r="X28" s="11" t="s">
        <v>21</v>
      </c>
      <c r="Y28" s="10">
        <v>0.24485599999999999</v>
      </c>
      <c r="AB28" s="21"/>
      <c r="AC28" s="21"/>
      <c r="AD28" s="11"/>
      <c r="AE28" s="11"/>
      <c r="AF28" s="107"/>
      <c r="AG28" s="24"/>
      <c r="AK28" s="6">
        <v>2.8393333333333328</v>
      </c>
      <c r="AL28" s="7">
        <v>2.9146666666666663</v>
      </c>
      <c r="AM28" s="4">
        <f t="shared" si="9"/>
        <v>2.8792400641237994</v>
      </c>
      <c r="AN28" s="4">
        <f t="shared" si="10"/>
        <v>3.1913699472123334</v>
      </c>
      <c r="AO28" s="9">
        <f t="shared" si="18"/>
        <v>1012.5845891999503</v>
      </c>
      <c r="AP28" s="18">
        <v>25</v>
      </c>
      <c r="AS28" s="3" t="s">
        <v>21</v>
      </c>
      <c r="AT28" s="6" t="e">
        <f t="shared" si="11"/>
        <v>#VALUE!</v>
      </c>
      <c r="AU28" s="6" t="e">
        <f t="shared" si="12"/>
        <v>#VALUE!</v>
      </c>
    </row>
    <row r="29" spans="1:47">
      <c r="A29" s="3" t="s">
        <v>22</v>
      </c>
      <c r="B29" s="4">
        <v>30</v>
      </c>
      <c r="C29" s="4">
        <f t="shared" si="14"/>
        <v>3.2027777777777779</v>
      </c>
      <c r="D29" s="4">
        <f t="shared" si="15"/>
        <v>96.083333333333343</v>
      </c>
      <c r="E29" s="8">
        <v>6.6724537037037041E-2</v>
      </c>
      <c r="F29" s="9">
        <f t="shared" si="16"/>
        <v>5765</v>
      </c>
      <c r="G29" s="8">
        <v>6.3078703703703706E-2</v>
      </c>
      <c r="H29" s="9">
        <f t="shared" si="3"/>
        <v>5450</v>
      </c>
      <c r="I29" s="4"/>
      <c r="J29" s="4">
        <f t="shared" si="6"/>
        <v>3.0277777777777781</v>
      </c>
      <c r="K29" s="4"/>
      <c r="L29" s="1" t="s">
        <v>22</v>
      </c>
      <c r="M29" s="7">
        <f>(LOG10(+B29)-LOG10(+$B$27))/+$M$11</f>
        <v>0.50789044734738709</v>
      </c>
      <c r="N29" s="6"/>
      <c r="O29" s="10"/>
      <c r="P29" s="10"/>
      <c r="Q29" s="11"/>
      <c r="R29" s="11"/>
      <c r="S29" s="17"/>
      <c r="T29" s="17"/>
      <c r="U29" s="17"/>
      <c r="V29" s="17"/>
      <c r="W29" s="17"/>
      <c r="X29" s="11" t="s">
        <v>22</v>
      </c>
      <c r="Y29" s="10">
        <v>0.50788999999999995</v>
      </c>
      <c r="AB29" s="21"/>
      <c r="AC29" s="21"/>
      <c r="AD29" s="11"/>
      <c r="AE29" s="11"/>
      <c r="AF29" s="107"/>
      <c r="AG29" s="24"/>
      <c r="AK29" s="6">
        <v>2.8772222222222221</v>
      </c>
      <c r="AL29" s="7">
        <v>2.9794444444444443</v>
      </c>
      <c r="AM29" s="4">
        <f t="shared" si="9"/>
        <v>2.9125555245665282</v>
      </c>
      <c r="AN29" s="4">
        <f t="shared" si="10"/>
        <v>3.2161948633210322</v>
      </c>
      <c r="AO29" s="9">
        <f t="shared" si="18"/>
        <v>1004.0701430707687</v>
      </c>
      <c r="AP29" s="18">
        <v>30</v>
      </c>
      <c r="AS29" s="3" t="s">
        <v>22</v>
      </c>
      <c r="AT29" s="6" t="e">
        <f t="shared" si="11"/>
        <v>#VALUE!</v>
      </c>
      <c r="AU29" s="6" t="e">
        <f t="shared" si="12"/>
        <v>#VALUE!</v>
      </c>
    </row>
    <row r="30" spans="1:47">
      <c r="A30" s="1" t="s">
        <v>10</v>
      </c>
      <c r="B30" s="4">
        <v>42.195</v>
      </c>
      <c r="C30" s="4">
        <f t="shared" si="14"/>
        <v>3.0793537938934312</v>
      </c>
      <c r="D30" s="4">
        <f t="shared" si="15"/>
        <v>129.93333333333334</v>
      </c>
      <c r="E30" s="8">
        <v>9.0231481481481482E-2</v>
      </c>
      <c r="F30" s="9">
        <f t="shared" si="16"/>
        <v>7796</v>
      </c>
      <c r="G30" s="8">
        <v>9.0231481481481482E-2</v>
      </c>
      <c r="H30" s="9">
        <f t="shared" si="3"/>
        <v>7796</v>
      </c>
      <c r="I30" s="4"/>
      <c r="J30" s="4">
        <f t="shared" si="6"/>
        <v>3.0793537938934317</v>
      </c>
      <c r="K30" s="4"/>
      <c r="L30" s="1" t="s">
        <v>10</v>
      </c>
      <c r="M30" s="7">
        <f>(LOG10(+B30)-LOG10(+$B$27))/+$M$11</f>
        <v>1</v>
      </c>
      <c r="N30" s="6"/>
      <c r="O30" s="10"/>
      <c r="P30" s="10"/>
      <c r="Q30" s="11"/>
      <c r="R30" s="11"/>
      <c r="S30" s="17"/>
      <c r="T30" s="17"/>
      <c r="U30" s="17"/>
      <c r="V30" s="17"/>
      <c r="W30" s="17"/>
      <c r="X30" s="11" t="s">
        <v>10</v>
      </c>
      <c r="Y30" s="10">
        <v>1</v>
      </c>
      <c r="AB30" s="21"/>
      <c r="AC30" s="21"/>
      <c r="AD30" s="11"/>
      <c r="AE30" s="11"/>
      <c r="AF30" s="18"/>
      <c r="AG30" s="24"/>
      <c r="AK30" s="6">
        <v>2.9604613500809731</v>
      </c>
      <c r="AL30" s="7">
        <v>2.9604613500809736</v>
      </c>
      <c r="AM30" s="4">
        <f t="shared" si="9"/>
        <v>2.9759239653221776</v>
      </c>
      <c r="AN30" s="4">
        <f t="shared" si="10"/>
        <v>3.2631594292744608</v>
      </c>
      <c r="AO30" s="9">
        <f t="shared" si="18"/>
        <v>1059.5640376628187</v>
      </c>
      <c r="AP30" s="18">
        <v>42.195</v>
      </c>
      <c r="AS30" s="1" t="s">
        <v>10</v>
      </c>
      <c r="AT30" s="6" t="e">
        <f t="shared" si="11"/>
        <v>#VALUE!</v>
      </c>
      <c r="AU30" s="6" t="e">
        <f t="shared" si="12"/>
        <v>#VALUE!</v>
      </c>
    </row>
    <row r="31" spans="1:47">
      <c r="A31" s="3" t="s">
        <v>23</v>
      </c>
      <c r="B31" s="4">
        <v>50</v>
      </c>
      <c r="C31" s="4">
        <f t="shared" si="14"/>
        <v>3.7730000000000001</v>
      </c>
      <c r="D31" s="4">
        <f t="shared" si="15"/>
        <v>188.65</v>
      </c>
      <c r="E31" s="8">
        <v>0.13100694444444444</v>
      </c>
      <c r="F31" s="9">
        <f t="shared" si="16"/>
        <v>11319</v>
      </c>
      <c r="G31" s="8">
        <v>0.10868055555555556</v>
      </c>
      <c r="H31" s="9">
        <f t="shared" si="3"/>
        <v>9390</v>
      </c>
      <c r="I31" s="4"/>
      <c r="J31" s="4">
        <f t="shared" si="6"/>
        <v>3.13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/>
      <c r="Z31" s="1" t="s">
        <v>23</v>
      </c>
      <c r="AH31" s="22"/>
      <c r="AK31" s="6">
        <v>3.0266666666666673</v>
      </c>
      <c r="AL31" s="7">
        <v>3.2726666666666664</v>
      </c>
      <c r="AM31" s="4">
        <f t="shared" si="9"/>
        <v>3.0079656299190201</v>
      </c>
      <c r="AN31" s="4">
        <f t="shared" si="10"/>
        <v>3.286782196257712</v>
      </c>
      <c r="AO31" s="9">
        <f t="shared" si="18"/>
        <v>871.02902344203267</v>
      </c>
      <c r="AP31" s="18">
        <v>50</v>
      </c>
    </row>
    <row r="32" spans="1:47">
      <c r="A32" s="3" t="s">
        <v>24</v>
      </c>
      <c r="B32" s="4">
        <f>MILE*50</f>
        <v>80.467200000000005</v>
      </c>
      <c r="C32" s="4">
        <f t="shared" si="14"/>
        <v>4.229052334367295</v>
      </c>
      <c r="D32" s="4">
        <f t="shared" si="15"/>
        <v>340.3</v>
      </c>
      <c r="E32" s="8">
        <v>0.23631944444444444</v>
      </c>
      <c r="F32" s="9">
        <f t="shared" si="16"/>
        <v>20418</v>
      </c>
      <c r="G32" s="8">
        <v>0.19791666666666666</v>
      </c>
      <c r="H32" s="9">
        <f t="shared" si="3"/>
        <v>17100</v>
      </c>
      <c r="I32" s="4"/>
      <c r="J32" s="4">
        <f t="shared" si="6"/>
        <v>3.5418157957528029</v>
      </c>
      <c r="K32" s="6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/>
      <c r="Z32" s="1" t="s">
        <v>24</v>
      </c>
      <c r="AH32" s="22"/>
      <c r="AK32" s="6">
        <v>3.3305429679810552</v>
      </c>
      <c r="AL32" s="7">
        <v>3.6145090381988418</v>
      </c>
      <c r="AM32" s="4">
        <f t="shared" si="9"/>
        <v>3.0996482612584857</v>
      </c>
      <c r="AN32" s="4">
        <f t="shared" si="10"/>
        <v>3.3539262102195408</v>
      </c>
      <c r="AO32" s="9">
        <f t="shared" si="18"/>
        <v>792.97400303123004</v>
      </c>
      <c r="AP32" s="18">
        <f>AP7*50</f>
        <v>0</v>
      </c>
    </row>
    <row r="33" spans="1:42">
      <c r="A33" s="3" t="s">
        <v>25</v>
      </c>
      <c r="B33" s="4">
        <v>100</v>
      </c>
      <c r="C33" s="4">
        <f t="shared" si="14"/>
        <v>4.2061666666666664</v>
      </c>
      <c r="D33" s="4">
        <f t="shared" si="15"/>
        <v>420.61666666666667</v>
      </c>
      <c r="E33" s="8">
        <v>0.2920949074074074</v>
      </c>
      <c r="F33" s="9">
        <f t="shared" si="16"/>
        <v>25237</v>
      </c>
      <c r="G33" s="8">
        <v>0.27304398148148146</v>
      </c>
      <c r="H33" s="9">
        <f t="shared" si="3"/>
        <v>23590.999999999996</v>
      </c>
      <c r="I33" s="4"/>
      <c r="J33" s="4">
        <f t="shared" si="6"/>
        <v>3.9318333333333326</v>
      </c>
      <c r="K33" s="4"/>
      <c r="L33" s="6"/>
      <c r="M33" s="6"/>
      <c r="N33" s="6"/>
      <c r="O33" s="10"/>
      <c r="P33" s="10"/>
      <c r="Q33" s="11"/>
      <c r="R33" s="11"/>
      <c r="S33" s="11"/>
      <c r="T33" s="3"/>
      <c r="U33" s="3"/>
      <c r="V33" s="3"/>
      <c r="W33" s="3"/>
      <c r="X33" s="3"/>
      <c r="Y33" s="3"/>
      <c r="Z33" s="1" t="s">
        <v>25</v>
      </c>
      <c r="AH33" s="22"/>
      <c r="AK33" s="6">
        <v>3.56</v>
      </c>
      <c r="AL33" s="7">
        <v>3.7033333333333331</v>
      </c>
      <c r="AM33" s="4">
        <f t="shared" si="9"/>
        <v>3.1424462807089837</v>
      </c>
      <c r="AN33" s="4">
        <f t="shared" si="10"/>
        <v>3.3850469811790553</v>
      </c>
      <c r="AO33" s="9">
        <f t="shared" si="18"/>
        <v>804.68652529195481</v>
      </c>
      <c r="AP33" s="18">
        <v>100</v>
      </c>
    </row>
    <row r="34" spans="1:42">
      <c r="A34" s="3" t="s">
        <v>26</v>
      </c>
      <c r="B34" s="4">
        <v>150</v>
      </c>
      <c r="C34" s="4">
        <f t="shared" si="14"/>
        <v>5.5060000000000002</v>
      </c>
      <c r="D34" s="4">
        <f t="shared" si="15"/>
        <v>825.9</v>
      </c>
      <c r="E34" s="8">
        <v>0.57354166666666662</v>
      </c>
      <c r="F34" s="9">
        <f t="shared" si="16"/>
        <v>49553.999999999993</v>
      </c>
      <c r="G34" s="8">
        <v>0.45949074074074076</v>
      </c>
      <c r="H34" s="9">
        <f t="shared" si="3"/>
        <v>39700</v>
      </c>
      <c r="I34" s="4"/>
      <c r="J34" s="4">
        <f t="shared" si="6"/>
        <v>4.4111111111111114</v>
      </c>
      <c r="K34" s="4"/>
      <c r="L34" s="6"/>
      <c r="M34" s="6"/>
      <c r="N34" s="6"/>
      <c r="O34" s="10"/>
      <c r="P34" s="10"/>
      <c r="Q34" s="11"/>
      <c r="R34" s="11"/>
      <c r="S34" s="11"/>
      <c r="T34" s="3"/>
      <c r="U34" s="3"/>
      <c r="V34" s="3"/>
      <c r="W34" s="3"/>
      <c r="X34" s="3"/>
      <c r="Y34" s="3"/>
      <c r="AH34" s="22"/>
      <c r="AK34" s="6">
        <v>4.0333333333333332</v>
      </c>
      <c r="AL34" s="7">
        <v>4.2446666666666673</v>
      </c>
      <c r="AM34" s="4">
        <f t="shared" si="9"/>
        <v>3.2238826181318867</v>
      </c>
      <c r="AN34" s="4">
        <f t="shared" si="10"/>
        <v>3.4438845109187777</v>
      </c>
      <c r="AO34" s="9">
        <f t="shared" si="18"/>
        <v>625.40432139185793</v>
      </c>
      <c r="AP34" s="18">
        <v>150</v>
      </c>
    </row>
    <row r="35" spans="1:42">
      <c r="A35" s="3" t="s">
        <v>27</v>
      </c>
      <c r="B35" s="4">
        <f>MILE*100</f>
        <v>160.93440000000001</v>
      </c>
      <c r="C35" s="4">
        <f t="shared" si="14"/>
        <v>5.1429857962830399</v>
      </c>
      <c r="D35" s="4">
        <f t="shared" si="15"/>
        <v>827.68333333333328</v>
      </c>
      <c r="E35" s="8">
        <v>0.57478009259259255</v>
      </c>
      <c r="F35" s="9">
        <f t="shared" si="16"/>
        <v>49661</v>
      </c>
      <c r="G35" s="8">
        <v>0.50347222222222221</v>
      </c>
      <c r="H35" s="9">
        <f t="shared" si="3"/>
        <v>43500</v>
      </c>
      <c r="I35" s="4"/>
      <c r="J35" s="4">
        <f t="shared" si="6"/>
        <v>4.5049411437206706</v>
      </c>
      <c r="K35" s="4"/>
      <c r="L35" s="6"/>
      <c r="M35" s="6"/>
      <c r="N35" s="6"/>
      <c r="O35" s="10"/>
      <c r="P35" s="10"/>
      <c r="Q35" s="11"/>
      <c r="R35" s="11"/>
      <c r="S35" s="11"/>
      <c r="T35" s="3"/>
      <c r="U35" s="3"/>
      <c r="V35" s="3"/>
      <c r="W35" s="3"/>
      <c r="X35" s="3"/>
      <c r="Y35" s="3"/>
      <c r="Z35" s="1" t="s">
        <v>27</v>
      </c>
      <c r="AH35" s="22"/>
      <c r="AK35" s="6">
        <v>4.1269403351096265</v>
      </c>
      <c r="AL35" s="7">
        <v>4.2753444881889759</v>
      </c>
      <c r="AM35" s="4">
        <f t="shared" si="9"/>
        <v>3.2382278750838078</v>
      </c>
      <c r="AN35" s="4">
        <f t="shared" si="10"/>
        <v>3.4541983968172794</v>
      </c>
      <c r="AO35" s="9">
        <f t="shared" si="18"/>
        <v>671.55325591853421</v>
      </c>
      <c r="AP35" s="18">
        <f>AP7*100</f>
        <v>0</v>
      </c>
    </row>
    <row r="36" spans="1:42">
      <c r="A36" s="3" t="s">
        <v>28</v>
      </c>
      <c r="B36" s="4">
        <v>200</v>
      </c>
      <c r="C36" s="4">
        <f t="shared" si="14"/>
        <v>5.9480000000000004</v>
      </c>
      <c r="D36" s="4">
        <f t="shared" si="15"/>
        <v>1189.6000000000001</v>
      </c>
      <c r="E36" s="8">
        <v>0.82611111111111113</v>
      </c>
      <c r="F36" s="9">
        <f t="shared" si="16"/>
        <v>71376</v>
      </c>
      <c r="G36" s="8">
        <v>0.66666666666666663</v>
      </c>
      <c r="H36" s="9">
        <f t="shared" si="3"/>
        <v>57600</v>
      </c>
      <c r="I36" s="4"/>
      <c r="J36" s="4">
        <f t="shared" si="6"/>
        <v>4.8</v>
      </c>
      <c r="K36" s="6"/>
      <c r="L36" s="6"/>
      <c r="M36" s="6"/>
      <c r="N36" s="6"/>
      <c r="O36" s="10"/>
      <c r="P36" s="10"/>
      <c r="Q36" s="11"/>
      <c r="R36" s="11"/>
      <c r="S36" s="11"/>
      <c r="T36" s="3"/>
      <c r="U36" s="3"/>
      <c r="V36" s="3"/>
      <c r="W36" s="3"/>
      <c r="X36" s="3"/>
      <c r="Y36" s="3"/>
      <c r="Z36" s="1" t="s">
        <v>28</v>
      </c>
      <c r="AH36" s="22"/>
      <c r="AK36" s="6">
        <v>4.4000000000000004</v>
      </c>
      <c r="AL36" s="7">
        <v>4.4083333333333332</v>
      </c>
      <c r="AM36" s="4">
        <f t="shared" si="9"/>
        <v>3.2829393158350597</v>
      </c>
      <c r="AN36" s="4">
        <f t="shared" si="10"/>
        <v>3.4862495841178602</v>
      </c>
      <c r="AO36" s="9">
        <f t="shared" si="18"/>
        <v>586.05182310890859</v>
      </c>
      <c r="AP36" s="18">
        <v>200</v>
      </c>
    </row>
    <row r="37" spans="1:42">
      <c r="A37" t="s">
        <v>127</v>
      </c>
      <c r="H37" s="9"/>
      <c r="T37" s="3"/>
      <c r="U37" s="3"/>
      <c r="V37" s="3"/>
      <c r="W37" s="3"/>
      <c r="X37" s="3"/>
      <c r="AH37" s="22"/>
    </row>
    <row r="38" spans="1:42">
      <c r="A38" t="s">
        <v>128</v>
      </c>
      <c r="H38" s="9"/>
      <c r="T38" s="3"/>
      <c r="U38" s="3"/>
      <c r="V38" s="3"/>
      <c r="W38" s="3"/>
      <c r="X38" s="3"/>
      <c r="AH38" s="22"/>
    </row>
    <row r="39" spans="1:42">
      <c r="A39" s="1" t="s">
        <v>1146</v>
      </c>
      <c r="H39" s="9"/>
      <c r="AH39" s="22"/>
    </row>
    <row r="40" spans="1:42" ht="18">
      <c r="A40" s="151" t="s">
        <v>1147</v>
      </c>
      <c r="B40" s="2"/>
      <c r="C40" s="2"/>
      <c r="D40" s="2"/>
      <c r="E40" s="2"/>
      <c r="F40" s="2"/>
      <c r="G40" s="2"/>
      <c r="H40" s="9"/>
      <c r="I40" s="2"/>
      <c r="J40" s="2"/>
      <c r="K40" s="2"/>
    </row>
    <row r="41" spans="1:42">
      <c r="C41" s="24" t="s">
        <v>1149</v>
      </c>
      <c r="D41" s="4"/>
      <c r="F41" s="25"/>
      <c r="G41" s="25"/>
      <c r="H41" s="9"/>
      <c r="I41" s="8"/>
      <c r="J41" s="8"/>
      <c r="K41" s="6"/>
    </row>
    <row r="42" spans="1:42">
      <c r="A42" s="3"/>
      <c r="B42" s="23"/>
      <c r="C42" s="7">
        <f>(+C16-+C33)/(+B16-+B33)</f>
        <v>1.501228070175438E-2</v>
      </c>
      <c r="D42" s="4"/>
      <c r="F42" s="25"/>
      <c r="G42" s="26"/>
      <c r="H42" s="9"/>
      <c r="I42" s="8"/>
      <c r="J42" s="8"/>
      <c r="K42" s="6"/>
    </row>
    <row r="43" spans="1:42">
      <c r="A43" s="3"/>
      <c r="B43" s="23"/>
      <c r="C43" s="24"/>
      <c r="D43" s="4"/>
      <c r="F43" s="25"/>
      <c r="G43" s="26"/>
      <c r="H43" s="26"/>
      <c r="I43" s="8"/>
      <c r="J43" s="8"/>
      <c r="K43" s="6"/>
    </row>
    <row r="44" spans="1:42">
      <c r="A44" s="3"/>
      <c r="B44" s="23"/>
      <c r="C44" s="24"/>
      <c r="D44" s="4"/>
      <c r="F44" s="25"/>
      <c r="G44" s="26"/>
      <c r="H44" s="26"/>
      <c r="I44" s="8"/>
      <c r="J44" s="8"/>
      <c r="K44" s="6"/>
    </row>
    <row r="45" spans="1:42">
      <c r="A45" s="3"/>
      <c r="B45" s="23"/>
      <c r="C45" s="24"/>
      <c r="D45" s="4"/>
      <c r="F45" s="25"/>
      <c r="G45" s="26"/>
      <c r="H45" s="26"/>
      <c r="I45" s="8"/>
      <c r="J45" s="8"/>
      <c r="K45" s="6"/>
    </row>
    <row r="46" spans="1:42">
      <c r="A46" s="3"/>
      <c r="B46" s="27"/>
      <c r="C46" s="24"/>
      <c r="D46" s="4"/>
      <c r="F46" s="25"/>
      <c r="G46" s="26"/>
      <c r="H46" s="26"/>
      <c r="I46" s="8"/>
      <c r="J46" s="8"/>
      <c r="K46" s="6"/>
    </row>
    <row r="47" spans="1:42">
      <c r="A47" s="3"/>
      <c r="B47" s="27"/>
      <c r="C47" s="24"/>
      <c r="D47" s="4"/>
      <c r="F47" s="25"/>
      <c r="G47" s="26"/>
      <c r="H47" s="26"/>
      <c r="I47" s="8"/>
      <c r="J47" s="8"/>
      <c r="K47" s="6"/>
    </row>
    <row r="48" spans="1:42">
      <c r="A48" s="3"/>
      <c r="B48" s="27"/>
      <c r="C48" s="24"/>
      <c r="D48" s="4"/>
      <c r="F48" s="25"/>
      <c r="G48" s="26"/>
      <c r="H48" s="26"/>
      <c r="I48" s="8"/>
      <c r="J48" s="8"/>
      <c r="K48" s="6"/>
    </row>
    <row r="49" spans="1:11">
      <c r="A49" s="3"/>
      <c r="B49" s="27"/>
      <c r="C49" s="24"/>
      <c r="D49" s="4"/>
      <c r="F49" s="25"/>
      <c r="G49" s="26"/>
      <c r="H49" s="26"/>
      <c r="I49" s="8"/>
      <c r="J49" s="8"/>
      <c r="K49" s="6"/>
    </row>
    <row r="50" spans="1:11">
      <c r="B50" s="27"/>
      <c r="C50" s="24"/>
      <c r="D50" s="4"/>
      <c r="F50" s="25"/>
      <c r="G50" s="26"/>
      <c r="H50" s="26"/>
      <c r="I50" s="8"/>
      <c r="J50" s="8"/>
      <c r="K50" s="6"/>
    </row>
    <row r="51" spans="1:11">
      <c r="A51" s="3"/>
      <c r="B51" s="27"/>
      <c r="C51" s="24"/>
      <c r="D51" s="4"/>
      <c r="F51" s="25"/>
      <c r="G51" s="26"/>
      <c r="H51" s="26"/>
      <c r="I51" s="8"/>
      <c r="J51" s="8"/>
      <c r="K51" s="6"/>
    </row>
    <row r="52" spans="1:11">
      <c r="A52" s="3"/>
      <c r="B52" s="27"/>
      <c r="C52" s="24"/>
      <c r="D52" s="4"/>
      <c r="F52" s="25"/>
      <c r="G52" s="26"/>
      <c r="H52" s="26"/>
      <c r="I52" s="8"/>
      <c r="J52" s="8"/>
      <c r="K52" s="6"/>
    </row>
    <row r="53" spans="1:11">
      <c r="B53" s="27"/>
      <c r="C53" s="24"/>
      <c r="D53" s="4"/>
      <c r="F53" s="25"/>
      <c r="G53" s="26"/>
      <c r="H53" s="26"/>
      <c r="I53" s="8"/>
      <c r="J53" s="8"/>
      <c r="K53" s="6"/>
    </row>
    <row r="54" spans="1:11">
      <c r="A54" s="3"/>
      <c r="B54" s="27"/>
      <c r="C54" s="24"/>
      <c r="D54" s="4"/>
      <c r="F54" s="27"/>
      <c r="G54" s="27"/>
      <c r="H54" s="27"/>
      <c r="K54" s="6"/>
    </row>
    <row r="55" spans="1:11">
      <c r="A55" s="3"/>
      <c r="B55" s="27"/>
      <c r="C55" s="24"/>
      <c r="D55" s="4"/>
      <c r="F55" s="28"/>
      <c r="G55" s="28"/>
      <c r="H55" s="28"/>
      <c r="I55" s="8"/>
      <c r="J55" s="8"/>
      <c r="K55" s="6"/>
    </row>
    <row r="56" spans="1:11">
      <c r="A56" s="3"/>
      <c r="B56" s="27"/>
      <c r="C56" s="24"/>
      <c r="D56" s="4"/>
      <c r="F56" s="27"/>
      <c r="G56" s="27"/>
      <c r="H56" s="27"/>
      <c r="K56" s="6"/>
    </row>
    <row r="57" spans="1:11">
      <c r="A57" s="3"/>
      <c r="B57" s="27"/>
      <c r="C57" s="24"/>
      <c r="D57" s="4"/>
      <c r="F57" s="28"/>
      <c r="G57" s="28"/>
      <c r="H57" s="28"/>
      <c r="K57" s="6"/>
    </row>
    <row r="58" spans="1:11">
      <c r="A58" s="3"/>
      <c r="B58" s="27"/>
      <c r="C58" s="24"/>
      <c r="D58" s="4"/>
      <c r="F58" s="28"/>
      <c r="G58" s="28"/>
      <c r="H58" s="28"/>
      <c r="K58" s="6"/>
    </row>
    <row r="59" spans="1:11">
      <c r="A59" s="3"/>
      <c r="B59" s="27"/>
      <c r="C59" s="24"/>
      <c r="D59" s="4"/>
      <c r="F59" s="27"/>
      <c r="G59" s="27"/>
      <c r="H59" s="27"/>
      <c r="K59" s="6"/>
    </row>
    <row r="60" spans="1:11">
      <c r="A60" s="3"/>
      <c r="B60" s="27"/>
      <c r="C60" s="24"/>
      <c r="D60" s="4"/>
      <c r="F60" s="28"/>
      <c r="G60" s="28"/>
      <c r="H60" s="28"/>
      <c r="K60" s="6"/>
    </row>
    <row r="61" spans="1:11">
      <c r="A61" s="3"/>
      <c r="B61" s="27"/>
      <c r="C61" s="24"/>
      <c r="D61" s="4"/>
      <c r="F61" s="28"/>
      <c r="G61" s="28"/>
      <c r="H61" s="28"/>
      <c r="K61" s="6"/>
    </row>
    <row r="62" spans="1:11">
      <c r="B62" s="27"/>
      <c r="C62" s="24"/>
      <c r="D62" s="4"/>
    </row>
    <row r="63" spans="1:11">
      <c r="B63" s="27"/>
      <c r="C63" s="24"/>
      <c r="D63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topLeftCell="B1" zoomScale="87" zoomScaleNormal="87" workbookViewId="0">
      <selection activeCell="D32" sqref="D32"/>
    </sheetView>
  </sheetViews>
  <sheetFormatPr defaultColWidth="9.6640625" defaultRowHeight="15"/>
  <cols>
    <col min="1" max="3" width="9.6640625" style="210" customWidth="1"/>
    <col min="4" max="4" width="11.5546875" style="210" customWidth="1"/>
    <col min="5" max="5" width="9.6640625" style="210" customWidth="1"/>
    <col min="6" max="6" width="10.6640625" style="210" customWidth="1"/>
    <col min="7" max="7" width="10.44140625" style="210" customWidth="1"/>
    <col min="8" max="8" width="10.6640625" style="210" customWidth="1"/>
    <col min="9" max="9" width="13" style="210" customWidth="1"/>
    <col min="10" max="11" width="12.109375" style="210" customWidth="1"/>
    <col min="12" max="12" width="12.5546875" style="210" customWidth="1"/>
    <col min="13" max="13" width="15.6640625" style="210" customWidth="1"/>
    <col min="14" max="14" width="9.6640625" style="210"/>
    <col min="15" max="15" width="10.109375" style="210" bestFit="1" customWidth="1"/>
    <col min="16" max="16" width="10.33203125" style="210" customWidth="1"/>
    <col min="17" max="17" width="16.6640625" style="210" customWidth="1"/>
    <col min="18" max="18" width="12.33203125" style="210" customWidth="1"/>
    <col min="19" max="19" width="15.6640625" style="210" customWidth="1"/>
    <col min="20" max="16384" width="9.6640625" style="210"/>
  </cols>
  <sheetData>
    <row r="1" spans="1:21" ht="35.25" customHeight="1">
      <c r="A1" s="206" t="s">
        <v>65</v>
      </c>
      <c r="B1" s="207"/>
      <c r="C1" s="208"/>
      <c r="D1" s="209" t="s">
        <v>32</v>
      </c>
      <c r="E1" s="209" t="s">
        <v>54</v>
      </c>
      <c r="F1" s="209" t="s">
        <v>55</v>
      </c>
      <c r="G1" s="209" t="s">
        <v>56</v>
      </c>
      <c r="H1" s="209" t="s">
        <v>57</v>
      </c>
      <c r="I1" s="209" t="s">
        <v>58</v>
      </c>
    </row>
    <row r="2" spans="1:21" ht="17.100000000000001" customHeight="1">
      <c r="A2" s="206"/>
      <c r="B2" s="207"/>
      <c r="C2" s="208"/>
      <c r="D2" s="209"/>
      <c r="E2" s="209"/>
      <c r="F2" s="308">
        <f>(+H$3-H$4)*F$4/2</f>
        <v>3.2000000000000001E-2</v>
      </c>
      <c r="G2" s="309">
        <f>(+I$4-I$3)*G$4/2</f>
        <v>0.11083099999999997</v>
      </c>
      <c r="H2" s="211"/>
      <c r="I2" s="211"/>
    </row>
    <row r="3" spans="1:21" ht="17.100000000000001" customHeight="1">
      <c r="A3" s="206"/>
      <c r="B3" s="207"/>
      <c r="C3" s="208"/>
      <c r="D3" s="209"/>
      <c r="E3" s="209"/>
      <c r="F3" s="308">
        <f>F4/(2*(+H3-H4))</f>
        <v>2E-3</v>
      </c>
      <c r="G3" s="309">
        <f>G4/(2*(+I4-I3))</f>
        <v>2.2286995515695068E-4</v>
      </c>
      <c r="H3" s="212">
        <v>21</v>
      </c>
      <c r="I3" s="213">
        <v>27</v>
      </c>
      <c r="J3" s="205"/>
    </row>
    <row r="4" spans="1:21" ht="15.75">
      <c r="A4" s="207"/>
      <c r="B4" s="207"/>
      <c r="C4" s="207"/>
      <c r="D4" s="214">
        <f>Parameters!G21</f>
        <v>1.9976851851851853E-2</v>
      </c>
      <c r="E4" s="215">
        <f>D4*1440</f>
        <v>28.766666666666669</v>
      </c>
      <c r="F4" s="216">
        <v>1.6E-2</v>
      </c>
      <c r="G4" s="205">
        <v>9.9399999999999992E-3</v>
      </c>
      <c r="H4" s="212">
        <v>17</v>
      </c>
      <c r="I4" s="213">
        <v>49.3</v>
      </c>
      <c r="J4" s="217"/>
    </row>
    <row r="5" spans="1:21" ht="15.75">
      <c r="A5" s="207"/>
      <c r="B5" s="207"/>
      <c r="C5" s="207"/>
      <c r="D5" s="214"/>
      <c r="E5" s="207">
        <f>E4*60</f>
        <v>1726.0000000000002</v>
      </c>
      <c r="F5" s="216">
        <v>9.1E-4</v>
      </c>
      <c r="G5" s="205">
        <v>3.8000000000000002E-4</v>
      </c>
      <c r="H5" s="212">
        <v>15</v>
      </c>
      <c r="I5" s="213">
        <v>75</v>
      </c>
      <c r="J5" s="217"/>
    </row>
    <row r="6" spans="1:21" ht="63">
      <c r="A6" s="218" t="s">
        <v>52</v>
      </c>
      <c r="B6" s="218" t="s">
        <v>963</v>
      </c>
      <c r="C6" s="218" t="s">
        <v>963</v>
      </c>
      <c r="D6" s="218" t="s">
        <v>2365</v>
      </c>
      <c r="E6" s="218" t="s">
        <v>1775</v>
      </c>
      <c r="F6" s="218" t="s">
        <v>933</v>
      </c>
      <c r="G6" s="218" t="s">
        <v>136</v>
      </c>
      <c r="H6" s="36" t="s">
        <v>932</v>
      </c>
      <c r="I6" s="219" t="s">
        <v>52</v>
      </c>
      <c r="J6" s="220" t="s">
        <v>1037</v>
      </c>
      <c r="K6" s="221" t="s">
        <v>965</v>
      </c>
      <c r="L6" s="222" t="s">
        <v>938</v>
      </c>
      <c r="M6" s="223" t="s">
        <v>403</v>
      </c>
      <c r="N6" s="223" t="s">
        <v>404</v>
      </c>
      <c r="O6" s="224" t="s">
        <v>405</v>
      </c>
      <c r="P6" s="224" t="s">
        <v>406</v>
      </c>
      <c r="Q6" s="225" t="s">
        <v>407</v>
      </c>
      <c r="R6" s="224" t="s">
        <v>408</v>
      </c>
      <c r="S6" s="224" t="s">
        <v>409</v>
      </c>
      <c r="T6" s="226" t="s">
        <v>410</v>
      </c>
    </row>
    <row r="7" spans="1:21">
      <c r="A7" s="210">
        <v>1</v>
      </c>
      <c r="B7" s="210" t="s">
        <v>63</v>
      </c>
      <c r="I7" s="210">
        <v>1</v>
      </c>
      <c r="J7" s="227"/>
      <c r="K7" s="228"/>
    </row>
    <row r="8" spans="1:21">
      <c r="A8" s="210">
        <v>2</v>
      </c>
      <c r="B8" s="210" t="s">
        <v>63</v>
      </c>
      <c r="I8" s="210">
        <v>2</v>
      </c>
      <c r="J8" s="229"/>
      <c r="K8" s="230"/>
    </row>
    <row r="9" spans="1:21">
      <c r="A9" s="210">
        <v>3</v>
      </c>
      <c r="B9" s="231" t="s">
        <v>63</v>
      </c>
      <c r="C9" s="217"/>
      <c r="D9" s="217">
        <f t="shared" ref="D9:D72" si="0">E$4/E9</f>
        <v>46.927678085916263</v>
      </c>
      <c r="E9" s="232">
        <f t="shared" ref="E9:E32" si="1">ROUND(1-IF(A9&gt;=H$3,0,IF(A9&gt;=H$4,F$3*(A9-H$3)^2,F$2+F$4*(H$4-A9)+(A9&lt;H$5)*F$5*(H$5-A9)^2)),4)</f>
        <v>0.61299999999999999</v>
      </c>
      <c r="F9" s="217">
        <v>46.927678085916298</v>
      </c>
      <c r="G9" s="217"/>
      <c r="H9" s="233"/>
      <c r="I9" s="210">
        <v>3</v>
      </c>
      <c r="J9" s="229"/>
      <c r="K9" s="230"/>
    </row>
    <row r="10" spans="1:21">
      <c r="A10" s="210">
        <v>4</v>
      </c>
      <c r="B10" s="234"/>
      <c r="C10" s="217"/>
      <c r="D10" s="217">
        <f t="shared" si="0"/>
        <v>44.263219982561424</v>
      </c>
      <c r="E10" s="232">
        <f t="shared" si="1"/>
        <v>0.64990000000000003</v>
      </c>
      <c r="F10" s="217">
        <v>44.263219982561424</v>
      </c>
      <c r="G10" s="217"/>
      <c r="H10" s="145">
        <f t="shared" ref="H10:H73" si="2">((F10-D10)/F10)</f>
        <v>0</v>
      </c>
      <c r="I10" s="210">
        <v>4</v>
      </c>
      <c r="J10" s="229"/>
      <c r="K10" s="230"/>
    </row>
    <row r="11" spans="1:21">
      <c r="A11" s="210">
        <v>5</v>
      </c>
      <c r="B11" s="234"/>
      <c r="C11" s="217"/>
      <c r="D11" s="217">
        <f t="shared" si="0"/>
        <v>41.995133819951342</v>
      </c>
      <c r="E11" s="232">
        <f t="shared" si="1"/>
        <v>0.68500000000000005</v>
      </c>
      <c r="F11" s="217">
        <v>41.995133819951299</v>
      </c>
      <c r="G11" s="217"/>
      <c r="H11" s="145">
        <f t="shared" si="2"/>
        <v>-1.0151786711381278E-15</v>
      </c>
      <c r="I11" s="210">
        <v>5</v>
      </c>
      <c r="J11" s="229"/>
      <c r="K11" s="230"/>
    </row>
    <row r="12" spans="1:21" ht="15.75">
      <c r="A12" s="210">
        <v>6</v>
      </c>
      <c r="B12" s="234">
        <v>3.335648148148148E-2</v>
      </c>
      <c r="C12" s="217">
        <f>B12*1440</f>
        <v>48.033333333333331</v>
      </c>
      <c r="D12" s="217">
        <f>E$4/E12</f>
        <v>40.048262100329481</v>
      </c>
      <c r="E12" s="232">
        <f t="shared" si="1"/>
        <v>0.71830000000000005</v>
      </c>
      <c r="F12" s="217">
        <v>40.048262100329481</v>
      </c>
      <c r="G12" s="217">
        <v>48.033333333333331</v>
      </c>
      <c r="H12" s="145">
        <f t="shared" si="2"/>
        <v>0</v>
      </c>
      <c r="I12" s="210">
        <v>6</v>
      </c>
      <c r="J12" s="229">
        <f>100*(+F12/+C12)</f>
        <v>83.375979389998918</v>
      </c>
      <c r="K12" s="230">
        <f t="shared" ref="K12:K27" si="3">100*(D12/C12)</f>
        <v>83.375979389998918</v>
      </c>
      <c r="L12" s="235" t="s">
        <v>411</v>
      </c>
      <c r="M12" s="236" t="s">
        <v>222</v>
      </c>
      <c r="N12" s="237" t="s">
        <v>482</v>
      </c>
      <c r="O12" s="236" t="s">
        <v>217</v>
      </c>
      <c r="P12" s="238">
        <v>40412</v>
      </c>
      <c r="Q12" s="237"/>
      <c r="R12" s="236" t="s">
        <v>483</v>
      </c>
      <c r="S12" s="238">
        <v>42876</v>
      </c>
      <c r="T12" s="239"/>
      <c r="U12" s="240"/>
    </row>
    <row r="13" spans="1:21" ht="15.75">
      <c r="A13" s="210">
        <v>7</v>
      </c>
      <c r="B13" s="234">
        <v>3.2037037037037037E-2</v>
      </c>
      <c r="C13" s="217">
        <f t="shared" ref="C13:C75" si="4">B13*1440</f>
        <v>46.133333333333333</v>
      </c>
      <c r="D13" s="217">
        <f t="shared" si="0"/>
        <v>38.365786431937408</v>
      </c>
      <c r="E13" s="232">
        <f t="shared" si="1"/>
        <v>0.74980000000000002</v>
      </c>
      <c r="F13" s="217">
        <v>38.365786431937408</v>
      </c>
      <c r="G13" s="217">
        <v>46.133333333333297</v>
      </c>
      <c r="H13" s="145">
        <f t="shared" si="2"/>
        <v>0</v>
      </c>
      <c r="I13" s="210">
        <v>7</v>
      </c>
      <c r="J13" s="229">
        <f t="shared" ref="J13:J76" si="5">100*(+F13/+C13)</f>
        <v>83.162831861135999</v>
      </c>
      <c r="K13" s="230">
        <f t="shared" si="3"/>
        <v>83.162831861135999</v>
      </c>
      <c r="L13" s="235" t="s">
        <v>412</v>
      </c>
      <c r="M13" s="236" t="s">
        <v>484</v>
      </c>
      <c r="N13" s="237" t="s">
        <v>485</v>
      </c>
      <c r="O13" s="236" t="s">
        <v>217</v>
      </c>
      <c r="P13" s="238">
        <v>39042</v>
      </c>
      <c r="Q13" s="237"/>
      <c r="R13" s="236" t="s">
        <v>486</v>
      </c>
      <c r="S13" s="238">
        <v>41917</v>
      </c>
      <c r="T13" s="239"/>
      <c r="U13" s="240"/>
    </row>
    <row r="14" spans="1:21" ht="15.75">
      <c r="A14" s="210">
        <v>8</v>
      </c>
      <c r="B14" s="234">
        <v>3.1724537037037037E-2</v>
      </c>
      <c r="C14" s="217">
        <f t="shared" si="4"/>
        <v>45.683333333333337</v>
      </c>
      <c r="D14" s="217">
        <f>E$4/E14</f>
        <v>36.908733213583105</v>
      </c>
      <c r="E14" s="232">
        <f t="shared" si="1"/>
        <v>0.77939999999999998</v>
      </c>
      <c r="F14" s="217">
        <v>36.908733213583105</v>
      </c>
      <c r="G14" s="217">
        <v>45.683333333333323</v>
      </c>
      <c r="H14" s="145">
        <f t="shared" si="2"/>
        <v>0</v>
      </c>
      <c r="I14" s="210">
        <v>8</v>
      </c>
      <c r="J14" s="229">
        <f t="shared" si="5"/>
        <v>80.792557198649618</v>
      </c>
      <c r="K14" s="230">
        <f t="shared" si="3"/>
        <v>80.792557198649618</v>
      </c>
      <c r="L14" s="235" t="s">
        <v>413</v>
      </c>
      <c r="M14" s="236" t="s">
        <v>487</v>
      </c>
      <c r="N14" s="237" t="s">
        <v>488</v>
      </c>
      <c r="O14" s="236" t="s">
        <v>217</v>
      </c>
      <c r="P14" s="238">
        <v>38897</v>
      </c>
      <c r="Q14" s="237"/>
      <c r="R14" s="236" t="s">
        <v>489</v>
      </c>
      <c r="S14" s="238">
        <v>42021</v>
      </c>
      <c r="T14" s="239"/>
      <c r="U14" s="240"/>
    </row>
    <row r="15" spans="1:21" ht="15.75">
      <c r="A15" s="210">
        <v>9</v>
      </c>
      <c r="B15" s="234">
        <v>2.6122685185185186E-2</v>
      </c>
      <c r="C15" s="217">
        <f t="shared" si="4"/>
        <v>37.616666666666667</v>
      </c>
      <c r="D15" s="217">
        <f t="shared" si="0"/>
        <v>35.637594978526593</v>
      </c>
      <c r="E15" s="232">
        <f t="shared" si="1"/>
        <v>0.80720000000000003</v>
      </c>
      <c r="F15" s="217">
        <v>35.637594978526593</v>
      </c>
      <c r="G15" s="217">
        <v>37.61666666666666</v>
      </c>
      <c r="H15" s="145">
        <f t="shared" si="2"/>
        <v>0</v>
      </c>
      <c r="I15" s="210">
        <v>9</v>
      </c>
      <c r="J15" s="229">
        <f t="shared" si="5"/>
        <v>94.738843540611242</v>
      </c>
      <c r="K15" s="230">
        <f t="shared" si="3"/>
        <v>94.738843540611242</v>
      </c>
      <c r="L15" s="235" t="s">
        <v>414</v>
      </c>
      <c r="M15" s="236" t="s">
        <v>490</v>
      </c>
      <c r="N15" s="237" t="s">
        <v>491</v>
      </c>
      <c r="O15" s="236" t="s">
        <v>217</v>
      </c>
      <c r="P15" s="238">
        <v>28075</v>
      </c>
      <c r="Q15" s="237"/>
      <c r="R15" s="236" t="s">
        <v>492</v>
      </c>
      <c r="S15" s="238">
        <v>31472</v>
      </c>
      <c r="T15" s="239"/>
      <c r="U15" s="240"/>
    </row>
    <row r="16" spans="1:21" ht="15.75">
      <c r="A16" s="210">
        <v>10</v>
      </c>
      <c r="B16" s="234">
        <v>2.5034722222222222E-2</v>
      </c>
      <c r="C16" s="217">
        <f t="shared" si="4"/>
        <v>36.049999999999997</v>
      </c>
      <c r="D16" s="217">
        <f t="shared" si="0"/>
        <v>34.521380855234213</v>
      </c>
      <c r="E16" s="232">
        <f t="shared" si="1"/>
        <v>0.83330000000000004</v>
      </c>
      <c r="F16" s="217">
        <v>34.521380855234213</v>
      </c>
      <c r="G16" s="217">
        <v>36.049999999999997</v>
      </c>
      <c r="H16" s="145">
        <f t="shared" si="2"/>
        <v>0</v>
      </c>
      <c r="I16" s="210">
        <v>10</v>
      </c>
      <c r="J16" s="229">
        <f t="shared" si="5"/>
        <v>95.759724979845259</v>
      </c>
      <c r="K16" s="230">
        <f t="shared" si="3"/>
        <v>95.759724979845259</v>
      </c>
      <c r="L16" s="235" t="s">
        <v>415</v>
      </c>
      <c r="M16" s="236" t="s">
        <v>490</v>
      </c>
      <c r="N16" s="237" t="s">
        <v>491</v>
      </c>
      <c r="O16" s="236" t="s">
        <v>217</v>
      </c>
      <c r="P16" s="238">
        <v>28075</v>
      </c>
      <c r="Q16" s="237"/>
      <c r="R16" s="236" t="s">
        <v>493</v>
      </c>
      <c r="S16" s="238">
        <v>31802</v>
      </c>
      <c r="T16" s="239"/>
      <c r="U16" s="240"/>
    </row>
    <row r="17" spans="1:21" ht="15.75">
      <c r="A17" s="210">
        <v>11</v>
      </c>
      <c r="B17" s="234">
        <v>2.5335648148148149E-2</v>
      </c>
      <c r="C17" s="217">
        <f t="shared" si="4"/>
        <v>36.483333333333334</v>
      </c>
      <c r="D17" s="217">
        <f t="shared" si="0"/>
        <v>33.551045797371899</v>
      </c>
      <c r="E17" s="232">
        <f t="shared" si="1"/>
        <v>0.85740000000000005</v>
      </c>
      <c r="F17" s="217">
        <v>33.551045797371899</v>
      </c>
      <c r="G17" s="217">
        <v>36.483333333333299</v>
      </c>
      <c r="H17" s="145">
        <f t="shared" si="2"/>
        <v>0</v>
      </c>
      <c r="I17" s="210">
        <v>11</v>
      </c>
      <c r="J17" s="229">
        <f t="shared" si="5"/>
        <v>91.962665502161428</v>
      </c>
      <c r="K17" s="230">
        <f t="shared" si="3"/>
        <v>91.962665502161428</v>
      </c>
      <c r="L17" s="235" t="s">
        <v>416</v>
      </c>
      <c r="M17" s="236" t="s">
        <v>494</v>
      </c>
      <c r="N17" s="237" t="s">
        <v>495</v>
      </c>
      <c r="O17" s="236" t="s">
        <v>496</v>
      </c>
      <c r="P17" s="238">
        <v>36838</v>
      </c>
      <c r="Q17" s="237"/>
      <c r="R17" s="236" t="s">
        <v>497</v>
      </c>
      <c r="S17" s="238">
        <v>41167</v>
      </c>
      <c r="T17" s="239"/>
      <c r="U17" s="240"/>
    </row>
    <row r="18" spans="1:21" ht="15.75">
      <c r="A18" s="210">
        <v>12</v>
      </c>
      <c r="B18" s="234">
        <v>2.3935185185185184E-2</v>
      </c>
      <c r="C18" s="217">
        <f t="shared" si="4"/>
        <v>34.466666666666669</v>
      </c>
      <c r="D18" s="217">
        <f t="shared" si="0"/>
        <v>32.696825035993029</v>
      </c>
      <c r="E18" s="232">
        <f t="shared" si="1"/>
        <v>0.87980000000000003</v>
      </c>
      <c r="F18" s="217">
        <v>32.696825035993029</v>
      </c>
      <c r="G18" s="217">
        <v>34.466666666666669</v>
      </c>
      <c r="H18" s="145">
        <f t="shared" si="2"/>
        <v>0</v>
      </c>
      <c r="I18" s="210">
        <v>12</v>
      </c>
      <c r="J18" s="229">
        <f t="shared" si="5"/>
        <v>94.865062967097757</v>
      </c>
      <c r="K18" s="230">
        <f t="shared" si="3"/>
        <v>94.865062967097757</v>
      </c>
      <c r="L18" s="235" t="s">
        <v>417</v>
      </c>
      <c r="M18" s="236" t="s">
        <v>490</v>
      </c>
      <c r="N18" s="237" t="s">
        <v>491</v>
      </c>
      <c r="O18" s="236" t="s">
        <v>217</v>
      </c>
      <c r="P18" s="238">
        <v>28075</v>
      </c>
      <c r="Q18" s="237"/>
      <c r="R18" s="236" t="s">
        <v>498</v>
      </c>
      <c r="S18" s="238">
        <v>32536</v>
      </c>
      <c r="T18" s="239"/>
      <c r="U18" s="240"/>
    </row>
    <row r="19" spans="1:21" ht="15.75">
      <c r="A19" s="210">
        <v>13</v>
      </c>
      <c r="B19" s="234">
        <v>2.4814814814814814E-2</v>
      </c>
      <c r="C19" s="217">
        <f t="shared" si="4"/>
        <v>35.733333333333334</v>
      </c>
      <c r="D19" s="217">
        <f t="shared" si="0"/>
        <v>31.948763512512961</v>
      </c>
      <c r="E19" s="232">
        <f t="shared" si="1"/>
        <v>0.90039999999999998</v>
      </c>
      <c r="F19" s="217">
        <v>31.948763512512961</v>
      </c>
      <c r="G19" s="217">
        <v>35.733333333333334</v>
      </c>
      <c r="H19" s="145">
        <f t="shared" si="2"/>
        <v>0</v>
      </c>
      <c r="I19" s="210">
        <v>13</v>
      </c>
      <c r="J19" s="229">
        <f t="shared" si="5"/>
        <v>89.408853113375812</v>
      </c>
      <c r="K19" s="230">
        <f t="shared" si="3"/>
        <v>89.408853113375812</v>
      </c>
      <c r="L19" s="235" t="s">
        <v>418</v>
      </c>
      <c r="M19" s="236" t="s">
        <v>494</v>
      </c>
      <c r="N19" s="237" t="s">
        <v>495</v>
      </c>
      <c r="O19" s="236" t="s">
        <v>496</v>
      </c>
      <c r="P19" s="238">
        <v>36838</v>
      </c>
      <c r="Q19" s="237"/>
      <c r="R19" s="236" t="s">
        <v>499</v>
      </c>
      <c r="S19" s="238">
        <v>41923</v>
      </c>
      <c r="T19" s="239"/>
      <c r="U19" s="240"/>
    </row>
    <row r="20" spans="1:21" ht="15.75">
      <c r="A20" s="210">
        <v>14</v>
      </c>
      <c r="B20" s="234">
        <v>2.3101851851851853E-2</v>
      </c>
      <c r="C20" s="217">
        <f t="shared" si="4"/>
        <v>33.266666666666666</v>
      </c>
      <c r="D20" s="217">
        <f t="shared" si="0"/>
        <v>31.2987342690313</v>
      </c>
      <c r="E20" s="232">
        <f t="shared" si="1"/>
        <v>0.91910000000000003</v>
      </c>
      <c r="F20" s="217">
        <v>31.2987342690313</v>
      </c>
      <c r="G20" s="217">
        <v>33.266666666666666</v>
      </c>
      <c r="H20" s="145">
        <f t="shared" si="2"/>
        <v>0</v>
      </c>
      <c r="I20" s="210">
        <v>14</v>
      </c>
      <c r="J20" s="229">
        <f t="shared" si="5"/>
        <v>94.084371550194291</v>
      </c>
      <c r="K20" s="230">
        <f t="shared" si="3"/>
        <v>94.084371550194291</v>
      </c>
      <c r="L20" s="235" t="s">
        <v>419</v>
      </c>
      <c r="M20" s="236" t="s">
        <v>500</v>
      </c>
      <c r="N20" s="237" t="s">
        <v>501</v>
      </c>
      <c r="O20" s="236" t="s">
        <v>502</v>
      </c>
      <c r="P20" s="238">
        <v>31168</v>
      </c>
      <c r="Q20" s="237"/>
      <c r="R20" s="236" t="s">
        <v>503</v>
      </c>
      <c r="S20" s="238">
        <v>36443</v>
      </c>
      <c r="T20" s="239"/>
      <c r="U20" s="240"/>
    </row>
    <row r="21" spans="1:21" ht="15.75">
      <c r="A21" s="210">
        <v>15</v>
      </c>
      <c r="B21" s="234">
        <v>2.3136574074074073E-2</v>
      </c>
      <c r="C21" s="217">
        <f t="shared" si="4"/>
        <v>33.316666666666663</v>
      </c>
      <c r="D21" s="217">
        <f>E$4/E21</f>
        <v>30.733618233618234</v>
      </c>
      <c r="E21" s="232">
        <f t="shared" si="1"/>
        <v>0.93600000000000005</v>
      </c>
      <c r="F21" s="217">
        <v>30.733618233618234</v>
      </c>
      <c r="G21" s="217">
        <v>33.31666666666667</v>
      </c>
      <c r="H21" s="145">
        <f t="shared" si="2"/>
        <v>0</v>
      </c>
      <c r="I21" s="210">
        <v>15</v>
      </c>
      <c r="J21" s="229">
        <f t="shared" si="5"/>
        <v>92.246978189949687</v>
      </c>
      <c r="K21" s="230">
        <f t="shared" si="3"/>
        <v>92.246978189949687</v>
      </c>
      <c r="L21" s="235" t="s">
        <v>420</v>
      </c>
      <c r="M21" s="236" t="s">
        <v>504</v>
      </c>
      <c r="N21" s="237" t="s">
        <v>505</v>
      </c>
      <c r="O21" s="236" t="s">
        <v>263</v>
      </c>
      <c r="P21" s="238">
        <v>31963</v>
      </c>
      <c r="Q21" s="237"/>
      <c r="R21" s="236" t="s">
        <v>506</v>
      </c>
      <c r="S21" s="238">
        <v>37794</v>
      </c>
      <c r="T21" s="239"/>
      <c r="U21" s="240"/>
    </row>
    <row r="22" spans="1:21" ht="15.75">
      <c r="A22" s="210">
        <v>16</v>
      </c>
      <c r="B22" s="234">
        <v>2.2708333333333334E-2</v>
      </c>
      <c r="C22" s="217">
        <f t="shared" si="4"/>
        <v>32.700000000000003</v>
      </c>
      <c r="D22" s="217">
        <f t="shared" si="0"/>
        <v>30.217086834733898</v>
      </c>
      <c r="E22" s="232">
        <f t="shared" si="1"/>
        <v>0.95199999999999996</v>
      </c>
      <c r="F22" s="217">
        <v>30.217086834733898</v>
      </c>
      <c r="G22" s="217">
        <v>32.700000000000003</v>
      </c>
      <c r="H22" s="145">
        <f t="shared" si="2"/>
        <v>0</v>
      </c>
      <c r="I22" s="210">
        <v>16</v>
      </c>
      <c r="J22" s="229">
        <f t="shared" si="5"/>
        <v>92.406993378391121</v>
      </c>
      <c r="K22" s="230">
        <f t="shared" si="3"/>
        <v>92.406993378391121</v>
      </c>
      <c r="L22" s="235" t="s">
        <v>421</v>
      </c>
      <c r="M22" s="236" t="s">
        <v>507</v>
      </c>
      <c r="N22" s="237" t="s">
        <v>508</v>
      </c>
      <c r="O22" s="236" t="s">
        <v>509</v>
      </c>
      <c r="P22" s="238">
        <v>33038</v>
      </c>
      <c r="Q22" s="237"/>
      <c r="R22" s="236" t="s">
        <v>510</v>
      </c>
      <c r="S22" s="238">
        <v>39201</v>
      </c>
      <c r="T22" s="239"/>
      <c r="U22" s="240"/>
    </row>
    <row r="23" spans="1:21" ht="15.75">
      <c r="A23" s="210">
        <v>17</v>
      </c>
      <c r="B23" s="234">
        <v>2.1898148148148149E-2</v>
      </c>
      <c r="C23" s="217">
        <f t="shared" si="4"/>
        <v>31.533333333333335</v>
      </c>
      <c r="D23" s="217">
        <f t="shared" si="0"/>
        <v>29.717630853994493</v>
      </c>
      <c r="E23" s="232">
        <f t="shared" si="1"/>
        <v>0.96799999999999997</v>
      </c>
      <c r="F23" s="217">
        <v>29.717630853994493</v>
      </c>
      <c r="G23" s="217">
        <v>31.533333333333335</v>
      </c>
      <c r="H23" s="145">
        <f t="shared" si="2"/>
        <v>0</v>
      </c>
      <c r="I23" s="210">
        <v>17</v>
      </c>
      <c r="J23" s="229">
        <f t="shared" si="5"/>
        <v>94.241958310764772</v>
      </c>
      <c r="K23" s="230">
        <f t="shared" si="3"/>
        <v>94.241958310764772</v>
      </c>
      <c r="L23" s="235" t="s">
        <v>422</v>
      </c>
      <c r="M23" s="236" t="s">
        <v>511</v>
      </c>
      <c r="N23" s="237" t="s">
        <v>512</v>
      </c>
      <c r="O23" s="236" t="s">
        <v>244</v>
      </c>
      <c r="P23" s="238">
        <v>34251</v>
      </c>
      <c r="Q23" s="237"/>
      <c r="R23" s="236" t="s">
        <v>513</v>
      </c>
      <c r="S23" s="238">
        <v>40811</v>
      </c>
      <c r="T23" s="239"/>
      <c r="U23" s="240"/>
    </row>
    <row r="24" spans="1:21" ht="15.75">
      <c r="A24" s="210">
        <v>18</v>
      </c>
      <c r="B24" s="234">
        <v>2.1863425925925925E-2</v>
      </c>
      <c r="C24" s="217">
        <f t="shared" si="4"/>
        <v>31.483333333333331</v>
      </c>
      <c r="D24" s="217">
        <f t="shared" si="0"/>
        <v>29.293957909029196</v>
      </c>
      <c r="E24" s="232">
        <f t="shared" si="1"/>
        <v>0.98199999999999998</v>
      </c>
      <c r="F24" s="217">
        <v>29.293957909029196</v>
      </c>
      <c r="G24" s="217">
        <v>31.483333333333331</v>
      </c>
      <c r="H24" s="145">
        <f t="shared" si="2"/>
        <v>0</v>
      </c>
      <c r="I24" s="210">
        <v>18</v>
      </c>
      <c r="J24" s="229">
        <f t="shared" si="5"/>
        <v>93.045922421479716</v>
      </c>
      <c r="K24" s="230">
        <f t="shared" si="3"/>
        <v>93.045922421479716</v>
      </c>
      <c r="L24" s="235" t="s">
        <v>423</v>
      </c>
      <c r="M24" s="236" t="s">
        <v>507</v>
      </c>
      <c r="N24" s="237" t="s">
        <v>508</v>
      </c>
      <c r="O24" s="236" t="s">
        <v>509</v>
      </c>
      <c r="P24" s="238">
        <v>33038</v>
      </c>
      <c r="Q24" s="237"/>
      <c r="R24" s="236" t="s">
        <v>510</v>
      </c>
      <c r="S24" s="238">
        <v>39936</v>
      </c>
      <c r="T24" s="239"/>
      <c r="U24" s="240"/>
    </row>
    <row r="25" spans="1:21" ht="15.75">
      <c r="A25" s="210">
        <v>19</v>
      </c>
      <c r="B25" s="234">
        <v>2.1608796296296296E-2</v>
      </c>
      <c r="C25" s="217">
        <f t="shared" si="4"/>
        <v>31.116666666666667</v>
      </c>
      <c r="D25" s="217">
        <f t="shared" si="0"/>
        <v>28.998655913978496</v>
      </c>
      <c r="E25" s="232">
        <f t="shared" si="1"/>
        <v>0.99199999999999999</v>
      </c>
      <c r="F25" s="217">
        <v>28.998655913978496</v>
      </c>
      <c r="G25" s="217">
        <v>31.116666666666667</v>
      </c>
      <c r="H25" s="145">
        <f t="shared" si="2"/>
        <v>0</v>
      </c>
      <c r="I25" s="210">
        <v>19</v>
      </c>
      <c r="J25" s="229">
        <f t="shared" si="5"/>
        <v>93.193323772828592</v>
      </c>
      <c r="K25" s="230">
        <f t="shared" si="3"/>
        <v>93.193323772828592</v>
      </c>
      <c r="L25" s="235" t="s">
        <v>424</v>
      </c>
      <c r="M25" s="236" t="s">
        <v>514</v>
      </c>
      <c r="N25" s="237" t="s">
        <v>515</v>
      </c>
      <c r="O25" s="236" t="s">
        <v>248</v>
      </c>
      <c r="P25" s="238">
        <v>33050</v>
      </c>
      <c r="Q25" s="237"/>
      <c r="R25" s="236" t="s">
        <v>516</v>
      </c>
      <c r="S25" s="238">
        <v>40299</v>
      </c>
      <c r="T25" s="239"/>
      <c r="U25" s="240"/>
    </row>
    <row r="26" spans="1:21" ht="15.75">
      <c r="A26" s="210">
        <v>20</v>
      </c>
      <c r="B26" s="234">
        <v>2.1307870370370369E-2</v>
      </c>
      <c r="C26" s="217">
        <f t="shared" si="4"/>
        <v>30.683333333333334</v>
      </c>
      <c r="D26" s="217">
        <f t="shared" si="0"/>
        <v>28.82431529726119</v>
      </c>
      <c r="E26" s="232">
        <f t="shared" si="1"/>
        <v>0.998</v>
      </c>
      <c r="F26" s="217">
        <v>28.82431529726119</v>
      </c>
      <c r="G26" s="217">
        <v>30.683333333333334</v>
      </c>
      <c r="H26" s="145">
        <f t="shared" si="2"/>
        <v>0</v>
      </c>
      <c r="I26" s="210">
        <v>20</v>
      </c>
      <c r="J26" s="229">
        <f t="shared" si="5"/>
        <v>93.941277448977274</v>
      </c>
      <c r="K26" s="230">
        <f t="shared" si="3"/>
        <v>93.941277448977274</v>
      </c>
      <c r="L26" s="235" t="s">
        <v>425</v>
      </c>
      <c r="M26" s="236" t="s">
        <v>517</v>
      </c>
      <c r="N26" s="237" t="s">
        <v>518</v>
      </c>
      <c r="O26" s="236" t="s">
        <v>244</v>
      </c>
      <c r="P26" s="238">
        <v>34678</v>
      </c>
      <c r="Q26" s="237"/>
      <c r="R26" s="236" t="s">
        <v>519</v>
      </c>
      <c r="S26" s="238">
        <v>42288</v>
      </c>
      <c r="T26" s="239"/>
      <c r="U26" s="240"/>
    </row>
    <row r="27" spans="1:21" ht="15.75">
      <c r="A27" s="210">
        <v>21</v>
      </c>
      <c r="B27" s="234">
        <v>2.1469907407407406E-2</v>
      </c>
      <c r="C27" s="217">
        <f t="shared" si="4"/>
        <v>30.916666666666664</v>
      </c>
      <c r="D27" s="217">
        <f t="shared" si="0"/>
        <v>28.766666666666669</v>
      </c>
      <c r="E27" s="232">
        <f t="shared" si="1"/>
        <v>1</v>
      </c>
      <c r="F27" s="217">
        <v>28.766666666666669</v>
      </c>
      <c r="G27" s="217">
        <v>30.916666666666671</v>
      </c>
      <c r="H27" s="145">
        <f t="shared" si="2"/>
        <v>0</v>
      </c>
      <c r="I27" s="210">
        <v>21</v>
      </c>
      <c r="J27" s="229">
        <f t="shared" si="5"/>
        <v>93.045822102425888</v>
      </c>
      <c r="K27" s="230">
        <f t="shared" si="3"/>
        <v>93.045822102425888</v>
      </c>
      <c r="L27" s="235" t="s">
        <v>426</v>
      </c>
      <c r="M27" s="236" t="s">
        <v>520</v>
      </c>
      <c r="N27" s="237" t="s">
        <v>521</v>
      </c>
      <c r="O27" s="236" t="s">
        <v>244</v>
      </c>
      <c r="P27" s="238">
        <v>34239</v>
      </c>
      <c r="Q27" s="237"/>
      <c r="R27" s="236" t="s">
        <v>522</v>
      </c>
      <c r="S27" s="238">
        <v>42252</v>
      </c>
      <c r="T27" s="239"/>
      <c r="U27" s="240"/>
    </row>
    <row r="28" spans="1:21" ht="15.75">
      <c r="A28" s="210">
        <v>22</v>
      </c>
      <c r="B28" s="234">
        <v>1.9976851851851853E-2</v>
      </c>
      <c r="C28" s="217">
        <f t="shared" si="4"/>
        <v>28.766666666666669</v>
      </c>
      <c r="D28" s="217">
        <f t="shared" si="0"/>
        <v>28.766666666666669</v>
      </c>
      <c r="E28" s="232">
        <f t="shared" si="1"/>
        <v>1</v>
      </c>
      <c r="F28" s="217">
        <v>28.766666666666669</v>
      </c>
      <c r="G28" s="217">
        <v>30.100000000000005</v>
      </c>
      <c r="H28" s="145">
        <f t="shared" si="2"/>
        <v>0</v>
      </c>
      <c r="I28" s="210">
        <v>22</v>
      </c>
      <c r="J28" s="229">
        <f t="shared" si="5"/>
        <v>100</v>
      </c>
      <c r="K28" s="230">
        <f>100*(D28/C28)</f>
        <v>100</v>
      </c>
      <c r="L28" s="241" t="s">
        <v>939</v>
      </c>
      <c r="M28" s="242" t="s">
        <v>946</v>
      </c>
      <c r="N28" s="243" t="s">
        <v>947</v>
      </c>
      <c r="O28" s="243" t="s">
        <v>244</v>
      </c>
      <c r="P28" s="244">
        <v>36914</v>
      </c>
      <c r="Q28" s="243" t="s">
        <v>948</v>
      </c>
      <c r="R28" s="243" t="s">
        <v>949</v>
      </c>
      <c r="S28" s="245">
        <v>45305</v>
      </c>
      <c r="T28" s="246" t="s">
        <v>950</v>
      </c>
      <c r="U28" s="247" t="s">
        <v>950</v>
      </c>
    </row>
    <row r="29" spans="1:21" ht="15.75">
      <c r="A29" s="210">
        <v>23</v>
      </c>
      <c r="B29" s="234">
        <v>2.0104166666666666E-2</v>
      </c>
      <c r="C29" s="217">
        <f t="shared" si="4"/>
        <v>28.95</v>
      </c>
      <c r="D29" s="217">
        <f t="shared" si="0"/>
        <v>28.766666666666669</v>
      </c>
      <c r="E29" s="232">
        <f t="shared" si="1"/>
        <v>1</v>
      </c>
      <c r="F29" s="217">
        <v>28.766666666666669</v>
      </c>
      <c r="G29" s="217">
        <v>29.716666666666669</v>
      </c>
      <c r="H29" s="145">
        <f t="shared" si="2"/>
        <v>0</v>
      </c>
      <c r="I29" s="210">
        <v>23</v>
      </c>
      <c r="J29" s="229">
        <f t="shared" si="5"/>
        <v>99.366724237190567</v>
      </c>
      <c r="K29" s="230">
        <f t="shared" ref="K29:K92" si="6">100*(D29/C29)</f>
        <v>99.366724237190567</v>
      </c>
      <c r="L29" s="235" t="s">
        <v>940</v>
      </c>
      <c r="M29" s="236" t="s">
        <v>951</v>
      </c>
      <c r="N29" s="237" t="s">
        <v>952</v>
      </c>
      <c r="O29" s="236" t="s">
        <v>244</v>
      </c>
      <c r="P29" s="238">
        <v>36618</v>
      </c>
      <c r="Q29" s="236" t="s">
        <v>948</v>
      </c>
      <c r="R29" s="236" t="s">
        <v>949</v>
      </c>
      <c r="S29" s="238">
        <v>45305</v>
      </c>
      <c r="T29" s="239"/>
      <c r="U29" s="240"/>
    </row>
    <row r="30" spans="1:21" ht="15.75">
      <c r="A30" s="210">
        <v>24</v>
      </c>
      <c r="B30" s="234">
        <v>2.1284722222222222E-2</v>
      </c>
      <c r="C30" s="217">
        <f t="shared" si="4"/>
        <v>30.65</v>
      </c>
      <c r="D30" s="217">
        <f t="shared" si="0"/>
        <v>28.766666666666669</v>
      </c>
      <c r="E30" s="232">
        <f t="shared" si="1"/>
        <v>1</v>
      </c>
      <c r="F30" s="217">
        <v>28.766666666666669</v>
      </c>
      <c r="G30" s="217">
        <v>30.65</v>
      </c>
      <c r="H30" s="145">
        <f t="shared" si="2"/>
        <v>0</v>
      </c>
      <c r="I30" s="210">
        <v>24</v>
      </c>
      <c r="J30" s="229">
        <f t="shared" si="5"/>
        <v>93.855356171832526</v>
      </c>
      <c r="K30" s="230">
        <f t="shared" si="6"/>
        <v>93.855356171832526</v>
      </c>
      <c r="L30" s="235" t="s">
        <v>427</v>
      </c>
      <c r="M30" s="236" t="s">
        <v>523</v>
      </c>
      <c r="N30" s="237" t="s">
        <v>524</v>
      </c>
      <c r="O30" s="236" t="s">
        <v>314</v>
      </c>
      <c r="P30" s="238">
        <v>23521</v>
      </c>
      <c r="Q30" s="237"/>
      <c r="R30" s="236" t="s">
        <v>525</v>
      </c>
      <c r="S30" s="238">
        <v>32578</v>
      </c>
      <c r="T30" s="239"/>
      <c r="U30" s="240"/>
    </row>
    <row r="31" spans="1:21" ht="15.75">
      <c r="A31" s="210">
        <v>25</v>
      </c>
      <c r="B31" s="234">
        <v>2.0844907407407406E-2</v>
      </c>
      <c r="C31" s="217">
        <f t="shared" si="4"/>
        <v>30.016666666666666</v>
      </c>
      <c r="D31" s="217">
        <f t="shared" si="0"/>
        <v>28.766666666666669</v>
      </c>
      <c r="E31" s="232">
        <f t="shared" si="1"/>
        <v>1</v>
      </c>
      <c r="F31" s="217">
        <v>28.766666666666669</v>
      </c>
      <c r="G31" s="217">
        <v>30.399999999999995</v>
      </c>
      <c r="H31" s="145">
        <f t="shared" si="2"/>
        <v>0</v>
      </c>
      <c r="I31" s="210">
        <v>25</v>
      </c>
      <c r="J31" s="229">
        <f t="shared" si="5"/>
        <v>95.835646862853991</v>
      </c>
      <c r="K31" s="230">
        <f t="shared" si="6"/>
        <v>95.835646862853991</v>
      </c>
      <c r="L31" s="235" t="s">
        <v>941</v>
      </c>
      <c r="M31" s="236" t="s">
        <v>946</v>
      </c>
      <c r="N31" s="237" t="s">
        <v>953</v>
      </c>
      <c r="O31" s="236" t="s">
        <v>244</v>
      </c>
      <c r="P31" s="238">
        <v>34995</v>
      </c>
      <c r="Q31" s="248" t="s">
        <v>954</v>
      </c>
      <c r="R31" s="249" t="s">
        <v>955</v>
      </c>
      <c r="S31" s="238">
        <v>44451</v>
      </c>
      <c r="T31" s="239"/>
      <c r="U31" s="240"/>
    </row>
    <row r="32" spans="1:21" ht="15.75">
      <c r="A32" s="210">
        <v>26</v>
      </c>
      <c r="B32" s="234">
        <v>2.1122685185185185E-2</v>
      </c>
      <c r="C32" s="217">
        <f t="shared" si="4"/>
        <v>30.416666666666668</v>
      </c>
      <c r="D32" s="217">
        <f t="shared" si="0"/>
        <v>28.766666666666669</v>
      </c>
      <c r="E32" s="232">
        <f t="shared" si="1"/>
        <v>1</v>
      </c>
      <c r="F32" s="217">
        <v>28.766666666666669</v>
      </c>
      <c r="G32" s="217">
        <v>30.416666666666668</v>
      </c>
      <c r="H32" s="145">
        <f t="shared" si="2"/>
        <v>0</v>
      </c>
      <c r="I32" s="210">
        <v>26</v>
      </c>
      <c r="J32" s="229">
        <f t="shared" si="5"/>
        <v>94.575342465753437</v>
      </c>
      <c r="K32" s="230">
        <f t="shared" si="6"/>
        <v>94.575342465753437</v>
      </c>
      <c r="L32" s="235" t="s">
        <v>428</v>
      </c>
      <c r="M32" s="236" t="s">
        <v>526</v>
      </c>
      <c r="N32" s="237" t="s">
        <v>527</v>
      </c>
      <c r="O32" s="236" t="s">
        <v>244</v>
      </c>
      <c r="P32" s="238">
        <v>33169</v>
      </c>
      <c r="Q32" s="237"/>
      <c r="R32" s="236" t="s">
        <v>522</v>
      </c>
      <c r="S32" s="238">
        <v>42987</v>
      </c>
      <c r="T32" s="239"/>
      <c r="U32" s="240"/>
    </row>
    <row r="33" spans="1:21" ht="15.75">
      <c r="A33" s="210">
        <v>27</v>
      </c>
      <c r="B33" s="234">
        <v>2.1377314814814814E-2</v>
      </c>
      <c r="C33" s="217">
        <f t="shared" si="4"/>
        <v>30.783333333333331</v>
      </c>
      <c r="D33" s="217">
        <f t="shared" si="0"/>
        <v>28.766666666666669</v>
      </c>
      <c r="E33" s="232">
        <f t="shared" ref="E33:E64" si="7">ROUND(1-IF(A33&lt;I$3,0,IF(A33&lt;I$4,G$3*(A33-I$3)^2,G$2+G$4*(A33-I$4)+(A33&gt;I$5)*G$5*(A33-I$5)^2)),4)</f>
        <v>1</v>
      </c>
      <c r="F33" s="217">
        <v>28.766666666666669</v>
      </c>
      <c r="G33" s="217">
        <v>30.783333333333339</v>
      </c>
      <c r="H33" s="145">
        <f t="shared" si="2"/>
        <v>0</v>
      </c>
      <c r="I33" s="210">
        <v>27</v>
      </c>
      <c r="J33" s="229">
        <f t="shared" si="5"/>
        <v>93.448835950189519</v>
      </c>
      <c r="K33" s="230">
        <f t="shared" si="6"/>
        <v>93.448835950189519</v>
      </c>
      <c r="L33" s="235" t="s">
        <v>429</v>
      </c>
      <c r="M33" s="236" t="s">
        <v>257</v>
      </c>
      <c r="N33" s="237" t="s">
        <v>528</v>
      </c>
      <c r="O33" s="236" t="s">
        <v>259</v>
      </c>
      <c r="P33" s="238">
        <v>27015</v>
      </c>
      <c r="Q33" s="237"/>
      <c r="R33" s="236" t="s">
        <v>529</v>
      </c>
      <c r="S33" s="238">
        <v>37051</v>
      </c>
      <c r="T33" s="239"/>
      <c r="U33" s="240"/>
    </row>
    <row r="34" spans="1:21" ht="15.75">
      <c r="A34" s="210">
        <v>28</v>
      </c>
      <c r="B34" s="234">
        <v>2.1180555555555557E-2</v>
      </c>
      <c r="C34" s="217">
        <f t="shared" si="4"/>
        <v>30.5</v>
      </c>
      <c r="D34" s="217">
        <f t="shared" si="0"/>
        <v>28.772421150896847</v>
      </c>
      <c r="E34" s="232">
        <f t="shared" si="7"/>
        <v>0.99980000000000002</v>
      </c>
      <c r="F34" s="217">
        <v>28.772421150896847</v>
      </c>
      <c r="G34" s="217">
        <v>30.499999999999996</v>
      </c>
      <c r="H34" s="145">
        <f t="shared" si="2"/>
        <v>0</v>
      </c>
      <c r="I34" s="210">
        <v>28</v>
      </c>
      <c r="J34" s="229">
        <f t="shared" si="5"/>
        <v>94.335807052120813</v>
      </c>
      <c r="K34" s="230">
        <f t="shared" si="6"/>
        <v>94.335807052120813</v>
      </c>
      <c r="L34" s="235" t="s">
        <v>430</v>
      </c>
      <c r="M34" s="236" t="s">
        <v>246</v>
      </c>
      <c r="N34" s="237" t="s">
        <v>530</v>
      </c>
      <c r="O34" s="236" t="s">
        <v>248</v>
      </c>
      <c r="P34" s="238">
        <v>31199</v>
      </c>
      <c r="Q34" s="237"/>
      <c r="R34" s="236" t="s">
        <v>531</v>
      </c>
      <c r="S34" s="238">
        <v>41518</v>
      </c>
      <c r="T34" s="239"/>
      <c r="U34" s="240"/>
    </row>
    <row r="35" spans="1:21" ht="15.75">
      <c r="A35" s="210">
        <v>29</v>
      </c>
      <c r="B35" s="234">
        <v>2.1076388888888888E-2</v>
      </c>
      <c r="C35" s="217">
        <f t="shared" si="4"/>
        <v>30.349999999999998</v>
      </c>
      <c r="D35" s="217">
        <f t="shared" si="0"/>
        <v>28.79257998865646</v>
      </c>
      <c r="E35" s="232">
        <f t="shared" si="7"/>
        <v>0.99909999999999999</v>
      </c>
      <c r="F35" s="217">
        <v>28.79257998865646</v>
      </c>
      <c r="G35" s="217">
        <v>30.35</v>
      </c>
      <c r="H35" s="145">
        <f t="shared" si="2"/>
        <v>0</v>
      </c>
      <c r="I35" s="210">
        <v>29</v>
      </c>
      <c r="J35" s="229">
        <f t="shared" si="5"/>
        <v>94.868467837418322</v>
      </c>
      <c r="K35" s="230">
        <f t="shared" si="6"/>
        <v>94.868467837418322</v>
      </c>
      <c r="L35" s="235" t="s">
        <v>431</v>
      </c>
      <c r="M35" s="236" t="s">
        <v>257</v>
      </c>
      <c r="N35" s="237" t="s">
        <v>528</v>
      </c>
      <c r="O35" s="236" t="s">
        <v>259</v>
      </c>
      <c r="P35" s="238">
        <v>27015</v>
      </c>
      <c r="Q35" s="237"/>
      <c r="R35" s="236" t="s">
        <v>532</v>
      </c>
      <c r="S35" s="238">
        <v>37675</v>
      </c>
      <c r="T35" s="239"/>
      <c r="U35" s="240"/>
    </row>
    <row r="36" spans="1:21" ht="15.75">
      <c r="A36" s="210">
        <v>30</v>
      </c>
      <c r="B36" s="234">
        <v>2.0578703703703703E-2</v>
      </c>
      <c r="C36" s="217">
        <f t="shared" si="4"/>
        <v>29.633333333333333</v>
      </c>
      <c r="D36" s="217">
        <f t="shared" si="0"/>
        <v>28.82431529726119</v>
      </c>
      <c r="E36" s="232">
        <f t="shared" si="7"/>
        <v>0.998</v>
      </c>
      <c r="F36" s="217">
        <v>28.82431529726119</v>
      </c>
      <c r="G36" s="217">
        <v>30.749999999999996</v>
      </c>
      <c r="H36" s="145">
        <f t="shared" si="2"/>
        <v>0</v>
      </c>
      <c r="I36" s="210">
        <v>30</v>
      </c>
      <c r="J36" s="229">
        <f t="shared" si="5"/>
        <v>97.269905390082755</v>
      </c>
      <c r="K36" s="230">
        <f t="shared" si="6"/>
        <v>97.269905390082755</v>
      </c>
      <c r="L36" s="235" t="s">
        <v>942</v>
      </c>
      <c r="M36" s="236" t="s">
        <v>956</v>
      </c>
      <c r="N36" s="237" t="s">
        <v>957</v>
      </c>
      <c r="O36" s="236" t="s">
        <v>754</v>
      </c>
      <c r="P36" s="250">
        <v>33366</v>
      </c>
      <c r="Q36" s="248" t="s">
        <v>958</v>
      </c>
      <c r="R36" s="249" t="s">
        <v>959</v>
      </c>
      <c r="S36" s="238">
        <v>44472</v>
      </c>
      <c r="T36" s="239"/>
      <c r="U36" s="240"/>
    </row>
    <row r="37" spans="1:21" ht="15.75">
      <c r="A37" s="210">
        <v>31</v>
      </c>
      <c r="B37" s="234">
        <v>2.1412037037037038E-2</v>
      </c>
      <c r="C37" s="217">
        <f t="shared" si="4"/>
        <v>30.833333333333336</v>
      </c>
      <c r="D37" s="217">
        <f t="shared" si="0"/>
        <v>28.870600829653423</v>
      </c>
      <c r="E37" s="232">
        <f t="shared" si="7"/>
        <v>0.99639999999999995</v>
      </c>
      <c r="F37" s="217">
        <v>28.870600829653423</v>
      </c>
      <c r="G37" s="217">
        <v>30.833333333333329</v>
      </c>
      <c r="H37" s="145">
        <f t="shared" si="2"/>
        <v>0</v>
      </c>
      <c r="I37" s="210">
        <v>31</v>
      </c>
      <c r="J37" s="229">
        <f t="shared" si="5"/>
        <v>93.634381069146229</v>
      </c>
      <c r="K37" s="230">
        <f t="shared" si="6"/>
        <v>93.634381069146229</v>
      </c>
      <c r="L37" s="235" t="s">
        <v>432</v>
      </c>
      <c r="M37" s="236" t="s">
        <v>265</v>
      </c>
      <c r="N37" s="237" t="s">
        <v>533</v>
      </c>
      <c r="O37" s="236" t="s">
        <v>266</v>
      </c>
      <c r="P37" s="238">
        <v>27150</v>
      </c>
      <c r="Q37" s="237"/>
      <c r="R37" s="236" t="s">
        <v>532</v>
      </c>
      <c r="S37" s="238">
        <v>38774</v>
      </c>
      <c r="T37" s="239"/>
      <c r="U37" s="240"/>
    </row>
    <row r="38" spans="1:21" ht="15.75">
      <c r="A38" s="210">
        <v>32</v>
      </c>
      <c r="B38" s="234">
        <v>2.148148148148148E-2</v>
      </c>
      <c r="C38" s="217">
        <f t="shared" si="4"/>
        <v>30.93333333333333</v>
      </c>
      <c r="D38" s="217">
        <f t="shared" si="0"/>
        <v>28.928667203003489</v>
      </c>
      <c r="E38" s="232">
        <f t="shared" si="7"/>
        <v>0.99439999999999995</v>
      </c>
      <c r="F38" s="217">
        <v>28.928667203003489</v>
      </c>
      <c r="G38" s="217">
        <v>30.93333333333333</v>
      </c>
      <c r="H38" s="145">
        <f t="shared" si="2"/>
        <v>0</v>
      </c>
      <c r="I38" s="210">
        <v>32</v>
      </c>
      <c r="J38" s="229">
        <f t="shared" si="5"/>
        <v>93.519398285571626</v>
      </c>
      <c r="K38" s="230">
        <f t="shared" si="6"/>
        <v>93.519398285571626</v>
      </c>
      <c r="L38" s="235" t="s">
        <v>433</v>
      </c>
      <c r="M38" s="236" t="s">
        <v>517</v>
      </c>
      <c r="N38" s="237" t="s">
        <v>534</v>
      </c>
      <c r="O38" s="236" t="s">
        <v>244</v>
      </c>
      <c r="P38" s="238">
        <v>30448</v>
      </c>
      <c r="Q38" s="237"/>
      <c r="R38" s="236" t="s">
        <v>535</v>
      </c>
      <c r="S38" s="238">
        <v>42147</v>
      </c>
      <c r="T38" s="239"/>
      <c r="U38" s="240"/>
    </row>
    <row r="39" spans="1:21" ht="15.75">
      <c r="A39" s="210">
        <v>33</v>
      </c>
      <c r="B39" s="234">
        <v>2.1516203703703704E-2</v>
      </c>
      <c r="C39" s="217">
        <f t="shared" si="4"/>
        <v>30.983333333333334</v>
      </c>
      <c r="D39" s="217">
        <f t="shared" si="0"/>
        <v>28.998655913978496</v>
      </c>
      <c r="E39" s="232">
        <f t="shared" si="7"/>
        <v>0.99199999999999999</v>
      </c>
      <c r="F39" s="217">
        <v>28.998655913978496</v>
      </c>
      <c r="G39" s="217">
        <v>30.983333333333334</v>
      </c>
      <c r="H39" s="145">
        <f t="shared" si="2"/>
        <v>0</v>
      </c>
      <c r="I39" s="210">
        <v>33</v>
      </c>
      <c r="J39" s="229">
        <f t="shared" si="5"/>
        <v>93.594370889656247</v>
      </c>
      <c r="K39" s="230">
        <f t="shared" si="6"/>
        <v>93.594370889656247</v>
      </c>
      <c r="L39" s="235" t="s">
        <v>434</v>
      </c>
      <c r="M39" s="236" t="s">
        <v>536</v>
      </c>
      <c r="N39" s="237" t="s">
        <v>537</v>
      </c>
      <c r="O39" s="236" t="s">
        <v>509</v>
      </c>
      <c r="P39" s="238">
        <v>20535</v>
      </c>
      <c r="Q39" s="237"/>
      <c r="R39" s="236" t="s">
        <v>255</v>
      </c>
      <c r="S39" s="238">
        <v>32607</v>
      </c>
      <c r="T39" s="239"/>
      <c r="U39" s="240"/>
    </row>
    <row r="40" spans="1:21" ht="15.75">
      <c r="A40" s="210">
        <v>34</v>
      </c>
      <c r="B40" s="234">
        <v>2.1435185185185186E-2</v>
      </c>
      <c r="C40" s="217">
        <f t="shared" si="4"/>
        <v>30.866666666666667</v>
      </c>
      <c r="D40" s="217">
        <f t="shared" si="0"/>
        <v>29.083678765207431</v>
      </c>
      <c r="E40" s="232">
        <f t="shared" si="7"/>
        <v>0.98909999999999998</v>
      </c>
      <c r="F40" s="217">
        <v>29.083678765207431</v>
      </c>
      <c r="G40" s="217">
        <v>30.866666666666667</v>
      </c>
      <c r="H40" s="145">
        <f t="shared" si="2"/>
        <v>0</v>
      </c>
      <c r="I40" s="210">
        <v>34</v>
      </c>
      <c r="J40" s="229">
        <f t="shared" si="5"/>
        <v>94.223581312767053</v>
      </c>
      <c r="K40" s="230">
        <f t="shared" si="6"/>
        <v>94.223581312767053</v>
      </c>
      <c r="L40" s="235" t="s">
        <v>435</v>
      </c>
      <c r="M40" s="236" t="s">
        <v>538</v>
      </c>
      <c r="N40" s="237" t="s">
        <v>539</v>
      </c>
      <c r="O40" s="236" t="s">
        <v>217</v>
      </c>
      <c r="P40" s="238">
        <v>29775</v>
      </c>
      <c r="Q40" s="237"/>
      <c r="R40" s="236" t="s">
        <v>255</v>
      </c>
      <c r="S40" s="238">
        <v>42547</v>
      </c>
      <c r="T40" s="239"/>
      <c r="U40" s="240"/>
    </row>
    <row r="41" spans="1:21" ht="15.75">
      <c r="A41" s="210">
        <v>35</v>
      </c>
      <c r="B41" s="234">
        <v>2.1678240740740741E-2</v>
      </c>
      <c r="C41" s="217">
        <f t="shared" si="4"/>
        <v>31.216666666666669</v>
      </c>
      <c r="D41" s="217">
        <f t="shared" si="0"/>
        <v>29.183997835717427</v>
      </c>
      <c r="E41" s="232">
        <f t="shared" si="7"/>
        <v>0.98570000000000002</v>
      </c>
      <c r="F41" s="217">
        <v>29.183997835717427</v>
      </c>
      <c r="G41" s="217">
        <v>31.216666666666661</v>
      </c>
      <c r="H41" s="145">
        <f t="shared" si="2"/>
        <v>0</v>
      </c>
      <c r="I41" s="210">
        <v>35</v>
      </c>
      <c r="J41" s="229">
        <f t="shared" si="5"/>
        <v>93.488514156062223</v>
      </c>
      <c r="K41" s="230">
        <f t="shared" si="6"/>
        <v>93.488514156062223</v>
      </c>
      <c r="L41" s="235" t="s">
        <v>436</v>
      </c>
      <c r="M41" s="236" t="s">
        <v>261</v>
      </c>
      <c r="N41" s="237" t="s">
        <v>540</v>
      </c>
      <c r="O41" s="236" t="s">
        <v>263</v>
      </c>
      <c r="P41" s="238">
        <v>24390</v>
      </c>
      <c r="Q41" s="237"/>
      <c r="R41" s="236" t="s">
        <v>541</v>
      </c>
      <c r="S41" s="238">
        <v>37178</v>
      </c>
      <c r="T41" s="239"/>
      <c r="U41" s="240"/>
    </row>
    <row r="42" spans="1:21" ht="15.75">
      <c r="A42" s="210">
        <v>36</v>
      </c>
      <c r="B42" s="234">
        <v>2.1493055555555557E-2</v>
      </c>
      <c r="C42" s="217">
        <f t="shared" si="4"/>
        <v>30.950000000000003</v>
      </c>
      <c r="D42" s="217">
        <f t="shared" si="0"/>
        <v>29.296941304274029</v>
      </c>
      <c r="E42" s="232">
        <f t="shared" si="7"/>
        <v>0.9819</v>
      </c>
      <c r="F42" s="217">
        <v>29.296941304274029</v>
      </c>
      <c r="G42" s="217">
        <v>30.950000000000003</v>
      </c>
      <c r="H42" s="145">
        <f t="shared" si="2"/>
        <v>0</v>
      </c>
      <c r="I42" s="210">
        <v>36</v>
      </c>
      <c r="J42" s="229">
        <f t="shared" si="5"/>
        <v>94.658937978268256</v>
      </c>
      <c r="K42" s="230">
        <f t="shared" si="6"/>
        <v>94.658937978268256</v>
      </c>
      <c r="L42" s="235" t="s">
        <v>437</v>
      </c>
      <c r="M42" s="236" t="s">
        <v>542</v>
      </c>
      <c r="N42" s="237" t="s">
        <v>543</v>
      </c>
      <c r="O42" s="236" t="s">
        <v>320</v>
      </c>
      <c r="P42" s="238">
        <v>26534</v>
      </c>
      <c r="Q42" s="237"/>
      <c r="R42" s="236" t="s">
        <v>544</v>
      </c>
      <c r="S42" s="238">
        <v>39704</v>
      </c>
      <c r="T42" s="239"/>
      <c r="U42" s="240"/>
    </row>
    <row r="43" spans="1:21" ht="15.75">
      <c r="A43" s="210">
        <v>37</v>
      </c>
      <c r="B43" s="234">
        <v>2.2048611111111113E-2</v>
      </c>
      <c r="C43" s="217">
        <f t="shared" si="4"/>
        <v>31.750000000000004</v>
      </c>
      <c r="D43" s="217">
        <f t="shared" si="0"/>
        <v>29.422794995056428</v>
      </c>
      <c r="E43" s="232">
        <f t="shared" si="7"/>
        <v>0.97770000000000001</v>
      </c>
      <c r="F43" s="217">
        <v>29.422794995056428</v>
      </c>
      <c r="G43" s="217">
        <v>31.750000000000004</v>
      </c>
      <c r="H43" s="145">
        <f t="shared" si="2"/>
        <v>0</v>
      </c>
      <c r="I43" s="210">
        <v>37</v>
      </c>
      <c r="J43" s="229">
        <f t="shared" si="5"/>
        <v>92.670220456870638</v>
      </c>
      <c r="K43" s="230">
        <f t="shared" si="6"/>
        <v>92.670220456870638</v>
      </c>
      <c r="L43" s="235" t="s">
        <v>438</v>
      </c>
      <c r="M43" s="236" t="s">
        <v>545</v>
      </c>
      <c r="N43" s="237" t="s">
        <v>546</v>
      </c>
      <c r="O43" s="236" t="s">
        <v>259</v>
      </c>
      <c r="P43" s="238">
        <v>27031</v>
      </c>
      <c r="Q43" s="237"/>
      <c r="R43" s="236" t="s">
        <v>547</v>
      </c>
      <c r="S43" s="238">
        <v>40678</v>
      </c>
      <c r="T43" s="239"/>
      <c r="U43" s="240"/>
    </row>
    <row r="44" spans="1:21" ht="15.75">
      <c r="A44" s="210">
        <v>38</v>
      </c>
      <c r="B44" s="234">
        <v>2.1956018518518517E-2</v>
      </c>
      <c r="C44" s="217">
        <f t="shared" si="4"/>
        <v>31.616666666666664</v>
      </c>
      <c r="D44" s="217">
        <f t="shared" si="0"/>
        <v>29.564919492977051</v>
      </c>
      <c r="E44" s="232">
        <f t="shared" si="7"/>
        <v>0.97299999999999998</v>
      </c>
      <c r="F44" s="217">
        <v>29.564919492977051</v>
      </c>
      <c r="G44" s="217">
        <v>31.616666666666664</v>
      </c>
      <c r="H44" s="145">
        <f t="shared" si="2"/>
        <v>0</v>
      </c>
      <c r="I44" s="210">
        <v>38</v>
      </c>
      <c r="J44" s="229">
        <f t="shared" si="5"/>
        <v>93.510551901877875</v>
      </c>
      <c r="K44" s="230">
        <f t="shared" si="6"/>
        <v>93.510551901877875</v>
      </c>
      <c r="L44" s="235" t="s">
        <v>439</v>
      </c>
      <c r="M44" s="236" t="s">
        <v>284</v>
      </c>
      <c r="N44" s="237" t="s">
        <v>548</v>
      </c>
      <c r="O44" s="236" t="s">
        <v>244</v>
      </c>
      <c r="P44" s="238">
        <v>24566</v>
      </c>
      <c r="Q44" s="237"/>
      <c r="R44" s="236" t="s">
        <v>531</v>
      </c>
      <c r="S44" s="238">
        <v>38599</v>
      </c>
      <c r="T44" s="239"/>
      <c r="U44" s="240"/>
    </row>
    <row r="45" spans="1:21" ht="15.75">
      <c r="A45" s="210">
        <v>39</v>
      </c>
      <c r="B45" s="234">
        <v>2.2037037037037036E-2</v>
      </c>
      <c r="C45" s="217">
        <f t="shared" si="4"/>
        <v>31.733333333333331</v>
      </c>
      <c r="D45" s="217">
        <f t="shared" si="0"/>
        <v>29.720701174363747</v>
      </c>
      <c r="E45" s="232">
        <f t="shared" si="7"/>
        <v>0.96789999999999998</v>
      </c>
      <c r="F45" s="217">
        <v>29.720701174363747</v>
      </c>
      <c r="G45" s="217">
        <v>31.733333333333331</v>
      </c>
      <c r="H45" s="145">
        <f t="shared" si="2"/>
        <v>0</v>
      </c>
      <c r="I45" s="210">
        <v>39</v>
      </c>
      <c r="J45" s="229">
        <f t="shared" si="5"/>
        <v>93.657671767952991</v>
      </c>
      <c r="K45" s="230">
        <f t="shared" si="6"/>
        <v>93.657671767952991</v>
      </c>
      <c r="L45" s="235" t="s">
        <v>440</v>
      </c>
      <c r="M45" s="236" t="s">
        <v>542</v>
      </c>
      <c r="N45" s="237" t="s">
        <v>543</v>
      </c>
      <c r="O45" s="236" t="s">
        <v>320</v>
      </c>
      <c r="P45" s="238">
        <v>26534</v>
      </c>
      <c r="Q45" s="237"/>
      <c r="R45" s="236" t="s">
        <v>549</v>
      </c>
      <c r="S45" s="238">
        <v>41006</v>
      </c>
      <c r="T45" s="239"/>
      <c r="U45" s="240"/>
    </row>
    <row r="46" spans="1:21" ht="15.75">
      <c r="A46" s="210">
        <v>40</v>
      </c>
      <c r="B46" s="234">
        <v>2.2488425925925926E-2</v>
      </c>
      <c r="C46" s="217">
        <f t="shared" si="4"/>
        <v>32.383333333333333</v>
      </c>
      <c r="D46" s="217">
        <f t="shared" si="0"/>
        <v>29.893657556548547</v>
      </c>
      <c r="E46" s="232">
        <f t="shared" si="7"/>
        <v>0.96230000000000004</v>
      </c>
      <c r="F46" s="217">
        <v>29.893657556548547</v>
      </c>
      <c r="G46" s="217">
        <v>32.383333333333333</v>
      </c>
      <c r="H46" s="145">
        <f t="shared" si="2"/>
        <v>0</v>
      </c>
      <c r="I46" s="210">
        <v>40</v>
      </c>
      <c r="J46" s="229">
        <f t="shared" si="5"/>
        <v>92.311860699583775</v>
      </c>
      <c r="K46" s="230">
        <f t="shared" si="6"/>
        <v>92.311860699583775</v>
      </c>
      <c r="L46" s="235" t="s">
        <v>441</v>
      </c>
      <c r="M46" s="236" t="s">
        <v>550</v>
      </c>
      <c r="N46" s="237" t="s">
        <v>551</v>
      </c>
      <c r="O46" s="236" t="s">
        <v>552</v>
      </c>
      <c r="P46" s="238">
        <v>27368</v>
      </c>
      <c r="Q46" s="237"/>
      <c r="R46" s="236" t="s">
        <v>553</v>
      </c>
      <c r="S46" s="238">
        <v>42246</v>
      </c>
      <c r="T46" s="239"/>
      <c r="U46" s="240"/>
    </row>
    <row r="47" spans="1:21" ht="15.75">
      <c r="A47" s="210">
        <v>41</v>
      </c>
      <c r="B47" s="234">
        <v>2.2488425925925926E-2</v>
      </c>
      <c r="C47" s="217">
        <f t="shared" si="4"/>
        <v>32.383333333333333</v>
      </c>
      <c r="D47" s="217">
        <f t="shared" si="0"/>
        <v>30.081215796995366</v>
      </c>
      <c r="E47" s="232">
        <f t="shared" si="7"/>
        <v>0.95630000000000004</v>
      </c>
      <c r="F47" s="217">
        <v>30.081215796995366</v>
      </c>
      <c r="G47" s="217">
        <v>32.383333333333333</v>
      </c>
      <c r="H47" s="145">
        <f t="shared" si="2"/>
        <v>0</v>
      </c>
      <c r="I47" s="210">
        <v>41</v>
      </c>
      <c r="J47" s="229">
        <f t="shared" si="5"/>
        <v>92.891042090567268</v>
      </c>
      <c r="K47" s="230">
        <f t="shared" si="6"/>
        <v>92.891042090567268</v>
      </c>
      <c r="L47" s="235" t="s">
        <v>441</v>
      </c>
      <c r="M47" s="236" t="s">
        <v>550</v>
      </c>
      <c r="N47" s="237" t="s">
        <v>551</v>
      </c>
      <c r="O47" s="236" t="s">
        <v>552</v>
      </c>
      <c r="P47" s="238">
        <v>27368</v>
      </c>
      <c r="Q47" s="237"/>
      <c r="R47" s="236" t="s">
        <v>547</v>
      </c>
      <c r="S47" s="238">
        <v>42512</v>
      </c>
      <c r="T47" s="239"/>
      <c r="U47" s="240"/>
    </row>
    <row r="48" spans="1:21" ht="15.75">
      <c r="A48" s="210">
        <v>42</v>
      </c>
      <c r="B48" s="234">
        <v>2.2326388888888889E-2</v>
      </c>
      <c r="C48" s="217">
        <f t="shared" si="4"/>
        <v>32.15</v>
      </c>
      <c r="D48" s="217">
        <f t="shared" si="0"/>
        <v>30.283889532231466</v>
      </c>
      <c r="E48" s="232">
        <f t="shared" si="7"/>
        <v>0.94989999999999997</v>
      </c>
      <c r="F48" s="217">
        <v>30.283889532231466</v>
      </c>
      <c r="G48" s="217">
        <v>32.466666666666669</v>
      </c>
      <c r="H48" s="145">
        <f t="shared" si="2"/>
        <v>0</v>
      </c>
      <c r="I48" s="210">
        <v>42</v>
      </c>
      <c r="J48" s="229">
        <f t="shared" si="5"/>
        <v>94.195612852975017</v>
      </c>
      <c r="K48" s="230">
        <f t="shared" si="6"/>
        <v>94.195612852975017</v>
      </c>
      <c r="L48" s="235" t="s">
        <v>943</v>
      </c>
      <c r="M48" s="236" t="s">
        <v>761</v>
      </c>
      <c r="N48" s="237" t="s">
        <v>533</v>
      </c>
      <c r="O48" s="236" t="s">
        <v>244</v>
      </c>
      <c r="P48" s="251">
        <v>29174</v>
      </c>
      <c r="Q48" s="237" t="s">
        <v>960</v>
      </c>
      <c r="R48" s="236" t="s">
        <v>642</v>
      </c>
      <c r="S48" s="238">
        <v>44738</v>
      </c>
      <c r="T48" s="239"/>
      <c r="U48" s="240"/>
    </row>
    <row r="49" spans="1:21" ht="15.75">
      <c r="A49" s="210">
        <v>43</v>
      </c>
      <c r="B49" s="234">
        <v>2.269675925925926E-2</v>
      </c>
      <c r="C49" s="217">
        <f t="shared" si="4"/>
        <v>32.683333333333337</v>
      </c>
      <c r="D49" s="217">
        <f t="shared" si="0"/>
        <v>30.50871425036236</v>
      </c>
      <c r="E49" s="232">
        <f t="shared" si="7"/>
        <v>0.94289999999999996</v>
      </c>
      <c r="F49" s="217">
        <v>30.50871425036236</v>
      </c>
      <c r="G49" s="217">
        <v>32.683333333333337</v>
      </c>
      <c r="H49" s="145">
        <f t="shared" si="2"/>
        <v>0</v>
      </c>
      <c r="I49" s="210">
        <v>43</v>
      </c>
      <c r="J49" s="229">
        <f t="shared" si="5"/>
        <v>93.346397502383553</v>
      </c>
      <c r="K49" s="230">
        <f t="shared" si="6"/>
        <v>93.346397502383553</v>
      </c>
      <c r="L49" s="235" t="s">
        <v>442</v>
      </c>
      <c r="M49" s="236" t="s">
        <v>301</v>
      </c>
      <c r="N49" s="237" t="s">
        <v>554</v>
      </c>
      <c r="O49" s="236" t="s">
        <v>303</v>
      </c>
      <c r="P49" s="238">
        <v>20152</v>
      </c>
      <c r="Q49" s="239" t="s">
        <v>555</v>
      </c>
      <c r="R49" s="239" t="s">
        <v>556</v>
      </c>
      <c r="S49" s="250">
        <v>35896</v>
      </c>
      <c r="T49" s="237"/>
      <c r="U49" s="252"/>
    </row>
    <row r="50" spans="1:21" ht="15.75">
      <c r="A50" s="210">
        <v>44</v>
      </c>
      <c r="B50" s="234">
        <v>2.3009259259259261E-2</v>
      </c>
      <c r="C50" s="217">
        <f t="shared" si="4"/>
        <v>33.133333333333333</v>
      </c>
      <c r="D50" s="217">
        <f t="shared" si="0"/>
        <v>30.746757873735216</v>
      </c>
      <c r="E50" s="232">
        <f t="shared" si="7"/>
        <v>0.93559999999999999</v>
      </c>
      <c r="F50" s="217">
        <v>30.746757873735216</v>
      </c>
      <c r="G50" s="217">
        <v>33.133333333333333</v>
      </c>
      <c r="H50" s="145">
        <f t="shared" si="2"/>
        <v>0</v>
      </c>
      <c r="I50" s="210">
        <v>44</v>
      </c>
      <c r="J50" s="229">
        <f t="shared" si="5"/>
        <v>92.797055956947332</v>
      </c>
      <c r="K50" s="230">
        <f t="shared" si="6"/>
        <v>92.797055956947332</v>
      </c>
      <c r="L50" s="235" t="s">
        <v>443</v>
      </c>
      <c r="M50" s="236" t="s">
        <v>557</v>
      </c>
      <c r="N50" s="237" t="s">
        <v>558</v>
      </c>
      <c r="O50" s="236" t="s">
        <v>217</v>
      </c>
      <c r="P50" s="238">
        <v>16398</v>
      </c>
      <c r="Q50" s="237"/>
      <c r="R50" s="236" t="s">
        <v>559</v>
      </c>
      <c r="S50" s="238">
        <v>32803</v>
      </c>
      <c r="T50" s="239"/>
      <c r="U50" s="240"/>
    </row>
    <row r="51" spans="1:21" ht="15.75">
      <c r="A51" s="210">
        <v>45</v>
      </c>
      <c r="B51" s="234">
        <v>2.3252314814814816E-2</v>
      </c>
      <c r="C51" s="217">
        <f t="shared" si="4"/>
        <v>33.483333333333334</v>
      </c>
      <c r="D51" s="217">
        <f t="shared" si="0"/>
        <v>31.005245383344114</v>
      </c>
      <c r="E51" s="232">
        <f t="shared" si="7"/>
        <v>0.92779999999999996</v>
      </c>
      <c r="F51" s="217">
        <v>31.005245383344114</v>
      </c>
      <c r="G51" s="217">
        <v>33.483333333333327</v>
      </c>
      <c r="H51" s="145">
        <f t="shared" si="2"/>
        <v>0</v>
      </c>
      <c r="I51" s="210">
        <v>45</v>
      </c>
      <c r="J51" s="229">
        <f t="shared" si="5"/>
        <v>92.59904046792667</v>
      </c>
      <c r="K51" s="230">
        <f t="shared" si="6"/>
        <v>92.59904046792667</v>
      </c>
      <c r="L51" s="235" t="s">
        <v>444</v>
      </c>
      <c r="M51" s="239" t="s">
        <v>560</v>
      </c>
      <c r="N51" s="239" t="s">
        <v>561</v>
      </c>
      <c r="O51" s="236" t="s">
        <v>217</v>
      </c>
      <c r="P51" s="250">
        <v>24103</v>
      </c>
      <c r="Q51" s="239" t="s">
        <v>562</v>
      </c>
      <c r="R51" s="239" t="s">
        <v>563</v>
      </c>
      <c r="S51" s="250">
        <v>40728</v>
      </c>
      <c r="T51" s="237"/>
      <c r="U51" s="252"/>
    </row>
    <row r="52" spans="1:21" ht="15.75">
      <c r="A52" s="210">
        <v>46</v>
      </c>
      <c r="B52" s="234">
        <v>2.3622685185185184E-2</v>
      </c>
      <c r="C52" s="217">
        <f t="shared" si="4"/>
        <v>34.016666666666666</v>
      </c>
      <c r="D52" s="217">
        <f t="shared" si="0"/>
        <v>31.285118723944176</v>
      </c>
      <c r="E52" s="232">
        <f t="shared" si="7"/>
        <v>0.91949999999999998</v>
      </c>
      <c r="F52" s="217">
        <v>31.285118723944176</v>
      </c>
      <c r="G52" s="217">
        <v>34.016666666666673</v>
      </c>
      <c r="H52" s="145">
        <f t="shared" si="2"/>
        <v>0</v>
      </c>
      <c r="I52" s="210">
        <v>46</v>
      </c>
      <c r="J52" s="229">
        <f t="shared" si="5"/>
        <v>91.969971750938299</v>
      </c>
      <c r="K52" s="230">
        <f t="shared" si="6"/>
        <v>91.969971750938299</v>
      </c>
      <c r="L52" s="235" t="s">
        <v>445</v>
      </c>
      <c r="M52" s="239" t="s">
        <v>564</v>
      </c>
      <c r="N52" s="239" t="s">
        <v>565</v>
      </c>
      <c r="O52" s="236" t="s">
        <v>217</v>
      </c>
      <c r="P52" s="238">
        <v>22400</v>
      </c>
      <c r="Q52" s="239" t="s">
        <v>562</v>
      </c>
      <c r="R52" s="239" t="s">
        <v>563</v>
      </c>
      <c r="S52" s="250">
        <v>39267</v>
      </c>
      <c r="T52" s="237"/>
      <c r="U52" s="252"/>
    </row>
    <row r="53" spans="1:21" ht="15.75">
      <c r="A53" s="210">
        <v>47</v>
      </c>
      <c r="B53" s="234">
        <v>2.3240740740740742E-2</v>
      </c>
      <c r="C53" s="217">
        <f t="shared" si="4"/>
        <v>33.466666666666669</v>
      </c>
      <c r="D53" s="217">
        <f t="shared" si="0"/>
        <v>31.580488161891171</v>
      </c>
      <c r="E53" s="232">
        <f t="shared" si="7"/>
        <v>0.91090000000000004</v>
      </c>
      <c r="F53" s="217">
        <v>31.580488161891171</v>
      </c>
      <c r="G53" s="217">
        <v>33.466666666666669</v>
      </c>
      <c r="H53" s="145">
        <f t="shared" si="2"/>
        <v>0</v>
      </c>
      <c r="I53" s="210">
        <v>47</v>
      </c>
      <c r="J53" s="229">
        <f t="shared" si="5"/>
        <v>94.364008451866042</v>
      </c>
      <c r="K53" s="230">
        <f t="shared" si="6"/>
        <v>94.364008451866042</v>
      </c>
      <c r="L53" s="235" t="s">
        <v>446</v>
      </c>
      <c r="M53" s="236" t="s">
        <v>301</v>
      </c>
      <c r="N53" s="237" t="s">
        <v>554</v>
      </c>
      <c r="O53" s="236" t="s">
        <v>303</v>
      </c>
      <c r="P53" s="238">
        <v>20152</v>
      </c>
      <c r="Q53" s="237" t="s">
        <v>566</v>
      </c>
      <c r="R53" s="236" t="s">
        <v>567</v>
      </c>
      <c r="S53" s="238">
        <v>37338</v>
      </c>
      <c r="T53" s="239"/>
      <c r="U53" s="240"/>
    </row>
    <row r="54" spans="1:21" ht="15.75">
      <c r="A54" s="210">
        <v>48</v>
      </c>
      <c r="B54" s="234">
        <v>2.3622685185185184E-2</v>
      </c>
      <c r="C54" s="217">
        <f t="shared" si="4"/>
        <v>34.016666666666666</v>
      </c>
      <c r="D54" s="217">
        <f t="shared" si="0"/>
        <v>31.902702303057193</v>
      </c>
      <c r="E54" s="232">
        <f t="shared" si="7"/>
        <v>0.90169999999999995</v>
      </c>
      <c r="F54" s="217">
        <v>31.902702303057193</v>
      </c>
      <c r="G54" s="217">
        <v>34.016666666666673</v>
      </c>
      <c r="H54" s="145">
        <f t="shared" si="2"/>
        <v>0</v>
      </c>
      <c r="I54" s="210">
        <v>48</v>
      </c>
      <c r="J54" s="229">
        <f t="shared" si="5"/>
        <v>93.785504075621333</v>
      </c>
      <c r="K54" s="230">
        <f t="shared" si="6"/>
        <v>93.785504075621333</v>
      </c>
      <c r="L54" s="235" t="s">
        <v>445</v>
      </c>
      <c r="M54" s="236" t="s">
        <v>568</v>
      </c>
      <c r="N54" s="237" t="s">
        <v>569</v>
      </c>
      <c r="O54" s="236" t="s">
        <v>570</v>
      </c>
      <c r="P54" s="238">
        <v>15372</v>
      </c>
      <c r="Q54" s="237"/>
      <c r="R54" s="236" t="s">
        <v>571</v>
      </c>
      <c r="S54" s="238">
        <v>33019</v>
      </c>
      <c r="T54" s="239"/>
      <c r="U54" s="240"/>
    </row>
    <row r="55" spans="1:21" ht="15.75">
      <c r="A55" s="210">
        <v>49</v>
      </c>
      <c r="B55" s="234">
        <v>2.3368055555555555E-2</v>
      </c>
      <c r="C55" s="217">
        <f t="shared" si="4"/>
        <v>33.65</v>
      </c>
      <c r="D55" s="217">
        <f t="shared" si="0"/>
        <v>32.246011284235699</v>
      </c>
      <c r="E55" s="232">
        <f t="shared" si="7"/>
        <v>0.8921</v>
      </c>
      <c r="F55" s="217">
        <v>32.246011284235699</v>
      </c>
      <c r="G55" s="217">
        <v>33.65</v>
      </c>
      <c r="H55" s="145">
        <f t="shared" si="2"/>
        <v>0</v>
      </c>
      <c r="I55" s="210">
        <v>49</v>
      </c>
      <c r="J55" s="229">
        <f t="shared" si="5"/>
        <v>95.827670978412186</v>
      </c>
      <c r="K55" s="230">
        <f t="shared" si="6"/>
        <v>95.827670978412186</v>
      </c>
      <c r="L55" s="235" t="s">
        <v>447</v>
      </c>
      <c r="M55" s="236" t="s">
        <v>305</v>
      </c>
      <c r="N55" s="237" t="s">
        <v>572</v>
      </c>
      <c r="O55" s="236" t="s">
        <v>217</v>
      </c>
      <c r="P55" s="238">
        <v>22408</v>
      </c>
      <c r="Q55" s="237" t="s">
        <v>573</v>
      </c>
      <c r="R55" s="236" t="s">
        <v>574</v>
      </c>
      <c r="S55" s="238">
        <v>40447</v>
      </c>
      <c r="T55" s="239"/>
      <c r="U55" s="240"/>
    </row>
    <row r="56" spans="1:21" ht="15.75">
      <c r="A56" s="210">
        <v>50</v>
      </c>
      <c r="B56" s="234">
        <v>2.3773148148148147E-2</v>
      </c>
      <c r="C56" s="217">
        <f t="shared" si="4"/>
        <v>34.233333333333334</v>
      </c>
      <c r="D56" s="217">
        <f t="shared" si="0"/>
        <v>32.607874253759547</v>
      </c>
      <c r="E56" s="232">
        <f t="shared" si="7"/>
        <v>0.88219999999999998</v>
      </c>
      <c r="F56" s="217">
        <v>32.607874253759547</v>
      </c>
      <c r="G56" s="217">
        <v>34.233333333333334</v>
      </c>
      <c r="H56" s="145">
        <f t="shared" si="2"/>
        <v>0</v>
      </c>
      <c r="I56" s="210">
        <v>50</v>
      </c>
      <c r="J56" s="229">
        <f t="shared" si="5"/>
        <v>95.251823526074617</v>
      </c>
      <c r="K56" s="230">
        <f t="shared" si="6"/>
        <v>95.251823526074617</v>
      </c>
      <c r="L56" s="235" t="s">
        <v>448</v>
      </c>
      <c r="M56" s="236" t="s">
        <v>305</v>
      </c>
      <c r="N56" s="237" t="s">
        <v>572</v>
      </c>
      <c r="O56" s="236" t="s">
        <v>217</v>
      </c>
      <c r="P56" s="238">
        <v>22408</v>
      </c>
      <c r="Q56" s="237" t="s">
        <v>573</v>
      </c>
      <c r="R56" s="236" t="s">
        <v>574</v>
      </c>
      <c r="S56" s="238">
        <v>40811</v>
      </c>
      <c r="T56" s="239"/>
      <c r="U56" s="240"/>
    </row>
    <row r="57" spans="1:21" ht="15.75">
      <c r="A57" s="210">
        <v>51</v>
      </c>
      <c r="B57" s="234">
        <v>2.4120370370370372E-2</v>
      </c>
      <c r="C57" s="217">
        <f t="shared" si="4"/>
        <v>34.733333333333334</v>
      </c>
      <c r="D57" s="217">
        <f t="shared" si="0"/>
        <v>32.977951010737897</v>
      </c>
      <c r="E57" s="232">
        <f t="shared" si="7"/>
        <v>0.87229999999999996</v>
      </c>
      <c r="F57" s="217">
        <v>32.977951010737897</v>
      </c>
      <c r="G57" s="217">
        <v>34.733333333333334</v>
      </c>
      <c r="H57" s="145">
        <f t="shared" si="2"/>
        <v>0</v>
      </c>
      <c r="I57" s="210">
        <v>51</v>
      </c>
      <c r="J57" s="229">
        <f t="shared" si="5"/>
        <v>94.946116153755938</v>
      </c>
      <c r="K57" s="230">
        <f t="shared" si="6"/>
        <v>94.946116153755938</v>
      </c>
      <c r="L57" s="235" t="s">
        <v>449</v>
      </c>
      <c r="M57" s="236" t="s">
        <v>301</v>
      </c>
      <c r="N57" s="237" t="s">
        <v>554</v>
      </c>
      <c r="O57" s="236" t="s">
        <v>303</v>
      </c>
      <c r="P57" s="238">
        <v>20152</v>
      </c>
      <c r="Q57" s="237" t="s">
        <v>566</v>
      </c>
      <c r="R57" s="236" t="s">
        <v>567</v>
      </c>
      <c r="S57" s="238">
        <v>38801</v>
      </c>
      <c r="T57" s="239"/>
      <c r="U57" s="240"/>
    </row>
    <row r="58" spans="1:21" ht="15.75">
      <c r="A58" s="210">
        <v>52</v>
      </c>
      <c r="B58" s="234">
        <v>2.480324074074074E-2</v>
      </c>
      <c r="C58" s="217">
        <f t="shared" si="4"/>
        <v>35.716666666666669</v>
      </c>
      <c r="D58" s="217">
        <f t="shared" si="0"/>
        <v>33.360392748076855</v>
      </c>
      <c r="E58" s="232">
        <f t="shared" si="7"/>
        <v>0.86229999999999996</v>
      </c>
      <c r="F58" s="217">
        <v>33.360392748076855</v>
      </c>
      <c r="G58" s="217">
        <v>35.716666666666669</v>
      </c>
      <c r="H58" s="145">
        <f t="shared" si="2"/>
        <v>0</v>
      </c>
      <c r="I58" s="210">
        <v>52</v>
      </c>
      <c r="J58" s="229">
        <f t="shared" si="5"/>
        <v>93.402872836426099</v>
      </c>
      <c r="K58" s="230">
        <f t="shared" si="6"/>
        <v>93.402872836426099</v>
      </c>
      <c r="L58" s="235" t="s">
        <v>450</v>
      </c>
      <c r="M58" s="236" t="s">
        <v>575</v>
      </c>
      <c r="N58" s="237" t="s">
        <v>576</v>
      </c>
      <c r="O58" s="236" t="s">
        <v>552</v>
      </c>
      <c r="P58" s="238">
        <v>18655</v>
      </c>
      <c r="Q58" s="237"/>
      <c r="R58" s="236" t="s">
        <v>577</v>
      </c>
      <c r="S58" s="238">
        <v>37710</v>
      </c>
      <c r="T58" s="239"/>
      <c r="U58" s="240"/>
    </row>
    <row r="59" spans="1:21" ht="15.75">
      <c r="A59" s="210">
        <v>53</v>
      </c>
      <c r="B59" s="234">
        <v>2.4780092592592593E-2</v>
      </c>
      <c r="C59" s="217">
        <f t="shared" si="4"/>
        <v>35.683333333333337</v>
      </c>
      <c r="D59" s="217">
        <f t="shared" si="0"/>
        <v>33.747849210073518</v>
      </c>
      <c r="E59" s="232">
        <f t="shared" si="7"/>
        <v>0.85240000000000005</v>
      </c>
      <c r="F59" s="217">
        <v>33.747849210073518</v>
      </c>
      <c r="G59" s="217">
        <v>35.68333333333333</v>
      </c>
      <c r="H59" s="145">
        <f t="shared" si="2"/>
        <v>0</v>
      </c>
      <c r="I59" s="210">
        <v>53</v>
      </c>
      <c r="J59" s="229">
        <f t="shared" si="5"/>
        <v>94.575943605997708</v>
      </c>
      <c r="K59" s="230">
        <f t="shared" si="6"/>
        <v>94.575943605997708</v>
      </c>
      <c r="L59" s="235" t="s">
        <v>451</v>
      </c>
      <c r="M59" s="236" t="s">
        <v>312</v>
      </c>
      <c r="N59" s="237" t="s">
        <v>578</v>
      </c>
      <c r="O59" s="236" t="s">
        <v>314</v>
      </c>
      <c r="P59" s="238">
        <v>22396</v>
      </c>
      <c r="Q59" s="237"/>
      <c r="R59" s="236" t="s">
        <v>579</v>
      </c>
      <c r="S59" s="238">
        <v>42106</v>
      </c>
      <c r="T59" s="239"/>
      <c r="U59" s="240"/>
    </row>
    <row r="60" spans="1:21" ht="15.75">
      <c r="A60" s="210">
        <v>54</v>
      </c>
      <c r="B60" s="234">
        <v>2.5034722222222222E-2</v>
      </c>
      <c r="C60" s="217">
        <f t="shared" si="4"/>
        <v>36.049999999999997</v>
      </c>
      <c r="D60" s="217">
        <f t="shared" si="0"/>
        <v>34.144411473788331</v>
      </c>
      <c r="E60" s="232">
        <f t="shared" si="7"/>
        <v>0.84250000000000003</v>
      </c>
      <c r="F60" s="217">
        <v>34.144411473788331</v>
      </c>
      <c r="G60" s="217">
        <v>36.049999999999997</v>
      </c>
      <c r="H60" s="145">
        <f t="shared" si="2"/>
        <v>0</v>
      </c>
      <c r="I60" s="210">
        <v>54</v>
      </c>
      <c r="J60" s="229">
        <f t="shared" si="5"/>
        <v>94.71404014920482</v>
      </c>
      <c r="K60" s="230">
        <f t="shared" si="6"/>
        <v>94.71404014920482</v>
      </c>
      <c r="L60" s="235" t="s">
        <v>415</v>
      </c>
      <c r="M60" s="236" t="s">
        <v>318</v>
      </c>
      <c r="N60" s="237" t="s">
        <v>580</v>
      </c>
      <c r="O60" s="236" t="s">
        <v>320</v>
      </c>
      <c r="P60" s="238">
        <v>21769</v>
      </c>
      <c r="Q60" s="237"/>
      <c r="R60" s="236" t="s">
        <v>581</v>
      </c>
      <c r="S60" s="238">
        <v>41784</v>
      </c>
      <c r="T60" s="239"/>
      <c r="U60" s="240"/>
    </row>
    <row r="61" spans="1:21" ht="15.75">
      <c r="A61" s="210">
        <v>55</v>
      </c>
      <c r="B61" s="234">
        <v>2.5185185185185185E-2</v>
      </c>
      <c r="C61" s="217">
        <f t="shared" si="4"/>
        <v>36.266666666666666</v>
      </c>
      <c r="D61" s="217">
        <f t="shared" si="0"/>
        <v>34.554554554554556</v>
      </c>
      <c r="E61" s="232">
        <f t="shared" si="7"/>
        <v>0.83250000000000002</v>
      </c>
      <c r="F61" s="217">
        <v>34.554554554554556</v>
      </c>
      <c r="G61" s="217">
        <v>36.266666666666666</v>
      </c>
      <c r="H61" s="145">
        <f t="shared" si="2"/>
        <v>0</v>
      </c>
      <c r="I61" s="210">
        <v>55</v>
      </c>
      <c r="J61" s="229">
        <f t="shared" si="5"/>
        <v>95.279102632043816</v>
      </c>
      <c r="K61" s="230">
        <f t="shared" si="6"/>
        <v>95.279102632043816</v>
      </c>
      <c r="L61" s="235" t="s">
        <v>452</v>
      </c>
      <c r="M61" s="236" t="s">
        <v>312</v>
      </c>
      <c r="N61" s="237" t="s">
        <v>578</v>
      </c>
      <c r="O61" s="236" t="s">
        <v>314</v>
      </c>
      <c r="P61" s="238">
        <v>22396</v>
      </c>
      <c r="Q61" s="237"/>
      <c r="R61" s="236" t="s">
        <v>582</v>
      </c>
      <c r="S61" s="238">
        <v>42645</v>
      </c>
      <c r="T61" s="239"/>
      <c r="U61" s="240"/>
    </row>
    <row r="62" spans="1:21" ht="15.75">
      <c r="A62" s="210">
        <v>56</v>
      </c>
      <c r="B62" s="234">
        <v>2.5208333333333333E-2</v>
      </c>
      <c r="C62" s="217">
        <f t="shared" si="4"/>
        <v>36.299999999999997</v>
      </c>
      <c r="D62" s="217">
        <f t="shared" si="0"/>
        <v>34.970418996677203</v>
      </c>
      <c r="E62" s="232">
        <f t="shared" si="7"/>
        <v>0.8226</v>
      </c>
      <c r="F62" s="217">
        <v>34.970418996677203</v>
      </c>
      <c r="G62" s="217">
        <v>36.299999999999997</v>
      </c>
      <c r="H62" s="145">
        <f t="shared" si="2"/>
        <v>0</v>
      </c>
      <c r="I62" s="210">
        <v>56</v>
      </c>
      <c r="J62" s="229">
        <f t="shared" si="5"/>
        <v>96.337242415088724</v>
      </c>
      <c r="K62" s="230">
        <f t="shared" si="6"/>
        <v>96.337242415088724</v>
      </c>
      <c r="L62" s="235" t="s">
        <v>453</v>
      </c>
      <c r="M62" s="236" t="s">
        <v>318</v>
      </c>
      <c r="N62" s="237" t="s">
        <v>580</v>
      </c>
      <c r="O62" s="236" t="s">
        <v>320</v>
      </c>
      <c r="P62" s="238">
        <v>21769</v>
      </c>
      <c r="Q62" s="237"/>
      <c r="R62" s="236" t="s">
        <v>513</v>
      </c>
      <c r="S62" s="238">
        <v>42274</v>
      </c>
      <c r="T62" s="239"/>
      <c r="U62" s="240"/>
    </row>
    <row r="63" spans="1:21" ht="15.75">
      <c r="A63" s="210">
        <v>57</v>
      </c>
      <c r="B63" s="234">
        <v>2.5949074074074076E-2</v>
      </c>
      <c r="C63" s="217">
        <f t="shared" si="4"/>
        <v>37.366666666666667</v>
      </c>
      <c r="D63" s="217">
        <f t="shared" si="0"/>
        <v>35.400771187135945</v>
      </c>
      <c r="E63" s="232">
        <f t="shared" si="7"/>
        <v>0.81259999999999999</v>
      </c>
      <c r="F63" s="217">
        <v>35.400771187135945</v>
      </c>
      <c r="G63" s="217">
        <v>37.366666666666667</v>
      </c>
      <c r="H63" s="145">
        <f t="shared" si="2"/>
        <v>0</v>
      </c>
      <c r="I63" s="210">
        <v>57</v>
      </c>
      <c r="J63" s="229">
        <f t="shared" si="5"/>
        <v>94.738905942379873</v>
      </c>
      <c r="K63" s="230">
        <f t="shared" si="6"/>
        <v>94.738905942379873</v>
      </c>
      <c r="L63" s="235" t="s">
        <v>454</v>
      </c>
      <c r="M63" s="236" t="s">
        <v>583</v>
      </c>
      <c r="N63" s="237" t="s">
        <v>584</v>
      </c>
      <c r="O63" s="236" t="s">
        <v>552</v>
      </c>
      <c r="P63" s="238">
        <v>21934</v>
      </c>
      <c r="Q63" s="237"/>
      <c r="R63" s="236" t="s">
        <v>585</v>
      </c>
      <c r="S63" s="238">
        <v>42856</v>
      </c>
      <c r="T63" s="239"/>
      <c r="U63" s="240"/>
    </row>
    <row r="64" spans="1:21" ht="15.75">
      <c r="A64" s="210">
        <v>58</v>
      </c>
      <c r="B64" s="234">
        <v>2.6493055555555554E-2</v>
      </c>
      <c r="C64" s="217">
        <f t="shared" si="4"/>
        <v>38.15</v>
      </c>
      <c r="D64" s="217">
        <f t="shared" si="0"/>
        <v>35.837382168514601</v>
      </c>
      <c r="E64" s="232">
        <f t="shared" si="7"/>
        <v>0.80269999999999997</v>
      </c>
      <c r="F64" s="217">
        <v>35.837382168514601</v>
      </c>
      <c r="G64" s="217">
        <v>38.150000000000006</v>
      </c>
      <c r="H64" s="145">
        <f t="shared" si="2"/>
        <v>0</v>
      </c>
      <c r="I64" s="210">
        <v>58</v>
      </c>
      <c r="J64" s="229">
        <f t="shared" si="5"/>
        <v>93.938092184835128</v>
      </c>
      <c r="K64" s="230">
        <f t="shared" si="6"/>
        <v>93.938092184835128</v>
      </c>
      <c r="L64" s="235" t="s">
        <v>208</v>
      </c>
      <c r="M64" s="236" t="s">
        <v>332</v>
      </c>
      <c r="N64" s="237" t="s">
        <v>586</v>
      </c>
      <c r="O64" s="236" t="s">
        <v>259</v>
      </c>
      <c r="P64" s="238">
        <v>18405</v>
      </c>
      <c r="Q64" s="237"/>
      <c r="R64" s="236" t="s">
        <v>587</v>
      </c>
      <c r="S64" s="238">
        <v>39814</v>
      </c>
      <c r="T64" s="239"/>
      <c r="U64" s="240"/>
    </row>
    <row r="65" spans="1:21" ht="15.75">
      <c r="A65" s="210">
        <v>59</v>
      </c>
      <c r="B65" s="234">
        <v>2.6817129629629628E-2</v>
      </c>
      <c r="C65" s="217">
        <f t="shared" si="4"/>
        <v>38.616666666666667</v>
      </c>
      <c r="D65" s="217">
        <f t="shared" si="0"/>
        <v>36.284897410023554</v>
      </c>
      <c r="E65" s="232">
        <f t="shared" ref="E65:E96" si="8">ROUND(1-IF(A65&lt;I$3,0,IF(A65&lt;I$4,G$3*(A65-I$3)^2,G$2+G$4*(A65-I$4)+(A65&gt;I$5)*G$5*(A65-I$5)^2)),4)</f>
        <v>0.79279999999999995</v>
      </c>
      <c r="F65" s="217">
        <v>36.284897410023554</v>
      </c>
      <c r="G65" s="217">
        <v>38.616666666666667</v>
      </c>
      <c r="H65" s="145">
        <f t="shared" si="2"/>
        <v>0</v>
      </c>
      <c r="I65" s="210">
        <v>59</v>
      </c>
      <c r="J65" s="229">
        <f t="shared" si="5"/>
        <v>93.961754190824905</v>
      </c>
      <c r="K65" s="230">
        <f t="shared" si="6"/>
        <v>93.961754190824905</v>
      </c>
      <c r="L65" s="235" t="s">
        <v>455</v>
      </c>
      <c r="M65" s="236" t="s">
        <v>332</v>
      </c>
      <c r="N65" s="237" t="s">
        <v>586</v>
      </c>
      <c r="O65" s="236" t="s">
        <v>259</v>
      </c>
      <c r="P65" s="238">
        <v>18405</v>
      </c>
      <c r="Q65" s="237"/>
      <c r="R65" s="236" t="s">
        <v>588</v>
      </c>
      <c r="S65" s="238">
        <v>39971</v>
      </c>
      <c r="T65" s="239"/>
      <c r="U65" s="240"/>
    </row>
    <row r="66" spans="1:21" ht="15.75">
      <c r="A66" s="210">
        <v>60</v>
      </c>
      <c r="B66" s="234">
        <v>2.7199074074074073E-2</v>
      </c>
      <c r="C66" s="217">
        <f t="shared" si="4"/>
        <v>39.166666666666664</v>
      </c>
      <c r="D66" s="217">
        <f t="shared" si="0"/>
        <v>36.748424459206269</v>
      </c>
      <c r="E66" s="232">
        <f t="shared" si="8"/>
        <v>0.78280000000000005</v>
      </c>
      <c r="F66" s="217">
        <v>36.748424459206269</v>
      </c>
      <c r="G66" s="217">
        <v>39.166666666666664</v>
      </c>
      <c r="H66" s="145">
        <f t="shared" si="2"/>
        <v>0</v>
      </c>
      <c r="I66" s="210">
        <v>60</v>
      </c>
      <c r="J66" s="229">
        <f t="shared" si="5"/>
        <v>93.825764576696869</v>
      </c>
      <c r="K66" s="230">
        <f t="shared" si="6"/>
        <v>93.825764576696869</v>
      </c>
      <c r="L66" s="235" t="s">
        <v>456</v>
      </c>
      <c r="M66" s="236" t="s">
        <v>332</v>
      </c>
      <c r="N66" s="237" t="s">
        <v>586</v>
      </c>
      <c r="O66" s="236" t="s">
        <v>259</v>
      </c>
      <c r="P66" s="238">
        <v>18405</v>
      </c>
      <c r="Q66" s="237"/>
      <c r="R66" s="236" t="s">
        <v>589</v>
      </c>
      <c r="S66" s="238">
        <v>40335</v>
      </c>
      <c r="T66" s="239"/>
      <c r="U66" s="240"/>
    </row>
    <row r="67" spans="1:21" ht="15.75">
      <c r="A67" s="210">
        <v>61</v>
      </c>
      <c r="B67" s="234">
        <v>2.7650462962962963E-2</v>
      </c>
      <c r="C67" s="217">
        <f t="shared" si="4"/>
        <v>39.81666666666667</v>
      </c>
      <c r="D67" s="217">
        <f t="shared" si="0"/>
        <v>37.219131409841722</v>
      </c>
      <c r="E67" s="232">
        <f t="shared" si="8"/>
        <v>0.77290000000000003</v>
      </c>
      <c r="F67" s="217">
        <v>37.219131409841722</v>
      </c>
      <c r="G67" s="217">
        <v>39.81666666666667</v>
      </c>
      <c r="H67" s="145">
        <f t="shared" si="2"/>
        <v>0</v>
      </c>
      <c r="I67" s="210">
        <v>61</v>
      </c>
      <c r="J67" s="229">
        <f t="shared" si="5"/>
        <v>93.476261389305279</v>
      </c>
      <c r="K67" s="230">
        <f t="shared" si="6"/>
        <v>93.476261389305279</v>
      </c>
      <c r="L67" s="235" t="s">
        <v>457</v>
      </c>
      <c r="M67" s="236" t="s">
        <v>575</v>
      </c>
      <c r="N67" s="237" t="s">
        <v>576</v>
      </c>
      <c r="O67" s="236" t="s">
        <v>552</v>
      </c>
      <c r="P67" s="238">
        <v>18655</v>
      </c>
      <c r="Q67" s="237"/>
      <c r="R67" s="236" t="s">
        <v>590</v>
      </c>
      <c r="S67" s="238">
        <v>41273</v>
      </c>
      <c r="T67" s="239"/>
      <c r="U67" s="240"/>
    </row>
    <row r="68" spans="1:21" ht="15.75">
      <c r="A68" s="210">
        <v>62</v>
      </c>
      <c r="B68" s="234">
        <v>2.7037037037037037E-2</v>
      </c>
      <c r="C68" s="217">
        <f t="shared" si="4"/>
        <v>38.93333333333333</v>
      </c>
      <c r="D68" s="217">
        <f t="shared" si="0"/>
        <v>37.706995237471055</v>
      </c>
      <c r="E68" s="232">
        <f t="shared" si="8"/>
        <v>0.76290000000000002</v>
      </c>
      <c r="F68" s="217">
        <v>37.706995237471055</v>
      </c>
      <c r="G68" s="217">
        <v>38.93333333333333</v>
      </c>
      <c r="H68" s="145">
        <f t="shared" si="2"/>
        <v>0</v>
      </c>
      <c r="I68" s="210">
        <v>62</v>
      </c>
      <c r="J68" s="229">
        <f t="shared" si="5"/>
        <v>96.850159000353742</v>
      </c>
      <c r="K68" s="230">
        <f t="shared" si="6"/>
        <v>96.850159000353742</v>
      </c>
      <c r="L68" s="235" t="s">
        <v>458</v>
      </c>
      <c r="M68" s="236" t="s">
        <v>591</v>
      </c>
      <c r="N68" s="237" t="s">
        <v>592</v>
      </c>
      <c r="O68" s="236" t="s">
        <v>320</v>
      </c>
      <c r="P68" s="238">
        <v>19445</v>
      </c>
      <c r="Q68" s="237"/>
      <c r="R68" s="236" t="s">
        <v>593</v>
      </c>
      <c r="S68" s="238">
        <v>42253</v>
      </c>
      <c r="T68" s="239"/>
      <c r="U68" s="240"/>
    </row>
    <row r="69" spans="1:21" ht="15.75">
      <c r="A69" s="210">
        <v>63</v>
      </c>
      <c r="B69" s="234">
        <v>2.8460648148148148E-2</v>
      </c>
      <c r="C69" s="217">
        <f t="shared" si="4"/>
        <v>40.983333333333334</v>
      </c>
      <c r="D69" s="217">
        <f t="shared" si="0"/>
        <v>38.20274457724657</v>
      </c>
      <c r="E69" s="232">
        <f t="shared" si="8"/>
        <v>0.753</v>
      </c>
      <c r="F69" s="217">
        <v>38.20274457724657</v>
      </c>
      <c r="G69" s="217">
        <v>40.983333333333334</v>
      </c>
      <c r="H69" s="145">
        <f t="shared" si="2"/>
        <v>0</v>
      </c>
      <c r="I69" s="210">
        <v>63</v>
      </c>
      <c r="J69" s="229">
        <f t="shared" si="5"/>
        <v>93.21531820393632</v>
      </c>
      <c r="K69" s="230">
        <f t="shared" si="6"/>
        <v>93.21531820393632</v>
      </c>
      <c r="L69" s="235" t="s">
        <v>459</v>
      </c>
      <c r="M69" s="236" t="s">
        <v>335</v>
      </c>
      <c r="N69" s="237" t="s">
        <v>594</v>
      </c>
      <c r="O69" s="236" t="s">
        <v>217</v>
      </c>
      <c r="P69" s="238">
        <v>18901</v>
      </c>
      <c r="Q69" s="253" t="s">
        <v>595</v>
      </c>
      <c r="R69" s="236" t="s">
        <v>596</v>
      </c>
      <c r="S69" s="238">
        <v>41959</v>
      </c>
      <c r="T69" s="239"/>
      <c r="U69" s="240"/>
    </row>
    <row r="70" spans="1:21" ht="15.75">
      <c r="A70" s="210">
        <v>64</v>
      </c>
      <c r="B70" s="234">
        <v>2.704861111111111E-2</v>
      </c>
      <c r="C70" s="217">
        <f t="shared" si="4"/>
        <v>38.949999999999996</v>
      </c>
      <c r="D70" s="217">
        <f t="shared" si="0"/>
        <v>38.711703225227652</v>
      </c>
      <c r="E70" s="232">
        <f t="shared" si="8"/>
        <v>0.74309999999999998</v>
      </c>
      <c r="F70" s="217">
        <v>38.711703225227652</v>
      </c>
      <c r="G70" s="217">
        <v>38.949999999999996</v>
      </c>
      <c r="H70" s="145">
        <f t="shared" si="2"/>
        <v>0</v>
      </c>
      <c r="I70" s="210">
        <v>64</v>
      </c>
      <c r="J70" s="229">
        <f t="shared" si="5"/>
        <v>99.388198267593467</v>
      </c>
      <c r="K70" s="230">
        <f t="shared" si="6"/>
        <v>99.388198267593467</v>
      </c>
      <c r="L70" s="235" t="s">
        <v>460</v>
      </c>
      <c r="M70" s="236" t="s">
        <v>347</v>
      </c>
      <c r="N70" s="237" t="s">
        <v>597</v>
      </c>
      <c r="O70" s="236" t="s">
        <v>259</v>
      </c>
      <c r="P70" s="238">
        <v>17277</v>
      </c>
      <c r="Q70" s="237"/>
      <c r="R70" s="236" t="s">
        <v>598</v>
      </c>
      <c r="S70" s="238">
        <v>40667</v>
      </c>
      <c r="T70" s="239"/>
      <c r="U70" s="240"/>
    </row>
    <row r="71" spans="1:21" ht="15.75">
      <c r="A71" s="210">
        <v>65</v>
      </c>
      <c r="B71" s="234">
        <v>2.9131944444444443E-2</v>
      </c>
      <c r="C71" s="217">
        <f t="shared" si="4"/>
        <v>41.949999999999996</v>
      </c>
      <c r="D71" s="217">
        <f t="shared" si="0"/>
        <v>39.239758104851546</v>
      </c>
      <c r="E71" s="232">
        <f t="shared" si="8"/>
        <v>0.73309999999999997</v>
      </c>
      <c r="F71" s="217">
        <v>39.239758104851546</v>
      </c>
      <c r="G71" s="217">
        <v>41.95</v>
      </c>
      <c r="H71" s="145">
        <f t="shared" si="2"/>
        <v>0</v>
      </c>
      <c r="I71" s="210">
        <v>65</v>
      </c>
      <c r="J71" s="229">
        <f t="shared" si="5"/>
        <v>93.539351859002508</v>
      </c>
      <c r="K71" s="230">
        <f t="shared" si="6"/>
        <v>93.539351859002508</v>
      </c>
      <c r="L71" s="235" t="s">
        <v>461</v>
      </c>
      <c r="M71" s="236" t="s">
        <v>335</v>
      </c>
      <c r="N71" s="237" t="s">
        <v>594</v>
      </c>
      <c r="O71" s="236" t="s">
        <v>217</v>
      </c>
      <c r="P71" s="238">
        <v>18901</v>
      </c>
      <c r="Q71" s="239" t="s">
        <v>599</v>
      </c>
      <c r="R71" s="239" t="s">
        <v>600</v>
      </c>
      <c r="S71" s="250">
        <v>42826</v>
      </c>
      <c r="T71" s="254"/>
      <c r="U71" s="255"/>
    </row>
    <row r="72" spans="1:21" ht="15.75">
      <c r="A72" s="210">
        <v>66</v>
      </c>
      <c r="B72" s="234">
        <v>2.9374999999999998E-2</v>
      </c>
      <c r="C72" s="217">
        <f t="shared" si="4"/>
        <v>42.3</v>
      </c>
      <c r="D72" s="217">
        <f t="shared" si="0"/>
        <v>39.776917404129797</v>
      </c>
      <c r="E72" s="232">
        <f t="shared" si="8"/>
        <v>0.72319999999999995</v>
      </c>
      <c r="F72" s="217">
        <v>39.776917404129797</v>
      </c>
      <c r="G72" s="217">
        <v>42.3</v>
      </c>
      <c r="H72" s="145">
        <f t="shared" si="2"/>
        <v>0</v>
      </c>
      <c r="I72" s="210">
        <v>66</v>
      </c>
      <c r="J72" s="229">
        <f t="shared" si="5"/>
        <v>94.035265730803303</v>
      </c>
      <c r="K72" s="230">
        <f t="shared" si="6"/>
        <v>94.035265730803303</v>
      </c>
      <c r="L72" s="235" t="s">
        <v>462</v>
      </c>
      <c r="M72" s="236" t="s">
        <v>335</v>
      </c>
      <c r="N72" s="237" t="s">
        <v>594</v>
      </c>
      <c r="O72" s="236" t="s">
        <v>217</v>
      </c>
      <c r="P72" s="238">
        <v>18901</v>
      </c>
      <c r="Q72" s="237" t="s">
        <v>601</v>
      </c>
      <c r="R72" s="236" t="s">
        <v>529</v>
      </c>
      <c r="S72" s="238">
        <v>43009</v>
      </c>
      <c r="T72" s="237"/>
      <c r="U72" s="252"/>
    </row>
    <row r="73" spans="1:21" ht="15.75">
      <c r="A73" s="210">
        <v>67</v>
      </c>
      <c r="B73" s="234">
        <v>2.9409722222222223E-2</v>
      </c>
      <c r="C73" s="217">
        <f t="shared" si="4"/>
        <v>42.35</v>
      </c>
      <c r="D73" s="217">
        <f t="shared" ref="D73:D106" si="9">E$4/E73</f>
        <v>40.334641989156857</v>
      </c>
      <c r="E73" s="232">
        <f t="shared" si="8"/>
        <v>0.71319999999999995</v>
      </c>
      <c r="F73" s="217">
        <v>40.334641989156857</v>
      </c>
      <c r="G73" s="217">
        <v>42.35</v>
      </c>
      <c r="H73" s="145">
        <f t="shared" si="2"/>
        <v>0</v>
      </c>
      <c r="I73" s="210">
        <v>67</v>
      </c>
      <c r="J73" s="229">
        <f t="shared" si="5"/>
        <v>95.241185334490808</v>
      </c>
      <c r="K73" s="230">
        <f t="shared" si="6"/>
        <v>95.241185334490808</v>
      </c>
      <c r="L73" s="235" t="s">
        <v>463</v>
      </c>
      <c r="M73" s="236" t="s">
        <v>347</v>
      </c>
      <c r="N73" s="237" t="s">
        <v>597</v>
      </c>
      <c r="O73" s="236" t="s">
        <v>259</v>
      </c>
      <c r="P73" s="238">
        <v>17277</v>
      </c>
      <c r="Q73" s="237"/>
      <c r="R73" s="236" t="s">
        <v>602</v>
      </c>
      <c r="S73" s="238">
        <v>41763</v>
      </c>
      <c r="T73" s="239"/>
      <c r="U73" s="240"/>
    </row>
    <row r="74" spans="1:21" ht="15.75">
      <c r="A74" s="210">
        <v>68</v>
      </c>
      <c r="B74" s="234">
        <v>2.8125000000000001E-2</v>
      </c>
      <c r="C74" s="217">
        <f t="shared" si="4"/>
        <v>40.5</v>
      </c>
      <c r="D74" s="217">
        <f t="shared" si="9"/>
        <v>40.902412436608373</v>
      </c>
      <c r="E74" s="232">
        <f t="shared" si="8"/>
        <v>0.70330000000000004</v>
      </c>
      <c r="F74" s="217">
        <v>40.902412436608373</v>
      </c>
      <c r="G74" s="217">
        <v>40.5</v>
      </c>
      <c r="H74" s="145">
        <f t="shared" ref="H74:H96" si="10">((F74-D74)/F74)</f>
        <v>0</v>
      </c>
      <c r="I74" s="210">
        <v>68</v>
      </c>
      <c r="J74" s="229">
        <f t="shared" si="5"/>
        <v>100.99361095458856</v>
      </c>
      <c r="K74" s="230">
        <f t="shared" si="6"/>
        <v>100.99361095458856</v>
      </c>
      <c r="L74" s="235" t="s">
        <v>464</v>
      </c>
      <c r="M74" s="236" t="s">
        <v>347</v>
      </c>
      <c r="N74" s="237" t="s">
        <v>597</v>
      </c>
      <c r="O74" s="236" t="s">
        <v>259</v>
      </c>
      <c r="P74" s="238">
        <v>17277</v>
      </c>
      <c r="Q74" s="237"/>
      <c r="R74" s="236" t="s">
        <v>547</v>
      </c>
      <c r="S74" s="238">
        <v>42134</v>
      </c>
      <c r="T74" s="239"/>
      <c r="U74" s="240"/>
    </row>
    <row r="75" spans="1:21" ht="15.75">
      <c r="A75" s="210">
        <v>69</v>
      </c>
      <c r="B75" s="234">
        <v>2.991898148148148E-2</v>
      </c>
      <c r="C75" s="217">
        <f t="shared" si="4"/>
        <v>43.083333333333329</v>
      </c>
      <c r="D75" s="217">
        <f t="shared" si="9"/>
        <v>41.486395538890491</v>
      </c>
      <c r="E75" s="232">
        <f t="shared" si="8"/>
        <v>0.69340000000000002</v>
      </c>
      <c r="F75" s="217">
        <v>41.486395538890491</v>
      </c>
      <c r="G75" s="217">
        <v>43.083333333333329</v>
      </c>
      <c r="H75" s="145">
        <f t="shared" si="10"/>
        <v>0</v>
      </c>
      <c r="I75" s="210">
        <v>69</v>
      </c>
      <c r="J75" s="229">
        <f t="shared" si="5"/>
        <v>96.293374558353179</v>
      </c>
      <c r="K75" s="230">
        <f t="shared" si="6"/>
        <v>96.293374558353179</v>
      </c>
      <c r="L75" s="235" t="s">
        <v>465</v>
      </c>
      <c r="M75" s="236" t="s">
        <v>347</v>
      </c>
      <c r="N75" s="237" t="s">
        <v>597</v>
      </c>
      <c r="O75" s="236" t="s">
        <v>259</v>
      </c>
      <c r="P75" s="238">
        <v>17277</v>
      </c>
      <c r="Q75" s="237"/>
      <c r="R75" s="236" t="s">
        <v>603</v>
      </c>
      <c r="S75" s="238">
        <v>42539</v>
      </c>
      <c r="T75" s="239"/>
      <c r="U75" s="240"/>
    </row>
    <row r="76" spans="1:21" ht="15.75">
      <c r="A76" s="210">
        <v>70</v>
      </c>
      <c r="B76" s="234">
        <v>3.1377314814814816E-2</v>
      </c>
      <c r="C76" s="217">
        <f t="shared" ref="C76:C98" si="11">B76*1440</f>
        <v>45.183333333333337</v>
      </c>
      <c r="D76" s="217">
        <f t="shared" si="9"/>
        <v>42.093454297141747</v>
      </c>
      <c r="E76" s="232">
        <f t="shared" si="8"/>
        <v>0.68340000000000001</v>
      </c>
      <c r="F76" s="217">
        <v>42.093454297141747</v>
      </c>
      <c r="G76" s="217">
        <v>45.183333333333323</v>
      </c>
      <c r="H76" s="145">
        <f t="shared" si="10"/>
        <v>0</v>
      </c>
      <c r="I76" s="210">
        <v>70</v>
      </c>
      <c r="J76" s="229">
        <f t="shared" si="5"/>
        <v>93.161462848709135</v>
      </c>
      <c r="K76" s="230">
        <f t="shared" si="6"/>
        <v>93.161462848709135</v>
      </c>
      <c r="L76" s="235" t="s">
        <v>466</v>
      </c>
      <c r="M76" s="236" t="s">
        <v>347</v>
      </c>
      <c r="N76" s="237" t="s">
        <v>597</v>
      </c>
      <c r="O76" s="236" t="s">
        <v>259</v>
      </c>
      <c r="P76" s="238">
        <v>17277</v>
      </c>
      <c r="Q76" s="237"/>
      <c r="R76" s="236" t="s">
        <v>260</v>
      </c>
      <c r="S76" s="238">
        <v>42884</v>
      </c>
      <c r="T76" s="239"/>
      <c r="U76" s="240"/>
    </row>
    <row r="77" spans="1:21" ht="15.75">
      <c r="A77" s="210">
        <v>71</v>
      </c>
      <c r="B77" s="234">
        <v>3.0659722222222224E-2</v>
      </c>
      <c r="C77" s="217">
        <f t="shared" si="11"/>
        <v>44.15</v>
      </c>
      <c r="D77" s="217">
        <f t="shared" si="9"/>
        <v>42.712199950507305</v>
      </c>
      <c r="E77" s="232">
        <f t="shared" si="8"/>
        <v>0.67349999999999999</v>
      </c>
      <c r="F77" s="217">
        <v>42.712199950507305</v>
      </c>
      <c r="G77" s="217">
        <v>44.15</v>
      </c>
      <c r="H77" s="145">
        <f t="shared" si="10"/>
        <v>0</v>
      </c>
      <c r="I77" s="210">
        <v>71</v>
      </c>
      <c r="J77" s="229">
        <f t="shared" ref="J77:J98" si="12">100*(+F77/+C77)</f>
        <v>96.743374746335917</v>
      </c>
      <c r="K77" s="230">
        <f t="shared" si="6"/>
        <v>96.743374746335917</v>
      </c>
      <c r="L77" s="235" t="s">
        <v>467</v>
      </c>
      <c r="M77" s="236" t="s">
        <v>604</v>
      </c>
      <c r="N77" s="237" t="s">
        <v>605</v>
      </c>
      <c r="O77" s="236" t="s">
        <v>606</v>
      </c>
      <c r="P77" s="238">
        <v>15962</v>
      </c>
      <c r="Q77" s="237"/>
      <c r="R77" s="236" t="s">
        <v>607</v>
      </c>
      <c r="S77" s="238">
        <v>41924</v>
      </c>
      <c r="T77" s="239"/>
      <c r="U77" s="240"/>
    </row>
    <row r="78" spans="1:21" ht="15.75">
      <c r="A78" s="210">
        <v>72</v>
      </c>
      <c r="B78" s="234">
        <v>3.2719907407407406E-2</v>
      </c>
      <c r="C78" s="217">
        <f t="shared" si="11"/>
        <v>47.116666666666667</v>
      </c>
      <c r="D78" s="217">
        <f t="shared" si="9"/>
        <v>43.355940718412462</v>
      </c>
      <c r="E78" s="232">
        <f t="shared" si="8"/>
        <v>0.66349999999999998</v>
      </c>
      <c r="F78" s="217">
        <v>43.355940718412462</v>
      </c>
      <c r="G78" s="217">
        <v>47.116666666666667</v>
      </c>
      <c r="H78" s="145">
        <f t="shared" si="10"/>
        <v>0</v>
      </c>
      <c r="I78" s="210">
        <v>72</v>
      </c>
      <c r="J78" s="229">
        <f t="shared" si="12"/>
        <v>92.018268238583218</v>
      </c>
      <c r="K78" s="230">
        <f t="shared" si="6"/>
        <v>92.018268238583218</v>
      </c>
      <c r="L78" s="235" t="s">
        <v>468</v>
      </c>
      <c r="M78" s="236" t="s">
        <v>608</v>
      </c>
      <c r="N78" s="237" t="s">
        <v>609</v>
      </c>
      <c r="O78" s="236" t="s">
        <v>295</v>
      </c>
      <c r="P78" s="238">
        <v>14907</v>
      </c>
      <c r="Q78" s="237"/>
      <c r="R78" s="236" t="s">
        <v>610</v>
      </c>
      <c r="S78" s="238">
        <v>41418</v>
      </c>
      <c r="T78" s="239"/>
      <c r="U78" s="240"/>
    </row>
    <row r="79" spans="1:21" ht="15.75">
      <c r="A79" s="210">
        <v>73</v>
      </c>
      <c r="B79" s="234">
        <v>3.3414351851851855E-2</v>
      </c>
      <c r="C79" s="217">
        <f t="shared" si="11"/>
        <v>48.116666666666674</v>
      </c>
      <c r="D79" s="217">
        <f t="shared" si="9"/>
        <v>44.012647898816816</v>
      </c>
      <c r="E79" s="232">
        <f t="shared" si="8"/>
        <v>0.65359999999999996</v>
      </c>
      <c r="F79" s="217">
        <v>44.012647898816816</v>
      </c>
      <c r="G79" s="217">
        <v>48.116666666666674</v>
      </c>
      <c r="H79" s="145">
        <f t="shared" si="10"/>
        <v>0</v>
      </c>
      <c r="I79" s="210">
        <v>73</v>
      </c>
      <c r="J79" s="229">
        <f t="shared" si="12"/>
        <v>91.470691857603342</v>
      </c>
      <c r="K79" s="230">
        <f t="shared" si="6"/>
        <v>91.470691857603342</v>
      </c>
      <c r="L79" s="235" t="s">
        <v>469</v>
      </c>
      <c r="M79" s="236" t="s">
        <v>611</v>
      </c>
      <c r="N79" s="237" t="s">
        <v>612</v>
      </c>
      <c r="O79" s="236" t="s">
        <v>259</v>
      </c>
      <c r="P79" s="238">
        <v>12120</v>
      </c>
      <c r="Q79" s="237"/>
      <c r="R79" s="236" t="s">
        <v>613</v>
      </c>
      <c r="S79" s="238">
        <v>38970</v>
      </c>
      <c r="T79" s="239"/>
      <c r="U79" s="240"/>
    </row>
    <row r="80" spans="1:21" ht="15.75">
      <c r="A80" s="210">
        <v>74</v>
      </c>
      <c r="B80" s="234">
        <v>3.412037037037037E-2</v>
      </c>
      <c r="C80" s="217">
        <f t="shared" si="11"/>
        <v>49.133333333333333</v>
      </c>
      <c r="D80" s="217">
        <f t="shared" si="9"/>
        <v>44.689555175806532</v>
      </c>
      <c r="E80" s="232">
        <f t="shared" si="8"/>
        <v>0.64370000000000005</v>
      </c>
      <c r="F80" s="217">
        <v>44.689555175806532</v>
      </c>
      <c r="G80" s="217">
        <v>49.133333333333333</v>
      </c>
      <c r="H80" s="145">
        <f t="shared" si="10"/>
        <v>0</v>
      </c>
      <c r="I80" s="210">
        <v>74</v>
      </c>
      <c r="J80" s="229">
        <f t="shared" si="12"/>
        <v>90.955675391736506</v>
      </c>
      <c r="K80" s="230">
        <f t="shared" si="6"/>
        <v>90.955675391736506</v>
      </c>
      <c r="L80" s="235" t="s">
        <v>470</v>
      </c>
      <c r="M80" s="236" t="s">
        <v>611</v>
      </c>
      <c r="N80" s="237" t="s">
        <v>612</v>
      </c>
      <c r="O80" s="236" t="s">
        <v>259</v>
      </c>
      <c r="P80" s="238">
        <v>12120</v>
      </c>
      <c r="Q80" s="237"/>
      <c r="R80" s="236" t="s">
        <v>614</v>
      </c>
      <c r="S80" s="238">
        <v>39194</v>
      </c>
      <c r="T80" s="239"/>
      <c r="U80" s="240"/>
    </row>
    <row r="81" spans="1:21">
      <c r="A81" s="210">
        <v>75</v>
      </c>
      <c r="B81" s="234">
        <v>3.4189814814814812E-2</v>
      </c>
      <c r="C81" s="217">
        <f t="shared" si="11"/>
        <v>49.233333333333327</v>
      </c>
      <c r="D81" s="217">
        <f t="shared" si="9"/>
        <v>45.39477144810899</v>
      </c>
      <c r="E81" s="232">
        <f t="shared" si="8"/>
        <v>0.63370000000000004</v>
      </c>
      <c r="F81" s="217">
        <v>45.39477144810899</v>
      </c>
      <c r="G81" s="217">
        <v>49.516666666666673</v>
      </c>
      <c r="H81" s="145">
        <f t="shared" si="10"/>
        <v>0</v>
      </c>
      <c r="I81" s="210">
        <v>75</v>
      </c>
      <c r="J81" s="229">
        <f t="shared" si="12"/>
        <v>92.203327247343935</v>
      </c>
      <c r="K81" s="230">
        <f t="shared" si="6"/>
        <v>92.203327247343935</v>
      </c>
      <c r="L81" s="235" t="s">
        <v>944</v>
      </c>
      <c r="M81" s="248" t="s">
        <v>357</v>
      </c>
      <c r="N81" s="248" t="s">
        <v>358</v>
      </c>
      <c r="O81" s="256" t="s">
        <v>217</v>
      </c>
      <c r="P81" s="257">
        <v>17637</v>
      </c>
      <c r="Q81" s="249" t="s">
        <v>961</v>
      </c>
      <c r="R81" s="248" t="s">
        <v>962</v>
      </c>
      <c r="S81" s="257">
        <v>45207</v>
      </c>
      <c r="T81" s="239"/>
      <c r="U81" s="240"/>
    </row>
    <row r="82" spans="1:21" ht="15.75">
      <c r="A82" s="210">
        <v>76</v>
      </c>
      <c r="B82" s="234">
        <v>3.2986111111111112E-2</v>
      </c>
      <c r="C82" s="217">
        <f t="shared" si="11"/>
        <v>47.5</v>
      </c>
      <c r="D82" s="217">
        <f t="shared" si="9"/>
        <v>46.144797347877237</v>
      </c>
      <c r="E82" s="232">
        <f t="shared" si="8"/>
        <v>0.62339999999999995</v>
      </c>
      <c r="F82" s="217">
        <v>46.144797347877237</v>
      </c>
      <c r="G82" s="217">
        <v>50.033333333333331</v>
      </c>
      <c r="H82" s="145">
        <f t="shared" si="10"/>
        <v>0</v>
      </c>
      <c r="I82" s="210">
        <v>76</v>
      </c>
      <c r="J82" s="229">
        <f t="shared" si="12"/>
        <v>97.146941785004714</v>
      </c>
      <c r="K82" s="230">
        <f t="shared" si="6"/>
        <v>97.146941785004714</v>
      </c>
      <c r="L82" s="235" t="s">
        <v>2349</v>
      </c>
      <c r="M82" s="236" t="s">
        <v>357</v>
      </c>
      <c r="N82" s="237" t="s">
        <v>358</v>
      </c>
      <c r="O82" s="236" t="s">
        <v>217</v>
      </c>
      <c r="P82" s="257">
        <v>17637</v>
      </c>
      <c r="Q82" s="237" t="s">
        <v>2347</v>
      </c>
      <c r="R82" s="236" t="s">
        <v>615</v>
      </c>
      <c r="S82" s="238">
        <v>39937</v>
      </c>
      <c r="T82" s="239" t="s">
        <v>2348</v>
      </c>
      <c r="U82" s="240"/>
    </row>
    <row r="83" spans="1:21" ht="15.75">
      <c r="A83" s="210">
        <v>77</v>
      </c>
      <c r="B83" s="234">
        <v>3.5682870370370372E-2</v>
      </c>
      <c r="C83" s="217">
        <f t="shared" si="11"/>
        <v>51.383333333333333</v>
      </c>
      <c r="D83" s="217">
        <f t="shared" si="9"/>
        <v>46.981327236104313</v>
      </c>
      <c r="E83" s="232">
        <f t="shared" si="8"/>
        <v>0.61229999999999996</v>
      </c>
      <c r="F83" s="217">
        <v>46.981327236104313</v>
      </c>
      <c r="G83" s="217">
        <v>51.383333333333333</v>
      </c>
      <c r="H83" s="145">
        <f t="shared" si="10"/>
        <v>0</v>
      </c>
      <c r="I83" s="210">
        <v>77</v>
      </c>
      <c r="J83" s="229">
        <f t="shared" si="12"/>
        <v>91.433007919761877</v>
      </c>
      <c r="K83" s="230">
        <f t="shared" si="6"/>
        <v>91.433007919761877</v>
      </c>
      <c r="L83" s="235" t="s">
        <v>471</v>
      </c>
      <c r="M83" s="236" t="s">
        <v>616</v>
      </c>
      <c r="N83" s="237" t="s">
        <v>617</v>
      </c>
      <c r="O83" s="236" t="s">
        <v>320</v>
      </c>
      <c r="P83" s="238">
        <v>11078</v>
      </c>
      <c r="Q83" s="237"/>
      <c r="R83" s="236" t="s">
        <v>618</v>
      </c>
      <c r="S83" s="238">
        <v>39219</v>
      </c>
      <c r="T83" s="239"/>
      <c r="U83" s="240"/>
    </row>
    <row r="84" spans="1:21" ht="15.75">
      <c r="A84" s="210">
        <v>78</v>
      </c>
      <c r="B84" s="234">
        <v>3.7245370370370373E-2</v>
      </c>
      <c r="C84" s="217">
        <f t="shared" si="11"/>
        <v>53.63333333333334</v>
      </c>
      <c r="D84" s="217">
        <f t="shared" si="9"/>
        <v>47.9045240077713</v>
      </c>
      <c r="E84" s="232">
        <f t="shared" si="8"/>
        <v>0.60050000000000003</v>
      </c>
      <c r="F84" s="217">
        <v>47.9045240077713</v>
      </c>
      <c r="G84" s="217">
        <v>53.633333333333326</v>
      </c>
      <c r="H84" s="145">
        <f t="shared" si="10"/>
        <v>0</v>
      </c>
      <c r="I84" s="210">
        <v>78</v>
      </c>
      <c r="J84" s="229">
        <f t="shared" si="12"/>
        <v>89.318565583165864</v>
      </c>
      <c r="K84" s="230">
        <f t="shared" si="6"/>
        <v>89.318565583165864</v>
      </c>
      <c r="L84" s="235" t="s">
        <v>472</v>
      </c>
      <c r="M84" s="239" t="s">
        <v>365</v>
      </c>
      <c r="N84" s="239" t="s">
        <v>366</v>
      </c>
      <c r="O84" s="236" t="s">
        <v>217</v>
      </c>
      <c r="P84" s="238">
        <v>13343</v>
      </c>
      <c r="Q84" s="239" t="s">
        <v>619</v>
      </c>
      <c r="R84" s="239" t="s">
        <v>620</v>
      </c>
      <c r="S84" s="250">
        <v>42149</v>
      </c>
      <c r="T84" s="239"/>
      <c r="U84" s="240"/>
    </row>
    <row r="85" spans="1:21" ht="15.75">
      <c r="A85" s="210">
        <v>79</v>
      </c>
      <c r="B85" s="234">
        <v>3.8124999999999999E-2</v>
      </c>
      <c r="C85" s="217">
        <f t="shared" si="11"/>
        <v>54.9</v>
      </c>
      <c r="D85" s="217">
        <f t="shared" si="9"/>
        <v>48.931224131088058</v>
      </c>
      <c r="E85" s="232">
        <f t="shared" si="8"/>
        <v>0.58789999999999998</v>
      </c>
      <c r="F85" s="217">
        <v>48.931224131088058</v>
      </c>
      <c r="G85" s="217">
        <v>54.9</v>
      </c>
      <c r="H85" s="145">
        <f t="shared" si="10"/>
        <v>0</v>
      </c>
      <c r="I85" s="210">
        <v>79</v>
      </c>
      <c r="J85" s="229">
        <f t="shared" si="12"/>
        <v>89.127912807082083</v>
      </c>
      <c r="K85" s="230">
        <f t="shared" si="6"/>
        <v>89.127912807082083</v>
      </c>
      <c r="L85" s="235" t="s">
        <v>473</v>
      </c>
      <c r="M85" s="236" t="s">
        <v>621</v>
      </c>
      <c r="N85" s="237" t="s">
        <v>622</v>
      </c>
      <c r="O85" s="236" t="s">
        <v>552</v>
      </c>
      <c r="P85" s="238">
        <v>13184</v>
      </c>
      <c r="Q85" s="237"/>
      <c r="R85" s="236" t="s">
        <v>623</v>
      </c>
      <c r="S85" s="238">
        <v>42071</v>
      </c>
      <c r="T85" s="239"/>
      <c r="U85" s="240"/>
    </row>
    <row r="86" spans="1:21" ht="15.75">
      <c r="A86" s="210">
        <v>80</v>
      </c>
      <c r="B86" s="234">
        <v>3.8252314814814815E-2</v>
      </c>
      <c r="C86" s="217">
        <f t="shared" si="11"/>
        <v>55.083333333333336</v>
      </c>
      <c r="D86" s="217">
        <f t="shared" si="9"/>
        <v>50.072526834928929</v>
      </c>
      <c r="E86" s="232">
        <f t="shared" si="8"/>
        <v>0.57450000000000001</v>
      </c>
      <c r="F86" s="217">
        <v>50.072526834928929</v>
      </c>
      <c r="G86" s="217">
        <v>55.083333333333336</v>
      </c>
      <c r="H86" s="145">
        <f t="shared" si="10"/>
        <v>0</v>
      </c>
      <c r="I86" s="210">
        <v>80</v>
      </c>
      <c r="J86" s="229">
        <f t="shared" si="12"/>
        <v>90.903225721504867</v>
      </c>
      <c r="K86" s="230">
        <f t="shared" si="6"/>
        <v>90.903225721504867</v>
      </c>
      <c r="L86" s="235" t="s">
        <v>474</v>
      </c>
      <c r="M86" s="236" t="s">
        <v>624</v>
      </c>
      <c r="N86" s="237" t="s">
        <v>625</v>
      </c>
      <c r="O86" s="236" t="s">
        <v>552</v>
      </c>
      <c r="P86" s="238">
        <v>12337</v>
      </c>
      <c r="Q86" s="237"/>
      <c r="R86" s="236" t="s">
        <v>626</v>
      </c>
      <c r="S86" s="238">
        <v>41896</v>
      </c>
      <c r="T86" s="239"/>
      <c r="U86" s="240"/>
    </row>
    <row r="87" spans="1:21" ht="15.75">
      <c r="A87" s="210">
        <v>81</v>
      </c>
      <c r="B87" s="234">
        <v>3.7696759259259256E-2</v>
      </c>
      <c r="C87" s="217">
        <f t="shared" si="11"/>
        <v>54.283333333333331</v>
      </c>
      <c r="D87" s="217">
        <f t="shared" si="9"/>
        <v>51.332381632167504</v>
      </c>
      <c r="E87" s="232">
        <f t="shared" si="8"/>
        <v>0.56040000000000001</v>
      </c>
      <c r="F87" s="217">
        <v>51.332381632167504</v>
      </c>
      <c r="G87" s="217">
        <v>53.266666666666666</v>
      </c>
      <c r="H87" s="145">
        <f t="shared" si="10"/>
        <v>0</v>
      </c>
      <c r="I87" s="210">
        <v>81</v>
      </c>
      <c r="J87" s="229">
        <f t="shared" si="12"/>
        <v>94.563797910041458</v>
      </c>
      <c r="K87" s="230">
        <f t="shared" si="6"/>
        <v>94.563797910041458</v>
      </c>
      <c r="L87" s="235" t="s">
        <v>945</v>
      </c>
      <c r="M87" s="236" t="s">
        <v>629</v>
      </c>
      <c r="N87" s="237" t="s">
        <v>630</v>
      </c>
      <c r="O87" s="236" t="s">
        <v>263</v>
      </c>
      <c r="P87" s="238">
        <v>11590</v>
      </c>
      <c r="Q87" s="237"/>
      <c r="R87" s="236" t="s">
        <v>506</v>
      </c>
      <c r="S87" s="238">
        <v>41413</v>
      </c>
      <c r="T87" s="239"/>
      <c r="U87" s="240"/>
    </row>
    <row r="88" spans="1:21" ht="15.75">
      <c r="A88" s="210">
        <v>82</v>
      </c>
      <c r="B88" s="234">
        <v>3.6990740740740741E-2</v>
      </c>
      <c r="C88" s="217">
        <f t="shared" si="11"/>
        <v>53.266666666666666</v>
      </c>
      <c r="D88" s="217">
        <f t="shared" si="9"/>
        <v>52.734494347693257</v>
      </c>
      <c r="E88" s="232">
        <f t="shared" si="8"/>
        <v>0.54549999999999998</v>
      </c>
      <c r="F88" s="217">
        <v>52.734494347693257</v>
      </c>
      <c r="G88" s="217">
        <v>56.033333333333331</v>
      </c>
      <c r="H88" s="145">
        <f t="shared" si="10"/>
        <v>0</v>
      </c>
      <c r="I88" s="210">
        <v>82</v>
      </c>
      <c r="J88" s="229">
        <f t="shared" si="12"/>
        <v>99.000928062002359</v>
      </c>
      <c r="K88" s="230">
        <f t="shared" si="6"/>
        <v>99.000928062002359</v>
      </c>
      <c r="L88" s="235" t="s">
        <v>475</v>
      </c>
      <c r="M88" s="239" t="s">
        <v>365</v>
      </c>
      <c r="N88" s="239" t="s">
        <v>366</v>
      </c>
      <c r="O88" s="236" t="s">
        <v>217</v>
      </c>
      <c r="P88" s="238">
        <v>13343</v>
      </c>
      <c r="Q88" s="239" t="s">
        <v>627</v>
      </c>
      <c r="R88" s="239" t="s">
        <v>628</v>
      </c>
      <c r="S88" s="250">
        <v>43346</v>
      </c>
      <c r="T88" s="239"/>
      <c r="U88" s="240"/>
    </row>
    <row r="89" spans="1:21" ht="15.75">
      <c r="A89" s="210">
        <v>83</v>
      </c>
      <c r="B89" s="234">
        <v>4.2395833333333334E-2</v>
      </c>
      <c r="C89" s="217">
        <f t="shared" si="11"/>
        <v>61.050000000000004</v>
      </c>
      <c r="D89" s="217">
        <f t="shared" si="9"/>
        <v>54.286972384726681</v>
      </c>
      <c r="E89" s="232">
        <f t="shared" si="8"/>
        <v>0.52990000000000004</v>
      </c>
      <c r="F89" s="217">
        <v>54.286972384726681</v>
      </c>
      <c r="G89" s="217">
        <v>61.050000000000004</v>
      </c>
      <c r="H89" s="145">
        <f t="shared" si="10"/>
        <v>0</v>
      </c>
      <c r="I89" s="210">
        <v>83</v>
      </c>
      <c r="J89" s="229">
        <f t="shared" si="12"/>
        <v>88.922149688331984</v>
      </c>
      <c r="K89" s="230">
        <f t="shared" si="6"/>
        <v>88.922149688331984</v>
      </c>
      <c r="L89" s="235" t="s">
        <v>476</v>
      </c>
      <c r="M89" s="236" t="s">
        <v>373</v>
      </c>
      <c r="N89" s="237" t="s">
        <v>631</v>
      </c>
      <c r="O89" s="236" t="s">
        <v>375</v>
      </c>
      <c r="P89" s="238">
        <v>11106</v>
      </c>
      <c r="Q89" s="237"/>
      <c r="R89" s="236" t="s">
        <v>632</v>
      </c>
      <c r="S89" s="238">
        <v>41434</v>
      </c>
      <c r="T89" s="239"/>
      <c r="U89" s="240"/>
    </row>
    <row r="90" spans="1:21" ht="15.75">
      <c r="A90" s="210">
        <v>84</v>
      </c>
      <c r="B90" s="234">
        <v>4.2719907407407408E-2</v>
      </c>
      <c r="C90" s="217">
        <f t="shared" si="11"/>
        <v>61.516666666666666</v>
      </c>
      <c r="D90" s="217">
        <f t="shared" si="9"/>
        <v>56.020772476468686</v>
      </c>
      <c r="E90" s="232">
        <f t="shared" si="8"/>
        <v>0.51349999999999996</v>
      </c>
      <c r="F90" s="217">
        <v>56.020772476468686</v>
      </c>
      <c r="G90" s="217">
        <v>61.516666666666666</v>
      </c>
      <c r="H90" s="145">
        <f t="shared" si="10"/>
        <v>0</v>
      </c>
      <c r="I90" s="210">
        <v>84</v>
      </c>
      <c r="J90" s="229">
        <f t="shared" si="12"/>
        <v>91.0660078186974</v>
      </c>
      <c r="K90" s="230">
        <f t="shared" si="6"/>
        <v>91.0660078186974</v>
      </c>
      <c r="L90" s="235" t="s">
        <v>477</v>
      </c>
      <c r="M90" s="236" t="s">
        <v>629</v>
      </c>
      <c r="N90" s="237" t="s">
        <v>630</v>
      </c>
      <c r="O90" s="236" t="s">
        <v>263</v>
      </c>
      <c r="P90" s="238">
        <v>11590</v>
      </c>
      <c r="Q90" s="237"/>
      <c r="R90" s="236" t="s">
        <v>633</v>
      </c>
      <c r="S90" s="238">
        <v>42322</v>
      </c>
      <c r="T90" s="239"/>
      <c r="U90" s="240"/>
    </row>
    <row r="91" spans="1:21" ht="15.75">
      <c r="A91" s="210">
        <v>85</v>
      </c>
      <c r="B91" s="234">
        <v>4.1562500000000002E-2</v>
      </c>
      <c r="C91" s="217">
        <f t="shared" si="11"/>
        <v>59.85</v>
      </c>
      <c r="D91" s="217">
        <f t="shared" si="9"/>
        <v>57.962254013029757</v>
      </c>
      <c r="E91" s="232">
        <f t="shared" si="8"/>
        <v>0.49630000000000002</v>
      </c>
      <c r="F91" s="217">
        <v>57.962254013029757</v>
      </c>
      <c r="G91" s="217">
        <v>59.85</v>
      </c>
      <c r="H91" s="145">
        <f t="shared" si="10"/>
        <v>0</v>
      </c>
      <c r="I91" s="210">
        <v>85</v>
      </c>
      <c r="J91" s="229">
        <f t="shared" si="12"/>
        <v>96.845871366799926</v>
      </c>
      <c r="K91" s="230">
        <f t="shared" si="6"/>
        <v>96.845871366799926</v>
      </c>
      <c r="L91" s="235" t="s">
        <v>478</v>
      </c>
      <c r="M91" s="236" t="s">
        <v>629</v>
      </c>
      <c r="N91" s="237" t="s">
        <v>630</v>
      </c>
      <c r="O91" s="236" t="s">
        <v>263</v>
      </c>
      <c r="P91" s="238">
        <v>11590</v>
      </c>
      <c r="Q91" s="237"/>
      <c r="R91" s="236" t="s">
        <v>634</v>
      </c>
      <c r="S91" s="238">
        <v>42764</v>
      </c>
      <c r="T91" s="239"/>
      <c r="U91" s="240"/>
    </row>
    <row r="92" spans="1:21" ht="15.75">
      <c r="A92" s="210">
        <v>86</v>
      </c>
      <c r="B92" s="234">
        <v>5.153935185185185E-2</v>
      </c>
      <c r="C92" s="217">
        <f t="shared" si="11"/>
        <v>74.216666666666669</v>
      </c>
      <c r="D92" s="217">
        <f t="shared" si="9"/>
        <v>60.130992196209597</v>
      </c>
      <c r="E92" s="232">
        <f t="shared" si="8"/>
        <v>0.47839999999999999</v>
      </c>
      <c r="F92" s="217">
        <v>60.130992196209597</v>
      </c>
      <c r="G92" s="217">
        <v>74.216666666666669</v>
      </c>
      <c r="H92" s="145">
        <f t="shared" si="10"/>
        <v>0</v>
      </c>
      <c r="I92" s="210">
        <v>86</v>
      </c>
      <c r="J92" s="229">
        <f t="shared" si="12"/>
        <v>81.020874281890315</v>
      </c>
      <c r="K92" s="230">
        <f t="shared" si="6"/>
        <v>81.020874281890315</v>
      </c>
      <c r="L92" s="235" t="s">
        <v>479</v>
      </c>
      <c r="M92" s="236" t="s">
        <v>373</v>
      </c>
      <c r="N92" s="237" t="s">
        <v>631</v>
      </c>
      <c r="O92" s="236" t="s">
        <v>375</v>
      </c>
      <c r="P92" s="238">
        <v>11106</v>
      </c>
      <c r="Q92" s="237"/>
      <c r="R92" s="236" t="s">
        <v>635</v>
      </c>
      <c r="S92" s="238">
        <v>42855</v>
      </c>
      <c r="T92" s="239"/>
      <c r="U92" s="240"/>
    </row>
    <row r="93" spans="1:21" ht="15.75">
      <c r="A93" s="210">
        <v>87</v>
      </c>
      <c r="B93" s="234">
        <v>5.2430555555555557E-2</v>
      </c>
      <c r="C93" s="217">
        <f t="shared" si="11"/>
        <v>75.5</v>
      </c>
      <c r="D93" s="217">
        <f t="shared" si="9"/>
        <v>62.577042999057362</v>
      </c>
      <c r="E93" s="232">
        <f t="shared" si="8"/>
        <v>0.4597</v>
      </c>
      <c r="F93" s="217">
        <v>62.577042999057362</v>
      </c>
      <c r="G93" s="217"/>
      <c r="H93" s="145"/>
      <c r="I93" s="210">
        <v>87</v>
      </c>
      <c r="J93" s="229">
        <f t="shared" si="12"/>
        <v>82.883500661003126</v>
      </c>
      <c r="K93" s="230">
        <f t="shared" ref="K93:K98" si="13">100*(D93/C93)</f>
        <v>82.883500661003126</v>
      </c>
      <c r="L93" s="235" t="s">
        <v>480</v>
      </c>
      <c r="M93" s="239" t="s">
        <v>636</v>
      </c>
      <c r="N93" s="239" t="s">
        <v>637</v>
      </c>
      <c r="O93" s="236" t="s">
        <v>217</v>
      </c>
      <c r="P93" s="257">
        <v>6357</v>
      </c>
      <c r="Q93" s="239" t="s">
        <v>638</v>
      </c>
      <c r="R93" s="239" t="s">
        <v>401</v>
      </c>
      <c r="S93" s="250">
        <v>38423</v>
      </c>
      <c r="T93" s="237"/>
      <c r="U93" s="252"/>
    </row>
    <row r="94" spans="1:21" ht="15.75">
      <c r="A94" s="210">
        <v>88</v>
      </c>
      <c r="B94" s="234">
        <v>5.4502314814814816E-2</v>
      </c>
      <c r="C94" s="217">
        <f t="shared" si="11"/>
        <v>78.483333333333334</v>
      </c>
      <c r="D94" s="217">
        <f t="shared" si="9"/>
        <v>65.334241804830043</v>
      </c>
      <c r="E94" s="232">
        <f t="shared" si="8"/>
        <v>0.44030000000000002</v>
      </c>
      <c r="F94" s="217">
        <v>65.334241804830043</v>
      </c>
      <c r="G94" s="217">
        <v>78.483333333333334</v>
      </c>
      <c r="H94" s="145">
        <f t="shared" si="10"/>
        <v>0</v>
      </c>
      <c r="I94" s="210">
        <v>88</v>
      </c>
      <c r="J94" s="229">
        <f t="shared" si="12"/>
        <v>83.246007820976914</v>
      </c>
      <c r="K94" s="230">
        <f t="shared" si="13"/>
        <v>83.246007820976914</v>
      </c>
      <c r="L94" s="235" t="s">
        <v>481</v>
      </c>
      <c r="M94" s="239" t="s">
        <v>639</v>
      </c>
      <c r="N94" s="239" t="s">
        <v>640</v>
      </c>
      <c r="O94" s="236" t="s">
        <v>217</v>
      </c>
      <c r="P94" s="238">
        <v>535</v>
      </c>
      <c r="Q94" s="239" t="s">
        <v>641</v>
      </c>
      <c r="R94" s="239" t="s">
        <v>642</v>
      </c>
      <c r="S94" s="250">
        <v>32788</v>
      </c>
      <c r="T94" s="237"/>
      <c r="U94" s="252"/>
    </row>
    <row r="95" spans="1:21" ht="15.75">
      <c r="A95" s="210">
        <v>89</v>
      </c>
      <c r="B95" s="234">
        <v>5.8935185185185188E-2</v>
      </c>
      <c r="C95" s="217">
        <f t="shared" si="11"/>
        <v>84.866666666666674</v>
      </c>
      <c r="D95" s="217">
        <f t="shared" si="9"/>
        <v>68.475759739744518</v>
      </c>
      <c r="E95" s="232">
        <f t="shared" si="8"/>
        <v>0.42009999999999997</v>
      </c>
      <c r="F95" s="217">
        <v>68.475759739744518</v>
      </c>
      <c r="G95" s="217">
        <v>84.86666666666666</v>
      </c>
      <c r="H95" s="145">
        <f t="shared" si="10"/>
        <v>0</v>
      </c>
      <c r="I95" s="210">
        <v>89</v>
      </c>
      <c r="J95" s="229">
        <f t="shared" si="12"/>
        <v>80.686284060971531</v>
      </c>
      <c r="K95" s="230">
        <f t="shared" si="13"/>
        <v>80.686284060971531</v>
      </c>
      <c r="L95" s="258">
        <v>5.8935185185185181E-2</v>
      </c>
      <c r="M95" s="239" t="s">
        <v>390</v>
      </c>
      <c r="N95" s="239" t="s">
        <v>391</v>
      </c>
      <c r="O95" s="236" t="s">
        <v>217</v>
      </c>
      <c r="P95" s="238">
        <v>8487</v>
      </c>
      <c r="Q95" s="239" t="s">
        <v>643</v>
      </c>
      <c r="R95" s="239" t="s">
        <v>393</v>
      </c>
      <c r="S95" s="250">
        <v>41013</v>
      </c>
      <c r="T95" s="237"/>
      <c r="U95" s="252"/>
    </row>
    <row r="96" spans="1:21" ht="15.75">
      <c r="A96" s="210">
        <v>90</v>
      </c>
      <c r="B96" s="234">
        <v>9.7581018518518525E-2</v>
      </c>
      <c r="C96" s="217">
        <f t="shared" si="11"/>
        <v>140.51666666666668</v>
      </c>
      <c r="D96" s="217">
        <f t="shared" si="9"/>
        <v>72.078844065814749</v>
      </c>
      <c r="E96" s="232">
        <f t="shared" si="8"/>
        <v>0.39910000000000001</v>
      </c>
      <c r="F96" s="217">
        <v>72.078844065814749</v>
      </c>
      <c r="G96" s="217">
        <v>140.51666666666668</v>
      </c>
      <c r="H96" s="145">
        <f t="shared" si="10"/>
        <v>0</v>
      </c>
      <c r="I96" s="210">
        <v>90</v>
      </c>
      <c r="J96" s="229">
        <f t="shared" si="12"/>
        <v>51.295583488896746</v>
      </c>
      <c r="K96" s="230">
        <f t="shared" si="13"/>
        <v>51.295583488896746</v>
      </c>
      <c r="L96" s="258">
        <v>9.7581018518518525E-2</v>
      </c>
      <c r="M96" s="237" t="s">
        <v>644</v>
      </c>
      <c r="N96" s="237" t="s">
        <v>645</v>
      </c>
      <c r="O96" s="236" t="s">
        <v>217</v>
      </c>
      <c r="P96" s="238"/>
      <c r="Q96" s="237" t="s">
        <v>646</v>
      </c>
      <c r="R96" s="237" t="s">
        <v>647</v>
      </c>
      <c r="S96" s="238">
        <v>41000</v>
      </c>
      <c r="T96" s="239"/>
      <c r="U96" s="240"/>
    </row>
    <row r="97" spans="1:21" ht="15.75">
      <c r="A97" s="210">
        <v>91</v>
      </c>
      <c r="C97" s="217"/>
      <c r="D97" s="217">
        <f t="shared" si="9"/>
        <v>76.22328210563505</v>
      </c>
      <c r="E97" s="232">
        <f t="shared" ref="E97:E106" si="14">ROUND(1-IF(A97&lt;I$3,0,IF(A97&lt;I$4,G$3*(A97-I$3)^2,G$2+G$4*(A97-I$4)+(A97&gt;I$5)*G$5*(A97-I$5)^2)),4)</f>
        <v>0.37740000000000001</v>
      </c>
      <c r="F97" s="217">
        <v>76.22328210563505</v>
      </c>
      <c r="G97" s="217"/>
      <c r="H97" s="233"/>
      <c r="I97" s="210">
        <v>91</v>
      </c>
      <c r="J97" s="229"/>
      <c r="K97" s="230"/>
      <c r="L97" s="258">
        <v>5.8935185185185181E-2</v>
      </c>
      <c r="M97" s="239" t="s">
        <v>390</v>
      </c>
      <c r="N97" s="239" t="s">
        <v>391</v>
      </c>
      <c r="O97" s="236" t="s">
        <v>217</v>
      </c>
      <c r="P97" s="238">
        <v>8487</v>
      </c>
      <c r="Q97" s="239" t="s">
        <v>643</v>
      </c>
      <c r="R97" s="239" t="s">
        <v>393</v>
      </c>
      <c r="S97" s="250">
        <v>42105</v>
      </c>
      <c r="T97" s="237"/>
      <c r="U97" s="252"/>
    </row>
    <row r="98" spans="1:21" ht="15.75">
      <c r="A98" s="210">
        <v>92</v>
      </c>
      <c r="B98" s="234">
        <v>5.8935185185185188E-2</v>
      </c>
      <c r="C98" s="217">
        <f t="shared" si="11"/>
        <v>84.866666666666674</v>
      </c>
      <c r="D98" s="217">
        <f t="shared" si="9"/>
        <v>81.055696440311834</v>
      </c>
      <c r="E98" s="232">
        <f t="shared" si="14"/>
        <v>0.35489999999999999</v>
      </c>
      <c r="F98" s="217">
        <v>81.055696440311834</v>
      </c>
      <c r="G98" s="217">
        <v>84.86666666666666</v>
      </c>
      <c r="H98" s="145">
        <f t="shared" ref="H98" si="15">((F98-D98)/F98)</f>
        <v>0</v>
      </c>
      <c r="I98" s="210">
        <v>92</v>
      </c>
      <c r="J98" s="229">
        <f t="shared" si="12"/>
        <v>95.509461634303022</v>
      </c>
      <c r="K98" s="230">
        <f t="shared" si="13"/>
        <v>95.509461634303022</v>
      </c>
      <c r="L98" s="259">
        <v>5.8935185185185181E-2</v>
      </c>
      <c r="M98" s="260" t="s">
        <v>390</v>
      </c>
      <c r="N98" s="260" t="s">
        <v>391</v>
      </c>
      <c r="O98" s="261" t="s">
        <v>217</v>
      </c>
      <c r="P98" s="262">
        <v>8487</v>
      </c>
      <c r="Q98" s="260" t="s">
        <v>643</v>
      </c>
      <c r="R98" s="260" t="s">
        <v>393</v>
      </c>
      <c r="S98" s="263">
        <v>41013</v>
      </c>
      <c r="T98" s="264"/>
    </row>
    <row r="99" spans="1:21" ht="15.75">
      <c r="A99" s="210">
        <v>93</v>
      </c>
      <c r="C99" s="217"/>
      <c r="D99" s="217">
        <f t="shared" si="9"/>
        <v>86.724952266103912</v>
      </c>
      <c r="E99" s="232">
        <f t="shared" si="14"/>
        <v>0.33169999999999999</v>
      </c>
      <c r="F99" s="217">
        <v>86.724952266103912</v>
      </c>
      <c r="G99" s="217"/>
      <c r="H99" s="233"/>
      <c r="I99" s="210">
        <v>93</v>
      </c>
      <c r="J99" s="229"/>
      <c r="K99" s="230"/>
      <c r="L99" s="259">
        <v>9.7581018518518525E-2</v>
      </c>
      <c r="M99" s="264" t="s">
        <v>644</v>
      </c>
      <c r="N99" s="264" t="s">
        <v>645</v>
      </c>
      <c r="O99" s="261" t="s">
        <v>217</v>
      </c>
      <c r="P99" s="262"/>
      <c r="Q99" s="264" t="s">
        <v>646</v>
      </c>
      <c r="R99" s="264" t="s">
        <v>647</v>
      </c>
      <c r="S99" s="262">
        <v>41000</v>
      </c>
      <c r="T99" s="265"/>
    </row>
    <row r="100" spans="1:21" ht="15.75">
      <c r="A100" s="210">
        <v>94</v>
      </c>
      <c r="C100" s="217"/>
      <c r="D100" s="217">
        <f t="shared" si="9"/>
        <v>93.489329433430854</v>
      </c>
      <c r="E100" s="232">
        <f t="shared" si="14"/>
        <v>0.30769999999999997</v>
      </c>
      <c r="F100" s="217">
        <v>93.489329433430854</v>
      </c>
      <c r="G100" s="217"/>
      <c r="H100" s="233"/>
      <c r="I100" s="210">
        <v>94</v>
      </c>
      <c r="J100" s="229"/>
      <c r="K100" s="230"/>
      <c r="L100" s="259">
        <v>5.8935185185185181E-2</v>
      </c>
      <c r="M100" s="260" t="s">
        <v>390</v>
      </c>
      <c r="N100" s="260" t="s">
        <v>391</v>
      </c>
      <c r="O100" s="261" t="s">
        <v>217</v>
      </c>
      <c r="P100" s="262">
        <v>8487</v>
      </c>
      <c r="Q100" s="260" t="s">
        <v>643</v>
      </c>
      <c r="R100" s="260" t="s">
        <v>393</v>
      </c>
      <c r="S100" s="263">
        <v>42105</v>
      </c>
      <c r="T100" s="264"/>
    </row>
    <row r="101" spans="1:21">
      <c r="A101" s="210">
        <v>95</v>
      </c>
      <c r="B101" s="234" t="s">
        <v>63</v>
      </c>
      <c r="C101" s="217"/>
      <c r="D101" s="217">
        <f t="shared" si="9"/>
        <v>101.68492989277721</v>
      </c>
      <c r="E101" s="232">
        <f t="shared" si="14"/>
        <v>0.28289999999999998</v>
      </c>
      <c r="F101" s="217">
        <v>101.68492989277721</v>
      </c>
      <c r="G101" s="217"/>
      <c r="H101" s="233"/>
      <c r="I101" s="210">
        <v>95</v>
      </c>
      <c r="J101" s="229"/>
      <c r="K101" s="230"/>
      <c r="L101" s="266"/>
    </row>
    <row r="102" spans="1:21">
      <c r="A102" s="210">
        <v>96</v>
      </c>
      <c r="B102" s="210" t="s">
        <v>63</v>
      </c>
      <c r="C102" s="217"/>
      <c r="D102" s="217">
        <f t="shared" si="9"/>
        <v>111.75861175861176</v>
      </c>
      <c r="E102" s="232">
        <f t="shared" si="14"/>
        <v>0.25740000000000002</v>
      </c>
      <c r="F102" s="217">
        <v>111.75861175861176</v>
      </c>
      <c r="G102" s="217"/>
      <c r="H102" s="233"/>
      <c r="I102" s="210">
        <v>96</v>
      </c>
      <c r="J102" s="229"/>
      <c r="K102" s="230"/>
      <c r="L102" s="266"/>
    </row>
    <row r="103" spans="1:21">
      <c r="A103" s="210">
        <v>97</v>
      </c>
      <c r="B103" s="210" t="s">
        <v>63</v>
      </c>
      <c r="C103" s="217"/>
      <c r="D103" s="217">
        <f t="shared" si="9"/>
        <v>124.47713832395789</v>
      </c>
      <c r="E103" s="232">
        <f t="shared" si="14"/>
        <v>0.2311</v>
      </c>
      <c r="F103" s="217">
        <v>124.47713832395789</v>
      </c>
      <c r="G103" s="217"/>
      <c r="H103" s="233"/>
      <c r="I103" s="210">
        <v>97</v>
      </c>
      <c r="J103" s="229"/>
      <c r="K103" s="230"/>
      <c r="L103" s="266"/>
    </row>
    <row r="104" spans="1:21">
      <c r="A104" s="210">
        <v>98</v>
      </c>
      <c r="B104" s="210" t="s">
        <v>63</v>
      </c>
      <c r="C104" s="217"/>
      <c r="D104" s="217">
        <f t="shared" si="9"/>
        <v>140.94398170831292</v>
      </c>
      <c r="E104" s="232">
        <f t="shared" si="14"/>
        <v>0.2041</v>
      </c>
      <c r="F104" s="217">
        <v>140.94398170831292</v>
      </c>
      <c r="G104" s="217"/>
      <c r="H104" s="233"/>
      <c r="I104" s="210">
        <v>98</v>
      </c>
      <c r="J104" s="229"/>
      <c r="K104" s="230"/>
      <c r="L104" s="266"/>
    </row>
    <row r="105" spans="1:21">
      <c r="A105" s="210">
        <v>99</v>
      </c>
      <c r="B105" s="210" t="s">
        <v>63</v>
      </c>
      <c r="C105" s="217"/>
      <c r="D105" s="217">
        <f t="shared" si="9"/>
        <v>163.1688409907355</v>
      </c>
      <c r="E105" s="232">
        <f t="shared" si="14"/>
        <v>0.17630000000000001</v>
      </c>
      <c r="F105" s="217">
        <v>163.1688409907355</v>
      </c>
      <c r="G105" s="217"/>
      <c r="H105" s="233"/>
      <c r="I105" s="210">
        <v>99</v>
      </c>
      <c r="J105" s="229"/>
      <c r="K105" s="230"/>
      <c r="L105" s="266"/>
    </row>
    <row r="106" spans="1:21">
      <c r="A106" s="210">
        <v>100</v>
      </c>
      <c r="D106" s="217">
        <f t="shared" si="9"/>
        <v>194.76416158880616</v>
      </c>
      <c r="E106" s="232">
        <f t="shared" si="14"/>
        <v>0.1477</v>
      </c>
      <c r="F106" s="217">
        <v>194.76416158880616</v>
      </c>
      <c r="G106" s="217"/>
      <c r="H106" s="233"/>
      <c r="I106" s="210">
        <v>100</v>
      </c>
      <c r="J106" s="229"/>
      <c r="K106" s="230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F736-6B26-46C5-955E-42C57B22837C}">
  <dimension ref="A1:N106"/>
  <sheetViews>
    <sheetView workbookViewId="0">
      <selection activeCell="N8" sqref="N8"/>
    </sheetView>
  </sheetViews>
  <sheetFormatPr defaultRowHeight="15"/>
  <cols>
    <col min="4" max="4" width="10.88671875" customWidth="1"/>
    <col min="5" max="5" width="11" customWidth="1"/>
    <col min="6" max="6" width="10" customWidth="1"/>
    <col min="7" max="7" width="10.6640625" customWidth="1"/>
  </cols>
  <sheetData>
    <row r="1" spans="1:14" ht="31.5">
      <c r="A1" s="206" t="s">
        <v>2352</v>
      </c>
      <c r="B1" s="207"/>
      <c r="C1" s="208"/>
      <c r="D1" s="209" t="s">
        <v>32</v>
      </c>
      <c r="E1" s="209" t="s">
        <v>54</v>
      </c>
      <c r="F1" s="209"/>
      <c r="G1" s="209"/>
      <c r="H1" s="209"/>
      <c r="I1" s="209"/>
      <c r="J1" s="210"/>
      <c r="K1" s="207" t="s">
        <v>2354</v>
      </c>
      <c r="L1" s="210"/>
      <c r="M1" s="210"/>
      <c r="N1" s="210"/>
    </row>
    <row r="2" spans="1:14" ht="22.5">
      <c r="A2" s="206"/>
      <c r="B2" s="207"/>
      <c r="C2" s="208"/>
      <c r="D2" s="209"/>
      <c r="E2" s="209"/>
      <c r="F2" s="81"/>
      <c r="G2" s="82"/>
      <c r="H2" s="211"/>
      <c r="I2" s="211"/>
      <c r="J2" s="210"/>
      <c r="K2" s="207">
        <f>Parameters!M22</f>
        <v>0.1595989461980683</v>
      </c>
      <c r="L2" s="210"/>
      <c r="M2" s="210"/>
      <c r="N2" s="210"/>
    </row>
    <row r="3" spans="1:14" ht="22.5">
      <c r="A3" s="206"/>
      <c r="B3" s="207"/>
      <c r="C3" s="208"/>
      <c r="D3" s="209"/>
      <c r="E3" s="209"/>
      <c r="F3" s="81"/>
      <c r="G3" s="82"/>
      <c r="H3" s="212"/>
      <c r="I3" s="213"/>
      <c r="J3" s="210"/>
      <c r="K3" s="210"/>
      <c r="L3" s="210"/>
      <c r="M3" s="210"/>
      <c r="N3" s="210"/>
    </row>
    <row r="4" spans="1:14" ht="15.75">
      <c r="A4" s="207"/>
      <c r="B4" s="207"/>
      <c r="C4" s="207"/>
      <c r="D4" s="214">
        <f>Parameters!G22</f>
        <v>2.2569444444444444E-2</v>
      </c>
      <c r="E4" s="215">
        <f>D4*1440</f>
        <v>32.5</v>
      </c>
      <c r="F4" s="216"/>
      <c r="G4" s="205"/>
      <c r="H4" s="212"/>
      <c r="I4" s="213"/>
      <c r="J4" s="210"/>
      <c r="K4" s="210"/>
      <c r="L4" s="210"/>
      <c r="M4" s="210"/>
      <c r="N4" s="210"/>
    </row>
    <row r="5" spans="1:14" ht="15.75">
      <c r="A5" s="207"/>
      <c r="B5" s="207"/>
      <c r="C5" s="207"/>
      <c r="D5" s="214"/>
      <c r="E5" s="207">
        <f>E4*60</f>
        <v>1950</v>
      </c>
      <c r="F5" s="216"/>
      <c r="G5" s="205"/>
      <c r="H5" s="212"/>
      <c r="I5" s="213"/>
      <c r="J5" s="210"/>
      <c r="K5" s="210"/>
      <c r="L5" s="210"/>
      <c r="M5" s="210"/>
      <c r="N5" s="210"/>
    </row>
    <row r="6" spans="1:14" ht="31.5">
      <c r="A6" s="218" t="s">
        <v>52</v>
      </c>
      <c r="B6" s="218" t="s">
        <v>32</v>
      </c>
      <c r="C6" s="218" t="s">
        <v>53</v>
      </c>
      <c r="D6" s="218" t="s">
        <v>129</v>
      </c>
      <c r="E6" s="218" t="s">
        <v>132</v>
      </c>
      <c r="F6" s="210"/>
    </row>
    <row r="7" spans="1:14">
      <c r="A7" s="210">
        <v>1</v>
      </c>
      <c r="B7" s="210"/>
      <c r="C7" s="210"/>
      <c r="D7" s="210"/>
      <c r="E7" s="210"/>
      <c r="F7" s="210"/>
    </row>
    <row r="8" spans="1:14">
      <c r="A8" s="210">
        <v>2</v>
      </c>
      <c r="B8" s="210"/>
      <c r="C8" s="210"/>
      <c r="D8" s="210"/>
      <c r="E8" s="210"/>
      <c r="F8" s="210"/>
    </row>
    <row r="9" spans="1:14">
      <c r="A9" s="210">
        <v>3</v>
      </c>
      <c r="D9" s="217">
        <f t="shared" ref="D9:D72" si="0">E$4/E9</f>
        <v>54.288630169805586</v>
      </c>
      <c r="E9" s="232">
        <f>'10K'!$E9*(1-$K$2)+H.Marathon!$E9*$K$2</f>
        <v>0.59865205473679362</v>
      </c>
    </row>
    <row r="10" spans="1:14">
      <c r="A10" s="210">
        <v>4</v>
      </c>
      <c r="D10" s="217">
        <f t="shared" si="0"/>
        <v>51.052032550663803</v>
      </c>
      <c r="E10" s="232">
        <f>'10K'!$E10*(1-$K$2)+H.Marathon!$E10*$K$2</f>
        <v>0.63660540778170094</v>
      </c>
    </row>
    <row r="11" spans="1:14">
      <c r="A11" s="210">
        <v>5</v>
      </c>
      <c r="D11" s="217">
        <f t="shared" si="0"/>
        <v>48.311987974375455</v>
      </c>
      <c r="E11" s="232">
        <f>'10K'!$E11*(1-$K$2)+H.Marathon!$E11*$K$2</f>
        <v>0.67271088114274891</v>
      </c>
    </row>
    <row r="12" spans="1:14">
      <c r="A12" s="210">
        <v>6</v>
      </c>
      <c r="D12" s="217">
        <f t="shared" si="0"/>
        <v>45.969894674020345</v>
      </c>
      <c r="E12" s="232">
        <f>'10K'!$E12*(1-$K$2)+H.Marathon!$E12*$K$2</f>
        <v>0.70698443471455708</v>
      </c>
    </row>
    <row r="13" spans="1:14">
      <c r="A13" s="210">
        <v>7</v>
      </c>
      <c r="D13" s="217">
        <f t="shared" si="0"/>
        <v>43.953956839223359</v>
      </c>
      <c r="E13" s="232">
        <f>'10K'!$E13*(1-$K$2)+H.Marathon!$E13*$K$2</f>
        <v>0.73941010860250589</v>
      </c>
    </row>
    <row r="14" spans="1:14">
      <c r="A14" s="210">
        <v>8</v>
      </c>
      <c r="D14" s="217">
        <f t="shared" si="0"/>
        <v>42.212187615100149</v>
      </c>
      <c r="E14" s="232">
        <f>'10K'!$E14*(1-$K$2)+H.Marathon!$E14*$K$2</f>
        <v>0.7699198225958348</v>
      </c>
    </row>
    <row r="15" spans="1:14">
      <c r="A15" s="210">
        <v>9</v>
      </c>
      <c r="D15" s="217">
        <f t="shared" si="0"/>
        <v>40.696339829101134</v>
      </c>
      <c r="E15" s="232">
        <f>'10K'!$E15*(1-$K$2)+H.Marathon!$E15*$K$2</f>
        <v>0.79859761679992414</v>
      </c>
    </row>
    <row r="16" spans="1:14">
      <c r="A16" s="210">
        <v>10</v>
      </c>
      <c r="D16" s="217">
        <f t="shared" si="0"/>
        <v>39.369526878802425</v>
      </c>
      <c r="E16" s="232">
        <f>'10K'!$E16*(1-$K$2)+H.Marathon!$E16*$K$2</f>
        <v>0.82551157142553433</v>
      </c>
    </row>
    <row r="17" spans="1:5">
      <c r="A17" s="210">
        <v>11</v>
      </c>
      <c r="D17" s="217">
        <f t="shared" si="0"/>
        <v>38.216162385094563</v>
      </c>
      <c r="E17" s="232">
        <f>'10K'!$E17*(1-$K$2)+H.Marathon!$E17*$K$2</f>
        <v>0.85042552605114441</v>
      </c>
    </row>
    <row r="18" spans="1:5">
      <c r="A18" s="210">
        <v>12</v>
      </c>
      <c r="D18" s="217">
        <f t="shared" si="0"/>
        <v>37.203418308619966</v>
      </c>
      <c r="E18" s="232">
        <f>'10K'!$E18*(1-$K$2)+H.Marathon!$E18*$K$2</f>
        <v>0.87357564109827535</v>
      </c>
    </row>
    <row r="19" spans="1:5">
      <c r="A19" s="210">
        <v>13</v>
      </c>
      <c r="D19" s="217">
        <f t="shared" si="0"/>
        <v>36.317157052208188</v>
      </c>
      <c r="E19" s="232">
        <f>'10K'!$E19*(1-$K$2)+H.Marathon!$E19*$K$2</f>
        <v>0.89489383635616671</v>
      </c>
    </row>
    <row r="20" spans="1:5">
      <c r="A20" s="210">
        <v>14</v>
      </c>
      <c r="D20" s="217">
        <f t="shared" si="0"/>
        <v>35.546472313809723</v>
      </c>
      <c r="E20" s="232">
        <f>'10K'!$E20*(1-$K$2)+H.Marathon!$E20*$K$2</f>
        <v>0.91429607171943816</v>
      </c>
    </row>
    <row r="21" spans="1:5">
      <c r="A21" s="210">
        <v>15</v>
      </c>
      <c r="D21" s="217">
        <f t="shared" si="0"/>
        <v>34.87684186690764</v>
      </c>
      <c r="E21" s="232">
        <f>'10K'!$E21*(1-$K$2)+H.Marathon!$E21*$K$2</f>
        <v>0.93185042739885038</v>
      </c>
    </row>
    <row r="22" spans="1:5">
      <c r="A22" s="210">
        <v>16</v>
      </c>
      <c r="D22" s="217">
        <f t="shared" si="0"/>
        <v>34.265032128594186</v>
      </c>
      <c r="E22" s="232">
        <f>'10K'!$E22*(1-$K$2)+H.Marathon!$E22*$K$2</f>
        <v>0.94848882318364258</v>
      </c>
    </row>
    <row r="23" spans="1:5">
      <c r="A23" s="210">
        <v>17</v>
      </c>
      <c r="D23" s="217">
        <f t="shared" si="0"/>
        <v>33.674317086132184</v>
      </c>
      <c r="E23" s="232">
        <f>'10K'!$E23*(1-$K$2)+H.Marathon!$E23*$K$2</f>
        <v>0.96512721896843479</v>
      </c>
    </row>
    <row r="24" spans="1:5">
      <c r="A24" s="210">
        <v>18</v>
      </c>
      <c r="D24" s="217">
        <f t="shared" si="0"/>
        <v>33.171198815939007</v>
      </c>
      <c r="E24" s="232">
        <f>'10K'!$E24*(1-$K$2)+H.Marathon!$E24*$K$2</f>
        <v>0.97976561475322699</v>
      </c>
    </row>
    <row r="25" spans="1:5">
      <c r="A25" s="210">
        <v>19</v>
      </c>
      <c r="D25" s="217">
        <f t="shared" si="0"/>
        <v>32.81489135160605</v>
      </c>
      <c r="E25" s="232">
        <f>'10K'!$E25*(1-$K$2)+H.Marathon!$E25*$K$2</f>
        <v>0.99040401053801941</v>
      </c>
    </row>
    <row r="26" spans="1:5">
      <c r="A26" s="210">
        <v>20</v>
      </c>
      <c r="D26" s="217">
        <f t="shared" si="0"/>
        <v>32.596406927026436</v>
      </c>
      <c r="E26" s="232">
        <f>'10K'!$E26*(1-$K$2)+H.Marathon!$E26*$K$2</f>
        <v>0.9970424063228116</v>
      </c>
    </row>
    <row r="27" spans="1:5">
      <c r="A27" s="210">
        <v>21</v>
      </c>
      <c r="D27" s="217">
        <f t="shared" si="0"/>
        <v>32.510377243897253</v>
      </c>
      <c r="E27" s="232">
        <f>'10K'!$E27*(1-$K$2)+H.Marathon!$E27*$K$2</f>
        <v>0.99968080210760391</v>
      </c>
    </row>
    <row r="28" spans="1:5">
      <c r="A28" s="210">
        <v>22</v>
      </c>
      <c r="D28" s="217">
        <f t="shared" si="0"/>
        <v>32.5</v>
      </c>
      <c r="E28" s="232">
        <f>'10K'!$E28*(1-$K$2)+H.Marathon!$E28*$K$2</f>
        <v>1</v>
      </c>
    </row>
    <row r="29" spans="1:5">
      <c r="A29" s="210">
        <v>23</v>
      </c>
      <c r="D29" s="217">
        <f t="shared" si="0"/>
        <v>32.5</v>
      </c>
      <c r="E29" s="232">
        <f>'10K'!$E29*(1-$K$2)+H.Marathon!$E29*$K$2</f>
        <v>1</v>
      </c>
    </row>
    <row r="30" spans="1:5">
      <c r="A30" s="210">
        <v>24</v>
      </c>
      <c r="D30" s="217">
        <f t="shared" si="0"/>
        <v>32.5</v>
      </c>
      <c r="E30" s="232">
        <f>'10K'!$E30*(1-$K$2)+H.Marathon!$E30*$K$2</f>
        <v>1</v>
      </c>
    </row>
    <row r="31" spans="1:5">
      <c r="A31" s="210">
        <v>25</v>
      </c>
      <c r="D31" s="217">
        <f t="shared" si="0"/>
        <v>32.5</v>
      </c>
      <c r="E31" s="232">
        <f>'10K'!$E31*(1-$K$2)+H.Marathon!$E31*$K$2</f>
        <v>1</v>
      </c>
    </row>
    <row r="32" spans="1:5">
      <c r="A32" s="210">
        <v>26</v>
      </c>
      <c r="D32" s="217">
        <f t="shared" si="0"/>
        <v>32.5</v>
      </c>
      <c r="E32" s="232">
        <f>'10K'!$E32*(1-$K$2)+H.Marathon!$E32*$K$2</f>
        <v>1</v>
      </c>
    </row>
    <row r="33" spans="1:5">
      <c r="A33" s="210">
        <v>27</v>
      </c>
      <c r="D33" s="217">
        <f t="shared" si="0"/>
        <v>32.5</v>
      </c>
      <c r="E33" s="232">
        <f>'10K'!$E33*(1-$K$2)+H.Marathon!$E33*$K$2</f>
        <v>1</v>
      </c>
    </row>
    <row r="34" spans="1:5">
      <c r="A34" s="210">
        <v>28</v>
      </c>
      <c r="D34" s="217">
        <f t="shared" si="0"/>
        <v>32.506501300260048</v>
      </c>
      <c r="E34" s="232">
        <f>'10K'!$E34*(1-$K$2)+H.Marathon!$E34*$K$2</f>
        <v>0.99980000000000013</v>
      </c>
    </row>
    <row r="35" spans="1:5">
      <c r="A35" s="210">
        <v>29</v>
      </c>
      <c r="D35" s="217">
        <f t="shared" si="0"/>
        <v>32.529276348713843</v>
      </c>
      <c r="E35" s="232">
        <f>'10K'!$E35*(1-$K$2)+H.Marathon!$E35*$K$2</f>
        <v>0.99909999999999999</v>
      </c>
    </row>
    <row r="36" spans="1:5">
      <c r="A36" s="210">
        <v>30</v>
      </c>
      <c r="D36" s="217">
        <f t="shared" si="0"/>
        <v>32.565651046451826</v>
      </c>
      <c r="E36" s="232">
        <f>'10K'!$E36*(1-$K$2)+H.Marathon!$E36*$K$2</f>
        <v>0.99798404010538022</v>
      </c>
    </row>
    <row r="37" spans="1:5">
      <c r="A37" s="210">
        <v>31</v>
      </c>
      <c r="D37" s="217">
        <f t="shared" si="0"/>
        <v>32.618467658182425</v>
      </c>
      <c r="E37" s="232">
        <f>'10K'!$E37*(1-$K$2)+H.Marathon!$E37*$K$2</f>
        <v>0.9963680802107604</v>
      </c>
    </row>
    <row r="38" spans="1:5">
      <c r="A38" s="210">
        <v>32</v>
      </c>
      <c r="D38" s="217">
        <f t="shared" si="0"/>
        <v>32.68459868086476</v>
      </c>
      <c r="E38" s="232">
        <f>'10K'!$E38*(1-$K$2)+H.Marathon!$E38*$K$2</f>
        <v>0.99435212031614051</v>
      </c>
    </row>
    <row r="39" spans="1:5">
      <c r="A39" s="210">
        <v>33</v>
      </c>
      <c r="D39" s="217">
        <f t="shared" si="0"/>
        <v>32.764732468132244</v>
      </c>
      <c r="E39" s="232">
        <f>'10K'!$E39*(1-$K$2)+H.Marathon!$E39*$K$2</f>
        <v>0.99192020052690111</v>
      </c>
    </row>
    <row r="40" spans="1:5">
      <c r="A40" s="210">
        <v>34</v>
      </c>
      <c r="D40" s="217">
        <f t="shared" si="0"/>
        <v>32.861865638851732</v>
      </c>
      <c r="E40" s="232">
        <f>'10K'!$E40*(1-$K$2)+H.Marathon!$E40*$K$2</f>
        <v>0.98898828073766132</v>
      </c>
    </row>
    <row r="41" spans="1:5">
      <c r="A41" s="210">
        <v>35</v>
      </c>
      <c r="D41" s="217">
        <f t="shared" si="0"/>
        <v>32.975763739184622</v>
      </c>
      <c r="E41" s="232">
        <f>'10K'!$E41*(1-$K$2)+H.Marathon!$E41*$K$2</f>
        <v>0.98557232084304158</v>
      </c>
    </row>
    <row r="42" spans="1:5">
      <c r="A42" s="210">
        <v>36</v>
      </c>
      <c r="D42" s="217">
        <f t="shared" si="0"/>
        <v>33.104474426349817</v>
      </c>
      <c r="E42" s="232">
        <f>'10K'!$E42*(1-$K$2)+H.Marathon!$E42*$K$2</f>
        <v>0.981740401053802</v>
      </c>
    </row>
    <row r="43" spans="1:5">
      <c r="A43" s="210">
        <v>37</v>
      </c>
      <c r="D43" s="217">
        <f t="shared" si="0"/>
        <v>33.248336216886536</v>
      </c>
      <c r="E43" s="232">
        <f>'10K'!$E43*(1-$K$2)+H.Marathon!$E43*$K$2</f>
        <v>0.97749252136994258</v>
      </c>
    </row>
    <row r="44" spans="1:5">
      <c r="A44" s="210">
        <v>38</v>
      </c>
      <c r="D44" s="217">
        <f t="shared" si="0"/>
        <v>33.410618375308566</v>
      </c>
      <c r="E44" s="232">
        <f>'10K'!$E44*(1-$K$2)+H.Marathon!$E44*$K$2</f>
        <v>0.97274464168608321</v>
      </c>
    </row>
    <row r="45" spans="1:5">
      <c r="A45" s="210">
        <v>39</v>
      </c>
      <c r="D45" s="217">
        <f t="shared" si="0"/>
        <v>33.588372012271485</v>
      </c>
      <c r="E45" s="232">
        <f>'10K'!$E45*(1-$K$2)+H.Marathon!$E45*$K$2</f>
        <v>0.96759676200222366</v>
      </c>
    </row>
    <row r="46" spans="1:5">
      <c r="A46" s="210">
        <v>40</v>
      </c>
      <c r="D46" s="217">
        <f t="shared" si="0"/>
        <v>33.785579044151206</v>
      </c>
      <c r="E46" s="232">
        <f>'10K'!$E46*(1-$K$2)+H.Marathon!$E46*$K$2</f>
        <v>0.96194888231836428</v>
      </c>
    </row>
    <row r="47" spans="1:5">
      <c r="A47" s="210">
        <v>41</v>
      </c>
      <c r="D47" s="217">
        <f t="shared" si="0"/>
        <v>33.999904326198234</v>
      </c>
      <c r="E47" s="232">
        <f>'10K'!$E47*(1-$K$2)+H.Marathon!$E47*$K$2</f>
        <v>0.95588504273988506</v>
      </c>
    </row>
    <row r="48" spans="1:5">
      <c r="A48" s="210">
        <v>42</v>
      </c>
      <c r="D48" s="217">
        <f t="shared" si="0"/>
        <v>34.231957565529676</v>
      </c>
      <c r="E48" s="232">
        <f>'10K'!$E48*(1-$K$2)+H.Marathon!$E48*$K$2</f>
        <v>0.9494052432667861</v>
      </c>
    </row>
    <row r="49" spans="1:5">
      <c r="A49" s="210">
        <v>43</v>
      </c>
      <c r="D49" s="217">
        <f t="shared" si="0"/>
        <v>34.48797797518354</v>
      </c>
      <c r="E49" s="232">
        <f>'10K'!$E49*(1-$K$2)+H.Marathon!$E49*$K$2</f>
        <v>0.94235736358292665</v>
      </c>
    </row>
    <row r="50" spans="1:5">
      <c r="A50" s="210">
        <v>44</v>
      </c>
      <c r="D50" s="217">
        <f t="shared" si="0"/>
        <v>34.760192380597459</v>
      </c>
      <c r="E50" s="232">
        <f>'10K'!$E50*(1-$K$2)+H.Marathon!$E50*$K$2</f>
        <v>0.93497756410982757</v>
      </c>
    </row>
    <row r="51" spans="1:5">
      <c r="A51" s="210">
        <v>45</v>
      </c>
      <c r="D51" s="217">
        <f t="shared" si="0"/>
        <v>35.055634087020707</v>
      </c>
      <c r="E51" s="232">
        <f>'10K'!$E51*(1-$K$2)+H.Marathon!$E51*$K$2</f>
        <v>0.92709776463672844</v>
      </c>
    </row>
    <row r="52" spans="1:5">
      <c r="A52" s="210">
        <v>46</v>
      </c>
      <c r="D52" s="217">
        <f t="shared" si="0"/>
        <v>35.374768595749252</v>
      </c>
      <c r="E52" s="232">
        <f>'10K'!$E52*(1-$K$2)+H.Marathon!$E52*$K$2</f>
        <v>0.91873392505824925</v>
      </c>
    </row>
    <row r="53" spans="1:5">
      <c r="A53" s="210">
        <v>47</v>
      </c>
      <c r="D53" s="217">
        <f t="shared" si="0"/>
        <v>35.712787908559008</v>
      </c>
      <c r="E53" s="232">
        <f>'10K'!$E53*(1-$K$2)+H.Marathon!$E53*$K$2</f>
        <v>0.91003816569053053</v>
      </c>
    </row>
    <row r="54" spans="1:5">
      <c r="A54" s="210">
        <v>48</v>
      </c>
      <c r="D54" s="217">
        <f t="shared" si="0"/>
        <v>36.080708455118497</v>
      </c>
      <c r="E54" s="232">
        <f>'10K'!$E54*(1-$K$2)+H.Marathon!$E54*$K$2</f>
        <v>0.90075836621743144</v>
      </c>
    </row>
    <row r="55" spans="1:5">
      <c r="A55" s="210">
        <v>49</v>
      </c>
      <c r="D55" s="217">
        <f t="shared" si="0"/>
        <v>36.473306982212392</v>
      </c>
      <c r="E55" s="232">
        <f>'10K'!$E55*(1-$K$2)+H.Marathon!$E55*$K$2</f>
        <v>0.89106260684971261</v>
      </c>
    </row>
    <row r="56" spans="1:5">
      <c r="A56" s="210">
        <v>50</v>
      </c>
      <c r="D56" s="217">
        <f t="shared" si="0"/>
        <v>36.885762649121212</v>
      </c>
      <c r="E56" s="232">
        <f>'10K'!$E56*(1-$K$2)+H.Marathon!$E56*$K$2</f>
        <v>0.88109876727123337</v>
      </c>
    </row>
    <row r="57" spans="1:5">
      <c r="A57" s="210">
        <v>51</v>
      </c>
      <c r="D57" s="217">
        <f t="shared" si="0"/>
        <v>37.308336979675637</v>
      </c>
      <c r="E57" s="232">
        <f>'10K'!$E57*(1-$K$2)+H.Marathon!$E57*$K$2</f>
        <v>0.87111896779813425</v>
      </c>
    </row>
    <row r="58" spans="1:5">
      <c r="A58" s="210">
        <v>52</v>
      </c>
      <c r="D58" s="217">
        <f t="shared" si="0"/>
        <v>37.743689747119745</v>
      </c>
      <c r="E58" s="232">
        <f>'10K'!$E58*(1-$K$2)+H.Marathon!$E58*$K$2</f>
        <v>0.86107108811427491</v>
      </c>
    </row>
    <row r="59" spans="1:5">
      <c r="A59" s="210">
        <v>53</v>
      </c>
      <c r="D59" s="217">
        <f t="shared" si="0"/>
        <v>38.186267952393713</v>
      </c>
      <c r="E59" s="232">
        <f>'10K'!$E59*(1-$K$2)+H.Marathon!$E59*$K$2</f>
        <v>0.85109128864117589</v>
      </c>
    </row>
    <row r="60" spans="1:5">
      <c r="A60" s="210">
        <v>54</v>
      </c>
      <c r="D60" s="217">
        <f t="shared" si="0"/>
        <v>38.638615392014735</v>
      </c>
      <c r="E60" s="232">
        <f>'10K'!$E60*(1-$K$2)+H.Marathon!$E60*$K$2</f>
        <v>0.84112744906269665</v>
      </c>
    </row>
    <row r="61" spans="1:5">
      <c r="A61" s="210">
        <v>55</v>
      </c>
      <c r="D61" s="217">
        <f t="shared" si="0"/>
        <v>39.106513182751989</v>
      </c>
      <c r="E61" s="232">
        <f>'10K'!$E61*(1-$K$2)+H.Marathon!$E61*$K$2</f>
        <v>0.83106360948421742</v>
      </c>
    </row>
    <row r="62" spans="1:5">
      <c r="A62" s="210">
        <v>56</v>
      </c>
      <c r="D62" s="217">
        <f t="shared" si="0"/>
        <v>39.581060902904625</v>
      </c>
      <c r="E62" s="232">
        <f>'10K'!$E62*(1-$K$2)+H.Marathon!$E62*$K$2</f>
        <v>0.82109976990573819</v>
      </c>
    </row>
    <row r="63" spans="1:5">
      <c r="A63" s="210">
        <v>57</v>
      </c>
      <c r="D63" s="217">
        <f t="shared" si="0"/>
        <v>40.072207388994478</v>
      </c>
      <c r="E63" s="232">
        <f>'10K'!$E63*(1-$K$2)+H.Marathon!$E63*$K$2</f>
        <v>0.81103593032725896</v>
      </c>
    </row>
    <row r="64" spans="1:5">
      <c r="A64" s="210">
        <v>58</v>
      </c>
      <c r="D64" s="217">
        <f t="shared" si="0"/>
        <v>40.570630752622449</v>
      </c>
      <c r="E64" s="232">
        <f>'10K'!$E64*(1-$K$2)+H.Marathon!$E64*$K$2</f>
        <v>0.80107209074877961</v>
      </c>
    </row>
    <row r="65" spans="1:5">
      <c r="A65" s="210">
        <v>59</v>
      </c>
      <c r="D65" s="217">
        <f t="shared" si="0"/>
        <v>41.082437989114929</v>
      </c>
      <c r="E65" s="232">
        <f>'10K'!$E65*(1-$K$2)+H.Marathon!$E65*$K$2</f>
        <v>0.7910922912756807</v>
      </c>
    </row>
    <row r="66" spans="1:5">
      <c r="A66" s="210">
        <v>60</v>
      </c>
      <c r="D66" s="217">
        <f t="shared" si="0"/>
        <v>41.610950053099799</v>
      </c>
      <c r="E66" s="232">
        <f>'10K'!$E66*(1-$K$2)+H.Marathon!$E66*$K$2</f>
        <v>0.78104441159182136</v>
      </c>
    </row>
    <row r="67" spans="1:5">
      <c r="A67" s="210">
        <v>61</v>
      </c>
      <c r="D67" s="217">
        <f t="shared" si="0"/>
        <v>42.149515733444026</v>
      </c>
      <c r="E67" s="232">
        <f>'10K'!$E67*(1-$K$2)+H.Marathon!$E67*$K$2</f>
        <v>0.77106461211872224</v>
      </c>
    </row>
    <row r="68" spans="1:5">
      <c r="A68" s="210">
        <v>62</v>
      </c>
      <c r="D68" s="217">
        <f t="shared" si="0"/>
        <v>42.706025524585627</v>
      </c>
      <c r="E68" s="232">
        <f>'10K'!$E68*(1-$K$2)+H.Marathon!$E68*$K$2</f>
        <v>0.76101673243486279</v>
      </c>
    </row>
    <row r="69" spans="1:5">
      <c r="A69" s="210">
        <v>63</v>
      </c>
      <c r="D69" s="217">
        <f t="shared" si="0"/>
        <v>43.273504369264643</v>
      </c>
      <c r="E69" s="232">
        <f>'10K'!$E69*(1-$K$2)+H.Marathon!$E69*$K$2</f>
        <v>0.75103693296176377</v>
      </c>
    </row>
    <row r="70" spans="1:5">
      <c r="A70" s="210">
        <v>64</v>
      </c>
      <c r="D70" s="217">
        <f t="shared" si="0"/>
        <v>43.855323166065787</v>
      </c>
      <c r="E70" s="232">
        <f>'10K'!$E70*(1-$K$2)+H.Marathon!$E70*$K$2</f>
        <v>0.74107309338328464</v>
      </c>
    </row>
    <row r="71" spans="1:5">
      <c r="A71" s="210">
        <v>65</v>
      </c>
      <c r="D71" s="217">
        <f t="shared" si="0"/>
        <v>44.459081510722129</v>
      </c>
      <c r="E71" s="232">
        <f>'10K'!$E71*(1-$K$2)+H.Marathon!$E71*$K$2</f>
        <v>0.7310092538048053</v>
      </c>
    </row>
    <row r="72" spans="1:5">
      <c r="A72" s="210">
        <v>66</v>
      </c>
      <c r="D72" s="217">
        <f t="shared" si="0"/>
        <v>45.073443861885103</v>
      </c>
      <c r="E72" s="232">
        <f>'10K'!$E72*(1-$K$2)+H.Marathon!$E72*$K$2</f>
        <v>0.72104541422632606</v>
      </c>
    </row>
    <row r="73" spans="1:5">
      <c r="A73" s="210">
        <v>67</v>
      </c>
      <c r="D73" s="217">
        <f t="shared" ref="D73:D106" si="1">E$4/E73</f>
        <v>45.711451827844385</v>
      </c>
      <c r="E73" s="232">
        <f>'10K'!$E73*(1-$K$2)+H.Marathon!$E73*$K$2</f>
        <v>0.71098157464784684</v>
      </c>
    </row>
    <row r="74" spans="1:5">
      <c r="A74" s="210">
        <v>68</v>
      </c>
      <c r="D74" s="217">
        <f t="shared" si="1"/>
        <v>46.361166592716856</v>
      </c>
      <c r="E74" s="232">
        <f>'10K'!$E74*(1-$K$2)+H.Marathon!$E74*$K$2</f>
        <v>0.7010177350693676</v>
      </c>
    </row>
    <row r="75" spans="1:5">
      <c r="A75" s="210">
        <v>69</v>
      </c>
      <c r="D75" s="217">
        <f t="shared" si="1"/>
        <v>47.030703129137287</v>
      </c>
      <c r="E75" s="232">
        <f>'10K'!$E75*(1-$K$2)+H.Marathon!$E75*$K$2</f>
        <v>0.69103793559626858</v>
      </c>
    </row>
    <row r="76" spans="1:5">
      <c r="A76" s="210">
        <v>70</v>
      </c>
      <c r="D76" s="217">
        <f t="shared" si="1"/>
        <v>47.724632273015509</v>
      </c>
      <c r="E76" s="232">
        <f>'10K'!$E76*(1-$K$2)+H.Marathon!$E76*$K$2</f>
        <v>0.68099005591240924</v>
      </c>
    </row>
    <row r="77" spans="1:5">
      <c r="A77" s="210">
        <v>71</v>
      </c>
      <c r="D77" s="217">
        <f t="shared" si="1"/>
        <v>48.434431050964832</v>
      </c>
      <c r="E77" s="232">
        <f>'10K'!$E77*(1-$K$2)+H.Marathon!$E77*$K$2</f>
        <v>0.67101025643931023</v>
      </c>
    </row>
    <row r="78" spans="1:5">
      <c r="A78" s="210">
        <v>72</v>
      </c>
      <c r="D78" s="217">
        <f t="shared" si="1"/>
        <v>49.170726115360516</v>
      </c>
      <c r="E78" s="232">
        <f>'10K'!$E78*(1-$K$2)+H.Marathon!$E78*$K$2</f>
        <v>0.66096237675545078</v>
      </c>
    </row>
    <row r="79" spans="1:5">
      <c r="A79" s="210">
        <v>73</v>
      </c>
      <c r="D79" s="217">
        <f t="shared" si="1"/>
        <v>49.924531215070793</v>
      </c>
      <c r="E79" s="232">
        <f>'10K'!$E79*(1-$K$2)+H.Marathon!$E79*$K$2</f>
        <v>0.65098257728235165</v>
      </c>
    </row>
    <row r="80" spans="1:5">
      <c r="A80" s="210">
        <v>74</v>
      </c>
      <c r="D80" s="217">
        <f t="shared" si="1"/>
        <v>50.700546003405321</v>
      </c>
      <c r="E80" s="232">
        <f>'10K'!$E80*(1-$K$2)+H.Marathon!$E80*$K$2</f>
        <v>0.64101873770387252</v>
      </c>
    </row>
    <row r="81" spans="1:5">
      <c r="A81" s="210">
        <v>75</v>
      </c>
      <c r="D81" s="217">
        <f t="shared" si="1"/>
        <v>51.509228467136936</v>
      </c>
      <c r="E81" s="232">
        <f>'10K'!$E81*(1-$K$2)+H.Marathon!$E81*$K$2</f>
        <v>0.6309548981253934</v>
      </c>
    </row>
    <row r="82" spans="1:5">
      <c r="A82" s="210">
        <v>76</v>
      </c>
      <c r="D82" s="217">
        <f t="shared" si="1"/>
        <v>52.368083238268703</v>
      </c>
      <c r="E82" s="232">
        <f>'10K'!$E82*(1-$K$2)+H.Marathon!$E82*$K$2</f>
        <v>0.62060701844153376</v>
      </c>
    </row>
    <row r="83" spans="1:5">
      <c r="A83" s="210">
        <v>77</v>
      </c>
      <c r="D83" s="217">
        <f t="shared" si="1"/>
        <v>53.325970410827253</v>
      </c>
      <c r="E83" s="232">
        <f>'10K'!$E83*(1-$K$2)+H.Marathon!$E83*$K$2</f>
        <v>0.60945913875767432</v>
      </c>
    </row>
    <row r="84" spans="1:5">
      <c r="A84" s="210">
        <v>78</v>
      </c>
      <c r="D84" s="217">
        <f t="shared" si="1"/>
        <v>54.3860837607089</v>
      </c>
      <c r="E84" s="232">
        <f>'10K'!$E84*(1-$K$2)+H.Marathon!$E84*$K$2</f>
        <v>0.59757933928457541</v>
      </c>
    </row>
    <row r="85" spans="1:5">
      <c r="A85" s="210">
        <v>79</v>
      </c>
      <c r="D85" s="217">
        <f t="shared" si="1"/>
        <v>55.563581434122284</v>
      </c>
      <c r="E85" s="232">
        <f>'10K'!$E85*(1-$K$2)+H.Marathon!$E85*$K$2</f>
        <v>0.58491549970609613</v>
      </c>
    </row>
    <row r="86" spans="1:5">
      <c r="A86" s="210">
        <v>80</v>
      </c>
      <c r="D86" s="217">
        <f t="shared" si="1"/>
        <v>56.872702045772478</v>
      </c>
      <c r="E86" s="232">
        <f>'10K'!$E86*(1-$K$2)+H.Marathon!$E86*$K$2</f>
        <v>0.57145166012761694</v>
      </c>
    </row>
    <row r="87" spans="1:5">
      <c r="A87" s="210">
        <v>81</v>
      </c>
      <c r="D87" s="217">
        <f t="shared" si="1"/>
        <v>58.321499970985691</v>
      </c>
      <c r="E87" s="232">
        <f>'10K'!$E87*(1-$K$2)+H.Marathon!$E87*$K$2</f>
        <v>0.55725590075989806</v>
      </c>
    </row>
    <row r="88" spans="1:5">
      <c r="A88" s="210">
        <v>82</v>
      </c>
      <c r="D88" s="217">
        <f t="shared" si="1"/>
        <v>59.932569262924972</v>
      </c>
      <c r="E88" s="232">
        <f>'10K'!$E88*(1-$K$2)+H.Marathon!$E88*$K$2</f>
        <v>0.54227610128679904</v>
      </c>
    </row>
    <row r="89" spans="1:5">
      <c r="A89" s="210">
        <v>83</v>
      </c>
      <c r="D89" s="217">
        <f t="shared" si="1"/>
        <v>61.718976978054918</v>
      </c>
      <c r="E89" s="232">
        <f>'10K'!$E89*(1-$K$2)+H.Marathon!$E89*$K$2</f>
        <v>0.52658034191908021</v>
      </c>
    </row>
    <row r="90" spans="1:5">
      <c r="A90" s="210">
        <v>84</v>
      </c>
      <c r="D90" s="217">
        <f t="shared" si="1"/>
        <v>63.714923194581196</v>
      </c>
      <c r="E90" s="232">
        <f>'10K'!$E90*(1-$K$2)+H.Marathon!$E90*$K$2</f>
        <v>0.51008458255136135</v>
      </c>
    </row>
    <row r="91" spans="1:5">
      <c r="A91" s="210">
        <v>85</v>
      </c>
      <c r="D91" s="217">
        <f t="shared" si="1"/>
        <v>65.953307134402806</v>
      </c>
      <c r="E91" s="232">
        <f>'10K'!$E91*(1-$K$2)+H.Marathon!$E91*$K$2</f>
        <v>0.49277286328902276</v>
      </c>
    </row>
    <row r="92" spans="1:5">
      <c r="A92" s="210">
        <v>86</v>
      </c>
      <c r="D92" s="217">
        <f t="shared" si="1"/>
        <v>68.455475787996093</v>
      </c>
      <c r="E92" s="232">
        <f>'10K'!$E92*(1-$K$2)+H.Marathon!$E92*$K$2</f>
        <v>0.47476114402668407</v>
      </c>
    </row>
    <row r="93" spans="1:5">
      <c r="A93" s="210">
        <v>87</v>
      </c>
      <c r="D93" s="217">
        <f t="shared" si="1"/>
        <v>71.279835514207349</v>
      </c>
      <c r="E93" s="232">
        <f>'10K'!$E93*(1-$K$2)+H.Marathon!$E93*$K$2</f>
        <v>0.45594942476434541</v>
      </c>
    </row>
    <row r="94" spans="1:5">
      <c r="A94" s="210">
        <v>88</v>
      </c>
      <c r="D94" s="217">
        <f t="shared" si="1"/>
        <v>74.471973250581044</v>
      </c>
      <c r="E94" s="232">
        <f>'10K'!$E94*(1-$K$2)+H.Marathon!$E94*$K$2</f>
        <v>0.43640578571276717</v>
      </c>
    </row>
    <row r="95" spans="1:5">
      <c r="A95" s="210">
        <v>89</v>
      </c>
      <c r="D95" s="217">
        <f t="shared" si="1"/>
        <v>78.110334304842269</v>
      </c>
      <c r="E95" s="232">
        <f>'10K'!$E95*(1-$K$2)+H.Marathon!$E95*$K$2</f>
        <v>0.41607810655580868</v>
      </c>
    </row>
    <row r="96" spans="1:5">
      <c r="A96" s="210">
        <v>90</v>
      </c>
      <c r="D96" s="217">
        <f t="shared" si="1"/>
        <v>82.288808279169402</v>
      </c>
      <c r="E96" s="232">
        <f>'10K'!$E96*(1-$K$2)+H.Marathon!$E96*$K$2</f>
        <v>0.39495042739885022</v>
      </c>
    </row>
    <row r="97" spans="1:5">
      <c r="A97" s="210">
        <v>91</v>
      </c>
      <c r="D97" s="217">
        <f t="shared" si="1"/>
        <v>87.110155279854268</v>
      </c>
      <c r="E97" s="232">
        <f>'10K'!$E97*(1-$K$2)+H.Marathon!$E97*$K$2</f>
        <v>0.37309082845265218</v>
      </c>
    </row>
    <row r="98" spans="1:5">
      <c r="A98" s="210">
        <v>92</v>
      </c>
      <c r="D98" s="217">
        <f t="shared" si="1"/>
        <v>92.738652164805771</v>
      </c>
      <c r="E98" s="232">
        <f>'10K'!$E98*(1-$K$2)+H.Marathon!$E98*$K$2</f>
        <v>0.35044718940107389</v>
      </c>
    </row>
    <row r="99" spans="1:5">
      <c r="A99" s="210">
        <v>93</v>
      </c>
      <c r="D99" s="217">
        <f t="shared" si="1"/>
        <v>99.361764091394406</v>
      </c>
      <c r="E99" s="232">
        <f>'10K'!$E99*(1-$K$2)+H.Marathon!$E99*$K$2</f>
        <v>0.32708759045487584</v>
      </c>
    </row>
    <row r="100" spans="1:5">
      <c r="A100" s="210">
        <v>94</v>
      </c>
      <c r="D100" s="217">
        <f t="shared" si="1"/>
        <v>107.28622283513538</v>
      </c>
      <c r="E100" s="232">
        <f>'10K'!$E100*(1-$K$2)+H.Marathon!$E100*$K$2</f>
        <v>0.30292799150867777</v>
      </c>
    </row>
    <row r="101" spans="1:5">
      <c r="A101" s="210">
        <v>95</v>
      </c>
      <c r="D101" s="217">
        <f t="shared" si="1"/>
        <v>116.92648158555957</v>
      </c>
      <c r="E101" s="232">
        <f>'10K'!$E101*(1-$K$2)+H.Marathon!$E101*$K$2</f>
        <v>0.27795243266785985</v>
      </c>
    </row>
    <row r="102" spans="1:5">
      <c r="A102" s="210">
        <v>96</v>
      </c>
      <c r="D102" s="217">
        <f t="shared" si="1"/>
        <v>128.82671133098631</v>
      </c>
      <c r="E102" s="232">
        <f>'10K'!$E102*(1-$K$2)+H.Marathon!$E102*$K$2</f>
        <v>0.252276873827042</v>
      </c>
    </row>
    <row r="103" spans="1:5">
      <c r="A103" s="210">
        <v>97</v>
      </c>
      <c r="D103" s="217">
        <f t="shared" si="1"/>
        <v>143.93184557841386</v>
      </c>
      <c r="E103" s="232">
        <f>'10K'!$E103*(1-$K$2)+H.Marathon!$E103*$K$2</f>
        <v>0.22580131498622413</v>
      </c>
    </row>
    <row r="104" spans="1:5">
      <c r="A104" s="210">
        <v>98</v>
      </c>
      <c r="D104" s="217">
        <f t="shared" si="1"/>
        <v>163.65059760320614</v>
      </c>
      <c r="E104" s="232">
        <f>'10K'!$E104*(1-$K$2)+H.Marathon!$E104*$K$2</f>
        <v>0.19859383635616665</v>
      </c>
    </row>
    <row r="105" spans="1:5">
      <c r="A105" s="210">
        <v>99</v>
      </c>
      <c r="D105" s="217">
        <f t="shared" si="1"/>
        <v>190.50151518018475</v>
      </c>
      <c r="E105" s="232">
        <f>'10K'!$E105*(1-$K$2)+H.Marathon!$E105*$K$2</f>
        <v>0.17060231762072897</v>
      </c>
    </row>
    <row r="106" spans="1:5">
      <c r="A106" s="210">
        <v>100</v>
      </c>
      <c r="D106" s="217">
        <f t="shared" si="1"/>
        <v>229.1785975078582</v>
      </c>
      <c r="E106" s="232">
        <f>'10K'!$E106*(1-$K$2)+H.Marathon!$E106*$K$2</f>
        <v>0.1418107988852913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6"/>
  <sheetViews>
    <sheetView zoomScale="87" zoomScaleNormal="87" workbookViewId="0">
      <selection activeCell="K2" sqref="K2"/>
    </sheetView>
  </sheetViews>
  <sheetFormatPr defaultColWidth="9.6640625" defaultRowHeight="15"/>
  <cols>
    <col min="1" max="1" width="9.6640625" style="1" customWidth="1"/>
    <col min="2" max="2" width="15.109375" style="1" customWidth="1"/>
    <col min="3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17.5546875" style="1" customWidth="1"/>
    <col min="11" max="11" width="9.6640625" style="1"/>
    <col min="12" max="12" width="11.6640625" style="1" customWidth="1"/>
    <col min="13" max="13" width="24.109375" style="1" customWidth="1"/>
    <col min="14" max="14" width="11.109375" style="1" customWidth="1"/>
    <col min="15" max="15" width="14.88671875" style="1" customWidth="1"/>
    <col min="16" max="16" width="10.109375" style="1" bestFit="1" customWidth="1"/>
    <col min="17" max="16384" width="9.6640625" style="1"/>
  </cols>
  <sheetData>
    <row r="1" spans="1:16" ht="29.1" customHeight="1">
      <c r="A1" s="206" t="s">
        <v>66</v>
      </c>
      <c r="B1" s="207"/>
      <c r="C1" s="208"/>
      <c r="D1" s="209" t="s">
        <v>32</v>
      </c>
      <c r="E1" s="209" t="s">
        <v>54</v>
      </c>
      <c r="F1" s="209"/>
      <c r="G1" s="209"/>
      <c r="H1" s="209"/>
      <c r="I1" s="209"/>
      <c r="J1" s="210"/>
      <c r="K1" s="210" t="s">
        <v>2087</v>
      </c>
      <c r="L1" s="210"/>
      <c r="M1" s="210"/>
      <c r="N1" s="210"/>
      <c r="O1" s="210"/>
      <c r="P1" s="210"/>
    </row>
    <row r="2" spans="1:16" ht="15.95" customHeight="1">
      <c r="A2" s="206"/>
      <c r="B2" s="207"/>
      <c r="C2" s="208"/>
      <c r="D2" s="209"/>
      <c r="E2" s="209"/>
      <c r="F2" s="81"/>
      <c r="G2" s="82"/>
      <c r="H2" s="211"/>
      <c r="I2" s="211"/>
      <c r="J2" s="210"/>
      <c r="K2" s="215">
        <f>Parameters!M23</f>
        <v>0.24421245079182743</v>
      </c>
      <c r="L2" s="210"/>
      <c r="M2" s="210"/>
      <c r="N2" s="210"/>
      <c r="O2" s="210"/>
      <c r="P2" s="210"/>
    </row>
    <row r="3" spans="1:16" ht="15.95" customHeight="1">
      <c r="A3" s="206"/>
      <c r="B3" s="207"/>
      <c r="C3" s="208"/>
      <c r="D3" s="209"/>
      <c r="E3" s="209"/>
      <c r="F3" s="81"/>
      <c r="G3" s="82"/>
      <c r="H3" s="212"/>
      <c r="I3" s="213"/>
      <c r="J3" s="210"/>
      <c r="K3" s="210"/>
      <c r="L3" s="210"/>
      <c r="M3" s="210"/>
      <c r="N3" s="210"/>
      <c r="O3" s="210"/>
      <c r="P3" s="210"/>
    </row>
    <row r="4" spans="1:16" ht="15.75">
      <c r="A4" s="207"/>
      <c r="B4" s="207"/>
      <c r="C4" s="207"/>
      <c r="D4" s="214">
        <f>Parameters!G23</f>
        <v>2.4120370370370372E-2</v>
      </c>
      <c r="E4" s="215">
        <f>D4*1440</f>
        <v>34.733333333333334</v>
      </c>
      <c r="F4" s="216"/>
      <c r="G4" s="205"/>
      <c r="H4" s="212"/>
      <c r="I4" s="213"/>
      <c r="J4" s="217"/>
      <c r="K4" s="210"/>
      <c r="L4" s="210"/>
      <c r="M4" s="210"/>
      <c r="N4" s="210"/>
      <c r="O4" s="210"/>
      <c r="P4" s="210"/>
    </row>
    <row r="5" spans="1:16" ht="15.75">
      <c r="A5" s="207"/>
      <c r="B5" s="207"/>
      <c r="C5" s="207"/>
      <c r="D5" s="214"/>
      <c r="E5" s="207">
        <f>E4*60</f>
        <v>2084</v>
      </c>
      <c r="F5" s="216"/>
      <c r="G5" s="205"/>
      <c r="H5" s="212"/>
      <c r="I5" s="213"/>
      <c r="J5" s="217"/>
      <c r="K5" s="210"/>
      <c r="L5" s="210"/>
      <c r="M5" s="210"/>
      <c r="N5" s="210"/>
      <c r="O5" s="210"/>
      <c r="P5" s="210"/>
    </row>
    <row r="6" spans="1:16" ht="27.95" customHeight="1">
      <c r="A6" s="218" t="s">
        <v>52</v>
      </c>
      <c r="B6" s="218" t="s">
        <v>1286</v>
      </c>
      <c r="C6" s="218" t="s">
        <v>53</v>
      </c>
      <c r="D6" s="218" t="s">
        <v>1287</v>
      </c>
      <c r="E6" s="218" t="s">
        <v>131</v>
      </c>
      <c r="F6" s="208" t="s">
        <v>130</v>
      </c>
      <c r="G6" s="218" t="s">
        <v>52</v>
      </c>
      <c r="H6" s="314" t="s">
        <v>709</v>
      </c>
      <c r="I6" s="314" t="s">
        <v>403</v>
      </c>
      <c r="J6" s="314" t="s">
        <v>404</v>
      </c>
      <c r="K6" s="315" t="s">
        <v>405</v>
      </c>
      <c r="L6" s="316" t="s">
        <v>406</v>
      </c>
      <c r="M6" s="317" t="s">
        <v>407</v>
      </c>
      <c r="N6" s="315" t="s">
        <v>408</v>
      </c>
      <c r="O6" s="316" t="s">
        <v>409</v>
      </c>
      <c r="P6" s="318" t="s">
        <v>1150</v>
      </c>
    </row>
    <row r="7" spans="1:16">
      <c r="A7" s="210">
        <v>1</v>
      </c>
      <c r="B7" s="210" t="s">
        <v>63</v>
      </c>
      <c r="C7" s="210"/>
      <c r="D7" s="210"/>
      <c r="E7" s="210"/>
      <c r="F7" s="210"/>
      <c r="G7" s="210">
        <v>1</v>
      </c>
      <c r="H7" s="210"/>
      <c r="I7" s="210"/>
      <c r="J7" s="210"/>
      <c r="K7" s="210"/>
      <c r="L7" s="210"/>
      <c r="M7" s="210"/>
      <c r="N7" s="210"/>
      <c r="O7" s="210"/>
      <c r="P7" s="210"/>
    </row>
    <row r="8" spans="1:16">
      <c r="A8" s="210">
        <v>2</v>
      </c>
      <c r="B8" s="210" t="s">
        <v>63</v>
      </c>
      <c r="C8" s="210"/>
      <c r="D8" s="210"/>
      <c r="E8" s="210"/>
      <c r="F8" s="210"/>
      <c r="G8" s="210">
        <v>2</v>
      </c>
      <c r="H8" s="210"/>
      <c r="I8" s="210"/>
      <c r="J8" s="210"/>
      <c r="K8" s="210"/>
      <c r="L8" s="210"/>
      <c r="M8" s="210"/>
      <c r="N8" s="210"/>
      <c r="O8" s="210"/>
      <c r="P8" s="210"/>
    </row>
    <row r="9" spans="1:16">
      <c r="A9" s="210">
        <v>3</v>
      </c>
      <c r="B9" s="231" t="s">
        <v>63</v>
      </c>
      <c r="C9" s="217"/>
      <c r="D9" s="217"/>
      <c r="E9" s="232">
        <f>'10K'!$E9*(1-$K$2)+H.Marathon!$E9*$K$2</f>
        <v>0.59104530067381478</v>
      </c>
      <c r="F9" s="210"/>
      <c r="G9" s="210">
        <v>3</v>
      </c>
      <c r="H9" s="210"/>
      <c r="I9" s="210"/>
      <c r="J9" s="210"/>
      <c r="K9" s="210"/>
      <c r="L9" s="210"/>
      <c r="M9" s="210"/>
      <c r="N9" s="210"/>
      <c r="O9" s="210"/>
      <c r="P9" s="210"/>
    </row>
    <row r="10" spans="1:16">
      <c r="A10" s="210">
        <v>4</v>
      </c>
      <c r="B10" s="234"/>
      <c r="C10" s="217"/>
      <c r="D10" s="217"/>
      <c r="E10" s="232">
        <f>'10K'!$E10*(1-$K$2)+H.Marathon!$E10*$K$2</f>
        <v>0.62955710284904076</v>
      </c>
      <c r="F10" s="312"/>
      <c r="G10" s="210">
        <v>4</v>
      </c>
      <c r="H10" s="210"/>
      <c r="I10" s="210"/>
      <c r="J10" s="210"/>
      <c r="K10" s="210"/>
      <c r="L10" s="210"/>
      <c r="M10" s="210"/>
      <c r="N10" s="210"/>
      <c r="O10" s="210"/>
      <c r="P10" s="210"/>
    </row>
    <row r="11" spans="1:16">
      <c r="A11" s="210">
        <v>5</v>
      </c>
      <c r="B11" s="311">
        <v>4.565972222222222E-2</v>
      </c>
      <c r="C11" s="217">
        <f>B11*1440</f>
        <v>65.75</v>
      </c>
      <c r="D11" s="217">
        <f t="shared" ref="D11:D42" si="0">E$4/E11</f>
        <v>52.136836659764725</v>
      </c>
      <c r="E11" s="232">
        <f>'10K'!$E11*(1-$K$2)+H.Marathon!$E11*$K$2</f>
        <v>0.66619564128902931</v>
      </c>
      <c r="F11" s="312">
        <f t="shared" ref="F11:F42" si="1">100*(D11/C11)</f>
        <v>79.29556906428094</v>
      </c>
      <c r="G11" s="210">
        <v>5</v>
      </c>
      <c r="H11" s="312"/>
      <c r="I11" s="210"/>
      <c r="J11" s="210"/>
      <c r="K11" s="210"/>
      <c r="L11" s="210"/>
      <c r="M11" s="210"/>
      <c r="N11" s="210"/>
      <c r="O11" s="210"/>
      <c r="P11" s="210"/>
    </row>
    <row r="12" spans="1:16">
      <c r="A12" s="210">
        <v>6</v>
      </c>
      <c r="B12" s="311">
        <v>3.3622685185185186E-2</v>
      </c>
      <c r="C12" s="217">
        <f>B12*1440</f>
        <v>48.416666666666671</v>
      </c>
      <c r="D12" s="217">
        <f t="shared" si="0"/>
        <v>49.549300802989571</v>
      </c>
      <c r="E12" s="232">
        <f>'10K'!$E12*(1-$K$2)+H.Marathon!$E12*$K$2</f>
        <v>0.70098533723885947</v>
      </c>
      <c r="F12" s="312">
        <f t="shared" si="1"/>
        <v>102.3393476137478</v>
      </c>
      <c r="G12" s="210">
        <v>6</v>
      </c>
      <c r="H12" s="312"/>
      <c r="I12" s="210"/>
      <c r="J12" s="210"/>
      <c r="K12" s="210"/>
      <c r="L12" s="210"/>
      <c r="M12" s="210"/>
      <c r="N12" s="210"/>
      <c r="O12" s="210"/>
      <c r="P12" s="210"/>
    </row>
    <row r="13" spans="1:16">
      <c r="A13" s="210">
        <v>7</v>
      </c>
      <c r="B13" s="319">
        <v>4.3298611111111114E-2</v>
      </c>
      <c r="C13" s="217">
        <f t="shared" ref="C13:C76" si="2">B13*1440</f>
        <v>62.35</v>
      </c>
      <c r="D13" s="217">
        <f t="shared" si="0"/>
        <v>47.326951342820415</v>
      </c>
      <c r="E13" s="232">
        <f>'10K'!$E13*(1-$K$2)+H.Marathon!$E13*$K$2</f>
        <v>0.73390176945345209</v>
      </c>
      <c r="F13" s="312">
        <f t="shared" si="1"/>
        <v>75.905294856167458</v>
      </c>
      <c r="G13" s="210">
        <v>7</v>
      </c>
      <c r="H13" s="319">
        <v>4.3298611111111107E-2</v>
      </c>
      <c r="I13" s="248" t="s">
        <v>1151</v>
      </c>
      <c r="J13" s="248" t="s">
        <v>1152</v>
      </c>
      <c r="K13" s="248" t="s">
        <v>217</v>
      </c>
      <c r="L13" s="257">
        <v>39841</v>
      </c>
      <c r="M13" s="249"/>
      <c r="N13" s="249" t="s">
        <v>1153</v>
      </c>
      <c r="O13" s="257">
        <v>42707</v>
      </c>
      <c r="P13" s="210"/>
    </row>
    <row r="14" spans="1:16">
      <c r="A14" s="210">
        <v>8</v>
      </c>
      <c r="B14" s="311">
        <v>3.4976851851851849E-2</v>
      </c>
      <c r="C14" s="217">
        <f t="shared" si="2"/>
        <v>50.36666666666666</v>
      </c>
      <c r="D14" s="217">
        <f t="shared" si="0"/>
        <v>45.409355157949832</v>
      </c>
      <c r="E14" s="232">
        <f>'10K'!$E14*(1-$K$2)+H.Marathon!$E14*$K$2</f>
        <v>0.76489378042296552</v>
      </c>
      <c r="F14" s="312">
        <f t="shared" si="1"/>
        <v>90.157554913202858</v>
      </c>
      <c r="G14" s="210">
        <v>8</v>
      </c>
      <c r="H14" s="320"/>
      <c r="I14" s="210"/>
      <c r="J14" s="210"/>
      <c r="K14" s="210"/>
      <c r="L14" s="210"/>
      <c r="M14" s="210"/>
      <c r="N14" s="210"/>
      <c r="O14" s="210"/>
      <c r="P14" s="210"/>
    </row>
    <row r="15" spans="1:16">
      <c r="A15" s="210">
        <v>9</v>
      </c>
      <c r="B15" s="311">
        <v>3.3622685185185186E-2</v>
      </c>
      <c r="C15" s="217">
        <f t="shared" si="2"/>
        <v>48.416666666666671</v>
      </c>
      <c r="D15" s="217">
        <f t="shared" si="0"/>
        <v>43.742716735472854</v>
      </c>
      <c r="E15" s="232">
        <f>'10K'!$E15*(1-$K$2)+H.Marathon!$E15*$K$2</f>
        <v>0.79403694890232046</v>
      </c>
      <c r="F15" s="312">
        <f t="shared" si="1"/>
        <v>90.346402895985236</v>
      </c>
      <c r="G15" s="210">
        <v>9</v>
      </c>
      <c r="H15" s="320"/>
      <c r="I15" s="210"/>
      <c r="J15" s="210"/>
      <c r="K15" s="210"/>
      <c r="L15" s="210"/>
      <c r="M15" s="210"/>
      <c r="N15" s="210"/>
      <c r="O15" s="210"/>
      <c r="P15" s="210"/>
    </row>
    <row r="16" spans="1:16">
      <c r="A16" s="210">
        <v>10</v>
      </c>
      <c r="B16" s="311">
        <v>4.4861111111111109E-2</v>
      </c>
      <c r="C16" s="217">
        <f t="shared" si="2"/>
        <v>64.599999999999994</v>
      </c>
      <c r="D16" s="217">
        <f t="shared" si="0"/>
        <v>42.286433168272701</v>
      </c>
      <c r="E16" s="232">
        <f>'10K'!$E16*(1-$K$2)+H.Marathon!$E16*$K$2</f>
        <v>0.82138243240135889</v>
      </c>
      <c r="F16" s="312">
        <f t="shared" si="1"/>
        <v>65.458874873487161</v>
      </c>
      <c r="G16" s="210">
        <v>10</v>
      </c>
      <c r="H16" s="320"/>
      <c r="I16" s="210"/>
      <c r="J16" s="210"/>
      <c r="K16" s="210"/>
      <c r="L16" s="210"/>
      <c r="M16" s="210"/>
      <c r="N16" s="210"/>
      <c r="O16" s="210"/>
      <c r="P16" s="210"/>
    </row>
    <row r="17" spans="1:16">
      <c r="A17" s="210">
        <v>11</v>
      </c>
      <c r="B17" s="311">
        <v>3.6516203703703703E-2</v>
      </c>
      <c r="C17" s="217">
        <f t="shared" si="2"/>
        <v>52.583333333333336</v>
      </c>
      <c r="D17" s="217">
        <f t="shared" si="0"/>
        <v>41.020654546860492</v>
      </c>
      <c r="E17" s="232">
        <f>'10K'!$E17*(1-$K$2)+H.Marathon!$E17*$K$2</f>
        <v>0.8467279159003972</v>
      </c>
      <c r="F17" s="312">
        <f t="shared" si="1"/>
        <v>78.010753496406636</v>
      </c>
      <c r="G17" s="210">
        <v>11</v>
      </c>
      <c r="H17" s="320"/>
      <c r="I17" s="210"/>
      <c r="J17" s="210"/>
      <c r="K17" s="210"/>
      <c r="L17" s="210"/>
      <c r="M17" s="210"/>
      <c r="N17" s="210"/>
      <c r="O17" s="210"/>
      <c r="P17" s="210"/>
    </row>
    <row r="18" spans="1:16">
      <c r="A18" s="210">
        <v>12</v>
      </c>
      <c r="B18" s="311">
        <v>3.5196759259259261E-2</v>
      </c>
      <c r="C18" s="217">
        <f t="shared" si="2"/>
        <v>50.683333333333337</v>
      </c>
      <c r="D18" s="217">
        <f t="shared" si="0"/>
        <v>39.910723415414076</v>
      </c>
      <c r="E18" s="232">
        <f>'10K'!$E18*(1-$K$2)+H.Marathon!$E18*$K$2</f>
        <v>0.87027571441911877</v>
      </c>
      <c r="F18" s="312">
        <f t="shared" si="1"/>
        <v>78.745261589110299</v>
      </c>
      <c r="G18" s="210">
        <v>12</v>
      </c>
      <c r="H18" s="320"/>
      <c r="I18" s="210"/>
      <c r="J18" s="210"/>
      <c r="K18" s="210"/>
      <c r="L18" s="210"/>
      <c r="M18" s="210"/>
      <c r="N18" s="210"/>
      <c r="O18" s="210"/>
      <c r="P18" s="210"/>
    </row>
    <row r="19" spans="1:16">
      <c r="A19" s="210">
        <v>13</v>
      </c>
      <c r="B19" s="319">
        <v>3.5717592592592592E-2</v>
      </c>
      <c r="C19" s="217">
        <f t="shared" si="2"/>
        <v>51.43333333333333</v>
      </c>
      <c r="D19" s="217">
        <f t="shared" si="0"/>
        <v>38.939820248371717</v>
      </c>
      <c r="E19" s="232">
        <f>'10K'!$E19*(1-$K$2)+H.Marathon!$E19*$K$2</f>
        <v>0.89197467044768197</v>
      </c>
      <c r="F19" s="312">
        <f t="shared" si="1"/>
        <v>75.709307028590516</v>
      </c>
      <c r="G19" s="210">
        <v>13</v>
      </c>
      <c r="H19" s="321" t="s">
        <v>1155</v>
      </c>
      <c r="I19" s="248" t="s">
        <v>1156</v>
      </c>
      <c r="J19" s="248" t="s">
        <v>1157</v>
      </c>
      <c r="K19" s="248" t="s">
        <v>217</v>
      </c>
      <c r="L19" s="257">
        <v>37561</v>
      </c>
      <c r="M19" s="249"/>
      <c r="N19" s="248" t="s">
        <v>1158</v>
      </c>
      <c r="O19" s="257">
        <v>42532</v>
      </c>
      <c r="P19" s="210"/>
    </row>
    <row r="20" spans="1:16">
      <c r="A20" s="210">
        <v>14</v>
      </c>
      <c r="B20" s="311">
        <v>3.3530092592592591E-2</v>
      </c>
      <c r="C20" s="217">
        <f t="shared" si="2"/>
        <v>48.283333333333331</v>
      </c>
      <c r="D20" s="217">
        <f t="shared" si="0"/>
        <v>38.095271302733963</v>
      </c>
      <c r="E20" s="232">
        <f>'10K'!$E20*(1-$K$2)+H.Marathon!$E20*$K$2</f>
        <v>0.91174920523116598</v>
      </c>
      <c r="F20" s="312">
        <f t="shared" si="1"/>
        <v>78.89942278785081</v>
      </c>
      <c r="G20" s="210">
        <v>14</v>
      </c>
      <c r="H20" s="320"/>
      <c r="I20" s="210"/>
      <c r="J20" s="210"/>
      <c r="K20" s="210"/>
      <c r="L20" s="210"/>
      <c r="M20" s="210"/>
      <c r="N20" s="210"/>
      <c r="O20" s="210"/>
      <c r="P20" s="210"/>
    </row>
    <row r="21" spans="1:16">
      <c r="A21" s="210">
        <v>15</v>
      </c>
      <c r="B21" s="319">
        <v>2.8726851851851851E-2</v>
      </c>
      <c r="C21" s="217">
        <f t="shared" si="2"/>
        <v>41.366666666666667</v>
      </c>
      <c r="D21" s="217">
        <f t="shared" si="0"/>
        <v>37.361711976248166</v>
      </c>
      <c r="E21" s="232">
        <f>'10K'!$E21*(1-$K$2)+H.Marathon!$E21*$K$2</f>
        <v>0.92965047627941244</v>
      </c>
      <c r="F21" s="312">
        <f t="shared" si="1"/>
        <v>90.318401231865025</v>
      </c>
      <c r="G21" s="210">
        <v>15</v>
      </c>
      <c r="H21" s="321" t="s">
        <v>1159</v>
      </c>
      <c r="I21" s="248" t="s">
        <v>252</v>
      </c>
      <c r="J21" s="248" t="s">
        <v>253</v>
      </c>
      <c r="K21" s="248" t="s">
        <v>244</v>
      </c>
      <c r="L21" s="257">
        <v>28256</v>
      </c>
      <c r="M21" s="249" t="s">
        <v>1160</v>
      </c>
      <c r="N21" s="248" t="s">
        <v>1161</v>
      </c>
      <c r="O21" s="257">
        <v>34091</v>
      </c>
      <c r="P21" s="210"/>
    </row>
    <row r="22" spans="1:16">
      <c r="A22" s="210">
        <v>16</v>
      </c>
      <c r="B22" s="311">
        <v>3.1018518518518518E-2</v>
      </c>
      <c r="C22" s="217">
        <f t="shared" si="2"/>
        <v>44.666666666666664</v>
      </c>
      <c r="D22" s="217">
        <f t="shared" si="0"/>
        <v>36.691665638969042</v>
      </c>
      <c r="E22" s="232">
        <f>'10K'!$E22*(1-$K$2)+H.Marathon!$E22*$K$2</f>
        <v>0.94662732608257982</v>
      </c>
      <c r="F22" s="312">
        <f t="shared" si="1"/>
        <v>82.145520087244122</v>
      </c>
      <c r="G22" s="210">
        <v>16</v>
      </c>
      <c r="H22" s="320"/>
      <c r="I22" s="210"/>
      <c r="J22" s="210"/>
      <c r="K22" s="210"/>
      <c r="L22" s="210"/>
      <c r="M22" s="210"/>
      <c r="N22" s="210"/>
      <c r="O22" s="210"/>
      <c r="P22" s="210"/>
    </row>
    <row r="23" spans="1:16">
      <c r="A23" s="210">
        <v>17</v>
      </c>
      <c r="B23" s="319">
        <v>2.8726851851851851E-2</v>
      </c>
      <c r="C23" s="217">
        <f t="shared" si="2"/>
        <v>41.366666666666667</v>
      </c>
      <c r="D23" s="217">
        <f t="shared" si="0"/>
        <v>36.045229153771963</v>
      </c>
      <c r="E23" s="232">
        <f>'10K'!$E23*(1-$K$2)+H.Marathon!$E23*$K$2</f>
        <v>0.96360417588574709</v>
      </c>
      <c r="F23" s="312">
        <f t="shared" si="1"/>
        <v>87.135928655371387</v>
      </c>
      <c r="G23" s="210">
        <v>17</v>
      </c>
      <c r="H23" s="321" t="s">
        <v>1162</v>
      </c>
      <c r="I23" s="248" t="s">
        <v>517</v>
      </c>
      <c r="J23" s="248" t="s">
        <v>1163</v>
      </c>
      <c r="K23" s="248" t="s">
        <v>244</v>
      </c>
      <c r="L23" s="257">
        <v>27524</v>
      </c>
      <c r="M23" s="249" t="s">
        <v>1160</v>
      </c>
      <c r="N23" s="248" t="s">
        <v>1161</v>
      </c>
      <c r="O23" s="257">
        <v>34091</v>
      </c>
      <c r="P23" s="210"/>
    </row>
    <row r="24" spans="1:16">
      <c r="A24" s="210">
        <v>18</v>
      </c>
      <c r="B24" s="311">
        <v>2.7511574074074074E-2</v>
      </c>
      <c r="C24" s="217">
        <f t="shared" si="2"/>
        <v>39.616666666666667</v>
      </c>
      <c r="D24" s="217">
        <f t="shared" si="0"/>
        <v>35.493569179804304</v>
      </c>
      <c r="E24" s="232">
        <f>'10K'!$E24*(1-$K$2)+H.Marathon!$E24*$K$2</f>
        <v>0.97858102568891436</v>
      </c>
      <c r="F24" s="312">
        <f t="shared" si="1"/>
        <v>89.592517912842169</v>
      </c>
      <c r="G24" s="210">
        <v>18</v>
      </c>
      <c r="H24" s="321" t="s">
        <v>1164</v>
      </c>
      <c r="I24" s="248" t="s">
        <v>748</v>
      </c>
      <c r="J24" s="248" t="s">
        <v>1165</v>
      </c>
      <c r="K24" s="248" t="s">
        <v>244</v>
      </c>
      <c r="L24" s="257">
        <v>34275</v>
      </c>
      <c r="M24" s="249"/>
      <c r="N24" s="248" t="s">
        <v>1166</v>
      </c>
      <c r="O24" s="257">
        <v>40993</v>
      </c>
      <c r="P24" s="210"/>
    </row>
    <row r="25" spans="1:16">
      <c r="A25" s="210">
        <v>19</v>
      </c>
      <c r="B25" s="311">
        <v>2.7696759259259258E-2</v>
      </c>
      <c r="C25" s="217">
        <f t="shared" si="2"/>
        <v>39.883333333333333</v>
      </c>
      <c r="D25" s="217">
        <f t="shared" si="0"/>
        <v>35.099850340801275</v>
      </c>
      <c r="E25" s="232">
        <f>'10K'!$E25*(1-$K$2)+H.Marathon!$E25*$K$2</f>
        <v>0.98955787549208174</v>
      </c>
      <c r="F25" s="312">
        <f t="shared" si="1"/>
        <v>88.006310925535999</v>
      </c>
      <c r="G25" s="210">
        <v>19</v>
      </c>
      <c r="H25" s="321" t="s">
        <v>1167</v>
      </c>
      <c r="I25" s="248" t="s">
        <v>1168</v>
      </c>
      <c r="J25" s="248" t="s">
        <v>1169</v>
      </c>
      <c r="K25" s="248" t="s">
        <v>244</v>
      </c>
      <c r="L25" s="257">
        <v>29632</v>
      </c>
      <c r="M25" s="249"/>
      <c r="N25" s="248" t="s">
        <v>1170</v>
      </c>
      <c r="O25" s="257">
        <v>36625</v>
      </c>
      <c r="P25" s="210"/>
    </row>
    <row r="26" spans="1:16">
      <c r="A26" s="210">
        <v>20</v>
      </c>
      <c r="B26" s="311">
        <v>2.7476851851851853E-2</v>
      </c>
      <c r="C26" s="217">
        <f t="shared" si="2"/>
        <v>39.56666666666667</v>
      </c>
      <c r="D26" s="217">
        <f t="shared" si="0"/>
        <v>34.8541124074153</v>
      </c>
      <c r="E26" s="232">
        <f>'10K'!$E26*(1-$K$2)+H.Marathon!$E26*$K$2</f>
        <v>0.996534725295249</v>
      </c>
      <c r="F26" s="312">
        <f t="shared" si="1"/>
        <v>88.089584854461577</v>
      </c>
      <c r="G26" s="210">
        <v>20</v>
      </c>
      <c r="H26" s="321" t="s">
        <v>1171</v>
      </c>
      <c r="I26" s="248" t="s">
        <v>1172</v>
      </c>
      <c r="J26" s="248" t="s">
        <v>1173</v>
      </c>
      <c r="K26" s="248" t="s">
        <v>244</v>
      </c>
      <c r="L26" s="257">
        <v>32141</v>
      </c>
      <c r="M26" s="249"/>
      <c r="N26" s="248" t="s">
        <v>1174</v>
      </c>
      <c r="O26" s="257">
        <v>39747</v>
      </c>
      <c r="P26" s="210"/>
    </row>
    <row r="27" spans="1:16">
      <c r="A27" s="210">
        <v>21</v>
      </c>
      <c r="B27" s="311">
        <v>2.6817129629629628E-2</v>
      </c>
      <c r="C27" s="217">
        <f t="shared" si="2"/>
        <v>38.616666666666667</v>
      </c>
      <c r="D27" s="217">
        <f t="shared" si="0"/>
        <v>34.75030624824263</v>
      </c>
      <c r="E27" s="232">
        <f>'10K'!$E27*(1-$K$2)+H.Marathon!$E27*$K$2</f>
        <v>0.99951157509841637</v>
      </c>
      <c r="F27" s="312">
        <f t="shared" si="1"/>
        <v>89.987845269510487</v>
      </c>
      <c r="G27" s="210">
        <v>21</v>
      </c>
      <c r="H27" s="321" t="s">
        <v>455</v>
      </c>
      <c r="I27" s="248" t="s">
        <v>1175</v>
      </c>
      <c r="J27" s="248" t="s">
        <v>1176</v>
      </c>
      <c r="K27" s="248" t="s">
        <v>244</v>
      </c>
      <c r="L27" s="257">
        <v>32196</v>
      </c>
      <c r="M27" s="249" t="s">
        <v>1160</v>
      </c>
      <c r="N27" s="248" t="s">
        <v>1161</v>
      </c>
      <c r="O27" s="257">
        <v>39936</v>
      </c>
      <c r="P27" s="210"/>
    </row>
    <row r="28" spans="1:16">
      <c r="A28" s="210">
        <v>22</v>
      </c>
      <c r="B28" s="311">
        <v>2.6504629629629628E-2</v>
      </c>
      <c r="C28" s="217">
        <f t="shared" si="2"/>
        <v>38.166666666666664</v>
      </c>
      <c r="D28" s="217">
        <f t="shared" si="0"/>
        <v>34.733333333333334</v>
      </c>
      <c r="E28" s="232">
        <f>'10K'!$E28*(1-$K$2)+H.Marathon!$E28*$K$2</f>
        <v>1</v>
      </c>
      <c r="F28" s="312">
        <f t="shared" si="1"/>
        <v>91.004366812227076</v>
      </c>
      <c r="G28" s="210">
        <v>22</v>
      </c>
      <c r="H28" s="321" t="s">
        <v>1177</v>
      </c>
      <c r="I28" s="248" t="s">
        <v>1175</v>
      </c>
      <c r="J28" s="248" t="s">
        <v>1176</v>
      </c>
      <c r="K28" s="248" t="s">
        <v>244</v>
      </c>
      <c r="L28" s="257">
        <v>32196</v>
      </c>
      <c r="M28" s="249" t="s">
        <v>1160</v>
      </c>
      <c r="N28" s="248" t="s">
        <v>1161</v>
      </c>
      <c r="O28" s="257">
        <v>40300</v>
      </c>
      <c r="P28" s="210"/>
    </row>
    <row r="29" spans="1:16">
      <c r="A29" s="210">
        <v>23</v>
      </c>
      <c r="B29" s="311">
        <v>2.6631944444444444E-2</v>
      </c>
      <c r="C29" s="217">
        <f t="shared" si="2"/>
        <v>38.35</v>
      </c>
      <c r="D29" s="217">
        <f t="shared" si="0"/>
        <v>34.733333333333334</v>
      </c>
      <c r="E29" s="232">
        <f>'10K'!$E29*(1-$K$2)+H.Marathon!$E29*$K$2</f>
        <v>1</v>
      </c>
      <c r="F29" s="312">
        <f t="shared" si="1"/>
        <v>90.569317687961757</v>
      </c>
      <c r="G29" s="210">
        <v>23</v>
      </c>
      <c r="H29" s="321" t="s">
        <v>1178</v>
      </c>
      <c r="I29" s="248" t="s">
        <v>1179</v>
      </c>
      <c r="J29" s="248" t="s">
        <v>1180</v>
      </c>
      <c r="K29" s="248" t="s">
        <v>217</v>
      </c>
      <c r="L29" s="257">
        <v>33523</v>
      </c>
      <c r="M29" s="249" t="s">
        <v>1181</v>
      </c>
      <c r="N29" s="248" t="s">
        <v>596</v>
      </c>
      <c r="O29" s="257">
        <v>41959</v>
      </c>
      <c r="P29" s="210"/>
    </row>
    <row r="30" spans="1:16">
      <c r="A30" s="210">
        <v>24</v>
      </c>
      <c r="B30" s="311">
        <v>2.6967592592592592E-2</v>
      </c>
      <c r="C30" s="217">
        <f t="shared" si="2"/>
        <v>38.833333333333329</v>
      </c>
      <c r="D30" s="217">
        <f t="shared" si="0"/>
        <v>34.733333333333334</v>
      </c>
      <c r="E30" s="232">
        <f>'10K'!$E30*(1-$K$2)+H.Marathon!$E30*$K$2</f>
        <v>1</v>
      </c>
      <c r="F30" s="312">
        <f t="shared" si="1"/>
        <v>89.442060085836928</v>
      </c>
      <c r="G30" s="210">
        <v>24</v>
      </c>
      <c r="H30" s="321" t="s">
        <v>1182</v>
      </c>
      <c r="I30" s="248" t="s">
        <v>1179</v>
      </c>
      <c r="J30" s="248" t="s">
        <v>1183</v>
      </c>
      <c r="K30" s="248" t="s">
        <v>244</v>
      </c>
      <c r="L30" s="257">
        <v>31461</v>
      </c>
      <c r="M30" s="249" t="s">
        <v>1160</v>
      </c>
      <c r="N30" s="248" t="s">
        <v>1161</v>
      </c>
      <c r="O30" s="257">
        <v>40300</v>
      </c>
      <c r="P30" s="210"/>
    </row>
    <row r="31" spans="1:16">
      <c r="A31" s="210">
        <v>25</v>
      </c>
      <c r="B31" s="311">
        <v>2.7256944444444445E-2</v>
      </c>
      <c r="C31" s="217">
        <f t="shared" si="2"/>
        <v>39.25</v>
      </c>
      <c r="D31" s="217">
        <f t="shared" si="0"/>
        <v>34.733333333333334</v>
      </c>
      <c r="E31" s="232">
        <f>'10K'!$E31*(1-$K$2)+H.Marathon!$E31*$K$2</f>
        <v>1</v>
      </c>
      <c r="F31" s="312">
        <f t="shared" si="1"/>
        <v>88.492569002123147</v>
      </c>
      <c r="G31" s="210">
        <v>25</v>
      </c>
      <c r="H31" s="321" t="s">
        <v>1184</v>
      </c>
      <c r="I31" s="248" t="s">
        <v>517</v>
      </c>
      <c r="J31" s="248" t="s">
        <v>1185</v>
      </c>
      <c r="K31" s="248" t="s">
        <v>244</v>
      </c>
      <c r="L31" s="257">
        <v>30448</v>
      </c>
      <c r="M31" s="249"/>
      <c r="N31" s="248" t="s">
        <v>1174</v>
      </c>
      <c r="O31" s="257">
        <v>39747</v>
      </c>
      <c r="P31" s="210"/>
    </row>
    <row r="32" spans="1:16">
      <c r="A32" s="210">
        <v>26</v>
      </c>
      <c r="B32" s="311">
        <v>2.642361111111111E-2</v>
      </c>
      <c r="C32" s="217">
        <f t="shared" si="2"/>
        <v>38.049999999999997</v>
      </c>
      <c r="D32" s="217">
        <f t="shared" si="0"/>
        <v>34.733333333333334</v>
      </c>
      <c r="E32" s="232">
        <f>'10K'!$E32*(1-$K$2)+H.Marathon!$E32*$K$2</f>
        <v>1</v>
      </c>
      <c r="F32" s="312">
        <f t="shared" si="1"/>
        <v>91.283399036355689</v>
      </c>
      <c r="G32" s="210">
        <v>26</v>
      </c>
      <c r="H32" s="321" t="s">
        <v>1186</v>
      </c>
      <c r="I32" s="248" t="s">
        <v>1187</v>
      </c>
      <c r="J32" s="248" t="s">
        <v>1188</v>
      </c>
      <c r="K32" s="248" t="s">
        <v>244</v>
      </c>
      <c r="L32" s="257">
        <v>32860</v>
      </c>
      <c r="M32" s="249" t="s">
        <v>1160</v>
      </c>
      <c r="N32" s="248" t="s">
        <v>1161</v>
      </c>
      <c r="O32" s="257">
        <v>42491</v>
      </c>
      <c r="P32" s="210"/>
    </row>
    <row r="33" spans="1:16">
      <c r="A33" s="210">
        <v>27</v>
      </c>
      <c r="B33" s="311">
        <v>2.6990740740740742E-2</v>
      </c>
      <c r="C33" s="217">
        <f t="shared" si="2"/>
        <v>38.866666666666667</v>
      </c>
      <c r="D33" s="217">
        <f t="shared" si="0"/>
        <v>34.733333333333334</v>
      </c>
      <c r="E33" s="232">
        <f>'10K'!$E33*(1-$K$2)+H.Marathon!$E33*$K$2</f>
        <v>1</v>
      </c>
      <c r="F33" s="312">
        <f t="shared" si="1"/>
        <v>89.36535162950257</v>
      </c>
      <c r="G33" s="210">
        <v>27</v>
      </c>
      <c r="H33" s="321" t="s">
        <v>1189</v>
      </c>
      <c r="I33" s="248" t="s">
        <v>761</v>
      </c>
      <c r="J33" s="248" t="s">
        <v>762</v>
      </c>
      <c r="K33" s="248" t="s">
        <v>244</v>
      </c>
      <c r="L33" s="257">
        <v>29113</v>
      </c>
      <c r="M33" s="249" t="s">
        <v>1160</v>
      </c>
      <c r="N33" s="248" t="s">
        <v>1161</v>
      </c>
      <c r="O33" s="257">
        <v>39208</v>
      </c>
      <c r="P33" s="210"/>
    </row>
    <row r="34" spans="1:16">
      <c r="A34" s="210">
        <v>28</v>
      </c>
      <c r="B34" s="311">
        <v>2.6689814814814816E-2</v>
      </c>
      <c r="C34" s="217">
        <f t="shared" si="2"/>
        <v>38.433333333333337</v>
      </c>
      <c r="D34" s="217">
        <f t="shared" si="0"/>
        <v>34.740281389611255</v>
      </c>
      <c r="E34" s="232">
        <f>'10K'!$E34*(1-$K$2)+H.Marathon!$E34*$K$2</f>
        <v>0.99980000000000002</v>
      </c>
      <c r="F34" s="312">
        <f t="shared" si="1"/>
        <v>90.391018359786429</v>
      </c>
      <c r="G34" s="210">
        <v>28</v>
      </c>
      <c r="H34" s="321" t="s">
        <v>1190</v>
      </c>
      <c r="I34" s="248" t="s">
        <v>269</v>
      </c>
      <c r="J34" s="248" t="s">
        <v>270</v>
      </c>
      <c r="K34" s="248" t="s">
        <v>248</v>
      </c>
      <c r="L34" s="257">
        <v>30605</v>
      </c>
      <c r="M34" s="249" t="s">
        <v>1160</v>
      </c>
      <c r="N34" s="248" t="s">
        <v>1161</v>
      </c>
      <c r="O34" s="257">
        <v>41035</v>
      </c>
      <c r="P34" s="210"/>
    </row>
    <row r="35" spans="1:16">
      <c r="A35" s="210">
        <v>29</v>
      </c>
      <c r="B35" s="311">
        <v>2.627314814814815E-2</v>
      </c>
      <c r="C35" s="217">
        <f t="shared" si="2"/>
        <v>37.833333333333336</v>
      </c>
      <c r="D35" s="217">
        <f t="shared" si="0"/>
        <v>34.764621492676739</v>
      </c>
      <c r="E35" s="232">
        <f>'10K'!$E35*(1-$K$2)+H.Marathon!$E35*$K$2</f>
        <v>0.9991000000000001</v>
      </c>
      <c r="F35" s="312">
        <f t="shared" si="1"/>
        <v>91.888867381524406</v>
      </c>
      <c r="G35" s="210">
        <v>29</v>
      </c>
      <c r="H35" s="321" t="s">
        <v>1191</v>
      </c>
      <c r="I35" s="248" t="s">
        <v>267</v>
      </c>
      <c r="J35" s="248" t="s">
        <v>268</v>
      </c>
      <c r="K35" s="248" t="s">
        <v>217</v>
      </c>
      <c r="L35" s="257">
        <v>30925</v>
      </c>
      <c r="M35" s="249" t="s">
        <v>1181</v>
      </c>
      <c r="N35" s="248" t="s">
        <v>596</v>
      </c>
      <c r="O35" s="257">
        <v>41595</v>
      </c>
      <c r="P35" s="210"/>
    </row>
    <row r="36" spans="1:16">
      <c r="A36" s="210">
        <v>30</v>
      </c>
      <c r="B36" s="322">
        <v>2.6481481481481481E-2</v>
      </c>
      <c r="C36" s="217">
        <f t="shared" si="2"/>
        <v>38.133333333333333</v>
      </c>
      <c r="D36" s="217">
        <f t="shared" si="0"/>
        <v>34.803790866973728</v>
      </c>
      <c r="E36" s="232">
        <f>'10K'!$E36*(1-$K$2)+H.Marathon!$E36*$K$2</f>
        <v>0.99797557875492082</v>
      </c>
      <c r="F36" s="312">
        <f t="shared" si="1"/>
        <v>91.268682343462572</v>
      </c>
      <c r="G36" s="210">
        <v>30</v>
      </c>
      <c r="H36" s="323" t="s">
        <v>1148</v>
      </c>
      <c r="I36" s="286" t="s">
        <v>267</v>
      </c>
      <c r="J36" s="286" t="s">
        <v>268</v>
      </c>
      <c r="K36" s="286" t="s">
        <v>217</v>
      </c>
      <c r="L36" s="324">
        <v>30925</v>
      </c>
      <c r="M36" s="287" t="s">
        <v>1181</v>
      </c>
      <c r="N36" s="286" t="s">
        <v>596</v>
      </c>
      <c r="O36" s="324">
        <v>41959</v>
      </c>
      <c r="P36" s="210"/>
    </row>
    <row r="37" spans="1:16">
      <c r="A37" s="210">
        <v>31</v>
      </c>
      <c r="B37" s="311">
        <v>2.6805555555555555E-2</v>
      </c>
      <c r="C37" s="217">
        <f t="shared" si="2"/>
        <v>38.6</v>
      </c>
      <c r="D37" s="217">
        <f t="shared" si="0"/>
        <v>34.860533930769535</v>
      </c>
      <c r="E37" s="232">
        <f>'10K'!$E37*(1-$K$2)+H.Marathon!$E37*$K$2</f>
        <v>0.9963511575098416</v>
      </c>
      <c r="F37" s="312">
        <f t="shared" si="1"/>
        <v>90.312264069351116</v>
      </c>
      <c r="G37" s="210">
        <v>31</v>
      </c>
      <c r="H37" s="321" t="s">
        <v>1192</v>
      </c>
      <c r="I37" s="248" t="s">
        <v>267</v>
      </c>
      <c r="J37" s="248" t="s">
        <v>268</v>
      </c>
      <c r="K37" s="248" t="s">
        <v>217</v>
      </c>
      <c r="L37" s="257">
        <v>30925</v>
      </c>
      <c r="M37" s="249" t="s">
        <v>1181</v>
      </c>
      <c r="N37" s="248" t="s">
        <v>596</v>
      </c>
      <c r="O37" s="257">
        <v>42323</v>
      </c>
      <c r="P37" s="210"/>
    </row>
    <row r="38" spans="1:16">
      <c r="A38" s="210">
        <v>32</v>
      </c>
      <c r="B38" s="311">
        <v>2.6365740740740742E-2</v>
      </c>
      <c r="C38" s="217">
        <f t="shared" si="2"/>
        <v>37.966666666666669</v>
      </c>
      <c r="D38" s="217">
        <f t="shared" si="0"/>
        <v>34.931508996540529</v>
      </c>
      <c r="E38" s="232">
        <f>'10K'!$E38*(1-$K$2)+H.Marathon!$E38*$K$2</f>
        <v>0.99432673626476253</v>
      </c>
      <c r="F38" s="312">
        <f t="shared" si="1"/>
        <v>92.005730456208596</v>
      </c>
      <c r="G38" s="210">
        <v>32</v>
      </c>
      <c r="H38" s="321" t="s">
        <v>1193</v>
      </c>
      <c r="I38" s="248" t="s">
        <v>538</v>
      </c>
      <c r="J38" s="248" t="s">
        <v>1194</v>
      </c>
      <c r="K38" s="248" t="s">
        <v>217</v>
      </c>
      <c r="L38" s="257">
        <v>29775</v>
      </c>
      <c r="M38" s="249" t="s">
        <v>1181</v>
      </c>
      <c r="N38" s="248" t="s">
        <v>596</v>
      </c>
      <c r="O38" s="257">
        <v>41595</v>
      </c>
      <c r="P38" s="210"/>
    </row>
    <row r="39" spans="1:16">
      <c r="A39" s="210">
        <v>33</v>
      </c>
      <c r="B39" s="311">
        <v>2.7141203703703702E-2</v>
      </c>
      <c r="C39" s="217">
        <f t="shared" si="2"/>
        <v>39.083333333333329</v>
      </c>
      <c r="D39" s="217">
        <f t="shared" si="0"/>
        <v>35.017751228586398</v>
      </c>
      <c r="E39" s="232">
        <f>'10K'!$E39*(1-$K$2)+H.Marathon!$E39*$K$2</f>
        <v>0.99187789377460411</v>
      </c>
      <c r="F39" s="312">
        <f t="shared" si="1"/>
        <v>89.5976577277264</v>
      </c>
      <c r="G39" s="210">
        <v>33</v>
      </c>
      <c r="H39" s="321" t="s">
        <v>1195</v>
      </c>
      <c r="I39" s="248" t="s">
        <v>1196</v>
      </c>
      <c r="J39" s="248" t="s">
        <v>1197</v>
      </c>
      <c r="K39" s="248" t="s">
        <v>217</v>
      </c>
      <c r="L39" s="257">
        <v>29987</v>
      </c>
      <c r="M39" s="249" t="s">
        <v>1181</v>
      </c>
      <c r="N39" s="248" t="s">
        <v>596</v>
      </c>
      <c r="O39" s="257">
        <v>42323</v>
      </c>
      <c r="P39" s="210"/>
    </row>
    <row r="40" spans="1:16">
      <c r="A40" s="210">
        <v>34</v>
      </c>
      <c r="B40" s="311">
        <v>2.7349537037037037E-2</v>
      </c>
      <c r="C40" s="217">
        <f t="shared" si="2"/>
        <v>39.383333333333333</v>
      </c>
      <c r="D40" s="217">
        <f t="shared" si="0"/>
        <v>35.122169065840275</v>
      </c>
      <c r="E40" s="232">
        <f>'10K'!$E40*(1-$K$2)+H.Marathon!$E40*$K$2</f>
        <v>0.98892905128444575</v>
      </c>
      <c r="F40" s="312">
        <f t="shared" si="1"/>
        <v>89.180285397817045</v>
      </c>
      <c r="G40" s="210">
        <v>34</v>
      </c>
      <c r="H40" s="321" t="s">
        <v>1198</v>
      </c>
      <c r="I40" s="248" t="s">
        <v>261</v>
      </c>
      <c r="J40" s="248" t="s">
        <v>262</v>
      </c>
      <c r="K40" s="248" t="s">
        <v>263</v>
      </c>
      <c r="L40" s="257">
        <v>24390</v>
      </c>
      <c r="M40" s="249" t="s">
        <v>1160</v>
      </c>
      <c r="N40" s="248" t="s">
        <v>1161</v>
      </c>
      <c r="O40" s="257">
        <v>37017</v>
      </c>
      <c r="P40" s="210"/>
    </row>
    <row r="41" spans="1:16">
      <c r="A41" s="210">
        <v>35</v>
      </c>
      <c r="B41" s="311">
        <v>2.7280092592592592E-2</v>
      </c>
      <c r="C41" s="217">
        <f t="shared" si="2"/>
        <v>39.283333333333331</v>
      </c>
      <c r="D41" s="217">
        <f t="shared" si="0"/>
        <v>35.244211213848779</v>
      </c>
      <c r="E41" s="232">
        <f>'10K'!$E41*(1-$K$2)+H.Marathon!$E41*$K$2</f>
        <v>0.98550463003936661</v>
      </c>
      <c r="F41" s="312">
        <f t="shared" si="1"/>
        <v>89.717975088287091</v>
      </c>
      <c r="G41" s="210">
        <v>35</v>
      </c>
      <c r="H41" s="321" t="s">
        <v>1199</v>
      </c>
      <c r="I41" s="248" t="s">
        <v>1200</v>
      </c>
      <c r="J41" s="248" t="s">
        <v>1201</v>
      </c>
      <c r="K41" s="248" t="s">
        <v>217</v>
      </c>
      <c r="L41" s="257">
        <v>29521</v>
      </c>
      <c r="M41" s="249" t="s">
        <v>1181</v>
      </c>
      <c r="N41" s="248" t="s">
        <v>596</v>
      </c>
      <c r="O41" s="257">
        <v>42323</v>
      </c>
      <c r="P41" s="210"/>
    </row>
    <row r="42" spans="1:16">
      <c r="A42" s="210">
        <v>36</v>
      </c>
      <c r="B42" s="311">
        <v>2.7789351851851853E-2</v>
      </c>
      <c r="C42" s="217">
        <f t="shared" si="2"/>
        <v>40.016666666666666</v>
      </c>
      <c r="D42" s="217">
        <f t="shared" si="0"/>
        <v>35.382395513653741</v>
      </c>
      <c r="E42" s="232">
        <f>'10K'!$E42*(1-$K$2)+H.Marathon!$E42*$K$2</f>
        <v>0.98165578754920824</v>
      </c>
      <c r="F42" s="312">
        <f t="shared" si="1"/>
        <v>88.419147472687399</v>
      </c>
      <c r="G42" s="210">
        <v>36</v>
      </c>
      <c r="H42" s="321" t="s">
        <v>1202</v>
      </c>
      <c r="I42" s="248" t="s">
        <v>1203</v>
      </c>
      <c r="J42" s="248" t="s">
        <v>1204</v>
      </c>
      <c r="K42" s="248" t="s">
        <v>1034</v>
      </c>
      <c r="L42" s="257">
        <v>26525</v>
      </c>
      <c r="M42" s="249" t="s">
        <v>1160</v>
      </c>
      <c r="N42" s="248" t="s">
        <v>1161</v>
      </c>
      <c r="O42" s="257">
        <v>39936</v>
      </c>
      <c r="P42" s="210"/>
    </row>
    <row r="43" spans="1:16">
      <c r="A43" s="210">
        <v>37</v>
      </c>
      <c r="B43" s="311">
        <v>2.7754629629629629E-2</v>
      </c>
      <c r="C43" s="217">
        <f t="shared" si="2"/>
        <v>39.966666666666669</v>
      </c>
      <c r="D43" s="217">
        <f t="shared" ref="D43:D74" si="3">E$4/E43</f>
        <v>35.537092680761162</v>
      </c>
      <c r="E43" s="232">
        <f>'10K'!$E43*(1-$K$2)+H.Marathon!$E43*$K$2</f>
        <v>0.97738252381397073</v>
      </c>
      <c r="F43" s="312">
        <f t="shared" ref="F43:F74" si="4">100*(D43/C43)</f>
        <v>88.916829059452439</v>
      </c>
      <c r="G43" s="210">
        <v>37</v>
      </c>
      <c r="H43" s="321" t="s">
        <v>1205</v>
      </c>
      <c r="I43" s="248" t="s">
        <v>1206</v>
      </c>
      <c r="J43" s="248" t="s">
        <v>1207</v>
      </c>
      <c r="K43" s="248" t="s">
        <v>606</v>
      </c>
      <c r="L43" s="257">
        <v>24594</v>
      </c>
      <c r="M43" s="249" t="s">
        <v>1160</v>
      </c>
      <c r="N43" s="248" t="s">
        <v>1161</v>
      </c>
      <c r="O43" s="257">
        <v>38473</v>
      </c>
      <c r="P43" s="210"/>
    </row>
    <row r="44" spans="1:16">
      <c r="A44" s="210">
        <v>38</v>
      </c>
      <c r="B44" s="311">
        <v>2.7002314814814816E-2</v>
      </c>
      <c r="C44" s="217">
        <f t="shared" si="2"/>
        <v>38.883333333333333</v>
      </c>
      <c r="D44" s="217">
        <f t="shared" si="3"/>
        <v>35.711497678442477</v>
      </c>
      <c r="E44" s="232">
        <f>'10K'!$E44*(1-$K$2)+H.Marathon!$E44*$K$2</f>
        <v>0.97260926007873316</v>
      </c>
      <c r="F44" s="312">
        <f t="shared" si="4"/>
        <v>91.842685842543887</v>
      </c>
      <c r="G44" s="210">
        <v>38</v>
      </c>
      <c r="H44" s="321" t="s">
        <v>1208</v>
      </c>
      <c r="I44" s="248" t="s">
        <v>279</v>
      </c>
      <c r="J44" s="248" t="s">
        <v>280</v>
      </c>
      <c r="K44" s="248" t="s">
        <v>217</v>
      </c>
      <c r="L44" s="257">
        <v>23483</v>
      </c>
      <c r="M44" s="249" t="s">
        <v>1160</v>
      </c>
      <c r="N44" s="248" t="s">
        <v>1161</v>
      </c>
      <c r="O44" s="257">
        <v>37381</v>
      </c>
      <c r="P44" s="210"/>
    </row>
    <row r="45" spans="1:16">
      <c r="A45" s="210">
        <v>39</v>
      </c>
      <c r="B45" s="311">
        <v>2.8032407407407409E-2</v>
      </c>
      <c r="C45" s="217">
        <f t="shared" si="2"/>
        <v>40.366666666666667</v>
      </c>
      <c r="D45" s="217">
        <f t="shared" si="3"/>
        <v>35.902461211502199</v>
      </c>
      <c r="E45" s="232">
        <f>'10K'!$E45*(1-$K$2)+H.Marathon!$E45*$K$2</f>
        <v>0.96743599634349553</v>
      </c>
      <c r="F45" s="312">
        <f t="shared" si="4"/>
        <v>88.940861795628905</v>
      </c>
      <c r="G45" s="210">
        <v>39</v>
      </c>
      <c r="H45" s="321" t="s">
        <v>1209</v>
      </c>
      <c r="I45" s="248" t="s">
        <v>279</v>
      </c>
      <c r="J45" s="248" t="s">
        <v>280</v>
      </c>
      <c r="K45" s="248" t="s">
        <v>217</v>
      </c>
      <c r="L45" s="257">
        <v>23483</v>
      </c>
      <c r="M45" s="249" t="s">
        <v>1160</v>
      </c>
      <c r="N45" s="248" t="s">
        <v>1161</v>
      </c>
      <c r="O45" s="257">
        <v>37745</v>
      </c>
      <c r="P45" s="210"/>
    </row>
    <row r="46" spans="1:16">
      <c r="A46" s="210">
        <v>40</v>
      </c>
      <c r="B46" s="311">
        <v>2.8136574074074074E-2</v>
      </c>
      <c r="C46" s="217">
        <f t="shared" si="2"/>
        <v>40.516666666666666</v>
      </c>
      <c r="D46" s="217">
        <f t="shared" si="3"/>
        <v>36.114243311485012</v>
      </c>
      <c r="E46" s="232">
        <f>'10K'!$E46*(1-$K$2)+H.Marathon!$E46*$K$2</f>
        <v>0.96176273260825806</v>
      </c>
      <c r="F46" s="312">
        <f t="shared" si="4"/>
        <v>89.134290361542611</v>
      </c>
      <c r="G46" s="210">
        <v>40</v>
      </c>
      <c r="H46" s="321" t="s">
        <v>1210</v>
      </c>
      <c r="I46" s="248" t="s">
        <v>289</v>
      </c>
      <c r="J46" s="248" t="s">
        <v>290</v>
      </c>
      <c r="K46" s="248" t="s">
        <v>217</v>
      </c>
      <c r="L46" s="257">
        <v>27211</v>
      </c>
      <c r="M46" s="249" t="s">
        <v>1181</v>
      </c>
      <c r="N46" s="248" t="s">
        <v>596</v>
      </c>
      <c r="O46" s="257">
        <v>41959</v>
      </c>
      <c r="P46" s="210"/>
    </row>
    <row r="47" spans="1:16">
      <c r="A47" s="210">
        <v>41</v>
      </c>
      <c r="B47" s="311">
        <v>2.7824074074074074E-2</v>
      </c>
      <c r="C47" s="217">
        <f t="shared" si="2"/>
        <v>40.06666666666667</v>
      </c>
      <c r="D47" s="217">
        <f t="shared" si="3"/>
        <v>36.344672664910192</v>
      </c>
      <c r="E47" s="232">
        <f>'10K'!$E47*(1-$K$2)+H.Marathon!$E47*$K$2</f>
        <v>0.95566504762794136</v>
      </c>
      <c r="F47" s="312">
        <f t="shared" si="4"/>
        <v>90.71049749977584</v>
      </c>
      <c r="G47" s="210">
        <v>41</v>
      </c>
      <c r="H47" s="321" t="s">
        <v>1211</v>
      </c>
      <c r="I47" s="248" t="s">
        <v>289</v>
      </c>
      <c r="J47" s="248" t="s">
        <v>290</v>
      </c>
      <c r="K47" s="248" t="s">
        <v>217</v>
      </c>
      <c r="L47" s="257">
        <v>27211</v>
      </c>
      <c r="M47" s="249" t="s">
        <v>1181</v>
      </c>
      <c r="N47" s="248" t="s">
        <v>596</v>
      </c>
      <c r="O47" s="257">
        <v>42323</v>
      </c>
      <c r="P47" s="210"/>
    </row>
    <row r="48" spans="1:16">
      <c r="A48" s="210">
        <v>42</v>
      </c>
      <c r="B48" s="311">
        <v>2.8344907407407409E-2</v>
      </c>
      <c r="C48" s="217">
        <f t="shared" si="2"/>
        <v>40.81666666666667</v>
      </c>
      <c r="D48" s="217">
        <f t="shared" si="3"/>
        <v>36.594417782855771</v>
      </c>
      <c r="E48" s="232">
        <f>'10K'!$E48*(1-$K$2)+H.Marathon!$E48*$K$2</f>
        <v>0.94914294140254529</v>
      </c>
      <c r="F48" s="312">
        <f t="shared" si="4"/>
        <v>89.655576438192981</v>
      </c>
      <c r="G48" s="210">
        <v>42</v>
      </c>
      <c r="H48" s="321" t="s">
        <v>1212</v>
      </c>
      <c r="I48" s="248" t="s">
        <v>293</v>
      </c>
      <c r="J48" s="248" t="s">
        <v>294</v>
      </c>
      <c r="K48" s="248" t="s">
        <v>295</v>
      </c>
      <c r="L48" s="257">
        <v>22400</v>
      </c>
      <c r="M48" s="249" t="s">
        <v>1160</v>
      </c>
      <c r="N48" s="248" t="s">
        <v>1161</v>
      </c>
      <c r="O48" s="257">
        <v>37745</v>
      </c>
      <c r="P48" s="210"/>
    </row>
    <row r="49" spans="1:16">
      <c r="A49" s="210">
        <v>43</v>
      </c>
      <c r="B49" s="311">
        <v>2.8796296296296296E-2</v>
      </c>
      <c r="C49" s="217">
        <f t="shared" si="2"/>
        <v>41.466666666666669</v>
      </c>
      <c r="D49" s="217">
        <f t="shared" si="3"/>
        <v>36.869176619013764</v>
      </c>
      <c r="E49" s="232">
        <f>'10K'!$E49*(1-$K$2)+H.Marathon!$E49*$K$2</f>
        <v>0.94206967766730776</v>
      </c>
      <c r="F49" s="312">
        <f t="shared" si="4"/>
        <v>88.912805351319363</v>
      </c>
      <c r="G49" s="210">
        <v>43</v>
      </c>
      <c r="H49" s="321" t="s">
        <v>1213</v>
      </c>
      <c r="I49" s="248" t="s">
        <v>293</v>
      </c>
      <c r="J49" s="248" t="s">
        <v>294</v>
      </c>
      <c r="K49" s="248" t="s">
        <v>295</v>
      </c>
      <c r="L49" s="257">
        <v>22400</v>
      </c>
      <c r="M49" s="249" t="s">
        <v>1160</v>
      </c>
      <c r="N49" s="248" t="s">
        <v>1161</v>
      </c>
      <c r="O49" s="257">
        <v>38109</v>
      </c>
      <c r="P49" s="210"/>
    </row>
    <row r="50" spans="1:16">
      <c r="A50" s="210">
        <v>44</v>
      </c>
      <c r="B50" s="311">
        <v>2.9212962962962961E-2</v>
      </c>
      <c r="C50" s="217">
        <f t="shared" si="2"/>
        <v>42.066666666666663</v>
      </c>
      <c r="D50" s="217">
        <f t="shared" si="3"/>
        <v>37.16195750634548</v>
      </c>
      <c r="E50" s="232">
        <f>'10K'!$E50*(1-$K$2)+H.Marathon!$E50*$K$2</f>
        <v>0.93464757144191191</v>
      </c>
      <c r="F50" s="312">
        <f t="shared" si="4"/>
        <v>88.340627986558204</v>
      </c>
      <c r="G50" s="210">
        <v>44</v>
      </c>
      <c r="H50" s="321" t="s">
        <v>1214</v>
      </c>
      <c r="I50" s="248" t="s">
        <v>1215</v>
      </c>
      <c r="J50" s="248" t="s">
        <v>1216</v>
      </c>
      <c r="K50" s="248" t="s">
        <v>217</v>
      </c>
      <c r="L50" s="257">
        <v>26050</v>
      </c>
      <c r="M50" s="249" t="s">
        <v>1181</v>
      </c>
      <c r="N50" s="248" t="s">
        <v>596</v>
      </c>
      <c r="O50" s="257">
        <v>42323</v>
      </c>
      <c r="P50" s="210"/>
    </row>
    <row r="51" spans="1:16">
      <c r="A51" s="210">
        <v>45</v>
      </c>
      <c r="B51" s="311">
        <v>3.0069444444444444E-2</v>
      </c>
      <c r="C51" s="217">
        <f t="shared" si="2"/>
        <v>43.3</v>
      </c>
      <c r="D51" s="217">
        <f t="shared" si="3"/>
        <v>37.479636242884936</v>
      </c>
      <c r="E51" s="232">
        <f>'10K'!$E51*(1-$K$2)+H.Marathon!$E51*$K$2</f>
        <v>0.926725465216516</v>
      </c>
      <c r="F51" s="312">
        <f t="shared" si="4"/>
        <v>86.558051369249284</v>
      </c>
      <c r="G51" s="210">
        <v>45</v>
      </c>
      <c r="H51" s="321" t="s">
        <v>1217</v>
      </c>
      <c r="I51" s="248" t="s">
        <v>301</v>
      </c>
      <c r="J51" s="248" t="s">
        <v>302</v>
      </c>
      <c r="K51" s="248" t="s">
        <v>303</v>
      </c>
      <c r="L51" s="257">
        <v>20152</v>
      </c>
      <c r="M51" s="249" t="s">
        <v>1160</v>
      </c>
      <c r="N51" s="248" t="s">
        <v>1161</v>
      </c>
      <c r="O51" s="257">
        <v>36653</v>
      </c>
      <c r="P51" s="210"/>
    </row>
    <row r="52" spans="1:16">
      <c r="A52" s="210">
        <v>46</v>
      </c>
      <c r="B52" s="311">
        <v>2.9814814814814815E-2</v>
      </c>
      <c r="C52" s="217">
        <f t="shared" si="2"/>
        <v>42.93333333333333</v>
      </c>
      <c r="D52" s="217">
        <f t="shared" si="3"/>
        <v>37.822370270013742</v>
      </c>
      <c r="E52" s="232">
        <f>'10K'!$E52*(1-$K$2)+H.Marathon!$E52*$K$2</f>
        <v>0.91832778023619921</v>
      </c>
      <c r="F52" s="312">
        <f t="shared" si="4"/>
        <v>88.095582927050657</v>
      </c>
      <c r="G52" s="210">
        <v>46</v>
      </c>
      <c r="H52" s="321" t="s">
        <v>1218</v>
      </c>
      <c r="I52" s="248" t="s">
        <v>557</v>
      </c>
      <c r="J52" s="248" t="s">
        <v>1219</v>
      </c>
      <c r="K52" s="248" t="s">
        <v>217</v>
      </c>
      <c r="L52" s="257">
        <v>16398</v>
      </c>
      <c r="M52" s="249" t="s">
        <v>1160</v>
      </c>
      <c r="N52" s="248" t="s">
        <v>1161</v>
      </c>
      <c r="O52" s="257">
        <v>33363</v>
      </c>
      <c r="P52" s="210"/>
    </row>
    <row r="53" spans="1:16">
      <c r="A53" s="210">
        <v>47</v>
      </c>
      <c r="B53" s="311">
        <v>2.9837962962962962E-2</v>
      </c>
      <c r="C53" s="217">
        <f t="shared" si="2"/>
        <v>42.966666666666669</v>
      </c>
      <c r="D53" s="217">
        <f t="shared" si="3"/>
        <v>38.186069939019958</v>
      </c>
      <c r="E53" s="232">
        <f>'10K'!$E53*(1-$K$2)+H.Marathon!$E53*$K$2</f>
        <v>0.90958125276572421</v>
      </c>
      <c r="F53" s="312">
        <f t="shared" si="4"/>
        <v>88.873708159084458</v>
      </c>
      <c r="G53" s="210">
        <v>47</v>
      </c>
      <c r="H53" s="321" t="s">
        <v>1220</v>
      </c>
      <c r="I53" s="248" t="s">
        <v>557</v>
      </c>
      <c r="J53" s="248" t="s">
        <v>1219</v>
      </c>
      <c r="K53" s="248" t="s">
        <v>217</v>
      </c>
      <c r="L53" s="257">
        <v>16398</v>
      </c>
      <c r="M53" s="249" t="s">
        <v>1160</v>
      </c>
      <c r="N53" s="248" t="s">
        <v>1161</v>
      </c>
      <c r="O53" s="257">
        <v>33727</v>
      </c>
      <c r="P53" s="210"/>
    </row>
    <row r="54" spans="1:16">
      <c r="A54" s="210">
        <v>48</v>
      </c>
      <c r="B54" s="311">
        <v>3.2094907407407405E-2</v>
      </c>
      <c r="C54" s="217">
        <f t="shared" si="2"/>
        <v>46.216666666666661</v>
      </c>
      <c r="D54" s="217">
        <f t="shared" si="3"/>
        <v>38.581483417094518</v>
      </c>
      <c r="E54" s="232">
        <f>'10K'!$E54*(1-$K$2)+H.Marathon!$E54*$K$2</f>
        <v>0.90025914654032824</v>
      </c>
      <c r="F54" s="312">
        <f t="shared" si="4"/>
        <v>83.479589074131681</v>
      </c>
      <c r="G54" s="210">
        <v>48</v>
      </c>
      <c r="H54" s="325" t="s">
        <v>1221</v>
      </c>
      <c r="I54" s="248" t="s">
        <v>1222</v>
      </c>
      <c r="J54" s="248" t="s">
        <v>1223</v>
      </c>
      <c r="K54" s="248" t="s">
        <v>217</v>
      </c>
      <c r="L54" s="257">
        <v>24882</v>
      </c>
      <c r="M54" s="249" t="s">
        <v>1160</v>
      </c>
      <c r="N54" s="248" t="s">
        <v>1161</v>
      </c>
      <c r="O54" s="257">
        <v>42491</v>
      </c>
      <c r="P54" s="210"/>
    </row>
    <row r="55" spans="1:16">
      <c r="A55" s="210">
        <v>49</v>
      </c>
      <c r="B55" s="311">
        <v>3.1851851851851853E-2</v>
      </c>
      <c r="C55" s="217">
        <f t="shared" si="2"/>
        <v>45.866666666666667</v>
      </c>
      <c r="D55" s="217">
        <f t="shared" si="3"/>
        <v>39.003751984573285</v>
      </c>
      <c r="E55" s="232">
        <f>'10K'!$E55*(1-$K$2)+H.Marathon!$E55*$K$2</f>
        <v>0.89051261906985313</v>
      </c>
      <c r="F55" s="312">
        <f t="shared" si="4"/>
        <v>85.037249966366176</v>
      </c>
      <c r="G55" s="210">
        <v>49</v>
      </c>
      <c r="H55" s="321" t="s">
        <v>1224</v>
      </c>
      <c r="I55" s="248" t="s">
        <v>301</v>
      </c>
      <c r="J55" s="248" t="s">
        <v>302</v>
      </c>
      <c r="K55" s="248" t="s">
        <v>303</v>
      </c>
      <c r="L55" s="257">
        <v>20152</v>
      </c>
      <c r="M55" s="249" t="s">
        <v>1160</v>
      </c>
      <c r="N55" s="248" t="s">
        <v>1161</v>
      </c>
      <c r="O55" s="257">
        <v>38109</v>
      </c>
      <c r="P55" s="210"/>
    </row>
    <row r="56" spans="1:16">
      <c r="A56" s="210">
        <v>50</v>
      </c>
      <c r="B56" s="311">
        <v>3.1886574074074074E-2</v>
      </c>
      <c r="C56" s="217">
        <f t="shared" si="2"/>
        <v>45.916666666666664</v>
      </c>
      <c r="D56" s="217">
        <f t="shared" si="3"/>
        <v>39.446614689446513</v>
      </c>
      <c r="E56" s="232">
        <f>'10K'!$E56*(1-$K$2)+H.Marathon!$E56*$K$2</f>
        <v>0.88051493408953641</v>
      </c>
      <c r="F56" s="312">
        <f t="shared" si="4"/>
        <v>85.909142699339043</v>
      </c>
      <c r="G56" s="210">
        <v>50</v>
      </c>
      <c r="H56" s="321" t="s">
        <v>1225</v>
      </c>
      <c r="I56" s="248" t="s">
        <v>1226</v>
      </c>
      <c r="J56" s="248" t="s">
        <v>1227</v>
      </c>
      <c r="K56" s="248" t="s">
        <v>496</v>
      </c>
      <c r="L56" s="257">
        <v>23581</v>
      </c>
      <c r="M56" s="249"/>
      <c r="N56" s="248" t="s">
        <v>1228</v>
      </c>
      <c r="O56" s="257">
        <v>42014</v>
      </c>
      <c r="P56" s="210"/>
    </row>
    <row r="57" spans="1:16">
      <c r="A57" s="210">
        <v>51</v>
      </c>
      <c r="B57" s="311">
        <v>3.2696759259259259E-2</v>
      </c>
      <c r="C57" s="217">
        <f t="shared" si="2"/>
        <v>47.083333333333336</v>
      </c>
      <c r="D57" s="217">
        <f t="shared" si="3"/>
        <v>39.900769106341492</v>
      </c>
      <c r="E57" s="232">
        <f>'10K'!$E57*(1-$K$2)+H.Marathon!$E57*$K$2</f>
        <v>0.87049282786414039</v>
      </c>
      <c r="F57" s="312">
        <f t="shared" si="4"/>
        <v>84.744996332052722</v>
      </c>
      <c r="G57" s="210">
        <v>51</v>
      </c>
      <c r="H57" s="321" t="s">
        <v>1229</v>
      </c>
      <c r="I57" s="248" t="s">
        <v>1230</v>
      </c>
      <c r="J57" s="248" t="s">
        <v>1231</v>
      </c>
      <c r="K57" s="248" t="s">
        <v>552</v>
      </c>
      <c r="L57" s="257">
        <v>22157</v>
      </c>
      <c r="M57" s="249"/>
      <c r="N57" s="248" t="s">
        <v>1232</v>
      </c>
      <c r="O57" s="257">
        <v>40895</v>
      </c>
      <c r="P57" s="210"/>
    </row>
    <row r="58" spans="1:16">
      <c r="A58" s="210">
        <v>52</v>
      </c>
      <c r="B58" s="311">
        <v>3.1203703703703702E-2</v>
      </c>
      <c r="C58" s="217">
        <f t="shared" si="2"/>
        <v>44.93333333333333</v>
      </c>
      <c r="D58" s="217">
        <f t="shared" si="3"/>
        <v>40.367902801579945</v>
      </c>
      <c r="E58" s="232">
        <f>'10K'!$E58*(1-$K$2)+H.Marathon!$E58*$K$2</f>
        <v>0.86041956412890286</v>
      </c>
      <c r="F58" s="312">
        <f t="shared" si="4"/>
        <v>89.839546294317401</v>
      </c>
      <c r="G58" s="210">
        <v>52</v>
      </c>
      <c r="H58" s="321" t="s">
        <v>1233</v>
      </c>
      <c r="I58" s="248" t="s">
        <v>1234</v>
      </c>
      <c r="J58" s="248" t="s">
        <v>1235</v>
      </c>
      <c r="K58" s="248" t="s">
        <v>217</v>
      </c>
      <c r="L58" s="257">
        <v>14922</v>
      </c>
      <c r="M58" s="249" t="s">
        <v>1160</v>
      </c>
      <c r="N58" s="248" t="s">
        <v>1161</v>
      </c>
      <c r="O58" s="257">
        <v>34091</v>
      </c>
      <c r="P58" s="210"/>
    </row>
    <row r="59" spans="1:16">
      <c r="A59" s="210">
        <v>53</v>
      </c>
      <c r="B59" s="311">
        <v>3.30787037037037E-2</v>
      </c>
      <c r="C59" s="217">
        <f t="shared" si="2"/>
        <v>47.633333333333326</v>
      </c>
      <c r="D59" s="217">
        <f t="shared" si="3"/>
        <v>40.843646709577129</v>
      </c>
      <c r="E59" s="232">
        <f>'10K'!$E59*(1-$K$2)+H.Marathon!$E59*$K$2</f>
        <v>0.85039745790350707</v>
      </c>
      <c r="F59" s="312">
        <f t="shared" si="4"/>
        <v>85.745934309819035</v>
      </c>
      <c r="G59" s="210">
        <v>53</v>
      </c>
      <c r="H59" s="321" t="s">
        <v>1236</v>
      </c>
      <c r="I59" s="248" t="s">
        <v>583</v>
      </c>
      <c r="J59" s="248" t="s">
        <v>784</v>
      </c>
      <c r="K59" s="248" t="s">
        <v>552</v>
      </c>
      <c r="L59" s="257">
        <v>21934</v>
      </c>
      <c r="M59" s="249"/>
      <c r="N59" s="248" t="s">
        <v>1237</v>
      </c>
      <c r="O59" s="257">
        <v>41479</v>
      </c>
      <c r="P59" s="210"/>
    </row>
    <row r="60" spans="1:16">
      <c r="A60" s="210">
        <v>54</v>
      </c>
      <c r="B60" s="311">
        <v>3.3715277777777775E-2</v>
      </c>
      <c r="C60" s="217">
        <f t="shared" si="2"/>
        <v>48.55</v>
      </c>
      <c r="D60" s="217">
        <f t="shared" si="3"/>
        <v>41.32953678999607</v>
      </c>
      <c r="E60" s="232">
        <f>'10K'!$E60*(1-$K$2)+H.Marathon!$E60*$K$2</f>
        <v>0.84039977292319024</v>
      </c>
      <c r="F60" s="312">
        <f t="shared" si="4"/>
        <v>85.127779176099011</v>
      </c>
      <c r="G60" s="210">
        <v>54</v>
      </c>
      <c r="H60" s="321" t="s">
        <v>1238</v>
      </c>
      <c r="I60" s="248" t="s">
        <v>316</v>
      </c>
      <c r="J60" s="248" t="s">
        <v>1239</v>
      </c>
      <c r="K60" s="248" t="s">
        <v>217</v>
      </c>
      <c r="L60" s="257">
        <v>16147</v>
      </c>
      <c r="M60" s="249"/>
      <c r="N60" s="248" t="s">
        <v>525</v>
      </c>
      <c r="O60" s="257">
        <v>36211</v>
      </c>
      <c r="P60" s="210"/>
    </row>
    <row r="61" spans="1:16">
      <c r="A61" s="210">
        <v>55</v>
      </c>
      <c r="B61" s="311">
        <v>3.3587962962962965E-2</v>
      </c>
      <c r="C61" s="217">
        <f t="shared" si="2"/>
        <v>48.366666666666667</v>
      </c>
      <c r="D61" s="217">
        <f t="shared" si="3"/>
        <v>41.832164266125574</v>
      </c>
      <c r="E61" s="232">
        <f>'10K'!$E61*(1-$K$2)+H.Marathon!$E61*$K$2</f>
        <v>0.83030208794287363</v>
      </c>
      <c r="F61" s="312">
        <f t="shared" si="4"/>
        <v>86.489657338646936</v>
      </c>
      <c r="G61" s="210">
        <v>55</v>
      </c>
      <c r="H61" s="321" t="s">
        <v>1240</v>
      </c>
      <c r="I61" s="248" t="s">
        <v>326</v>
      </c>
      <c r="J61" s="248" t="s">
        <v>327</v>
      </c>
      <c r="K61" s="248" t="s">
        <v>217</v>
      </c>
      <c r="L61" s="257">
        <v>20087</v>
      </c>
      <c r="M61" s="249" t="s">
        <v>1160</v>
      </c>
      <c r="N61" s="248" t="s">
        <v>1161</v>
      </c>
      <c r="O61" s="257">
        <v>40300</v>
      </c>
      <c r="P61" s="210"/>
    </row>
    <row r="62" spans="1:16">
      <c r="A62" s="210">
        <v>56</v>
      </c>
      <c r="B62" s="311">
        <v>3.4074074074074076E-2</v>
      </c>
      <c r="C62" s="217">
        <f t="shared" si="2"/>
        <v>49.06666666666667</v>
      </c>
      <c r="D62" s="217">
        <f t="shared" si="3"/>
        <v>42.342005245726753</v>
      </c>
      <c r="E62" s="232">
        <f>'10K'!$E62*(1-$K$2)+H.Marathon!$E62*$K$2</f>
        <v>0.82030440296255691</v>
      </c>
      <c r="F62" s="312">
        <f t="shared" si="4"/>
        <v>86.294847647540934</v>
      </c>
      <c r="G62" s="210">
        <v>56</v>
      </c>
      <c r="H62" s="321" t="s">
        <v>1241</v>
      </c>
      <c r="I62" s="248" t="s">
        <v>1242</v>
      </c>
      <c r="J62" s="248" t="s">
        <v>1243</v>
      </c>
      <c r="K62" s="248" t="s">
        <v>217</v>
      </c>
      <c r="L62" s="257">
        <v>21642</v>
      </c>
      <c r="M62" s="249" t="s">
        <v>1181</v>
      </c>
      <c r="N62" s="248" t="s">
        <v>596</v>
      </c>
      <c r="O62" s="257">
        <v>42323</v>
      </c>
      <c r="P62" s="210"/>
    </row>
    <row r="63" spans="1:16">
      <c r="A63" s="210">
        <v>57</v>
      </c>
      <c r="B63" s="311">
        <v>3.2256944444444442E-2</v>
      </c>
      <c r="C63" s="217">
        <f t="shared" si="2"/>
        <v>46.449999999999996</v>
      </c>
      <c r="D63" s="217">
        <f t="shared" si="3"/>
        <v>42.869717767626184</v>
      </c>
      <c r="E63" s="232">
        <f>'10K'!$E63*(1-$K$2)+H.Marathon!$E63*$K$2</f>
        <v>0.81020671798224009</v>
      </c>
      <c r="F63" s="312">
        <f t="shared" si="4"/>
        <v>92.292180339345947</v>
      </c>
      <c r="G63" s="210">
        <v>57</v>
      </c>
      <c r="H63" s="321" t="s">
        <v>1244</v>
      </c>
      <c r="I63" s="248" t="s">
        <v>316</v>
      </c>
      <c r="J63" s="248" t="s">
        <v>317</v>
      </c>
      <c r="K63" s="248" t="s">
        <v>217</v>
      </c>
      <c r="L63" s="257">
        <v>20956</v>
      </c>
      <c r="M63" s="249" t="s">
        <v>1181</v>
      </c>
      <c r="N63" s="248" t="s">
        <v>596</v>
      </c>
      <c r="O63" s="257">
        <v>41959</v>
      </c>
      <c r="P63" s="210"/>
    </row>
    <row r="64" spans="1:16">
      <c r="A64" s="210">
        <v>58</v>
      </c>
      <c r="B64" s="311">
        <v>3.4479166666666665E-2</v>
      </c>
      <c r="C64" s="217">
        <f t="shared" si="2"/>
        <v>49.65</v>
      </c>
      <c r="D64" s="217">
        <f t="shared" si="3"/>
        <v>43.405325234875036</v>
      </c>
      <c r="E64" s="232">
        <f>'10K'!$E64*(1-$K$2)+H.Marathon!$E64*$K$2</f>
        <v>0.80020903300192336</v>
      </c>
      <c r="F64" s="312">
        <f t="shared" si="4"/>
        <v>87.422608730866131</v>
      </c>
      <c r="G64" s="210">
        <v>58</v>
      </c>
      <c r="H64" s="321" t="s">
        <v>1245</v>
      </c>
      <c r="I64" s="248" t="s">
        <v>1246</v>
      </c>
      <c r="J64" s="248" t="s">
        <v>1247</v>
      </c>
      <c r="K64" s="248" t="s">
        <v>765</v>
      </c>
      <c r="L64" s="257">
        <v>18965</v>
      </c>
      <c r="M64" s="249"/>
      <c r="N64" s="248" t="s">
        <v>245</v>
      </c>
      <c r="O64" s="257">
        <v>40279</v>
      </c>
      <c r="P64" s="210"/>
    </row>
    <row r="65" spans="1:16">
      <c r="A65" s="210">
        <v>59</v>
      </c>
      <c r="B65" s="311">
        <v>3.591435185185185E-2</v>
      </c>
      <c r="C65" s="217">
        <f t="shared" si="2"/>
        <v>51.716666666666661</v>
      </c>
      <c r="D65" s="217">
        <f t="shared" si="3"/>
        <v>43.955844062143363</v>
      </c>
      <c r="E65" s="232">
        <f>'10K'!$E65*(1-$K$2)+H.Marathon!$E65*$K$2</f>
        <v>0.79018692677652735</v>
      </c>
      <c r="F65" s="312">
        <f t="shared" si="4"/>
        <v>84.993575369919498</v>
      </c>
      <c r="G65" s="210">
        <v>59</v>
      </c>
      <c r="H65" s="321" t="s">
        <v>1248</v>
      </c>
      <c r="I65" s="248" t="s">
        <v>1234</v>
      </c>
      <c r="J65" s="248" t="s">
        <v>1235</v>
      </c>
      <c r="K65" s="248" t="s">
        <v>217</v>
      </c>
      <c r="L65" s="257">
        <v>14922</v>
      </c>
      <c r="M65" s="249"/>
      <c r="N65" s="248" t="s">
        <v>525</v>
      </c>
      <c r="O65" s="257">
        <v>36582</v>
      </c>
      <c r="P65" s="210"/>
    </row>
    <row r="66" spans="1:16">
      <c r="A66" s="210">
        <v>60</v>
      </c>
      <c r="B66" s="311">
        <v>3.528935185185185E-2</v>
      </c>
      <c r="C66" s="217">
        <f t="shared" si="2"/>
        <v>50.816666666666663</v>
      </c>
      <c r="D66" s="217">
        <f t="shared" si="3"/>
        <v>44.523426493935112</v>
      </c>
      <c r="E66" s="232">
        <f>'10K'!$E66*(1-$K$2)+H.Marathon!$E66*$K$2</f>
        <v>0.78011366304128993</v>
      </c>
      <c r="F66" s="312">
        <f t="shared" si="4"/>
        <v>87.6157950028241</v>
      </c>
      <c r="G66" s="210">
        <v>60</v>
      </c>
      <c r="H66" s="325" t="s">
        <v>1249</v>
      </c>
      <c r="I66" s="248" t="s">
        <v>1250</v>
      </c>
      <c r="J66" s="248" t="s">
        <v>1251</v>
      </c>
      <c r="K66" s="248" t="s">
        <v>217</v>
      </c>
      <c r="L66" s="257">
        <v>14464</v>
      </c>
      <c r="M66" s="249" t="s">
        <v>1160</v>
      </c>
      <c r="N66" s="248" t="s">
        <v>1161</v>
      </c>
      <c r="O66" s="257">
        <v>36653</v>
      </c>
      <c r="P66" s="210"/>
    </row>
    <row r="67" spans="1:16">
      <c r="A67" s="210">
        <v>61</v>
      </c>
      <c r="B67" s="311">
        <v>3.5624999999999997E-2</v>
      </c>
      <c r="C67" s="217">
        <f t="shared" si="2"/>
        <v>51.3</v>
      </c>
      <c r="D67" s="217">
        <f t="shared" si="3"/>
        <v>45.102862154398395</v>
      </c>
      <c r="E67" s="232">
        <f>'10K'!$E67*(1-$K$2)+H.Marathon!$E67*$K$2</f>
        <v>0.77009155681589414</v>
      </c>
      <c r="F67" s="312">
        <f t="shared" si="4"/>
        <v>87.919809267833131</v>
      </c>
      <c r="G67" s="210">
        <v>61</v>
      </c>
      <c r="H67" s="321" t="s">
        <v>1252</v>
      </c>
      <c r="I67" s="248" t="s">
        <v>796</v>
      </c>
      <c r="J67" s="248" t="s">
        <v>797</v>
      </c>
      <c r="K67" s="248" t="s">
        <v>496</v>
      </c>
      <c r="L67" s="257">
        <v>17849</v>
      </c>
      <c r="M67" s="249"/>
      <c r="N67" s="248" t="s">
        <v>1228</v>
      </c>
      <c r="O67" s="257">
        <v>40187</v>
      </c>
      <c r="P67" s="210"/>
    </row>
    <row r="68" spans="1:16">
      <c r="A68" s="210">
        <v>62</v>
      </c>
      <c r="B68" s="311">
        <v>3.4016203703703701E-2</v>
      </c>
      <c r="C68" s="217">
        <f t="shared" si="2"/>
        <v>48.983333333333327</v>
      </c>
      <c r="D68" s="217">
        <f t="shared" si="3"/>
        <v>45.700654378390439</v>
      </c>
      <c r="E68" s="232">
        <f>'10K'!$E68*(1-$K$2)+H.Marathon!$E68*$K$2</f>
        <v>0.76001829308065649</v>
      </c>
      <c r="F68" s="312">
        <f t="shared" si="4"/>
        <v>93.298375729956675</v>
      </c>
      <c r="G68" s="210">
        <v>62</v>
      </c>
      <c r="H68" s="325" t="s">
        <v>1253</v>
      </c>
      <c r="I68" s="248" t="s">
        <v>335</v>
      </c>
      <c r="J68" s="248" t="s">
        <v>336</v>
      </c>
      <c r="K68" s="248" t="s">
        <v>217</v>
      </c>
      <c r="L68" s="257">
        <v>18901</v>
      </c>
      <c r="M68" s="249" t="s">
        <v>1181</v>
      </c>
      <c r="N68" s="248" t="s">
        <v>596</v>
      </c>
      <c r="O68" s="257">
        <v>41595</v>
      </c>
      <c r="P68" s="210"/>
    </row>
    <row r="69" spans="1:16">
      <c r="A69" s="210">
        <v>63</v>
      </c>
      <c r="B69" s="311">
        <v>3.3958333333333333E-2</v>
      </c>
      <c r="C69" s="217">
        <f t="shared" si="2"/>
        <v>48.9</v>
      </c>
      <c r="D69" s="217">
        <f t="shared" si="3"/>
        <v>46.311346566934496</v>
      </c>
      <c r="E69" s="232">
        <f>'10K'!$E69*(1-$K$2)+H.Marathon!$E69*$K$2</f>
        <v>0.74999618685526059</v>
      </c>
      <c r="F69" s="312">
        <f t="shared" si="4"/>
        <v>94.70623019823006</v>
      </c>
      <c r="G69" s="210">
        <v>63</v>
      </c>
      <c r="H69" s="321" t="s">
        <v>1254</v>
      </c>
      <c r="I69" s="248" t="s">
        <v>335</v>
      </c>
      <c r="J69" s="248" t="s">
        <v>336</v>
      </c>
      <c r="K69" s="248" t="s">
        <v>217</v>
      </c>
      <c r="L69" s="257">
        <v>18901</v>
      </c>
      <c r="M69" s="249" t="s">
        <v>1181</v>
      </c>
      <c r="N69" s="248" t="s">
        <v>596</v>
      </c>
      <c r="O69" s="257">
        <v>41959</v>
      </c>
      <c r="P69" s="210"/>
    </row>
    <row r="70" spans="1:16">
      <c r="A70" s="210">
        <v>64</v>
      </c>
      <c r="B70" s="311">
        <v>3.4317129629629628E-2</v>
      </c>
      <c r="C70" s="217">
        <f t="shared" si="2"/>
        <v>49.416666666666664</v>
      </c>
      <c r="D70" s="217">
        <f t="shared" si="3"/>
        <v>46.937031960644568</v>
      </c>
      <c r="E70" s="232">
        <f>'10K'!$E70*(1-$K$2)+H.Marathon!$E70*$K$2</f>
        <v>0.73999850187494376</v>
      </c>
      <c r="F70" s="312">
        <f t="shared" si="4"/>
        <v>94.982189465048023</v>
      </c>
      <c r="G70" s="210">
        <v>64</v>
      </c>
      <c r="H70" s="321" t="s">
        <v>1255</v>
      </c>
      <c r="I70" s="248" t="s">
        <v>335</v>
      </c>
      <c r="J70" s="248" t="s">
        <v>336</v>
      </c>
      <c r="K70" s="248" t="s">
        <v>217</v>
      </c>
      <c r="L70" s="257">
        <v>18901</v>
      </c>
      <c r="M70" s="249" t="s">
        <v>1181</v>
      </c>
      <c r="N70" s="248" t="s">
        <v>596</v>
      </c>
      <c r="O70" s="257">
        <v>42323</v>
      </c>
      <c r="P70" s="210"/>
    </row>
    <row r="71" spans="1:16">
      <c r="A71" s="210">
        <v>65</v>
      </c>
      <c r="B71" s="311">
        <v>3.5729166666666666E-2</v>
      </c>
      <c r="C71" s="217">
        <f t="shared" si="2"/>
        <v>51.449999999999996</v>
      </c>
      <c r="D71" s="217">
        <f t="shared" si="3"/>
        <v>47.586374106425545</v>
      </c>
      <c r="E71" s="232">
        <f>'10K'!$E71*(1-$K$2)+H.Marathon!$E71*$K$2</f>
        <v>0.72990081689462705</v>
      </c>
      <c r="F71" s="312">
        <f t="shared" si="4"/>
        <v>92.490523044558898</v>
      </c>
      <c r="G71" s="210">
        <v>65</v>
      </c>
      <c r="H71" s="321" t="s">
        <v>1256</v>
      </c>
      <c r="I71" s="248" t="s">
        <v>800</v>
      </c>
      <c r="J71" s="248" t="s">
        <v>801</v>
      </c>
      <c r="K71" s="248" t="s">
        <v>496</v>
      </c>
      <c r="L71" s="257">
        <v>16132</v>
      </c>
      <c r="M71" s="249"/>
      <c r="N71" s="248" t="s">
        <v>1257</v>
      </c>
      <c r="O71" s="257">
        <v>39907</v>
      </c>
      <c r="P71" s="210"/>
    </row>
    <row r="72" spans="1:16">
      <c r="A72" s="210">
        <v>66</v>
      </c>
      <c r="B72" s="311">
        <v>3.6446759259259262E-2</v>
      </c>
      <c r="C72" s="217">
        <f t="shared" si="2"/>
        <v>52.483333333333334</v>
      </c>
      <c r="D72" s="217">
        <f t="shared" si="3"/>
        <v>48.247231875451298</v>
      </c>
      <c r="E72" s="232">
        <f>'10K'!$E72*(1-$K$2)+H.Marathon!$E72*$K$2</f>
        <v>0.71990313191431032</v>
      </c>
      <c r="F72" s="312">
        <f t="shared" si="4"/>
        <v>91.928672992285726</v>
      </c>
      <c r="G72" s="210">
        <v>66</v>
      </c>
      <c r="H72" s="321" t="s">
        <v>1258</v>
      </c>
      <c r="I72" s="248" t="s">
        <v>800</v>
      </c>
      <c r="J72" s="248" t="s">
        <v>801</v>
      </c>
      <c r="K72" s="248" t="s">
        <v>496</v>
      </c>
      <c r="L72" s="257">
        <v>16132</v>
      </c>
      <c r="M72" s="249"/>
      <c r="N72" s="248" t="s">
        <v>1257</v>
      </c>
      <c r="O72" s="257">
        <v>40306</v>
      </c>
      <c r="P72" s="210"/>
    </row>
    <row r="73" spans="1:16">
      <c r="A73" s="210">
        <v>67</v>
      </c>
      <c r="B73" s="311">
        <v>4.0150462962962964E-2</v>
      </c>
      <c r="C73" s="217">
        <f t="shared" si="2"/>
        <v>57.81666666666667</v>
      </c>
      <c r="D73" s="217">
        <f t="shared" si="3"/>
        <v>48.933596499384521</v>
      </c>
      <c r="E73" s="232">
        <f>'10K'!$E73*(1-$K$2)+H.Marathon!$E73*$K$2</f>
        <v>0.70980544693399361</v>
      </c>
      <c r="F73" s="312">
        <f t="shared" si="4"/>
        <v>84.635796770339326</v>
      </c>
      <c r="G73" s="210">
        <v>67</v>
      </c>
      <c r="H73" s="321" t="s">
        <v>1259</v>
      </c>
      <c r="I73" s="248" t="s">
        <v>1260</v>
      </c>
      <c r="J73" s="248" t="s">
        <v>1261</v>
      </c>
      <c r="K73" s="248" t="s">
        <v>217</v>
      </c>
      <c r="L73" s="257">
        <v>17624</v>
      </c>
      <c r="M73" s="249" t="s">
        <v>1262</v>
      </c>
      <c r="N73" s="248" t="s">
        <v>1263</v>
      </c>
      <c r="O73" s="257">
        <v>42120</v>
      </c>
      <c r="P73" s="210"/>
    </row>
    <row r="74" spans="1:16">
      <c r="A74" s="210">
        <v>68</v>
      </c>
      <c r="B74" s="311">
        <v>4.310185185185185E-2</v>
      </c>
      <c r="C74" s="217">
        <f t="shared" si="2"/>
        <v>62.066666666666663</v>
      </c>
      <c r="D74" s="217">
        <f t="shared" si="3"/>
        <v>49.632678031988554</v>
      </c>
      <c r="E74" s="232">
        <f>'10K'!$E74*(1-$K$2)+H.Marathon!$E74*$K$2</f>
        <v>0.69980776195367689</v>
      </c>
      <c r="F74" s="312">
        <f t="shared" si="4"/>
        <v>79.966720781936445</v>
      </c>
      <c r="G74" s="210">
        <v>68</v>
      </c>
      <c r="H74" s="319">
        <v>4.3101851851851856E-2</v>
      </c>
      <c r="I74" s="248" t="s">
        <v>1264</v>
      </c>
      <c r="J74" s="248" t="s">
        <v>1265</v>
      </c>
      <c r="K74" s="248" t="s">
        <v>217</v>
      </c>
      <c r="L74" s="257">
        <v>15675</v>
      </c>
      <c r="M74" s="249" t="s">
        <v>1266</v>
      </c>
      <c r="N74" s="248" t="s">
        <v>1267</v>
      </c>
      <c r="O74" s="257">
        <v>40895</v>
      </c>
      <c r="P74" s="210"/>
    </row>
    <row r="75" spans="1:16">
      <c r="A75" s="210">
        <v>69</v>
      </c>
      <c r="B75" s="311">
        <v>4.2453703703703702E-2</v>
      </c>
      <c r="C75" s="217">
        <f t="shared" si="2"/>
        <v>61.133333333333333</v>
      </c>
      <c r="D75" s="217">
        <f t="shared" ref="D75:D106" si="5">E$4/E75</f>
        <v>50.353806352585885</v>
      </c>
      <c r="E75" s="232">
        <f>'10K'!$E75*(1-$K$2)+H.Marathon!$E75*$K$2</f>
        <v>0.68978565572828099</v>
      </c>
      <c r="F75" s="312">
        <f t="shared" ref="F75:F83" si="6">100*(D75/C75)</f>
        <v>82.367185963880956</v>
      </c>
      <c r="G75" s="210">
        <v>69</v>
      </c>
      <c r="H75" s="319">
        <v>4.2453703703703709E-2</v>
      </c>
      <c r="I75" s="248" t="s">
        <v>1268</v>
      </c>
      <c r="J75" s="248" t="s">
        <v>1197</v>
      </c>
      <c r="K75" s="248" t="s">
        <v>217</v>
      </c>
      <c r="L75" s="257">
        <v>5880</v>
      </c>
      <c r="M75" s="249" t="s">
        <v>1269</v>
      </c>
      <c r="N75" s="248" t="s">
        <v>1270</v>
      </c>
      <c r="O75" s="257">
        <v>31326</v>
      </c>
      <c r="P75" s="210"/>
    </row>
    <row r="76" spans="1:16">
      <c r="A76" s="210">
        <v>70</v>
      </c>
      <c r="B76" s="311">
        <v>4.0532407407407406E-2</v>
      </c>
      <c r="C76" s="217">
        <f t="shared" si="2"/>
        <v>58.366666666666667</v>
      </c>
      <c r="D76" s="217">
        <f t="shared" si="5"/>
        <v>51.100044287097262</v>
      </c>
      <c r="E76" s="232">
        <f>'10K'!$E76*(1-$K$2)+H.Marathon!$E76*$K$2</f>
        <v>0.67971239199304345</v>
      </c>
      <c r="F76" s="312">
        <f t="shared" si="6"/>
        <v>87.550047322268298</v>
      </c>
      <c r="G76" s="210">
        <v>70</v>
      </c>
      <c r="H76" s="321" t="s">
        <v>1271</v>
      </c>
      <c r="I76" s="248" t="s">
        <v>1272</v>
      </c>
      <c r="J76" s="248" t="s">
        <v>1273</v>
      </c>
      <c r="K76" s="248" t="s">
        <v>217</v>
      </c>
      <c r="L76" s="257">
        <v>11324</v>
      </c>
      <c r="M76" s="249" t="s">
        <v>1160</v>
      </c>
      <c r="N76" s="248" t="s">
        <v>1161</v>
      </c>
      <c r="O76" s="257">
        <v>37017</v>
      </c>
      <c r="P76" s="210"/>
    </row>
    <row r="77" spans="1:16">
      <c r="A77" s="210">
        <v>71</v>
      </c>
      <c r="B77" s="311">
        <v>4.2870370370370371E-2</v>
      </c>
      <c r="C77" s="217">
        <f t="shared" ref="C77:C83" si="7">B77*1440</f>
        <v>61.733333333333334</v>
      </c>
      <c r="D77" s="217">
        <f t="shared" si="5"/>
        <v>51.86477103146192</v>
      </c>
      <c r="E77" s="232">
        <f>'10K'!$E77*(1-$K$2)+H.Marathon!$E77*$K$2</f>
        <v>0.66969028576764744</v>
      </c>
      <c r="F77" s="312">
        <f t="shared" si="6"/>
        <v>84.014207934333569</v>
      </c>
      <c r="G77" s="210">
        <v>71</v>
      </c>
      <c r="H77" s="319">
        <v>4.2870370370370371E-2</v>
      </c>
      <c r="I77" s="248" t="s">
        <v>1274</v>
      </c>
      <c r="J77" s="248" t="s">
        <v>1275</v>
      </c>
      <c r="K77" s="248" t="s">
        <v>217</v>
      </c>
      <c r="L77" s="257">
        <v>13446</v>
      </c>
      <c r="M77" s="249" t="s">
        <v>1160</v>
      </c>
      <c r="N77" s="248" t="s">
        <v>1161</v>
      </c>
      <c r="O77" s="257">
        <v>39572</v>
      </c>
      <c r="P77" s="210"/>
    </row>
    <row r="78" spans="1:16">
      <c r="A78" s="210">
        <v>72</v>
      </c>
      <c r="B78" s="311">
        <v>4.148148148148148E-2</v>
      </c>
      <c r="C78" s="217">
        <f t="shared" si="7"/>
        <v>59.733333333333334</v>
      </c>
      <c r="D78" s="217">
        <f t="shared" si="5"/>
        <v>52.656817779373092</v>
      </c>
      <c r="E78" s="232">
        <f>'10K'!$E78*(1-$K$2)+H.Marathon!$E78*$K$2</f>
        <v>0.65961702203240991</v>
      </c>
      <c r="F78" s="312">
        <f t="shared" si="6"/>
        <v>88.15315476457549</v>
      </c>
      <c r="G78" s="210">
        <v>72</v>
      </c>
      <c r="H78" s="325" t="s">
        <v>1276</v>
      </c>
      <c r="I78" s="248" t="s">
        <v>1272</v>
      </c>
      <c r="J78" s="248" t="s">
        <v>1273</v>
      </c>
      <c r="K78" s="248" t="s">
        <v>217</v>
      </c>
      <c r="L78" s="257">
        <v>11324</v>
      </c>
      <c r="M78" s="249" t="s">
        <v>1160</v>
      </c>
      <c r="N78" s="248" t="s">
        <v>1161</v>
      </c>
      <c r="O78" s="257">
        <v>37745</v>
      </c>
      <c r="P78" s="210"/>
    </row>
    <row r="79" spans="1:16">
      <c r="A79" s="210">
        <v>73</v>
      </c>
      <c r="B79" s="311">
        <v>4.3124999999999997E-2</v>
      </c>
      <c r="C79" s="217">
        <f t="shared" si="7"/>
        <v>62.099999999999994</v>
      </c>
      <c r="D79" s="217">
        <f t="shared" si="5"/>
        <v>53.469219798592363</v>
      </c>
      <c r="E79" s="232">
        <f>'10K'!$E79*(1-$K$2)+H.Marathon!$E79*$K$2</f>
        <v>0.64959491580701401</v>
      </c>
      <c r="F79" s="312">
        <f t="shared" si="6"/>
        <v>86.101803218345196</v>
      </c>
      <c r="G79" s="210">
        <v>73</v>
      </c>
      <c r="H79" s="325" t="s">
        <v>1277</v>
      </c>
      <c r="I79" s="248" t="s">
        <v>1272</v>
      </c>
      <c r="J79" s="248" t="s">
        <v>1273</v>
      </c>
      <c r="K79" s="248" t="s">
        <v>217</v>
      </c>
      <c r="L79" s="257">
        <v>11324</v>
      </c>
      <c r="M79" s="249" t="s">
        <v>1160</v>
      </c>
      <c r="N79" s="248" t="s">
        <v>1161</v>
      </c>
      <c r="O79" s="257">
        <v>38109</v>
      </c>
      <c r="P79" s="210"/>
    </row>
    <row r="80" spans="1:16">
      <c r="A80" s="210">
        <v>74</v>
      </c>
      <c r="B80" s="311">
        <v>4.3981481481481483E-2</v>
      </c>
      <c r="C80" s="217">
        <f t="shared" si="7"/>
        <v>63.333333333333336</v>
      </c>
      <c r="D80" s="217">
        <f t="shared" si="5"/>
        <v>54.30500893263644</v>
      </c>
      <c r="E80" s="232">
        <f>'10K'!$E80*(1-$K$2)+H.Marathon!$E80*$K$2</f>
        <v>0.63959723082669739</v>
      </c>
      <c r="F80" s="312">
        <f t="shared" si="6"/>
        <v>85.744750946268056</v>
      </c>
      <c r="G80" s="210">
        <v>74</v>
      </c>
      <c r="H80" s="325" t="s">
        <v>1278</v>
      </c>
      <c r="I80" s="248" t="s">
        <v>1272</v>
      </c>
      <c r="J80" s="248" t="s">
        <v>1273</v>
      </c>
      <c r="K80" s="248" t="s">
        <v>217</v>
      </c>
      <c r="L80" s="257">
        <v>11324</v>
      </c>
      <c r="M80" s="249" t="s">
        <v>1160</v>
      </c>
      <c r="N80" s="248" t="s">
        <v>1161</v>
      </c>
      <c r="O80" s="257">
        <v>38473</v>
      </c>
      <c r="P80" s="210"/>
    </row>
    <row r="81" spans="1:16">
      <c r="A81" s="210">
        <v>75</v>
      </c>
      <c r="B81" s="311">
        <v>3.8078703703703705E-2</v>
      </c>
      <c r="C81" s="217">
        <f t="shared" si="7"/>
        <v>54.833333333333336</v>
      </c>
      <c r="D81" s="217">
        <f t="shared" si="5"/>
        <v>55.17610546745248</v>
      </c>
      <c r="E81" s="232">
        <f>'10K'!$E81*(1-$K$2)+H.Marathon!$E81*$K$2</f>
        <v>0.62949954584638057</v>
      </c>
      <c r="F81" s="312">
        <f t="shared" si="6"/>
        <v>100.62511635401667</v>
      </c>
      <c r="G81" s="210">
        <v>75</v>
      </c>
      <c r="H81" s="325" t="s">
        <v>1279</v>
      </c>
      <c r="I81" s="248" t="s">
        <v>357</v>
      </c>
      <c r="J81" s="248" t="s">
        <v>358</v>
      </c>
      <c r="K81" s="256" t="s">
        <v>217</v>
      </c>
      <c r="L81" s="257">
        <v>17637</v>
      </c>
      <c r="M81" s="249" t="s">
        <v>1280</v>
      </c>
      <c r="N81" s="248" t="s">
        <v>1281</v>
      </c>
      <c r="O81" s="257">
        <v>45186</v>
      </c>
      <c r="P81" s="210"/>
    </row>
    <row r="82" spans="1:16">
      <c r="A82" s="210">
        <v>76</v>
      </c>
      <c r="B82" s="311">
        <v>4.5150462962962962E-2</v>
      </c>
      <c r="C82" s="217">
        <f t="shared" si="7"/>
        <v>65.016666666666666</v>
      </c>
      <c r="D82" s="217">
        <f t="shared" si="5"/>
        <v>56.100563547225008</v>
      </c>
      <c r="E82" s="232">
        <f>'10K'!$E82*(1-$K$2)+H.Marathon!$E82*$K$2</f>
        <v>0.61912628211114296</v>
      </c>
      <c r="F82" s="312">
        <f t="shared" si="6"/>
        <v>86.286434576608571</v>
      </c>
      <c r="G82" s="210">
        <v>76</v>
      </c>
      <c r="H82" s="325" t="s">
        <v>1282</v>
      </c>
      <c r="I82" s="326" t="s">
        <v>1283</v>
      </c>
      <c r="J82" s="248" t="s">
        <v>1284</v>
      </c>
      <c r="K82" s="326" t="s">
        <v>217</v>
      </c>
      <c r="L82" s="257">
        <v>14194</v>
      </c>
      <c r="M82" s="249" t="s">
        <v>1181</v>
      </c>
      <c r="N82" s="248" t="s">
        <v>596</v>
      </c>
      <c r="O82" s="257">
        <v>41963</v>
      </c>
      <c r="P82" s="210"/>
    </row>
    <row r="83" spans="1:16" ht="15.75">
      <c r="A83" s="210">
        <v>77</v>
      </c>
      <c r="B83" s="311">
        <v>4.2488425925925923E-2</v>
      </c>
      <c r="C83" s="217">
        <f t="shared" si="7"/>
        <v>61.18333333333333</v>
      </c>
      <c r="D83" s="217">
        <f t="shared" si="5"/>
        <v>57.131607679357309</v>
      </c>
      <c r="E83" s="232">
        <f>'10K'!$E83*(1-$K$2)+H.Marathon!$E83*$K$2</f>
        <v>0.60795301837590543</v>
      </c>
      <c r="F83" s="312">
        <f t="shared" si="6"/>
        <v>93.377729794645575</v>
      </c>
      <c r="G83" s="210">
        <v>77</v>
      </c>
      <c r="H83" s="325" t="s">
        <v>1285</v>
      </c>
      <c r="I83" s="326" t="s">
        <v>365</v>
      </c>
      <c r="J83" s="248" t="s">
        <v>366</v>
      </c>
      <c r="K83" s="326" t="s">
        <v>217</v>
      </c>
      <c r="L83" s="238">
        <v>13343</v>
      </c>
      <c r="M83" s="249" t="s">
        <v>1160</v>
      </c>
      <c r="N83" s="248" t="s">
        <v>1161</v>
      </c>
      <c r="O83" s="257">
        <v>41763</v>
      </c>
      <c r="P83" s="210"/>
    </row>
    <row r="84" spans="1:16">
      <c r="A84" s="210">
        <v>78</v>
      </c>
      <c r="B84" s="311"/>
      <c r="C84" s="217"/>
      <c r="D84" s="217">
        <f t="shared" si="5"/>
        <v>58.274382461160805</v>
      </c>
      <c r="E84" s="232">
        <f>'10K'!$E84*(1-$K$2)+H.Marathon!$E84*$K$2</f>
        <v>0.59603091215050963</v>
      </c>
      <c r="F84" s="312"/>
      <c r="G84" s="210">
        <v>78</v>
      </c>
      <c r="H84" s="320"/>
      <c r="I84" s="210"/>
      <c r="J84" s="210"/>
      <c r="K84" s="210"/>
      <c r="L84" s="210"/>
      <c r="M84" s="210"/>
      <c r="N84" s="210"/>
      <c r="O84" s="210"/>
      <c r="P84" s="210"/>
    </row>
    <row r="85" spans="1:16">
      <c r="A85" s="210">
        <v>79</v>
      </c>
      <c r="B85" s="311"/>
      <c r="C85" s="217"/>
      <c r="D85" s="217">
        <f t="shared" si="5"/>
        <v>59.542867979299196</v>
      </c>
      <c r="E85" s="232">
        <f>'10K'!$E85*(1-$K$2)+H.Marathon!$E85*$K$2</f>
        <v>0.58333322717019276</v>
      </c>
      <c r="F85" s="312"/>
      <c r="G85" s="210">
        <v>79</v>
      </c>
      <c r="H85" s="320"/>
      <c r="I85" s="210"/>
      <c r="J85" s="210"/>
      <c r="K85" s="210"/>
      <c r="L85" s="210"/>
      <c r="M85" s="210"/>
      <c r="N85" s="210"/>
      <c r="O85" s="210"/>
      <c r="P85" s="210"/>
    </row>
    <row r="86" spans="1:16">
      <c r="A86" s="210">
        <v>80</v>
      </c>
      <c r="B86" s="311"/>
      <c r="C86" s="217"/>
      <c r="D86" s="217">
        <f t="shared" si="5"/>
        <v>60.953258899669969</v>
      </c>
      <c r="E86" s="232">
        <f>'10K'!$E86*(1-$K$2)+H.Marathon!$E86*$K$2</f>
        <v>0.5698355421898762</v>
      </c>
      <c r="F86" s="312"/>
      <c r="G86" s="210">
        <v>80</v>
      </c>
      <c r="H86" s="312"/>
      <c r="I86" s="210"/>
      <c r="J86" s="210"/>
      <c r="K86" s="210"/>
      <c r="L86" s="210"/>
      <c r="M86" s="210"/>
      <c r="N86" s="210"/>
      <c r="O86" s="210"/>
      <c r="P86" s="210"/>
    </row>
    <row r="87" spans="1:16">
      <c r="A87" s="210">
        <v>81</v>
      </c>
      <c r="B87" s="311"/>
      <c r="C87" s="217"/>
      <c r="D87" s="217">
        <f t="shared" si="5"/>
        <v>62.516234866298291</v>
      </c>
      <c r="E87" s="232">
        <f>'10K'!$E87*(1-$K$2)+H.Marathon!$E87*$K$2</f>
        <v>0.55558901471940103</v>
      </c>
      <c r="F87" s="312"/>
      <c r="G87" s="210">
        <v>81</v>
      </c>
      <c r="H87" s="312"/>
      <c r="I87" s="210"/>
      <c r="J87" s="210"/>
      <c r="K87" s="210"/>
      <c r="L87" s="210"/>
      <c r="M87" s="210"/>
      <c r="N87" s="210"/>
      <c r="O87" s="210"/>
      <c r="P87" s="210"/>
    </row>
    <row r="88" spans="1:16">
      <c r="A88" s="210">
        <v>82</v>
      </c>
      <c r="B88" s="311"/>
      <c r="C88" s="217"/>
      <c r="D88" s="217">
        <f t="shared" si="5"/>
        <v>64.253532333488238</v>
      </c>
      <c r="E88" s="232">
        <f>'10K'!$E88*(1-$K$2)+H.Marathon!$E88*$K$2</f>
        <v>0.54056690849400513</v>
      </c>
      <c r="F88" s="312"/>
      <c r="G88" s="210">
        <v>82</v>
      </c>
      <c r="H88" s="312"/>
      <c r="I88" s="210"/>
      <c r="J88" s="210"/>
      <c r="K88" s="210"/>
      <c r="L88" s="210"/>
      <c r="M88" s="210"/>
      <c r="N88" s="210"/>
      <c r="O88" s="210"/>
      <c r="P88" s="210"/>
    </row>
    <row r="89" spans="1:16">
      <c r="A89" s="210">
        <v>83</v>
      </c>
      <c r="B89" s="311"/>
      <c r="C89" s="217"/>
      <c r="D89" s="217">
        <f t="shared" si="5"/>
        <v>66.181372883413388</v>
      </c>
      <c r="E89" s="232">
        <f>'10K'!$E89*(1-$K$2)+H.Marathon!$E89*$K$2</f>
        <v>0.52482038102353001</v>
      </c>
      <c r="F89" s="312"/>
      <c r="G89" s="210">
        <v>83</v>
      </c>
      <c r="H89" s="312"/>
      <c r="I89" s="210"/>
      <c r="J89" s="210"/>
      <c r="K89" s="210"/>
      <c r="L89" s="210"/>
      <c r="M89" s="210"/>
      <c r="N89" s="210"/>
      <c r="O89" s="210"/>
      <c r="P89" s="210"/>
    </row>
    <row r="90" spans="1:16">
      <c r="A90" s="210">
        <v>84</v>
      </c>
      <c r="B90" s="311">
        <v>7.2523148148148142E-2</v>
      </c>
      <c r="C90" s="217">
        <f>B90*1440</f>
        <v>104.43333333333332</v>
      </c>
      <c r="D90" s="217">
        <f t="shared" si="5"/>
        <v>68.335864791258203</v>
      </c>
      <c r="E90" s="232">
        <f>'10K'!$E90*(1-$K$2)+H.Marathon!$E90*$K$2</f>
        <v>0.50827385355305488</v>
      </c>
      <c r="F90" s="312">
        <f>100*(D90/C90)</f>
        <v>65.434916812567707</v>
      </c>
      <c r="G90" s="210">
        <v>84</v>
      </c>
      <c r="H90" s="312"/>
      <c r="I90" s="210"/>
      <c r="J90" s="210"/>
      <c r="K90" s="210"/>
      <c r="L90" s="210"/>
      <c r="M90" s="210"/>
      <c r="N90" s="210"/>
      <c r="O90" s="210"/>
      <c r="P90" s="210"/>
    </row>
    <row r="91" spans="1:16">
      <c r="A91" s="210">
        <v>85</v>
      </c>
      <c r="B91" s="311"/>
      <c r="C91" s="217"/>
      <c r="D91" s="217">
        <f t="shared" si="5"/>
        <v>70.753978008809739</v>
      </c>
      <c r="E91" s="232">
        <f>'10K'!$E91*(1-$K$2)+H.Marathon!$E91*$K$2</f>
        <v>0.4909029048375006</v>
      </c>
      <c r="F91" s="312"/>
      <c r="G91" s="210">
        <v>85</v>
      </c>
      <c r="H91" s="210"/>
      <c r="I91" s="210"/>
      <c r="J91" s="210"/>
      <c r="K91" s="210"/>
      <c r="L91" s="210"/>
      <c r="M91" s="210"/>
      <c r="N91" s="210"/>
      <c r="O91" s="210"/>
      <c r="P91" s="210"/>
    </row>
    <row r="92" spans="1:16">
      <c r="A92" s="210">
        <v>86</v>
      </c>
      <c r="B92" s="311"/>
      <c r="C92" s="217"/>
      <c r="D92" s="217">
        <f t="shared" si="5"/>
        <v>73.458091999973433</v>
      </c>
      <c r="E92" s="232">
        <f>'10K'!$E92*(1-$K$2)+H.Marathon!$E92*$K$2</f>
        <v>0.47283195612194634</v>
      </c>
      <c r="F92" s="312"/>
      <c r="G92" s="210">
        <v>86</v>
      </c>
      <c r="H92" s="210"/>
      <c r="I92" s="210"/>
      <c r="J92" s="210"/>
      <c r="K92" s="210"/>
      <c r="L92" s="210"/>
      <c r="M92" s="210"/>
      <c r="N92" s="210"/>
      <c r="O92" s="210"/>
      <c r="P92" s="210"/>
    </row>
    <row r="93" spans="1:16">
      <c r="A93" s="210">
        <v>87</v>
      </c>
      <c r="B93" s="311"/>
      <c r="C93" s="217"/>
      <c r="D93" s="217">
        <f t="shared" si="5"/>
        <v>76.511710844450533</v>
      </c>
      <c r="E93" s="232">
        <f>'10K'!$E93*(1-$K$2)+H.Marathon!$E93*$K$2</f>
        <v>0.45396100740639206</v>
      </c>
      <c r="F93" s="312"/>
      <c r="G93" s="210">
        <v>87</v>
      </c>
      <c r="H93" s="210"/>
      <c r="I93" s="210"/>
      <c r="J93" s="210"/>
      <c r="K93" s="210"/>
      <c r="L93" s="210"/>
      <c r="M93" s="210"/>
      <c r="N93" s="210"/>
      <c r="O93" s="210"/>
      <c r="P93" s="210"/>
    </row>
    <row r="94" spans="1:16">
      <c r="A94" s="210">
        <v>88</v>
      </c>
      <c r="B94" s="311"/>
      <c r="C94" s="217"/>
      <c r="D94" s="217">
        <f t="shared" si="5"/>
        <v>79.96785024722459</v>
      </c>
      <c r="E94" s="232">
        <f>'10K'!$E94*(1-$K$2)+H.Marathon!$E94*$K$2</f>
        <v>0.43434121620067945</v>
      </c>
      <c r="F94" s="312"/>
      <c r="G94" s="210">
        <v>88</v>
      </c>
      <c r="H94" s="210"/>
      <c r="I94" s="210"/>
      <c r="J94" s="210"/>
      <c r="K94" s="210"/>
      <c r="L94" s="210"/>
      <c r="M94" s="210"/>
      <c r="N94" s="210"/>
      <c r="O94" s="210"/>
      <c r="P94" s="210"/>
    </row>
    <row r="95" spans="1:16">
      <c r="A95" s="210">
        <v>89</v>
      </c>
      <c r="B95" s="311"/>
      <c r="C95" s="217"/>
      <c r="D95" s="217">
        <f t="shared" si="5"/>
        <v>83.907916092946081</v>
      </c>
      <c r="E95" s="232">
        <f>'10K'!$E95*(1-$K$2)+H.Marathon!$E95*$K$2</f>
        <v>0.41394584624004593</v>
      </c>
      <c r="F95" s="312"/>
      <c r="G95" s="210">
        <v>89</v>
      </c>
      <c r="H95" s="210"/>
      <c r="I95" s="210"/>
      <c r="J95" s="210"/>
      <c r="K95" s="210"/>
      <c r="L95" s="210"/>
      <c r="M95" s="210"/>
      <c r="N95" s="210"/>
      <c r="O95" s="210"/>
      <c r="P95" s="210"/>
    </row>
    <row r="96" spans="1:16">
      <c r="A96" s="210">
        <v>90</v>
      </c>
      <c r="B96" s="311"/>
      <c r="C96" s="217"/>
      <c r="D96" s="217">
        <f t="shared" si="5"/>
        <v>88.436132942135941</v>
      </c>
      <c r="E96" s="232">
        <f>'10K'!$E96*(1-$K$2)+H.Marathon!$E96*$K$2</f>
        <v>0.39275047627941251</v>
      </c>
      <c r="F96" s="312"/>
      <c r="G96" s="210">
        <v>90</v>
      </c>
      <c r="H96" s="210"/>
      <c r="I96" s="210"/>
      <c r="J96" s="210"/>
      <c r="K96" s="210"/>
      <c r="L96" s="210"/>
      <c r="M96" s="210"/>
      <c r="N96" s="210"/>
      <c r="O96" s="210"/>
      <c r="P96" s="210"/>
    </row>
    <row r="97" spans="1:16">
      <c r="A97" s="210">
        <v>91</v>
      </c>
      <c r="B97" s="311"/>
      <c r="C97" s="217"/>
      <c r="D97" s="217">
        <f t="shared" si="5"/>
        <v>93.669758905114918</v>
      </c>
      <c r="E97" s="232">
        <f>'10K'!$E97*(1-$K$2)+H.Marathon!$E97*$K$2</f>
        <v>0.3708062638286207</v>
      </c>
      <c r="F97" s="312"/>
      <c r="G97" s="210">
        <v>91</v>
      </c>
      <c r="H97" s="210"/>
      <c r="I97" s="210"/>
      <c r="J97" s="210"/>
      <c r="K97" s="210"/>
      <c r="L97" s="210"/>
      <c r="M97" s="210"/>
      <c r="N97" s="210"/>
      <c r="O97" s="210"/>
      <c r="P97" s="210"/>
    </row>
    <row r="98" spans="1:16">
      <c r="A98" s="210">
        <v>92</v>
      </c>
      <c r="B98" s="311"/>
      <c r="C98" s="217"/>
      <c r="D98" s="217">
        <f t="shared" si="5"/>
        <v>99.783634427416956</v>
      </c>
      <c r="E98" s="232">
        <f>'10K'!$E98*(1-$K$2)+H.Marathon!$E98*$K$2</f>
        <v>0.34808647262290804</v>
      </c>
      <c r="F98" s="312"/>
      <c r="G98" s="210">
        <v>92</v>
      </c>
      <c r="H98" s="210"/>
      <c r="I98" s="210"/>
      <c r="J98" s="210"/>
      <c r="K98" s="210"/>
      <c r="L98" s="210"/>
      <c r="M98" s="210"/>
      <c r="N98" s="210"/>
      <c r="O98" s="210"/>
      <c r="P98" s="210"/>
    </row>
    <row r="99" spans="1:16">
      <c r="A99" s="210">
        <v>93</v>
      </c>
      <c r="B99" s="311"/>
      <c r="C99" s="217"/>
      <c r="D99" s="217">
        <f t="shared" si="5"/>
        <v>106.9895623413868</v>
      </c>
      <c r="E99" s="232">
        <f>'10K'!$E99*(1-$K$2)+H.Marathon!$E99*$K$2</f>
        <v>0.32464226017211617</v>
      </c>
      <c r="F99" s="312"/>
      <c r="G99" s="210">
        <v>93</v>
      </c>
      <c r="H99" s="210"/>
      <c r="I99" s="210"/>
      <c r="J99" s="210"/>
      <c r="K99" s="210"/>
      <c r="L99" s="210"/>
      <c r="M99" s="210"/>
      <c r="N99" s="210"/>
      <c r="O99" s="210"/>
      <c r="P99" s="210"/>
    </row>
    <row r="100" spans="1:16">
      <c r="A100" s="210">
        <v>94</v>
      </c>
      <c r="B100" s="311"/>
      <c r="C100" s="217"/>
      <c r="D100" s="217">
        <f t="shared" si="5"/>
        <v>115.62436439518751</v>
      </c>
      <c r="E100" s="232">
        <f>'10K'!$E100*(1-$K$2)+H.Marathon!$E100*$K$2</f>
        <v>0.30039804772132433</v>
      </c>
      <c r="F100" s="312"/>
      <c r="G100" s="210">
        <v>94</v>
      </c>
      <c r="H100" s="210"/>
      <c r="I100" s="210"/>
      <c r="J100" s="210"/>
      <c r="K100" s="210"/>
      <c r="L100" s="210"/>
      <c r="M100" s="210"/>
      <c r="N100" s="210"/>
      <c r="O100" s="210"/>
      <c r="P100" s="210"/>
    </row>
    <row r="101" spans="1:16">
      <c r="A101" s="210">
        <v>95</v>
      </c>
      <c r="B101" s="311"/>
      <c r="C101" s="217"/>
      <c r="D101" s="217">
        <f t="shared" si="5"/>
        <v>126.15191680944901</v>
      </c>
      <c r="E101" s="232">
        <f>'10K'!$E101*(1-$K$2)+H.Marathon!$E101*$K$2</f>
        <v>0.27532941402545336</v>
      </c>
      <c r="F101" s="312"/>
      <c r="G101" s="210">
        <v>95</v>
      </c>
      <c r="H101" s="210"/>
      <c r="I101" s="210"/>
      <c r="J101" s="210"/>
      <c r="K101" s="210"/>
      <c r="L101" s="210"/>
      <c r="M101" s="210"/>
      <c r="N101" s="210"/>
      <c r="O101" s="210"/>
      <c r="P101" s="210"/>
    </row>
    <row r="102" spans="1:16">
      <c r="A102" s="210">
        <v>96</v>
      </c>
      <c r="B102" s="311"/>
      <c r="C102" s="217"/>
      <c r="D102" s="217">
        <f t="shared" si="5"/>
        <v>139.17785193435751</v>
      </c>
      <c r="E102" s="232">
        <f>'10K'!$E102*(1-$K$2)+H.Marathon!$E102*$K$2</f>
        <v>0.24956078032958237</v>
      </c>
      <c r="F102" s="312"/>
      <c r="G102" s="210">
        <v>96</v>
      </c>
      <c r="H102" s="210"/>
      <c r="I102" s="210"/>
      <c r="J102" s="210"/>
      <c r="K102" s="210"/>
      <c r="L102" s="210"/>
      <c r="M102" s="210"/>
      <c r="N102" s="210"/>
      <c r="O102" s="210"/>
      <c r="P102" s="210"/>
    </row>
    <row r="103" spans="1:16">
      <c r="A103" s="210">
        <v>97</v>
      </c>
      <c r="B103" s="311" t="s">
        <v>63</v>
      </c>
      <c r="C103" s="217"/>
      <c r="D103" s="217">
        <f t="shared" si="5"/>
        <v>155.7603433917634</v>
      </c>
      <c r="E103" s="232">
        <f>'10K'!$E103*(1-$K$2)+H.Marathon!$E103*$K$2</f>
        <v>0.22299214663371134</v>
      </c>
      <c r="F103" s="210"/>
      <c r="G103" s="210">
        <v>97</v>
      </c>
      <c r="H103" s="210"/>
      <c r="I103" s="210"/>
      <c r="J103" s="210"/>
      <c r="K103" s="210"/>
      <c r="L103" s="210"/>
      <c r="M103" s="210"/>
      <c r="N103" s="210"/>
      <c r="O103" s="210"/>
      <c r="P103" s="210"/>
    </row>
    <row r="104" spans="1:16">
      <c r="A104" s="210">
        <v>98</v>
      </c>
      <c r="B104" s="311" t="s">
        <v>63</v>
      </c>
      <c r="C104" s="217"/>
      <c r="D104" s="217">
        <f t="shared" si="5"/>
        <v>177.505515935544</v>
      </c>
      <c r="E104" s="232">
        <f>'10K'!$E104*(1-$K$2)+H.Marathon!$E104*$K$2</f>
        <v>0.19567467044768197</v>
      </c>
      <c r="F104" s="210"/>
      <c r="G104" s="210">
        <v>98</v>
      </c>
      <c r="H104" s="210"/>
      <c r="I104" s="210"/>
      <c r="J104" s="210"/>
      <c r="K104" s="210"/>
      <c r="L104" s="210"/>
      <c r="M104" s="210"/>
      <c r="N104" s="210"/>
      <c r="O104" s="210"/>
      <c r="P104" s="210"/>
    </row>
    <row r="105" spans="1:16">
      <c r="A105" s="210">
        <v>99</v>
      </c>
      <c r="B105" s="311" t="s">
        <v>63</v>
      </c>
      <c r="C105" s="217"/>
      <c r="D105" s="217">
        <f t="shared" si="5"/>
        <v>207.26219417510089</v>
      </c>
      <c r="E105" s="232">
        <f>'10K'!$E105*(1-$K$2)+H.Marathon!$E105*$K$2</f>
        <v>0.16758161550673176</v>
      </c>
      <c r="F105" s="210"/>
      <c r="G105" s="210">
        <v>99</v>
      </c>
      <c r="H105" s="210"/>
      <c r="I105" s="210"/>
      <c r="J105" s="210"/>
      <c r="K105" s="210"/>
      <c r="L105" s="210"/>
      <c r="M105" s="210"/>
      <c r="N105" s="210"/>
      <c r="O105" s="210"/>
      <c r="P105" s="210"/>
    </row>
    <row r="106" spans="1:16">
      <c r="A106" s="210">
        <v>100</v>
      </c>
      <c r="B106" s="311"/>
      <c r="C106" s="210"/>
      <c r="D106" s="217">
        <f t="shared" si="5"/>
        <v>250.44122739206682</v>
      </c>
      <c r="E106" s="232">
        <f>'10K'!$E106*(1-$K$2)+H.Marathon!$E106*$K$2</f>
        <v>0.13868856056578158</v>
      </c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1.6640625" style="1" customWidth="1"/>
    <col min="8" max="8" width="10.6640625" style="1" customWidth="1"/>
    <col min="9" max="9" width="14.77734375" style="1" customWidth="1"/>
    <col min="10" max="10" width="19.6640625" style="1" customWidth="1"/>
    <col min="11" max="11" width="9.6640625" style="1"/>
    <col min="12" max="12" width="9.77734375" style="1" bestFit="1" customWidth="1"/>
    <col min="13" max="13" width="26.88671875" style="1" customWidth="1"/>
    <col min="14" max="14" width="19.21875" style="1" customWidth="1"/>
    <col min="15" max="15" width="11.88671875" style="1" customWidth="1"/>
    <col min="16" max="17" width="9.6640625" style="1"/>
    <col min="18" max="18" width="12.6640625" style="1" customWidth="1"/>
    <col min="19" max="19" width="9.6640625" style="1"/>
    <col min="20" max="20" width="12.21875" style="1" customWidth="1"/>
    <col min="21" max="16384" width="9.6640625" style="1"/>
  </cols>
  <sheetData>
    <row r="1" spans="1:20" ht="29.1" customHeight="1">
      <c r="A1" s="354" t="s">
        <v>67</v>
      </c>
      <c r="B1" s="207"/>
      <c r="C1" s="208"/>
      <c r="D1" s="209" t="s">
        <v>32</v>
      </c>
      <c r="E1" s="209" t="s">
        <v>54</v>
      </c>
      <c r="F1" s="209" t="s">
        <v>55</v>
      </c>
      <c r="G1" s="209" t="s">
        <v>56</v>
      </c>
      <c r="H1" s="209" t="s">
        <v>57</v>
      </c>
      <c r="I1" s="209" t="s">
        <v>58</v>
      </c>
      <c r="J1" s="210"/>
      <c r="K1" s="207" t="s">
        <v>2356</v>
      </c>
      <c r="L1" s="210"/>
      <c r="M1" s="210"/>
      <c r="N1" s="210"/>
      <c r="O1" s="210"/>
      <c r="P1" s="210"/>
    </row>
    <row r="2" spans="1:20" ht="15.95" customHeight="1">
      <c r="A2" s="354"/>
      <c r="B2" s="207"/>
      <c r="C2" s="208"/>
      <c r="D2" s="209"/>
      <c r="E2" s="209"/>
      <c r="F2" s="361">
        <f>(+H$3-H$4)*F$4/2</f>
        <v>4.725E-2</v>
      </c>
      <c r="G2" s="362">
        <f>(+I$4-I$3)*G$4/2</f>
        <v>0.17219999999999999</v>
      </c>
      <c r="H2" s="209"/>
      <c r="I2" s="209"/>
      <c r="J2" s="210"/>
      <c r="K2" s="215">
        <f>Parameters!M24</f>
        <v>0.54310433446754847</v>
      </c>
      <c r="L2" s="210"/>
      <c r="M2" s="210"/>
      <c r="N2" s="210"/>
      <c r="O2" s="210"/>
      <c r="P2" s="210"/>
    </row>
    <row r="3" spans="1:20" ht="15.95" customHeight="1">
      <c r="A3" s="354"/>
      <c r="B3" s="207"/>
      <c r="C3" s="208"/>
      <c r="D3" s="209"/>
      <c r="E3" s="209"/>
      <c r="F3" s="361">
        <f>F4/(2*(+H3-H4))</f>
        <v>1.89E-3</v>
      </c>
      <c r="G3" s="362">
        <f>G4/(2*(+I4-I3))</f>
        <v>1.6006097560975613E-4</v>
      </c>
      <c r="H3" s="207">
        <v>22</v>
      </c>
      <c r="I3" s="301">
        <v>24</v>
      </c>
      <c r="J3" s="210"/>
      <c r="L3" s="210"/>
      <c r="M3" s="210"/>
      <c r="N3" s="210"/>
      <c r="O3" s="210"/>
      <c r="P3" s="210"/>
    </row>
    <row r="4" spans="1:20" ht="15.75">
      <c r="A4" s="207"/>
      <c r="B4" s="207"/>
      <c r="C4" s="207"/>
      <c r="D4" s="214">
        <f>Parameters!G24</f>
        <v>3.0428240740740742E-2</v>
      </c>
      <c r="E4" s="215">
        <f>D4*1440</f>
        <v>43.81666666666667</v>
      </c>
      <c r="F4" s="216">
        <v>1.89E-2</v>
      </c>
      <c r="G4" s="216">
        <v>1.0500000000000001E-2</v>
      </c>
      <c r="H4" s="207">
        <v>17</v>
      </c>
      <c r="I4" s="301">
        <v>56.8</v>
      </c>
      <c r="J4" s="217"/>
      <c r="K4" s="210"/>
      <c r="L4" s="210"/>
      <c r="M4" s="210"/>
      <c r="N4" s="210"/>
      <c r="O4" s="210"/>
      <c r="P4" s="210"/>
    </row>
    <row r="5" spans="1:20" ht="15.75">
      <c r="A5" s="207"/>
      <c r="B5" s="207"/>
      <c r="C5" s="207"/>
      <c r="D5" s="214"/>
      <c r="E5" s="207">
        <f>E4*60</f>
        <v>2629</v>
      </c>
      <c r="F5" s="216">
        <v>9.1E-4</v>
      </c>
      <c r="G5" s="216">
        <v>5.1000000000000004E-4</v>
      </c>
      <c r="H5" s="207">
        <v>15</v>
      </c>
      <c r="I5" s="301">
        <v>76.7</v>
      </c>
      <c r="J5" s="217"/>
      <c r="K5" s="210"/>
      <c r="L5" s="210"/>
      <c r="M5" s="210"/>
      <c r="N5" s="210"/>
      <c r="O5" s="210"/>
      <c r="P5" s="210"/>
    </row>
    <row r="6" spans="1:20" ht="62.25" customHeight="1">
      <c r="A6" s="218" t="s">
        <v>52</v>
      </c>
      <c r="B6" s="218" t="s">
        <v>1937</v>
      </c>
      <c r="C6" s="218" t="s">
        <v>2081</v>
      </c>
      <c r="D6" s="218" t="s">
        <v>1938</v>
      </c>
      <c r="E6" s="218" t="s">
        <v>1939</v>
      </c>
      <c r="F6" s="387" t="s">
        <v>133</v>
      </c>
      <c r="G6" s="218" t="s">
        <v>52</v>
      </c>
      <c r="H6" s="355" t="s">
        <v>709</v>
      </c>
      <c r="I6" s="355" t="s">
        <v>403</v>
      </c>
      <c r="J6" s="355" t="s">
        <v>404</v>
      </c>
      <c r="K6" s="356" t="s">
        <v>405</v>
      </c>
      <c r="L6" s="356" t="s">
        <v>406</v>
      </c>
      <c r="M6" s="355" t="s">
        <v>407</v>
      </c>
      <c r="N6" s="356" t="s">
        <v>408</v>
      </c>
      <c r="O6" s="356" t="s">
        <v>409</v>
      </c>
      <c r="P6" s="357" t="s">
        <v>1150</v>
      </c>
      <c r="Q6" s="327"/>
      <c r="S6" s="219" t="s">
        <v>52</v>
      </c>
      <c r="T6" s="387" t="s">
        <v>133</v>
      </c>
    </row>
    <row r="7" spans="1:20">
      <c r="A7" s="210">
        <v>1</v>
      </c>
      <c r="B7" s="210"/>
      <c r="C7" s="210"/>
      <c r="D7" s="210"/>
      <c r="E7" s="210"/>
      <c r="F7" s="276"/>
      <c r="G7" s="210">
        <v>1</v>
      </c>
      <c r="H7" s="210"/>
      <c r="I7" s="210"/>
      <c r="J7" s="210"/>
      <c r="K7" s="210"/>
      <c r="L7" s="210"/>
      <c r="M7" s="210"/>
      <c r="N7" s="210"/>
      <c r="O7" s="210"/>
      <c r="P7" s="210"/>
      <c r="S7" s="210">
        <v>1</v>
      </c>
      <c r="T7" s="276"/>
    </row>
    <row r="8" spans="1:20">
      <c r="A8" s="210">
        <v>2</v>
      </c>
      <c r="B8" s="210" t="s">
        <v>63</v>
      </c>
      <c r="C8" s="210"/>
      <c r="D8" s="210"/>
      <c r="E8" s="210"/>
      <c r="F8" s="276"/>
      <c r="G8" s="210">
        <v>2</v>
      </c>
      <c r="H8" s="210"/>
      <c r="I8" s="210"/>
      <c r="J8" s="210"/>
      <c r="K8" s="210"/>
      <c r="L8" s="210"/>
      <c r="M8" s="210"/>
      <c r="N8" s="210"/>
      <c r="O8" s="210"/>
      <c r="P8" s="210"/>
      <c r="S8" s="210">
        <v>2</v>
      </c>
      <c r="T8" s="276"/>
    </row>
    <row r="9" spans="1:20">
      <c r="A9" s="210">
        <v>3</v>
      </c>
      <c r="B9" s="358" t="s">
        <v>63</v>
      </c>
      <c r="C9" s="217"/>
      <c r="D9" s="217"/>
      <c r="E9" s="232">
        <f>'10K'!$E9*(1-$K$2)+H.Marathon!$E9*$K$2</f>
        <v>0.5641749203313674</v>
      </c>
      <c r="F9" s="276"/>
      <c r="G9" s="210">
        <v>3</v>
      </c>
      <c r="H9" s="210"/>
      <c r="I9" s="210"/>
      <c r="J9" s="210"/>
      <c r="K9" s="210"/>
      <c r="L9" s="210"/>
      <c r="M9" s="210"/>
      <c r="N9" s="210"/>
      <c r="O9" s="210"/>
      <c r="P9" s="210"/>
      <c r="S9" s="210">
        <v>3</v>
      </c>
      <c r="T9" s="276"/>
    </row>
    <row r="10" spans="1:20">
      <c r="A10" s="210">
        <v>4</v>
      </c>
      <c r="B10" s="234"/>
      <c r="C10" s="217"/>
      <c r="D10" s="217">
        <f t="shared" ref="D10:D41" si="0">E$4/E10</f>
        <v>72.465037372961262</v>
      </c>
      <c r="E10" s="232">
        <f>'10K'!$E10*(1-$K$2)+H.Marathon!$E10*$K$2</f>
        <v>0.60465940893885328</v>
      </c>
      <c r="F10" s="230"/>
      <c r="G10" s="210">
        <v>4</v>
      </c>
      <c r="H10" s="210"/>
      <c r="I10" s="210"/>
      <c r="J10" s="210"/>
      <c r="K10" s="210"/>
      <c r="L10" s="210"/>
      <c r="M10" s="210"/>
      <c r="N10" s="210"/>
      <c r="O10" s="210"/>
      <c r="P10" s="210"/>
      <c r="S10" s="210">
        <v>4</v>
      </c>
      <c r="T10" s="230"/>
    </row>
    <row r="11" spans="1:20">
      <c r="A11" s="210">
        <v>5</v>
      </c>
      <c r="B11" s="234"/>
      <c r="C11" s="217"/>
      <c r="D11" s="217">
        <f t="shared" si="0"/>
        <v>68.124943003845061</v>
      </c>
      <c r="E11" s="232">
        <f>'10K'!$E11*(1-$K$2)+H.Marathon!$E11*$K$2</f>
        <v>0.64318096624599885</v>
      </c>
      <c r="F11" s="230"/>
      <c r="G11" s="210">
        <v>5</v>
      </c>
      <c r="H11" s="210"/>
      <c r="I11" s="210"/>
      <c r="J11" s="210"/>
      <c r="K11" s="210"/>
      <c r="L11" s="210"/>
      <c r="M11" s="210"/>
      <c r="N11" s="210"/>
      <c r="O11" s="210"/>
      <c r="P11" s="210"/>
      <c r="S11" s="210">
        <v>5</v>
      </c>
      <c r="T11" s="230"/>
    </row>
    <row r="12" spans="1:20">
      <c r="A12" s="210">
        <v>6</v>
      </c>
      <c r="B12" s="234"/>
      <c r="C12" s="217"/>
      <c r="D12" s="217">
        <f t="shared" si="0"/>
        <v>64.45581005290309</v>
      </c>
      <c r="E12" s="232">
        <f>'10K'!$E12*(1-$K$2)+H.Marathon!$E12*$K$2</f>
        <v>0.67979390268625084</v>
      </c>
      <c r="F12" s="230"/>
      <c r="G12" s="210">
        <v>6</v>
      </c>
      <c r="H12" s="266"/>
      <c r="I12" s="210"/>
      <c r="J12" s="210"/>
      <c r="K12" s="210"/>
      <c r="L12" s="210"/>
      <c r="M12" s="210"/>
      <c r="N12" s="210"/>
      <c r="O12" s="210"/>
      <c r="P12" s="210"/>
      <c r="S12" s="210">
        <v>6</v>
      </c>
      <c r="T12" s="230"/>
    </row>
    <row r="13" spans="1:20">
      <c r="A13" s="210">
        <v>7</v>
      </c>
      <c r="B13" s="234">
        <v>5.7349537037037039E-2</v>
      </c>
      <c r="C13" s="217">
        <f t="shared" ref="C13:C74" si="1">B13*1440</f>
        <v>82.583333333333343</v>
      </c>
      <c r="D13" s="217">
        <f t="shared" si="0"/>
        <v>61.329750574803796</v>
      </c>
      <c r="E13" s="232">
        <f>'10K'!$E13*(1-$K$2)+H.Marathon!$E13*$K$2</f>
        <v>0.71444390782616263</v>
      </c>
      <c r="F13" s="230">
        <f>100*(D13/C13)</f>
        <v>74.264077386240714</v>
      </c>
      <c r="G13" s="210">
        <v>7</v>
      </c>
      <c r="H13" s="325" t="s">
        <v>1776</v>
      </c>
      <c r="I13" s="256" t="s">
        <v>1151</v>
      </c>
      <c r="J13" s="256" t="s">
        <v>1847</v>
      </c>
      <c r="K13" s="256" t="s">
        <v>217</v>
      </c>
      <c r="L13" s="257">
        <v>39841</v>
      </c>
      <c r="M13" s="256" t="s">
        <v>1848</v>
      </c>
      <c r="N13" s="256" t="s">
        <v>1849</v>
      </c>
      <c r="O13" s="350">
        <v>42698</v>
      </c>
      <c r="P13" s="253"/>
      <c r="S13" s="210">
        <v>7</v>
      </c>
      <c r="T13" s="230">
        <v>78.89199925539414</v>
      </c>
    </row>
    <row r="14" spans="1:20">
      <c r="A14" s="210">
        <v>8</v>
      </c>
      <c r="B14" s="234">
        <v>5.2685185185185182E-2</v>
      </c>
      <c r="C14" s="217">
        <f t="shared" si="1"/>
        <v>75.86666666666666</v>
      </c>
      <c r="D14" s="217">
        <f t="shared" si="0"/>
        <v>58.645889627773009</v>
      </c>
      <c r="E14" s="232">
        <f>'10K'!$E14*(1-$K$2)+H.Marathon!$E14*$K$2</f>
        <v>0.74713960253262757</v>
      </c>
      <c r="F14" s="230">
        <f>100*(D14/C14)</f>
        <v>77.301260493549663</v>
      </c>
      <c r="G14" s="210">
        <v>8</v>
      </c>
      <c r="H14" s="325" t="s">
        <v>1777</v>
      </c>
      <c r="I14" s="256" t="s">
        <v>487</v>
      </c>
      <c r="J14" s="256" t="s">
        <v>488</v>
      </c>
      <c r="K14" s="256" t="s">
        <v>217</v>
      </c>
      <c r="L14" s="257">
        <v>38897</v>
      </c>
      <c r="M14" s="253"/>
      <c r="N14" s="256" t="s">
        <v>1850</v>
      </c>
      <c r="O14" s="350">
        <v>42000</v>
      </c>
      <c r="P14" s="253"/>
      <c r="S14" s="210">
        <v>8</v>
      </c>
      <c r="T14" s="230">
        <v>81.598275127803277</v>
      </c>
    </row>
    <row r="15" spans="1:20">
      <c r="A15" s="210">
        <v>9</v>
      </c>
      <c r="B15" s="234">
        <v>5.3981481481481484E-2</v>
      </c>
      <c r="C15" s="217">
        <f t="shared" si="1"/>
        <v>77.733333333333334</v>
      </c>
      <c r="D15" s="217">
        <f t="shared" si="0"/>
        <v>56.324931381711068</v>
      </c>
      <c r="E15" s="232">
        <f>'10K'!$E15*(1-$K$2)+H.Marathon!$E15*$K$2</f>
        <v>0.77792667637219914</v>
      </c>
      <c r="F15" s="230"/>
      <c r="G15" s="210">
        <v>9</v>
      </c>
      <c r="H15" s="325" t="s">
        <v>1778</v>
      </c>
      <c r="I15" s="256" t="s">
        <v>487</v>
      </c>
      <c r="J15" s="256" t="s">
        <v>488</v>
      </c>
      <c r="K15" s="256" t="s">
        <v>217</v>
      </c>
      <c r="L15" s="257">
        <v>38897</v>
      </c>
      <c r="M15" s="253"/>
      <c r="N15" s="256" t="s">
        <v>1850</v>
      </c>
      <c r="O15" s="350">
        <v>42364</v>
      </c>
      <c r="P15" s="253"/>
      <c r="S15" s="210">
        <v>9</v>
      </c>
      <c r="T15" s="230"/>
    </row>
    <row r="16" spans="1:20">
      <c r="A16" s="210">
        <v>10</v>
      </c>
      <c r="B16" s="234">
        <v>5.0219907407407408E-2</v>
      </c>
      <c r="C16" s="217">
        <f t="shared" si="1"/>
        <v>72.316666666666663</v>
      </c>
      <c r="D16" s="217">
        <f t="shared" si="0"/>
        <v>54.309440120565881</v>
      </c>
      <c r="E16" s="232">
        <f>'10K'!$E16*(1-$K$2)+H.Marathon!$E16*$K$2</f>
        <v>0.80679650847798356</v>
      </c>
      <c r="F16" s="230"/>
      <c r="G16" s="210">
        <v>10</v>
      </c>
      <c r="H16" s="325" t="s">
        <v>1779</v>
      </c>
      <c r="I16" s="256" t="s">
        <v>1456</v>
      </c>
      <c r="J16" s="256" t="s">
        <v>1457</v>
      </c>
      <c r="K16" s="256" t="s">
        <v>217</v>
      </c>
      <c r="L16" s="257">
        <v>38514</v>
      </c>
      <c r="M16" s="253" t="s">
        <v>1851</v>
      </c>
      <c r="N16" s="256" t="s">
        <v>1852</v>
      </c>
      <c r="O16" s="350">
        <v>42441</v>
      </c>
      <c r="P16" s="253"/>
      <c r="S16" s="210">
        <v>10</v>
      </c>
      <c r="T16" s="230"/>
    </row>
    <row r="17" spans="1:20">
      <c r="A17" s="210">
        <v>11</v>
      </c>
      <c r="B17" s="234"/>
      <c r="C17" s="217"/>
      <c r="D17" s="217">
        <f t="shared" si="0"/>
        <v>52.55899696752109</v>
      </c>
      <c r="E17" s="232">
        <f>'10K'!$E17*(1-$K$2)+H.Marathon!$E17*$K$2</f>
        <v>0.8336663405837681</v>
      </c>
      <c r="F17" s="230"/>
      <c r="G17" s="210">
        <v>11</v>
      </c>
      <c r="H17" s="359"/>
      <c r="I17" s="210"/>
      <c r="J17" s="210"/>
      <c r="K17" s="210"/>
      <c r="L17" s="210"/>
      <c r="M17" s="210"/>
      <c r="N17" s="210"/>
      <c r="O17" s="351"/>
      <c r="P17" s="210"/>
      <c r="S17" s="210">
        <v>11</v>
      </c>
      <c r="T17" s="230"/>
    </row>
    <row r="18" spans="1:20">
      <c r="A18" s="210">
        <v>12</v>
      </c>
      <c r="B18" s="234">
        <v>4.5138888888888888E-2</v>
      </c>
      <c r="C18" s="217">
        <f t="shared" si="1"/>
        <v>65</v>
      </c>
      <c r="D18" s="217">
        <f t="shared" si="0"/>
        <v>51.031563697171748</v>
      </c>
      <c r="E18" s="232">
        <f>'10K'!$E18*(1-$K$2)+H.Marathon!$E18*$K$2</f>
        <v>0.85861893095576569</v>
      </c>
      <c r="F18" s="230">
        <f>100*(D18/C18)</f>
        <v>78.510097995648849</v>
      </c>
      <c r="G18" s="210">
        <v>12</v>
      </c>
      <c r="H18" s="325" t="s">
        <v>1780</v>
      </c>
      <c r="I18" s="256" t="s">
        <v>1853</v>
      </c>
      <c r="J18" s="256" t="s">
        <v>1854</v>
      </c>
      <c r="K18" s="256" t="s">
        <v>217</v>
      </c>
      <c r="L18" s="257">
        <v>37912</v>
      </c>
      <c r="M18" s="253"/>
      <c r="N18" s="256" t="s">
        <v>1855</v>
      </c>
      <c r="O18" s="350">
        <v>42379</v>
      </c>
      <c r="P18" s="253"/>
      <c r="S18" s="210">
        <v>12</v>
      </c>
      <c r="T18" s="230">
        <v>81.269851472670737</v>
      </c>
    </row>
    <row r="19" spans="1:20">
      <c r="A19" s="210">
        <v>13</v>
      </c>
      <c r="B19" s="234">
        <v>4.2361111111111113E-2</v>
      </c>
      <c r="C19" s="217">
        <f t="shared" si="1"/>
        <v>61</v>
      </c>
      <c r="D19" s="217">
        <f t="shared" si="0"/>
        <v>49.697754826433645</v>
      </c>
      <c r="E19" s="232">
        <f>'10K'!$E19*(1-$K$2)+H.Marathon!$E19*$K$2</f>
        <v>0.88166290046086959</v>
      </c>
      <c r="F19" s="230">
        <f t="shared" ref="F19:F50" si="2">100*(D19/C19)</f>
        <v>81.471729223661711</v>
      </c>
      <c r="G19" s="210">
        <v>13</v>
      </c>
      <c r="H19" s="325" t="s">
        <v>1781</v>
      </c>
      <c r="I19" s="256" t="s">
        <v>1856</v>
      </c>
      <c r="J19" s="256" t="s">
        <v>1857</v>
      </c>
      <c r="K19" s="256" t="s">
        <v>217</v>
      </c>
      <c r="L19" s="257">
        <v>23526</v>
      </c>
      <c r="M19" s="253"/>
      <c r="N19" s="256" t="s">
        <v>1858</v>
      </c>
      <c r="O19" s="350">
        <v>28310</v>
      </c>
      <c r="P19" s="253"/>
      <c r="S19" s="210">
        <v>13</v>
      </c>
      <c r="T19" s="230">
        <v>84.01435021463017</v>
      </c>
    </row>
    <row r="20" spans="1:20">
      <c r="A20" s="210">
        <v>14</v>
      </c>
      <c r="B20" s="234">
        <v>3.8553240740740742E-2</v>
      </c>
      <c r="C20" s="217">
        <f t="shared" si="1"/>
        <v>55.516666666666666</v>
      </c>
      <c r="D20" s="217">
        <f t="shared" si="0"/>
        <v>48.536740443423717</v>
      </c>
      <c r="E20" s="232">
        <f>'10K'!$E20*(1-$K$2)+H.Marathon!$E20*$K$2</f>
        <v>0.90275255953252675</v>
      </c>
      <c r="F20" s="230">
        <f t="shared" si="2"/>
        <v>87.427331930514057</v>
      </c>
      <c r="G20" s="210">
        <v>14</v>
      </c>
      <c r="H20" s="325" t="s">
        <v>1782</v>
      </c>
      <c r="I20" s="256" t="s">
        <v>1471</v>
      </c>
      <c r="J20" s="256" t="s">
        <v>1472</v>
      </c>
      <c r="K20" s="256" t="s">
        <v>217</v>
      </c>
      <c r="L20" s="257">
        <v>23929</v>
      </c>
      <c r="M20" s="253"/>
      <c r="N20" s="256" t="s">
        <v>1859</v>
      </c>
      <c r="O20" s="350">
        <v>29387</v>
      </c>
      <c r="P20" s="253"/>
      <c r="S20" s="210">
        <v>14</v>
      </c>
      <c r="T20" s="230">
        <v>89.83175436770992</v>
      </c>
    </row>
    <row r="21" spans="1:20">
      <c r="A21" s="210">
        <v>15</v>
      </c>
      <c r="B21" s="234">
        <v>3.5486111111111114E-2</v>
      </c>
      <c r="C21" s="217">
        <f t="shared" si="1"/>
        <v>51.1</v>
      </c>
      <c r="D21" s="217">
        <f t="shared" si="0"/>
        <v>47.52972245944936</v>
      </c>
      <c r="E21" s="232">
        <f>'10K'!$E21*(1-$K$2)+H.Marathon!$E21*$K$2</f>
        <v>0.92187928730384372</v>
      </c>
      <c r="F21" s="230">
        <f t="shared" si="2"/>
        <v>93.013155497943956</v>
      </c>
      <c r="G21" s="210">
        <v>15</v>
      </c>
      <c r="H21" s="325" t="s">
        <v>1783</v>
      </c>
      <c r="I21" s="256" t="s">
        <v>504</v>
      </c>
      <c r="J21" s="256" t="s">
        <v>505</v>
      </c>
      <c r="K21" s="256" t="s">
        <v>263</v>
      </c>
      <c r="L21" s="257">
        <v>31963</v>
      </c>
      <c r="M21" s="253"/>
      <c r="N21" s="256" t="s">
        <v>1860</v>
      </c>
      <c r="O21" s="350">
        <v>37577</v>
      </c>
      <c r="P21" s="253"/>
      <c r="S21" s="210">
        <v>15</v>
      </c>
      <c r="T21" s="230">
        <v>95.244505211232138</v>
      </c>
    </row>
    <row r="22" spans="1:20">
      <c r="A22" s="210">
        <v>16</v>
      </c>
      <c r="B22" s="234">
        <v>3.5868055555555556E-2</v>
      </c>
      <c r="C22" s="217">
        <f t="shared" si="1"/>
        <v>51.65</v>
      </c>
      <c r="D22" s="217">
        <f t="shared" si="0"/>
        <v>46.610911347016504</v>
      </c>
      <c r="E22" s="232">
        <f>'10K'!$E22*(1-$K$2)+H.Marathon!$E22*$K$2</f>
        <v>0.94005170464171395</v>
      </c>
      <c r="F22" s="230">
        <f t="shared" si="2"/>
        <v>90.243778019393034</v>
      </c>
      <c r="G22" s="210">
        <v>16</v>
      </c>
      <c r="H22" s="325" t="s">
        <v>1784</v>
      </c>
      <c r="I22" s="256" t="s">
        <v>1467</v>
      </c>
      <c r="J22" s="256" t="s">
        <v>1468</v>
      </c>
      <c r="K22" s="256" t="s">
        <v>1469</v>
      </c>
      <c r="L22" s="257">
        <v>30468</v>
      </c>
      <c r="M22" s="253"/>
      <c r="N22" s="256" t="s">
        <v>1861</v>
      </c>
      <c r="O22" s="350">
        <v>36653</v>
      </c>
      <c r="P22" s="253"/>
      <c r="S22" s="210">
        <v>16</v>
      </c>
      <c r="T22" s="230">
        <v>92.16749132511346</v>
      </c>
    </row>
    <row r="23" spans="1:20">
      <c r="A23" s="210">
        <v>17</v>
      </c>
      <c r="B23" s="234">
        <v>3.4189814814814812E-2</v>
      </c>
      <c r="C23" s="217">
        <f t="shared" si="1"/>
        <v>49.233333333333327</v>
      </c>
      <c r="D23" s="217">
        <f t="shared" si="0"/>
        <v>45.726950158743996</v>
      </c>
      <c r="E23" s="232">
        <f>'10K'!$E23*(1-$K$2)+H.Marathon!$E23*$K$2</f>
        <v>0.95822412197958418</v>
      </c>
      <c r="F23" s="230">
        <f t="shared" si="2"/>
        <v>92.878030112547066</v>
      </c>
      <c r="G23" s="210">
        <v>17</v>
      </c>
      <c r="H23" s="325" t="s">
        <v>944</v>
      </c>
      <c r="I23" s="256" t="s">
        <v>511</v>
      </c>
      <c r="J23" s="256" t="s">
        <v>512</v>
      </c>
      <c r="K23" s="256" t="s">
        <v>244</v>
      </c>
      <c r="L23" s="257">
        <v>34251</v>
      </c>
      <c r="M23" s="253"/>
      <c r="N23" s="256" t="s">
        <v>1862</v>
      </c>
      <c r="O23" s="350">
        <v>40677</v>
      </c>
      <c r="P23" s="253"/>
      <c r="S23" s="210">
        <v>17</v>
      </c>
      <c r="T23" s="230">
        <v>94.674958856018492</v>
      </c>
    </row>
    <row r="24" spans="1:20">
      <c r="A24" s="210">
        <v>18</v>
      </c>
      <c r="B24" s="234">
        <v>3.4560185185185187E-2</v>
      </c>
      <c r="C24" s="217">
        <f t="shared" si="1"/>
        <v>49.766666666666666</v>
      </c>
      <c r="D24" s="217">
        <f t="shared" si="0"/>
        <v>44.968003167744612</v>
      </c>
      <c r="E24" s="232">
        <f>'10K'!$E24*(1-$K$2)+H.Marathon!$E24*$K$2</f>
        <v>0.97439653931745429</v>
      </c>
      <c r="F24" s="230">
        <f t="shared" si="2"/>
        <v>90.357675487765462</v>
      </c>
      <c r="G24" s="210">
        <v>18</v>
      </c>
      <c r="H24" s="325" t="s">
        <v>1785</v>
      </c>
      <c r="I24" s="256" t="s">
        <v>1863</v>
      </c>
      <c r="J24" s="256" t="s">
        <v>1864</v>
      </c>
      <c r="K24" s="256" t="s">
        <v>248</v>
      </c>
      <c r="L24" s="257">
        <v>35867</v>
      </c>
      <c r="M24" s="253"/>
      <c r="N24" s="256" t="s">
        <v>1865</v>
      </c>
      <c r="O24" s="350">
        <v>42491</v>
      </c>
      <c r="P24" s="253"/>
      <c r="S24" s="210">
        <v>18</v>
      </c>
      <c r="T24" s="230">
        <v>91.829895385298641</v>
      </c>
    </row>
    <row r="25" spans="1:20">
      <c r="A25" s="210">
        <v>19</v>
      </c>
      <c r="B25" s="234">
        <v>3.3715277777777775E-2</v>
      </c>
      <c r="C25" s="217">
        <f t="shared" si="1"/>
        <v>48.55</v>
      </c>
      <c r="D25" s="217">
        <f t="shared" si="0"/>
        <v>44.413182039717078</v>
      </c>
      <c r="E25" s="232">
        <f>'10K'!$E25*(1-$K$2)+H.Marathon!$E25*$K$2</f>
        <v>0.9865689566553244</v>
      </c>
      <c r="F25" s="230">
        <f t="shared" si="2"/>
        <v>91.479262697666485</v>
      </c>
      <c r="G25" s="210">
        <v>19</v>
      </c>
      <c r="H25" s="325" t="s">
        <v>1238</v>
      </c>
      <c r="I25" s="256" t="s">
        <v>1866</v>
      </c>
      <c r="J25" s="256" t="s">
        <v>1867</v>
      </c>
      <c r="K25" s="256" t="s">
        <v>248</v>
      </c>
      <c r="L25" s="257">
        <v>33619</v>
      </c>
      <c r="M25" s="253"/>
      <c r="N25" s="256" t="s">
        <v>1860</v>
      </c>
      <c r="O25" s="350">
        <v>40867</v>
      </c>
      <c r="P25" s="253"/>
      <c r="S25" s="210">
        <v>19</v>
      </c>
      <c r="T25" s="230">
        <v>92.491037767989909</v>
      </c>
    </row>
    <row r="26" spans="1:20">
      <c r="A26" s="210">
        <v>20</v>
      </c>
      <c r="B26" s="234">
        <v>3.4097222222222223E-2</v>
      </c>
      <c r="C26" s="217">
        <f t="shared" si="1"/>
        <v>49.1</v>
      </c>
      <c r="D26" s="217">
        <f t="shared" si="0"/>
        <v>44.048300203673271</v>
      </c>
      <c r="E26" s="232">
        <f>'10K'!$E26*(1-$K$2)+H.Marathon!$E26*$K$2</f>
        <v>0.99474137399319473</v>
      </c>
      <c r="F26" s="230">
        <f t="shared" si="2"/>
        <v>89.711405710128858</v>
      </c>
      <c r="G26" s="210">
        <v>20</v>
      </c>
      <c r="H26" s="325" t="s">
        <v>1786</v>
      </c>
      <c r="I26" s="256" t="s">
        <v>1868</v>
      </c>
      <c r="J26" s="256" t="s">
        <v>1869</v>
      </c>
      <c r="K26" s="256" t="s">
        <v>248</v>
      </c>
      <c r="L26" s="257">
        <v>30573</v>
      </c>
      <c r="M26" s="253"/>
      <c r="N26" s="256" t="s">
        <v>1860</v>
      </c>
      <c r="O26" s="350">
        <v>37941</v>
      </c>
      <c r="P26" s="253"/>
      <c r="S26" s="210">
        <v>20</v>
      </c>
      <c r="T26" s="230">
        <v>90.214351299641677</v>
      </c>
    </row>
    <row r="27" spans="1:20" ht="15.75">
      <c r="A27" s="210">
        <v>21</v>
      </c>
      <c r="B27" s="234">
        <v>3.0787037037037036E-2</v>
      </c>
      <c r="C27" s="217">
        <f t="shared" si="1"/>
        <v>44.333333333333336</v>
      </c>
      <c r="D27" s="217">
        <f t="shared" si="0"/>
        <v>43.864312463120989</v>
      </c>
      <c r="E27" s="232">
        <f>'10K'!$E27*(1-$K$2)+H.Marathon!$E27*$K$2</f>
        <v>0.99891379133106495</v>
      </c>
      <c r="F27" s="230">
        <f t="shared" si="2"/>
        <v>98.942058187490943</v>
      </c>
      <c r="G27" s="210">
        <v>21</v>
      </c>
      <c r="H27" s="325" t="s">
        <v>1787</v>
      </c>
      <c r="I27" s="256" t="s">
        <v>1015</v>
      </c>
      <c r="J27" s="256" t="s">
        <v>1016</v>
      </c>
      <c r="K27" s="256" t="s">
        <v>248</v>
      </c>
      <c r="L27" s="257">
        <v>35874</v>
      </c>
      <c r="M27" s="253"/>
      <c r="N27" s="290" t="s">
        <v>1870</v>
      </c>
      <c r="O27" s="350">
        <v>43786</v>
      </c>
      <c r="P27" s="253"/>
      <c r="S27" s="210">
        <v>21</v>
      </c>
      <c r="T27" s="230">
        <v>99.1036187491449</v>
      </c>
    </row>
    <row r="28" spans="1:20">
      <c r="A28" s="210">
        <v>22</v>
      </c>
      <c r="B28" s="234">
        <v>3.349537037037037E-2</v>
      </c>
      <c r="C28" s="217">
        <f t="shared" si="1"/>
        <v>48.233333333333334</v>
      </c>
      <c r="D28" s="217">
        <f t="shared" si="0"/>
        <v>43.81666666666667</v>
      </c>
      <c r="E28" s="232">
        <f>'10K'!$E28*(1-$K$2)+H.Marathon!$E28*$K$2</f>
        <v>1</v>
      </c>
      <c r="F28" s="230">
        <f t="shared" si="2"/>
        <v>90.843123704215628</v>
      </c>
      <c r="G28" s="210">
        <v>22</v>
      </c>
      <c r="H28" s="325" t="s">
        <v>1788</v>
      </c>
      <c r="I28" s="256" t="s">
        <v>520</v>
      </c>
      <c r="J28" s="256" t="s">
        <v>521</v>
      </c>
      <c r="K28" s="256" t="s">
        <v>244</v>
      </c>
      <c r="L28" s="257">
        <v>34239</v>
      </c>
      <c r="M28" s="253"/>
      <c r="N28" s="256" t="s">
        <v>760</v>
      </c>
      <c r="O28" s="350">
        <v>42455</v>
      </c>
      <c r="P28" s="253"/>
      <c r="S28" s="210">
        <v>22</v>
      </c>
      <c r="T28" s="230">
        <v>90.843123704215628</v>
      </c>
    </row>
    <row r="29" spans="1:20" ht="15.75">
      <c r="A29" s="210">
        <v>23</v>
      </c>
      <c r="B29" s="234">
        <v>3.0787037037037036E-2</v>
      </c>
      <c r="C29" s="217">
        <f t="shared" si="1"/>
        <v>44.333333333333336</v>
      </c>
      <c r="D29" s="217">
        <f t="shared" si="0"/>
        <v>43.81666666666667</v>
      </c>
      <c r="E29" s="232">
        <f>'10K'!$E29*(1-$K$2)+H.Marathon!$E29*$K$2</f>
        <v>1</v>
      </c>
      <c r="F29" s="230">
        <f t="shared" si="2"/>
        <v>98.834586466165419</v>
      </c>
      <c r="G29" s="210">
        <v>23</v>
      </c>
      <c r="H29" s="342" t="s">
        <v>1789</v>
      </c>
      <c r="I29" s="360" t="s">
        <v>1015</v>
      </c>
      <c r="J29" s="360" t="s">
        <v>1016</v>
      </c>
      <c r="K29" s="360" t="s">
        <v>248</v>
      </c>
      <c r="L29" s="324">
        <v>35874</v>
      </c>
      <c r="M29" s="288" t="s">
        <v>1871</v>
      </c>
      <c r="N29" s="360" t="s">
        <v>751</v>
      </c>
      <c r="O29" s="352">
        <v>44493</v>
      </c>
      <c r="P29" s="343" t="s">
        <v>1328</v>
      </c>
      <c r="S29" s="210">
        <v>23</v>
      </c>
      <c r="T29" s="230">
        <v>98.834586466165419</v>
      </c>
    </row>
    <row r="30" spans="1:20">
      <c r="A30" s="210">
        <v>24</v>
      </c>
      <c r="B30" s="234">
        <v>3.2268518518518516E-2</v>
      </c>
      <c r="C30" s="217">
        <f t="shared" si="1"/>
        <v>46.466666666666661</v>
      </c>
      <c r="D30" s="217">
        <f t="shared" si="0"/>
        <v>43.81666666666667</v>
      </c>
      <c r="E30" s="232">
        <f>'10K'!$E30*(1-$K$2)+H.Marathon!$E30*$K$2</f>
        <v>1</v>
      </c>
      <c r="F30" s="230">
        <f t="shared" si="2"/>
        <v>94.296987087517948</v>
      </c>
      <c r="G30" s="210">
        <v>24</v>
      </c>
      <c r="H30" s="325" t="s">
        <v>1790</v>
      </c>
      <c r="I30" s="256" t="s">
        <v>246</v>
      </c>
      <c r="J30" s="256" t="s">
        <v>530</v>
      </c>
      <c r="K30" s="256" t="s">
        <v>248</v>
      </c>
      <c r="L30" s="257">
        <v>31199</v>
      </c>
      <c r="M30" s="253"/>
      <c r="N30" s="256" t="s">
        <v>1860</v>
      </c>
      <c r="O30" s="350">
        <v>40132</v>
      </c>
      <c r="P30" s="253"/>
      <c r="S30" s="210">
        <v>24</v>
      </c>
      <c r="T30" s="230">
        <v>94.296987087517948</v>
      </c>
    </row>
    <row r="31" spans="1:20">
      <c r="A31" s="210">
        <v>25</v>
      </c>
      <c r="B31" s="234">
        <v>3.2604166666666663E-2</v>
      </c>
      <c r="C31" s="217">
        <f t="shared" si="1"/>
        <v>46.949999999999996</v>
      </c>
      <c r="D31" s="217">
        <f t="shared" si="0"/>
        <v>43.81666666666667</v>
      </c>
      <c r="E31" s="232">
        <f>'10K'!$E31*(1-$K$2)+H.Marathon!$E31*$K$2</f>
        <v>1</v>
      </c>
      <c r="F31" s="230">
        <f t="shared" si="2"/>
        <v>93.326233581824653</v>
      </c>
      <c r="G31" s="210">
        <v>25</v>
      </c>
      <c r="H31" s="325" t="s">
        <v>1791</v>
      </c>
      <c r="I31" s="256" t="s">
        <v>1868</v>
      </c>
      <c r="J31" s="256" t="s">
        <v>1869</v>
      </c>
      <c r="K31" s="256" t="s">
        <v>248</v>
      </c>
      <c r="L31" s="257">
        <v>30573</v>
      </c>
      <c r="M31" s="253"/>
      <c r="N31" s="256" t="s">
        <v>1860</v>
      </c>
      <c r="O31" s="350">
        <v>39768</v>
      </c>
      <c r="P31" s="253"/>
      <c r="S31" s="210">
        <v>25</v>
      </c>
      <c r="T31" s="230">
        <v>93.326233581824653</v>
      </c>
    </row>
    <row r="32" spans="1:20">
      <c r="A32" s="210">
        <v>26</v>
      </c>
      <c r="B32" s="234">
        <v>3.3194444444444443E-2</v>
      </c>
      <c r="C32" s="217">
        <f t="shared" si="1"/>
        <v>47.8</v>
      </c>
      <c r="D32" s="217">
        <f t="shared" si="0"/>
        <v>43.81666666666667</v>
      </c>
      <c r="E32" s="232">
        <f>'10K'!$E32*(1-$K$2)+H.Marathon!$E32*$K$2</f>
        <v>1</v>
      </c>
      <c r="F32" s="230">
        <f t="shared" si="2"/>
        <v>91.666666666666671</v>
      </c>
      <c r="G32" s="210">
        <v>26</v>
      </c>
      <c r="H32" s="325" t="s">
        <v>1792</v>
      </c>
      <c r="I32" s="256" t="s">
        <v>1872</v>
      </c>
      <c r="J32" s="256" t="s">
        <v>1873</v>
      </c>
      <c r="K32" s="256" t="s">
        <v>248</v>
      </c>
      <c r="L32" s="257">
        <v>30345</v>
      </c>
      <c r="M32" s="253"/>
      <c r="N32" s="256" t="s">
        <v>1860</v>
      </c>
      <c r="O32" s="350">
        <v>40132</v>
      </c>
      <c r="P32" s="253"/>
      <c r="S32" s="210">
        <v>26</v>
      </c>
      <c r="T32" s="230">
        <v>91.666666666666671</v>
      </c>
    </row>
    <row r="33" spans="1:20">
      <c r="A33" s="210">
        <v>27</v>
      </c>
      <c r="B33" s="234">
        <v>3.2662037037037038E-2</v>
      </c>
      <c r="C33" s="217">
        <f t="shared" si="1"/>
        <v>47.033333333333331</v>
      </c>
      <c r="D33" s="217">
        <f t="shared" si="0"/>
        <v>43.81666666666667</v>
      </c>
      <c r="E33" s="232">
        <f>'10K'!$E33*(1-$K$2)+H.Marathon!$E33*$K$2</f>
        <v>1</v>
      </c>
      <c r="F33" s="230">
        <f t="shared" si="2"/>
        <v>93.160878809355069</v>
      </c>
      <c r="G33" s="210">
        <v>27</v>
      </c>
      <c r="H33" s="325" t="s">
        <v>1793</v>
      </c>
      <c r="I33" s="256" t="s">
        <v>252</v>
      </c>
      <c r="J33" s="256" t="s">
        <v>253</v>
      </c>
      <c r="K33" s="256" t="s">
        <v>244</v>
      </c>
      <c r="L33" s="257">
        <v>28256</v>
      </c>
      <c r="M33" s="253"/>
      <c r="N33" s="256" t="s">
        <v>1860</v>
      </c>
      <c r="O33" s="350">
        <v>38312</v>
      </c>
      <c r="P33" s="253"/>
      <c r="S33" s="210">
        <v>27</v>
      </c>
      <c r="T33" s="230">
        <v>93.220507673607813</v>
      </c>
    </row>
    <row r="34" spans="1:20">
      <c r="A34" s="210">
        <v>28</v>
      </c>
      <c r="B34" s="234">
        <v>3.3009259259259259E-2</v>
      </c>
      <c r="C34" s="217">
        <f t="shared" si="1"/>
        <v>47.533333333333331</v>
      </c>
      <c r="D34" s="217">
        <f t="shared" si="0"/>
        <v>43.82543175301727</v>
      </c>
      <c r="E34" s="232">
        <f>'10K'!$E34*(1-$K$2)+H.Marathon!$E34*$K$2</f>
        <v>0.99980000000000002</v>
      </c>
      <c r="F34" s="230">
        <f t="shared" si="2"/>
        <v>92.199365539307024</v>
      </c>
      <c r="G34" s="210">
        <v>28</v>
      </c>
      <c r="H34" s="325" t="s">
        <v>1794</v>
      </c>
      <c r="I34" s="256" t="s">
        <v>1179</v>
      </c>
      <c r="J34" s="256" t="s">
        <v>1183</v>
      </c>
      <c r="K34" s="256" t="s">
        <v>244</v>
      </c>
      <c r="L34" s="257">
        <v>31461</v>
      </c>
      <c r="M34" s="253"/>
      <c r="N34" s="256" t="s">
        <v>1860</v>
      </c>
      <c r="O34" s="350">
        <v>41959</v>
      </c>
      <c r="P34" s="253"/>
      <c r="S34" s="210">
        <v>28</v>
      </c>
      <c r="T34" s="230">
        <v>92.300597969324812</v>
      </c>
    </row>
    <row r="35" spans="1:20">
      <c r="A35" s="210">
        <v>29</v>
      </c>
      <c r="B35" s="234">
        <v>3.3333333333333333E-2</v>
      </c>
      <c r="C35" s="217">
        <f t="shared" si="1"/>
        <v>48</v>
      </c>
      <c r="D35" s="217">
        <f t="shared" si="0"/>
        <v>43.856137190137787</v>
      </c>
      <c r="E35" s="232">
        <f>'10K'!$E35*(1-$K$2)+H.Marathon!$E35*$K$2</f>
        <v>0.9991000000000001</v>
      </c>
      <c r="F35" s="230">
        <f t="shared" si="2"/>
        <v>91.366952479453715</v>
      </c>
      <c r="G35" s="210">
        <v>29</v>
      </c>
      <c r="H35" s="325" t="s">
        <v>1795</v>
      </c>
      <c r="I35" s="256" t="s">
        <v>251</v>
      </c>
      <c r="J35" s="256" t="s">
        <v>1874</v>
      </c>
      <c r="K35" s="256" t="s">
        <v>244</v>
      </c>
      <c r="L35" s="257">
        <v>27962</v>
      </c>
      <c r="M35" s="253"/>
      <c r="N35" s="256" t="s">
        <v>1860</v>
      </c>
      <c r="O35" s="350">
        <v>38676</v>
      </c>
      <c r="P35" s="253"/>
      <c r="S35" s="210">
        <v>29</v>
      </c>
      <c r="T35" s="230">
        <v>91.496662947881191</v>
      </c>
    </row>
    <row r="36" spans="1:20">
      <c r="A36" s="210">
        <v>30</v>
      </c>
      <c r="B36" s="234">
        <v>3.2627314814814817E-2</v>
      </c>
      <c r="C36" s="217">
        <f t="shared" si="1"/>
        <v>46.983333333333334</v>
      </c>
      <c r="D36" s="217">
        <f t="shared" si="0"/>
        <v>43.906864997531038</v>
      </c>
      <c r="E36" s="232">
        <f>'10K'!$E36*(1-$K$2)+H.Marathon!$E36*$K$2</f>
        <v>0.99794568956655327</v>
      </c>
      <c r="F36" s="230">
        <f t="shared" si="2"/>
        <v>93.452000704216459</v>
      </c>
      <c r="G36" s="210">
        <v>30</v>
      </c>
      <c r="H36" s="325" t="s">
        <v>1796</v>
      </c>
      <c r="I36" s="256" t="s">
        <v>557</v>
      </c>
      <c r="J36" s="256" t="s">
        <v>1875</v>
      </c>
      <c r="K36" s="256" t="s">
        <v>244</v>
      </c>
      <c r="L36" s="257">
        <v>30857</v>
      </c>
      <c r="M36" s="253"/>
      <c r="N36" s="256" t="s">
        <v>1860</v>
      </c>
      <c r="O36" s="350">
        <v>41959</v>
      </c>
      <c r="P36" s="253"/>
      <c r="S36" s="210">
        <v>30</v>
      </c>
      <c r="T36" s="230">
        <v>93.614869755044637</v>
      </c>
    </row>
    <row r="37" spans="1:20">
      <c r="A37" s="210">
        <v>31</v>
      </c>
      <c r="B37" s="234">
        <v>3.2835648148148149E-2</v>
      </c>
      <c r="C37" s="217">
        <f t="shared" si="1"/>
        <v>47.283333333333331</v>
      </c>
      <c r="D37" s="217">
        <f t="shared" si="0"/>
        <v>43.979770962981178</v>
      </c>
      <c r="E37" s="232">
        <f>'10K'!$E37*(1-$K$2)+H.Marathon!$E37*$K$2</f>
        <v>0.9962913791331065</v>
      </c>
      <c r="F37" s="230">
        <f t="shared" si="2"/>
        <v>93.01326252304797</v>
      </c>
      <c r="G37" s="210">
        <v>31</v>
      </c>
      <c r="H37" s="325" t="s">
        <v>1797</v>
      </c>
      <c r="I37" s="256" t="s">
        <v>536</v>
      </c>
      <c r="J37" s="256" t="s">
        <v>537</v>
      </c>
      <c r="K37" s="256" t="s">
        <v>509</v>
      </c>
      <c r="L37" s="257">
        <v>20535</v>
      </c>
      <c r="M37" s="253"/>
      <c r="N37" s="256" t="s">
        <v>1876</v>
      </c>
      <c r="O37" s="350">
        <v>32102</v>
      </c>
      <c r="P37" s="253"/>
      <c r="S37" s="210">
        <v>31</v>
      </c>
      <c r="T37" s="230">
        <v>93.192761565981868</v>
      </c>
    </row>
    <row r="38" spans="1:20">
      <c r="A38" s="210">
        <v>32</v>
      </c>
      <c r="B38" s="234">
        <v>3.2638888888888891E-2</v>
      </c>
      <c r="C38" s="217">
        <f t="shared" si="1"/>
        <v>47</v>
      </c>
      <c r="D38" s="217">
        <f t="shared" si="0"/>
        <v>44.070642753215289</v>
      </c>
      <c r="E38" s="232">
        <f>'10K'!$E38*(1-$K$2)+H.Marathon!$E38*$K$2</f>
        <v>0.99423706869965978</v>
      </c>
      <c r="F38" s="230">
        <f t="shared" si="2"/>
        <v>93.767325006841034</v>
      </c>
      <c r="G38" s="210">
        <v>32</v>
      </c>
      <c r="H38" s="325" t="s">
        <v>1798</v>
      </c>
      <c r="I38" s="256" t="s">
        <v>538</v>
      </c>
      <c r="J38" s="256" t="s">
        <v>539</v>
      </c>
      <c r="K38" s="256" t="s">
        <v>217</v>
      </c>
      <c r="L38" s="257">
        <v>29775</v>
      </c>
      <c r="M38" s="253" t="s">
        <v>1851</v>
      </c>
      <c r="N38" s="256" t="s">
        <v>1852</v>
      </c>
      <c r="O38" s="350">
        <v>41713</v>
      </c>
      <c r="P38" s="253"/>
      <c r="S38" s="210">
        <v>32</v>
      </c>
      <c r="T38" s="230">
        <v>93.96595986885437</v>
      </c>
    </row>
    <row r="39" spans="1:20">
      <c r="A39" s="210">
        <v>33</v>
      </c>
      <c r="B39" s="234">
        <v>3.3067129629629627E-2</v>
      </c>
      <c r="C39" s="217">
        <f t="shared" si="1"/>
        <v>47.61666666666666</v>
      </c>
      <c r="D39" s="217">
        <f t="shared" si="0"/>
        <v>44.182121388591462</v>
      </c>
      <c r="E39" s="232">
        <f>'10K'!$E39*(1-$K$2)+H.Marathon!$E39*$K$2</f>
        <v>0.99172844783276615</v>
      </c>
      <c r="F39" s="230">
        <f t="shared" si="2"/>
        <v>92.787094270755617</v>
      </c>
      <c r="G39" s="210">
        <v>33</v>
      </c>
      <c r="H39" s="325" t="s">
        <v>1799</v>
      </c>
      <c r="I39" s="256" t="s">
        <v>265</v>
      </c>
      <c r="J39" s="256" t="s">
        <v>533</v>
      </c>
      <c r="K39" s="256" t="s">
        <v>266</v>
      </c>
      <c r="L39" s="257">
        <v>27150</v>
      </c>
      <c r="M39" s="253"/>
      <c r="N39" s="256" t="s">
        <v>1860</v>
      </c>
      <c r="O39" s="350">
        <v>39404</v>
      </c>
      <c r="P39" s="253"/>
      <c r="S39" s="210">
        <v>33</v>
      </c>
      <c r="T39" s="230">
        <v>93.001325811379715</v>
      </c>
    </row>
    <row r="40" spans="1:20">
      <c r="A40" s="210">
        <v>34</v>
      </c>
      <c r="B40" s="234">
        <v>3.2870370370370369E-2</v>
      </c>
      <c r="C40" s="217">
        <f t="shared" si="1"/>
        <v>47.333333333333329</v>
      </c>
      <c r="D40" s="217">
        <f t="shared" si="0"/>
        <v>44.316565190291342</v>
      </c>
      <c r="E40" s="232">
        <f>'10K'!$E40*(1-$K$2)+H.Marathon!$E40*$K$2</f>
        <v>0.98871982696587257</v>
      </c>
      <c r="F40" s="230">
        <f t="shared" si="2"/>
        <v>93.626546176671852</v>
      </c>
      <c r="G40" s="210">
        <v>34</v>
      </c>
      <c r="H40" s="325" t="s">
        <v>1800</v>
      </c>
      <c r="I40" s="256" t="s">
        <v>291</v>
      </c>
      <c r="J40" s="256" t="s">
        <v>1877</v>
      </c>
      <c r="K40" s="256" t="s">
        <v>217</v>
      </c>
      <c r="L40" s="257">
        <v>26709</v>
      </c>
      <c r="M40" s="253" t="s">
        <v>1851</v>
      </c>
      <c r="N40" s="256" t="s">
        <v>1852</v>
      </c>
      <c r="O40" s="350">
        <v>39151</v>
      </c>
      <c r="P40" s="253"/>
      <c r="S40" s="210">
        <v>34</v>
      </c>
      <c r="T40" s="230">
        <v>93.847722027351892</v>
      </c>
    </row>
    <row r="41" spans="1:20">
      <c r="A41" s="210">
        <v>35</v>
      </c>
      <c r="B41" s="234">
        <v>3.4305555555555554E-2</v>
      </c>
      <c r="C41" s="217">
        <f t="shared" si="1"/>
        <v>49.4</v>
      </c>
      <c r="D41" s="217">
        <f t="shared" si="0"/>
        <v>44.471937697440588</v>
      </c>
      <c r="E41" s="232">
        <f>'10K'!$E41*(1-$K$2)+H.Marathon!$E41*$K$2</f>
        <v>0.985265516532426</v>
      </c>
      <c r="F41" s="230">
        <f t="shared" si="2"/>
        <v>90.024165379434393</v>
      </c>
      <c r="G41" s="210">
        <v>35</v>
      </c>
      <c r="H41" s="325" t="s">
        <v>1801</v>
      </c>
      <c r="I41" s="256" t="s">
        <v>1363</v>
      </c>
      <c r="J41" s="256" t="s">
        <v>1518</v>
      </c>
      <c r="K41" s="256" t="s">
        <v>217</v>
      </c>
      <c r="L41" s="257">
        <v>28724</v>
      </c>
      <c r="M41" s="253" t="s">
        <v>1851</v>
      </c>
      <c r="N41" s="256" t="s">
        <v>1852</v>
      </c>
      <c r="O41" s="350">
        <v>41713</v>
      </c>
      <c r="P41" s="253"/>
      <c r="S41" s="210">
        <v>35</v>
      </c>
      <c r="T41" s="230">
        <v>90.237578621883486</v>
      </c>
    </row>
    <row r="42" spans="1:20">
      <c r="A42" s="210">
        <v>36</v>
      </c>
      <c r="B42" s="234">
        <v>3.4386574074074076E-2</v>
      </c>
      <c r="C42" s="217">
        <f t="shared" si="1"/>
        <v>49.516666666666673</v>
      </c>
      <c r="D42" s="217">
        <f t="shared" ref="D42:D73" si="3">E$4/E42</f>
        <v>44.649063821935314</v>
      </c>
      <c r="E42" s="232">
        <f>'10K'!$E42*(1-$K$2)+H.Marathon!$E42*$K$2</f>
        <v>0.98135689566553241</v>
      </c>
      <c r="F42" s="230">
        <f t="shared" si="2"/>
        <v>90.169768741707117</v>
      </c>
      <c r="G42" s="210">
        <v>36</v>
      </c>
      <c r="H42" s="325" t="s">
        <v>1802</v>
      </c>
      <c r="I42" s="256" t="s">
        <v>289</v>
      </c>
      <c r="J42" s="256" t="s">
        <v>1878</v>
      </c>
      <c r="K42" s="256" t="s">
        <v>217</v>
      </c>
      <c r="L42" s="257">
        <v>27211</v>
      </c>
      <c r="M42" s="253" t="s">
        <v>1851</v>
      </c>
      <c r="N42" s="256" t="s">
        <v>1852</v>
      </c>
      <c r="O42" s="350">
        <v>40614</v>
      </c>
      <c r="P42" s="253"/>
      <c r="S42" s="210">
        <v>36</v>
      </c>
      <c r="T42" s="230">
        <v>90.375945160493771</v>
      </c>
    </row>
    <row r="43" spans="1:20">
      <c r="A43" s="210">
        <v>37</v>
      </c>
      <c r="B43" s="234">
        <v>3.3958333333333333E-2</v>
      </c>
      <c r="C43" s="217">
        <f t="shared" si="1"/>
        <v>48.9</v>
      </c>
      <c r="D43" s="217">
        <f t="shared" si="3"/>
        <v>44.848451745694071</v>
      </c>
      <c r="E43" s="232">
        <f>'10K'!$E43*(1-$K$2)+H.Marathon!$E43*$K$2</f>
        <v>0.97699396436519215</v>
      </c>
      <c r="F43" s="230">
        <f t="shared" si="2"/>
        <v>91.714625246818144</v>
      </c>
      <c r="G43" s="210">
        <v>37</v>
      </c>
      <c r="H43" s="325" t="s">
        <v>1254</v>
      </c>
      <c r="I43" s="256" t="s">
        <v>761</v>
      </c>
      <c r="J43" s="256" t="s">
        <v>762</v>
      </c>
      <c r="K43" s="256" t="s">
        <v>244</v>
      </c>
      <c r="L43" s="257">
        <v>29113</v>
      </c>
      <c r="M43" s="253"/>
      <c r="N43" s="256" t="s">
        <v>1879</v>
      </c>
      <c r="O43" s="350">
        <v>42708</v>
      </c>
      <c r="P43" s="253"/>
      <c r="S43" s="210">
        <v>37</v>
      </c>
      <c r="T43" s="230">
        <v>91.920964077593155</v>
      </c>
    </row>
    <row r="44" spans="1:20">
      <c r="A44" s="210">
        <v>38</v>
      </c>
      <c r="B44" s="234">
        <v>3.3831018518518517E-2</v>
      </c>
      <c r="C44" s="217">
        <f t="shared" si="1"/>
        <v>48.716666666666661</v>
      </c>
      <c r="D44" s="217">
        <f t="shared" si="3"/>
        <v>45.072799012006861</v>
      </c>
      <c r="E44" s="232">
        <f>'10K'!$E44*(1-$K$2)+H.Marathon!$E44*$K$2</f>
        <v>0.97213103306485193</v>
      </c>
      <c r="F44" s="230">
        <f t="shared" si="2"/>
        <v>92.520285347944295</v>
      </c>
      <c r="G44" s="210">
        <v>38</v>
      </c>
      <c r="H44" s="325" t="s">
        <v>1803</v>
      </c>
      <c r="I44" s="256" t="s">
        <v>1880</v>
      </c>
      <c r="J44" s="256" t="s">
        <v>1881</v>
      </c>
      <c r="K44" s="256" t="s">
        <v>217</v>
      </c>
      <c r="L44" s="257">
        <v>19321</v>
      </c>
      <c r="M44" s="253" t="s">
        <v>1851</v>
      </c>
      <c r="N44" s="256" t="s">
        <v>1852</v>
      </c>
      <c r="O44" s="350">
        <v>33306</v>
      </c>
      <c r="P44" s="253"/>
      <c r="S44" s="210">
        <v>38</v>
      </c>
      <c r="T44" s="230">
        <v>92.712011303121386</v>
      </c>
    </row>
    <row r="45" spans="1:20">
      <c r="A45" s="210">
        <v>39</v>
      </c>
      <c r="B45" s="234">
        <v>3.4050925925925929E-2</v>
      </c>
      <c r="C45" s="217">
        <f t="shared" si="1"/>
        <v>49.033333333333339</v>
      </c>
      <c r="D45" s="217">
        <f t="shared" si="3"/>
        <v>45.318142760840161</v>
      </c>
      <c r="E45" s="232">
        <f>'10K'!$E45*(1-$K$2)+H.Marathon!$E45*$K$2</f>
        <v>0.96686810176451166</v>
      </c>
      <c r="F45" s="230">
        <f t="shared" si="2"/>
        <v>92.423132754942543</v>
      </c>
      <c r="G45" s="210">
        <v>39</v>
      </c>
      <c r="H45" s="325" t="s">
        <v>1804</v>
      </c>
      <c r="I45" s="256" t="s">
        <v>284</v>
      </c>
      <c r="J45" s="256" t="s">
        <v>548</v>
      </c>
      <c r="K45" s="256" t="s">
        <v>244</v>
      </c>
      <c r="L45" s="257">
        <v>24566</v>
      </c>
      <c r="M45" s="253"/>
      <c r="N45" s="256" t="s">
        <v>1860</v>
      </c>
      <c r="O45" s="350">
        <v>39040</v>
      </c>
      <c r="P45" s="253"/>
      <c r="S45" s="210">
        <v>39</v>
      </c>
      <c r="T45" s="230">
        <v>92.5937787973875</v>
      </c>
    </row>
    <row r="46" spans="1:20">
      <c r="A46" s="210">
        <v>40</v>
      </c>
      <c r="B46" s="234">
        <v>3.4432870370370371E-2</v>
      </c>
      <c r="C46" s="217">
        <f t="shared" si="1"/>
        <v>49.583333333333336</v>
      </c>
      <c r="D46" s="217">
        <f t="shared" si="3"/>
        <v>45.589877167662259</v>
      </c>
      <c r="E46" s="232">
        <f>'10K'!$E46*(1-$K$2)+H.Marathon!$E46*$K$2</f>
        <v>0.96110517046417143</v>
      </c>
      <c r="F46" s="230">
        <f t="shared" si="2"/>
        <v>91.945970758310438</v>
      </c>
      <c r="G46" s="210">
        <v>40</v>
      </c>
      <c r="H46" s="325" t="s">
        <v>1805</v>
      </c>
      <c r="I46" s="256" t="s">
        <v>557</v>
      </c>
      <c r="J46" s="256" t="s">
        <v>558</v>
      </c>
      <c r="K46" s="256" t="s">
        <v>217</v>
      </c>
      <c r="L46" s="257">
        <v>16398</v>
      </c>
      <c r="M46" s="253" t="s">
        <v>1851</v>
      </c>
      <c r="N46" s="256" t="s">
        <v>1852</v>
      </c>
      <c r="O46" s="350">
        <v>31115</v>
      </c>
      <c r="P46" s="253"/>
      <c r="S46" s="210">
        <v>40</v>
      </c>
      <c r="T46" s="230">
        <v>92.090439739807493</v>
      </c>
    </row>
    <row r="47" spans="1:20">
      <c r="A47" s="210">
        <v>41</v>
      </c>
      <c r="B47" s="234">
        <v>3.5011574074074077E-2</v>
      </c>
      <c r="C47" s="217">
        <f t="shared" si="1"/>
        <v>50.416666666666671</v>
      </c>
      <c r="D47" s="217">
        <f t="shared" si="3"/>
        <v>45.886711255136667</v>
      </c>
      <c r="E47" s="232">
        <f>'10K'!$E47*(1-$K$2)+H.Marathon!$E47*$K$2</f>
        <v>0.95488792873038442</v>
      </c>
      <c r="F47" s="230">
        <f t="shared" si="2"/>
        <v>91.014964472998344</v>
      </c>
      <c r="G47" s="210">
        <v>41</v>
      </c>
      <c r="H47" s="325" t="s">
        <v>1806</v>
      </c>
      <c r="I47" s="256" t="s">
        <v>557</v>
      </c>
      <c r="J47" s="256" t="s">
        <v>558</v>
      </c>
      <c r="K47" s="256" t="s">
        <v>217</v>
      </c>
      <c r="L47" s="257">
        <v>16398</v>
      </c>
      <c r="M47" s="253" t="s">
        <v>1882</v>
      </c>
      <c r="N47" s="256" t="s">
        <v>1883</v>
      </c>
      <c r="O47" s="350">
        <v>31451</v>
      </c>
      <c r="P47" s="253"/>
      <c r="S47" s="210">
        <v>41</v>
      </c>
      <c r="T47" s="230">
        <v>91.128332713736938</v>
      </c>
    </row>
    <row r="48" spans="1:20">
      <c r="A48" s="210">
        <v>42</v>
      </c>
      <c r="B48" s="234">
        <v>3.5393518518518519E-2</v>
      </c>
      <c r="C48" s="217">
        <f t="shared" si="1"/>
        <v>50.966666666666669</v>
      </c>
      <c r="D48" s="217">
        <f t="shared" si="3"/>
        <v>46.209565400549174</v>
      </c>
      <c r="E48" s="232">
        <f>'10K'!$E48*(1-$K$2)+H.Marathon!$E48*$K$2</f>
        <v>0.94821637656315061</v>
      </c>
      <c r="F48" s="230">
        <f t="shared" si="2"/>
        <v>90.666249968376405</v>
      </c>
      <c r="G48" s="210">
        <v>42</v>
      </c>
      <c r="H48" s="325" t="s">
        <v>1807</v>
      </c>
      <c r="I48" s="256" t="s">
        <v>879</v>
      </c>
      <c r="J48" s="256" t="s">
        <v>880</v>
      </c>
      <c r="K48" s="256" t="s">
        <v>295</v>
      </c>
      <c r="L48" s="257">
        <v>22473</v>
      </c>
      <c r="M48" s="253" t="s">
        <v>1851</v>
      </c>
      <c r="N48" s="256" t="s">
        <v>1852</v>
      </c>
      <c r="O48" s="350">
        <v>38059</v>
      </c>
      <c r="P48" s="253"/>
      <c r="S48" s="210">
        <v>42</v>
      </c>
      <c r="T48" s="230">
        <v>90.744955377870014</v>
      </c>
    </row>
    <row r="49" spans="1:20">
      <c r="A49" s="210">
        <v>43</v>
      </c>
      <c r="B49" s="234">
        <v>3.4664351851851849E-2</v>
      </c>
      <c r="C49" s="217">
        <f t="shared" si="1"/>
        <v>49.916666666666664</v>
      </c>
      <c r="D49" s="217">
        <f t="shared" si="3"/>
        <v>46.561294565400459</v>
      </c>
      <c r="E49" s="232">
        <f>'10K'!$E49*(1-$K$2)+H.Marathon!$E49*$K$2</f>
        <v>0.94105344526281032</v>
      </c>
      <c r="F49" s="230">
        <f t="shared" si="2"/>
        <v>93.278052551720464</v>
      </c>
      <c r="G49" s="210">
        <v>43</v>
      </c>
      <c r="H49" s="325" t="s">
        <v>1808</v>
      </c>
      <c r="I49" s="256" t="s">
        <v>575</v>
      </c>
      <c r="J49" s="256" t="s">
        <v>576</v>
      </c>
      <c r="K49" s="256" t="s">
        <v>552</v>
      </c>
      <c r="L49" s="257">
        <v>18655</v>
      </c>
      <c r="M49" s="253"/>
      <c r="N49" s="256" t="s">
        <v>1884</v>
      </c>
      <c r="O49" s="350">
        <v>34483</v>
      </c>
      <c r="P49" s="253"/>
      <c r="S49" s="210">
        <v>43</v>
      </c>
      <c r="T49" s="230">
        <v>93.309764862144888</v>
      </c>
    </row>
    <row r="50" spans="1:20">
      <c r="A50" s="210">
        <v>44</v>
      </c>
      <c r="B50" s="234">
        <v>3.528935185185185E-2</v>
      </c>
      <c r="C50" s="217">
        <f t="shared" si="1"/>
        <v>50.816666666666663</v>
      </c>
      <c r="D50" s="217">
        <f t="shared" si="3"/>
        <v>46.938957242505829</v>
      </c>
      <c r="E50" s="232">
        <f>'10K'!$E50*(1-$K$2)+H.Marathon!$E50*$K$2</f>
        <v>0.93348189309557661</v>
      </c>
      <c r="F50" s="230">
        <f t="shared" si="2"/>
        <v>92.369217269608058</v>
      </c>
      <c r="G50" s="210">
        <v>44</v>
      </c>
      <c r="H50" s="325" t="s">
        <v>1249</v>
      </c>
      <c r="I50" s="256" t="s">
        <v>575</v>
      </c>
      <c r="J50" s="256" t="s">
        <v>576</v>
      </c>
      <c r="K50" s="256" t="s">
        <v>552</v>
      </c>
      <c r="L50" s="257">
        <v>18655</v>
      </c>
      <c r="M50" s="253"/>
      <c r="N50" s="256" t="s">
        <v>1884</v>
      </c>
      <c r="O50" s="350">
        <v>34819</v>
      </c>
      <c r="P50" s="253"/>
      <c r="S50" s="210">
        <v>44</v>
      </c>
      <c r="T50" s="230">
        <v>92.351136647218638</v>
      </c>
    </row>
    <row r="51" spans="1:20">
      <c r="A51" s="210">
        <v>45</v>
      </c>
      <c r="B51" s="234">
        <v>3.4583333333333334E-2</v>
      </c>
      <c r="C51" s="217">
        <f t="shared" si="1"/>
        <v>49.800000000000004</v>
      </c>
      <c r="D51" s="217">
        <f t="shared" si="3"/>
        <v>47.348365075228315</v>
      </c>
      <c r="E51" s="232">
        <f>'10K'!$E51*(1-$K$2)+H.Marathon!$E51*$K$2</f>
        <v>0.92541034092834273</v>
      </c>
      <c r="F51" s="230">
        <f t="shared" ref="F51:F87" si="4">100*(D51/C51)</f>
        <v>95.077038303671316</v>
      </c>
      <c r="G51" s="210">
        <v>45</v>
      </c>
      <c r="H51" s="325" t="s">
        <v>1809</v>
      </c>
      <c r="I51" s="256" t="s">
        <v>568</v>
      </c>
      <c r="J51" s="256" t="s">
        <v>569</v>
      </c>
      <c r="K51" s="256" t="s">
        <v>570</v>
      </c>
      <c r="L51" s="257">
        <v>15372</v>
      </c>
      <c r="M51" s="253"/>
      <c r="N51" s="256" t="s">
        <v>1876</v>
      </c>
      <c r="O51" s="350">
        <v>32102</v>
      </c>
      <c r="P51" s="253"/>
      <c r="S51" s="210">
        <v>45</v>
      </c>
      <c r="T51" s="230">
        <v>95.001990950578218</v>
      </c>
    </row>
    <row r="52" spans="1:20">
      <c r="A52" s="210">
        <v>46</v>
      </c>
      <c r="B52" s="234">
        <v>3.650462962962963E-2</v>
      </c>
      <c r="C52" s="217">
        <f t="shared" si="1"/>
        <v>52.56666666666667</v>
      </c>
      <c r="D52" s="217">
        <f t="shared" si="3"/>
        <v>47.788195488827867</v>
      </c>
      <c r="E52" s="232">
        <f>'10K'!$E52*(1-$K$2)+H.Marathon!$E52*$K$2</f>
        <v>0.91689309919455575</v>
      </c>
      <c r="F52" s="230">
        <f t="shared" si="4"/>
        <v>90.909693383946475</v>
      </c>
      <c r="G52" s="210">
        <v>46</v>
      </c>
      <c r="H52" s="325" t="s">
        <v>1810</v>
      </c>
      <c r="I52" s="256" t="s">
        <v>557</v>
      </c>
      <c r="J52" s="256" t="s">
        <v>558</v>
      </c>
      <c r="K52" s="256" t="s">
        <v>217</v>
      </c>
      <c r="L52" s="257">
        <v>16398</v>
      </c>
      <c r="M52" s="253" t="s">
        <v>1882</v>
      </c>
      <c r="N52" s="256" t="s">
        <v>1883</v>
      </c>
      <c r="O52" s="350">
        <v>33278</v>
      </c>
      <c r="P52" s="253"/>
      <c r="S52" s="210">
        <v>46</v>
      </c>
      <c r="T52" s="230">
        <v>90.773993014989443</v>
      </c>
    </row>
    <row r="53" spans="1:20">
      <c r="A53" s="210">
        <v>47</v>
      </c>
      <c r="B53" s="234">
        <v>3.5949074074074071E-2</v>
      </c>
      <c r="C53" s="217">
        <f t="shared" si="1"/>
        <v>51.766666666666659</v>
      </c>
      <c r="D53" s="217">
        <f t="shared" si="3"/>
        <v>48.257982117327686</v>
      </c>
      <c r="E53" s="232">
        <f>'10K'!$E53*(1-$K$2)+H.Marathon!$E53*$K$2</f>
        <v>0.90796723659387524</v>
      </c>
      <c r="F53" s="230">
        <f t="shared" si="4"/>
        <v>93.222116131347761</v>
      </c>
      <c r="G53" s="210">
        <v>47</v>
      </c>
      <c r="H53" s="325" t="s">
        <v>1811</v>
      </c>
      <c r="I53" s="256" t="s">
        <v>301</v>
      </c>
      <c r="J53" s="256" t="s">
        <v>554</v>
      </c>
      <c r="K53" s="256" t="s">
        <v>303</v>
      </c>
      <c r="L53" s="257">
        <v>20152</v>
      </c>
      <c r="M53" s="253" t="s">
        <v>1851</v>
      </c>
      <c r="N53" s="256" t="s">
        <v>1852</v>
      </c>
      <c r="O53" s="350">
        <v>37324</v>
      </c>
      <c r="P53" s="253"/>
      <c r="S53" s="210">
        <v>47</v>
      </c>
      <c r="T53" s="230">
        <v>93.016167940848547</v>
      </c>
    </row>
    <row r="54" spans="1:20">
      <c r="A54" s="210">
        <v>48</v>
      </c>
      <c r="B54" s="234">
        <v>3.5706018518518519E-2</v>
      </c>
      <c r="C54" s="217">
        <f t="shared" si="1"/>
        <v>51.416666666666664</v>
      </c>
      <c r="D54" s="217">
        <f t="shared" si="3"/>
        <v>48.766696853560823</v>
      </c>
      <c r="E54" s="232">
        <f>'10K'!$E54*(1-$K$2)+H.Marathon!$E54*$K$2</f>
        <v>0.89849568442664141</v>
      </c>
      <c r="F54" s="230">
        <f t="shared" si="4"/>
        <v>94.846087883748766</v>
      </c>
      <c r="G54" s="210">
        <v>48</v>
      </c>
      <c r="H54" s="325" t="s">
        <v>1812</v>
      </c>
      <c r="I54" s="256" t="s">
        <v>568</v>
      </c>
      <c r="J54" s="256" t="s">
        <v>569</v>
      </c>
      <c r="K54" s="256" t="s">
        <v>570</v>
      </c>
      <c r="L54" s="257">
        <v>15372</v>
      </c>
      <c r="M54" s="253"/>
      <c r="N54" s="256" t="s">
        <v>300</v>
      </c>
      <c r="O54" s="350">
        <v>33160</v>
      </c>
      <c r="P54" s="253"/>
      <c r="S54" s="210">
        <v>48</v>
      </c>
      <c r="T54" s="230">
        <v>94.55279249346637</v>
      </c>
    </row>
    <row r="55" spans="1:20">
      <c r="A55" s="210">
        <v>49</v>
      </c>
      <c r="B55" s="234">
        <v>3.4907407407407408E-2</v>
      </c>
      <c r="C55" s="217">
        <f t="shared" si="1"/>
        <v>50.266666666666666</v>
      </c>
      <c r="D55" s="217">
        <f t="shared" si="3"/>
        <v>49.311450367092014</v>
      </c>
      <c r="E55" s="232">
        <f>'10K'!$E55*(1-$K$2)+H.Marathon!$E55*$K$2</f>
        <v>0.888569821825961</v>
      </c>
      <c r="F55" s="230">
        <f t="shared" si="4"/>
        <v>98.09970232180109</v>
      </c>
      <c r="G55" s="210">
        <v>49</v>
      </c>
      <c r="H55" s="325" t="s">
        <v>1813</v>
      </c>
      <c r="I55" s="256" t="s">
        <v>301</v>
      </c>
      <c r="J55" s="256" t="s">
        <v>554</v>
      </c>
      <c r="K55" s="256" t="s">
        <v>303</v>
      </c>
      <c r="L55" s="257">
        <v>20152</v>
      </c>
      <c r="M55" s="253" t="s">
        <v>1851</v>
      </c>
      <c r="N55" s="256" t="s">
        <v>1852</v>
      </c>
      <c r="O55" s="350">
        <v>38059</v>
      </c>
      <c r="P55" s="253"/>
      <c r="S55" s="210">
        <v>49</v>
      </c>
      <c r="T55" s="230">
        <v>97.702821898406668</v>
      </c>
    </row>
    <row r="56" spans="1:20">
      <c r="A56" s="210">
        <v>50</v>
      </c>
      <c r="B56" s="234">
        <v>3.6550925925925924E-2</v>
      </c>
      <c r="C56" s="217">
        <f t="shared" si="1"/>
        <v>52.633333333333333</v>
      </c>
      <c r="D56" s="217">
        <f t="shared" si="3"/>
        <v>49.879376143523984</v>
      </c>
      <c r="E56" s="232">
        <f>'10K'!$E56*(1-$K$2)+H.Marathon!$E56*$K$2</f>
        <v>0.87845258009217386</v>
      </c>
      <c r="F56" s="230">
        <f t="shared" si="4"/>
        <v>94.767655750837207</v>
      </c>
      <c r="G56" s="210">
        <v>50</v>
      </c>
      <c r="H56" s="325" t="s">
        <v>1814</v>
      </c>
      <c r="I56" s="256" t="s">
        <v>308</v>
      </c>
      <c r="J56" s="256" t="s">
        <v>1885</v>
      </c>
      <c r="K56" s="256" t="s">
        <v>217</v>
      </c>
      <c r="L56" s="257">
        <v>21382</v>
      </c>
      <c r="M56" s="253" t="s">
        <v>1851</v>
      </c>
      <c r="N56" s="256" t="s">
        <v>1852</v>
      </c>
      <c r="O56" s="350">
        <v>39886</v>
      </c>
      <c r="P56" s="253"/>
      <c r="S56" s="210">
        <v>50</v>
      </c>
      <c r="T56" s="230">
        <v>94.296822628045234</v>
      </c>
    </row>
    <row r="57" spans="1:20">
      <c r="A57" s="210">
        <v>51</v>
      </c>
      <c r="B57" s="234">
        <v>3.9803240740740743E-2</v>
      </c>
      <c r="C57" s="217">
        <f t="shared" si="1"/>
        <v>57.31666666666667</v>
      </c>
      <c r="D57" s="217">
        <f t="shared" si="3"/>
        <v>50.463692350139048</v>
      </c>
      <c r="E57" s="232">
        <f>'10K'!$E57*(1-$K$2)+H.Marathon!$E57*$K$2</f>
        <v>0.86828102792494011</v>
      </c>
      <c r="F57" s="230">
        <f t="shared" si="4"/>
        <v>88.043662140399618</v>
      </c>
      <c r="G57" s="210">
        <v>51</v>
      </c>
      <c r="H57" s="325" t="s">
        <v>1815</v>
      </c>
      <c r="I57" s="256" t="s">
        <v>1886</v>
      </c>
      <c r="J57" s="256" t="s">
        <v>1887</v>
      </c>
      <c r="K57" s="256" t="s">
        <v>276</v>
      </c>
      <c r="L57" s="257">
        <v>21552</v>
      </c>
      <c r="M57" s="253"/>
      <c r="N57" s="256" t="s">
        <v>1888</v>
      </c>
      <c r="O57" s="350">
        <v>40311</v>
      </c>
      <c r="P57" s="253"/>
      <c r="S57" s="210">
        <v>51</v>
      </c>
      <c r="T57" s="230">
        <v>87.53697376576946</v>
      </c>
    </row>
    <row r="58" spans="1:20">
      <c r="A58" s="210">
        <v>52</v>
      </c>
      <c r="B58" s="234">
        <v>3.8761574074074073E-2</v>
      </c>
      <c r="C58" s="217">
        <f t="shared" si="1"/>
        <v>55.816666666666663</v>
      </c>
      <c r="D58" s="217">
        <f t="shared" si="3"/>
        <v>51.061347894909979</v>
      </c>
      <c r="E58" s="232">
        <f>'10K'!$E58*(1-$K$2)+H.Marathon!$E58*$K$2</f>
        <v>0.85811809662459981</v>
      </c>
      <c r="F58" s="230">
        <f t="shared" si="4"/>
        <v>91.480468011185394</v>
      </c>
      <c r="G58" s="210">
        <v>52</v>
      </c>
      <c r="H58" s="325" t="s">
        <v>1816</v>
      </c>
      <c r="I58" s="239" t="s">
        <v>1234</v>
      </c>
      <c r="J58" s="239" t="s">
        <v>1235</v>
      </c>
      <c r="K58" s="256" t="s">
        <v>217</v>
      </c>
      <c r="L58" s="257">
        <v>14922</v>
      </c>
      <c r="M58" s="239" t="s">
        <v>1889</v>
      </c>
      <c r="N58" s="239" t="s">
        <v>1890</v>
      </c>
      <c r="O58" s="353">
        <v>34147</v>
      </c>
      <c r="P58" s="253"/>
      <c r="S58" s="210">
        <v>52</v>
      </c>
      <c r="T58" s="230">
        <v>90.890068163152932</v>
      </c>
    </row>
    <row r="59" spans="1:20">
      <c r="A59" s="210">
        <v>53</v>
      </c>
      <c r="B59" s="234">
        <v>3.9687500000000001E-2</v>
      </c>
      <c r="C59" s="217">
        <f t="shared" si="1"/>
        <v>57.15</v>
      </c>
      <c r="D59" s="217">
        <f t="shared" si="3"/>
        <v>51.673854859219517</v>
      </c>
      <c r="E59" s="232">
        <f>'10K'!$E59*(1-$K$2)+H.Marathon!$E59*$K$2</f>
        <v>0.84794654445736617</v>
      </c>
      <c r="F59" s="230">
        <f t="shared" si="4"/>
        <v>90.417943760664073</v>
      </c>
      <c r="G59" s="210">
        <v>53</v>
      </c>
      <c r="H59" s="325" t="s">
        <v>1817</v>
      </c>
      <c r="I59" s="256" t="s">
        <v>1718</v>
      </c>
      <c r="J59" s="256" t="s">
        <v>1891</v>
      </c>
      <c r="K59" s="256" t="s">
        <v>266</v>
      </c>
      <c r="L59" s="257">
        <v>16420</v>
      </c>
      <c r="M59" s="253"/>
      <c r="N59" s="256" t="s">
        <v>1879</v>
      </c>
      <c r="O59" s="350">
        <v>36107</v>
      </c>
      <c r="P59" s="253"/>
      <c r="S59" s="210">
        <v>53</v>
      </c>
      <c r="T59" s="230">
        <v>89.788995344403816</v>
      </c>
    </row>
    <row r="60" spans="1:20">
      <c r="A60" s="210">
        <v>54</v>
      </c>
      <c r="B60" s="234">
        <v>4.0185185185185185E-2</v>
      </c>
      <c r="C60" s="217">
        <f t="shared" si="1"/>
        <v>57.866666666666667</v>
      </c>
      <c r="D60" s="217">
        <f t="shared" si="3"/>
        <v>52.29784458985781</v>
      </c>
      <c r="E60" s="232">
        <f>'10K'!$E60*(1-$K$2)+H.Marathon!$E60*$K$2</f>
        <v>0.83782930272357903</v>
      </c>
      <c r="F60" s="230">
        <f t="shared" si="4"/>
        <v>90.376459544685147</v>
      </c>
      <c r="G60" s="210">
        <v>54</v>
      </c>
      <c r="H60" s="325" t="s">
        <v>1818</v>
      </c>
      <c r="I60" s="239" t="s">
        <v>1892</v>
      </c>
      <c r="J60" s="239" t="s">
        <v>1893</v>
      </c>
      <c r="K60" s="256" t="s">
        <v>217</v>
      </c>
      <c r="L60" s="257">
        <v>10885</v>
      </c>
      <c r="M60" s="239" t="s">
        <v>1894</v>
      </c>
      <c r="N60" s="239" t="s">
        <v>1895</v>
      </c>
      <c r="O60" s="353">
        <v>30780</v>
      </c>
      <c r="P60" s="253"/>
      <c r="S60" s="210">
        <v>54</v>
      </c>
      <c r="T60" s="230">
        <v>89.720828415288324</v>
      </c>
    </row>
    <row r="61" spans="1:20">
      <c r="A61" s="210">
        <v>55</v>
      </c>
      <c r="B61" s="234">
        <v>4.103009259259259E-2</v>
      </c>
      <c r="C61" s="217">
        <f t="shared" si="1"/>
        <v>59.083333333333329</v>
      </c>
      <c r="D61" s="217">
        <f t="shared" si="3"/>
        <v>52.943484915219365</v>
      </c>
      <c r="E61" s="232">
        <f>'10K'!$E61*(1-$K$2)+H.Marathon!$E61*$K$2</f>
        <v>0.82761206098979212</v>
      </c>
      <c r="F61" s="230">
        <f t="shared" si="4"/>
        <v>89.608155004602594</v>
      </c>
      <c r="G61" s="210">
        <v>55</v>
      </c>
      <c r="H61" s="325" t="s">
        <v>1819</v>
      </c>
      <c r="I61" s="256" t="s">
        <v>1896</v>
      </c>
      <c r="J61" s="256" t="s">
        <v>1897</v>
      </c>
      <c r="K61" s="256" t="s">
        <v>375</v>
      </c>
      <c r="L61" s="257">
        <v>18706</v>
      </c>
      <c r="M61" s="253" t="s">
        <v>1898</v>
      </c>
      <c r="N61" s="256" t="s">
        <v>1899</v>
      </c>
      <c r="O61" s="350">
        <v>39033</v>
      </c>
      <c r="P61" s="253"/>
      <c r="S61" s="210">
        <v>55</v>
      </c>
      <c r="T61" s="230">
        <v>88.935509888292231</v>
      </c>
    </row>
    <row r="62" spans="1:20">
      <c r="A62" s="210">
        <v>56</v>
      </c>
      <c r="B62" s="234">
        <v>4.1377314814814818E-2</v>
      </c>
      <c r="C62" s="217">
        <f t="shared" si="1"/>
        <v>59.583333333333336</v>
      </c>
      <c r="D62" s="217">
        <f t="shared" si="3"/>
        <v>53.598708682391205</v>
      </c>
      <c r="E62" s="232">
        <f>'10K'!$E62*(1-$K$2)+H.Marathon!$E62*$K$2</f>
        <v>0.81749481925600509</v>
      </c>
      <c r="F62" s="230">
        <f t="shared" si="4"/>
        <v>89.955874711705519</v>
      </c>
      <c r="G62" s="210">
        <v>56</v>
      </c>
      <c r="H62" s="325" t="s">
        <v>1820</v>
      </c>
      <c r="I62" s="239" t="s">
        <v>1900</v>
      </c>
      <c r="J62" s="239" t="s">
        <v>1901</v>
      </c>
      <c r="K62" s="256" t="s">
        <v>217</v>
      </c>
      <c r="L62" s="250"/>
      <c r="M62" s="239" t="s">
        <v>1902</v>
      </c>
      <c r="N62" s="239" t="s">
        <v>1903</v>
      </c>
      <c r="O62" s="353">
        <v>43015</v>
      </c>
      <c r="P62" s="253"/>
      <c r="S62" s="210">
        <v>56</v>
      </c>
      <c r="T62" s="230">
        <v>89.282230120488009</v>
      </c>
    </row>
    <row r="63" spans="1:20">
      <c r="A63" s="210">
        <v>57</v>
      </c>
      <c r="B63" s="234">
        <v>4.2557870370370371E-2</v>
      </c>
      <c r="C63" s="217">
        <f t="shared" si="1"/>
        <v>61.283333333333331</v>
      </c>
      <c r="D63" s="217">
        <f t="shared" si="3"/>
        <v>54.277076295310259</v>
      </c>
      <c r="E63" s="232">
        <f>'10K'!$E63*(1-$K$2)+H.Marathon!$E63*$K$2</f>
        <v>0.80727757752221807</v>
      </c>
      <c r="F63" s="230">
        <f t="shared" si="4"/>
        <v>88.567434803334663</v>
      </c>
      <c r="G63" s="210">
        <v>57</v>
      </c>
      <c r="H63" s="325" t="s">
        <v>1821</v>
      </c>
      <c r="I63" s="256" t="s">
        <v>1904</v>
      </c>
      <c r="J63" s="256" t="s">
        <v>1905</v>
      </c>
      <c r="K63" s="256" t="s">
        <v>1906</v>
      </c>
      <c r="L63" s="257">
        <v>19019</v>
      </c>
      <c r="M63" s="253"/>
      <c r="N63" s="256" t="s">
        <v>607</v>
      </c>
      <c r="O63" s="350">
        <v>40146</v>
      </c>
      <c r="P63" s="253"/>
      <c r="S63" s="210">
        <v>57</v>
      </c>
      <c r="T63" s="230">
        <v>87.915609172776001</v>
      </c>
    </row>
    <row r="64" spans="1:20">
      <c r="A64" s="210">
        <v>58</v>
      </c>
      <c r="B64" s="234">
        <v>4.238425925925926E-2</v>
      </c>
      <c r="C64" s="217">
        <f t="shared" si="1"/>
        <v>61.033333333333331</v>
      </c>
      <c r="D64" s="217">
        <f t="shared" si="3"/>
        <v>54.965939346856516</v>
      </c>
      <c r="E64" s="232">
        <f>'10K'!$E64*(1-$K$2)+H.Marathon!$E64*$K$2</f>
        <v>0.79716033578843093</v>
      </c>
      <c r="F64" s="230">
        <f t="shared" si="4"/>
        <v>90.058884784581949</v>
      </c>
      <c r="G64" s="210">
        <v>58</v>
      </c>
      <c r="H64" s="325" t="s">
        <v>1822</v>
      </c>
      <c r="I64" s="256" t="s">
        <v>335</v>
      </c>
      <c r="J64" s="256" t="s">
        <v>594</v>
      </c>
      <c r="K64" s="256" t="s">
        <v>217</v>
      </c>
      <c r="L64" s="257">
        <v>18901</v>
      </c>
      <c r="M64" s="253"/>
      <c r="N64" s="256" t="s">
        <v>1907</v>
      </c>
      <c r="O64" s="350">
        <v>40427</v>
      </c>
      <c r="P64" s="253"/>
      <c r="S64" s="210">
        <v>58</v>
      </c>
      <c r="T64" s="230">
        <v>89.418254364881236</v>
      </c>
    </row>
    <row r="65" spans="1:20">
      <c r="A65" s="210">
        <v>59</v>
      </c>
      <c r="B65" s="234">
        <v>4.0914351851851855E-2</v>
      </c>
      <c r="C65" s="217">
        <f t="shared" si="1"/>
        <v>58.916666666666671</v>
      </c>
      <c r="D65" s="217">
        <f t="shared" si="3"/>
        <v>55.676354706164439</v>
      </c>
      <c r="E65" s="232">
        <f>'10K'!$E65*(1-$K$2)+H.Marathon!$E65*$K$2</f>
        <v>0.78698878362119717</v>
      </c>
      <c r="F65" s="230">
        <f t="shared" si="4"/>
        <v>94.500177719090985</v>
      </c>
      <c r="G65" s="210">
        <v>59</v>
      </c>
      <c r="H65" s="325" t="s">
        <v>1823</v>
      </c>
      <c r="I65" s="256" t="s">
        <v>1026</v>
      </c>
      <c r="J65" s="256" t="s">
        <v>1027</v>
      </c>
      <c r="K65" s="256" t="s">
        <v>217</v>
      </c>
      <c r="L65" s="251">
        <v>23193</v>
      </c>
      <c r="M65" s="253" t="s">
        <v>1908</v>
      </c>
      <c r="N65" s="256" t="s">
        <v>260</v>
      </c>
      <c r="O65" s="350">
        <v>45039</v>
      </c>
      <c r="P65" s="253"/>
      <c r="S65" s="210">
        <v>59</v>
      </c>
      <c r="T65" s="230">
        <v>93.851785201224303</v>
      </c>
    </row>
    <row r="66" spans="1:20">
      <c r="A66" s="210">
        <v>60</v>
      </c>
      <c r="B66" s="234">
        <v>4.116898148148148E-2</v>
      </c>
      <c r="C66" s="217">
        <f t="shared" si="1"/>
        <v>59.283333333333331</v>
      </c>
      <c r="D66" s="217">
        <f t="shared" si="3"/>
        <v>56.404748291730137</v>
      </c>
      <c r="E66" s="232">
        <f>'10K'!$E66*(1-$K$2)+H.Marathon!$E66*$K$2</f>
        <v>0.7768258523208571</v>
      </c>
      <c r="F66" s="230">
        <f t="shared" si="4"/>
        <v>95.14436034590409</v>
      </c>
      <c r="G66" s="210">
        <v>60</v>
      </c>
      <c r="H66" s="325" t="s">
        <v>1824</v>
      </c>
      <c r="I66" s="256" t="s">
        <v>1026</v>
      </c>
      <c r="J66" s="256" t="s">
        <v>1027</v>
      </c>
      <c r="K66" s="256" t="s">
        <v>217</v>
      </c>
      <c r="L66" s="251">
        <v>23193</v>
      </c>
      <c r="M66" s="249" t="s">
        <v>1909</v>
      </c>
      <c r="N66" s="248" t="s">
        <v>962</v>
      </c>
      <c r="O66" s="350">
        <v>45207</v>
      </c>
      <c r="P66" s="253"/>
      <c r="S66" s="210">
        <v>60</v>
      </c>
      <c r="T66" s="230">
        <v>94.510667144258036</v>
      </c>
    </row>
    <row r="67" spans="1:20">
      <c r="A67" s="210">
        <v>61</v>
      </c>
      <c r="B67" s="234">
        <v>4.445601851851852E-2</v>
      </c>
      <c r="C67" s="217">
        <f t="shared" si="1"/>
        <v>64.016666666666666</v>
      </c>
      <c r="D67" s="217">
        <f t="shared" si="3"/>
        <v>57.153095805875772</v>
      </c>
      <c r="E67" s="232">
        <f>'10K'!$E67*(1-$K$2)+H.Marathon!$E67*$K$2</f>
        <v>0.76665430015362324</v>
      </c>
      <c r="F67" s="230">
        <f t="shared" si="4"/>
        <v>89.278462597046243</v>
      </c>
      <c r="G67" s="210">
        <v>61</v>
      </c>
      <c r="H67" s="325" t="s">
        <v>1825</v>
      </c>
      <c r="I67" s="256" t="s">
        <v>821</v>
      </c>
      <c r="J67" s="256" t="s">
        <v>1910</v>
      </c>
      <c r="K67" s="256" t="s">
        <v>263</v>
      </c>
      <c r="L67" s="257">
        <v>19618</v>
      </c>
      <c r="M67" s="253"/>
      <c r="N67" s="256" t="s">
        <v>1911</v>
      </c>
      <c r="O67" s="350">
        <v>42063</v>
      </c>
      <c r="P67" s="253"/>
      <c r="S67" s="210">
        <v>61</v>
      </c>
      <c r="T67" s="230">
        <v>88.707507970502206</v>
      </c>
    </row>
    <row r="68" spans="1:20">
      <c r="A68" s="210">
        <v>62</v>
      </c>
      <c r="B68" s="234">
        <v>4.2164351851851849E-2</v>
      </c>
      <c r="C68" s="217">
        <f t="shared" si="1"/>
        <v>60.716666666666661</v>
      </c>
      <c r="D68" s="217">
        <f t="shared" si="3"/>
        <v>57.920907588259162</v>
      </c>
      <c r="E68" s="232">
        <f>'10K'!$E68*(1-$K$2)+H.Marathon!$E68*$K$2</f>
        <v>0.75649136885328283</v>
      </c>
      <c r="F68" s="230">
        <f t="shared" si="4"/>
        <v>95.395400913959648</v>
      </c>
      <c r="G68" s="210">
        <v>62</v>
      </c>
      <c r="H68" s="325" t="s">
        <v>1826</v>
      </c>
      <c r="I68" s="256" t="s">
        <v>335</v>
      </c>
      <c r="J68" s="256" t="s">
        <v>594</v>
      </c>
      <c r="K68" s="256" t="s">
        <v>217</v>
      </c>
      <c r="L68" s="257">
        <v>18901</v>
      </c>
      <c r="M68" s="239" t="s">
        <v>1912</v>
      </c>
      <c r="N68" s="239" t="s">
        <v>1913</v>
      </c>
      <c r="O68" s="353">
        <v>41573</v>
      </c>
      <c r="P68" s="253"/>
      <c r="S68" s="210">
        <v>62</v>
      </c>
      <c r="T68" s="230">
        <v>94.805628564677065</v>
      </c>
    </row>
    <row r="69" spans="1:20">
      <c r="A69" s="210">
        <v>63</v>
      </c>
      <c r="B69" s="234">
        <v>4.4502314814814814E-2</v>
      </c>
      <c r="C69" s="217">
        <f t="shared" si="1"/>
        <v>64.083333333333329</v>
      </c>
      <c r="D69" s="217">
        <f t="shared" si="3"/>
        <v>58.710308485750446</v>
      </c>
      <c r="E69" s="232">
        <f>'10K'!$E69*(1-$K$2)+H.Marathon!$E69*$K$2</f>
        <v>0.74631981668604919</v>
      </c>
      <c r="F69" s="230">
        <f t="shared" si="4"/>
        <v>91.615565907542958</v>
      </c>
      <c r="G69" s="210">
        <v>63</v>
      </c>
      <c r="H69" s="325" t="s">
        <v>1827</v>
      </c>
      <c r="I69" s="256" t="s">
        <v>796</v>
      </c>
      <c r="J69" s="256" t="s">
        <v>1914</v>
      </c>
      <c r="K69" s="256" t="s">
        <v>496</v>
      </c>
      <c r="L69" s="257">
        <v>17849</v>
      </c>
      <c r="M69" s="253"/>
      <c r="N69" s="256" t="s">
        <v>1915</v>
      </c>
      <c r="O69" s="350">
        <v>40985</v>
      </c>
      <c r="P69" s="253"/>
      <c r="S69" s="210">
        <v>63</v>
      </c>
      <c r="T69" s="230">
        <v>91.074734737148461</v>
      </c>
    </row>
    <row r="70" spans="1:20">
      <c r="A70" s="210">
        <v>64</v>
      </c>
      <c r="B70" s="234">
        <v>4.5243055555555557E-2</v>
      </c>
      <c r="C70" s="217">
        <f t="shared" si="1"/>
        <v>65.150000000000006</v>
      </c>
      <c r="D70" s="217">
        <f t="shared" si="3"/>
        <v>59.517133133510015</v>
      </c>
      <c r="E70" s="232">
        <f>'10K'!$E70*(1-$K$2)+H.Marathon!$E70*$K$2</f>
        <v>0.73620257495226216</v>
      </c>
      <c r="F70" s="230">
        <f t="shared" si="4"/>
        <v>91.354003274765944</v>
      </c>
      <c r="G70" s="210">
        <v>64</v>
      </c>
      <c r="H70" s="325" t="s">
        <v>666</v>
      </c>
      <c r="I70" s="256" t="s">
        <v>340</v>
      </c>
      <c r="J70" s="256" t="s">
        <v>1916</v>
      </c>
      <c r="K70" s="256" t="s">
        <v>217</v>
      </c>
      <c r="L70" s="257">
        <v>17959</v>
      </c>
      <c r="M70" s="239" t="s">
        <v>1912</v>
      </c>
      <c r="N70" s="239" t="s">
        <v>1913</v>
      </c>
      <c r="O70" s="353">
        <v>41573</v>
      </c>
      <c r="P70" s="253"/>
      <c r="S70" s="210">
        <v>64</v>
      </c>
      <c r="T70" s="230">
        <v>90.840973139501585</v>
      </c>
    </row>
    <row r="71" spans="1:20">
      <c r="A71" s="210">
        <v>65</v>
      </c>
      <c r="B71" s="234">
        <v>4.5185185185185182E-2</v>
      </c>
      <c r="C71" s="217">
        <f t="shared" si="1"/>
        <v>65.066666666666663</v>
      </c>
      <c r="D71" s="217">
        <f t="shared" si="3"/>
        <v>60.354754651056645</v>
      </c>
      <c r="E71" s="232">
        <f>'10K'!$E71*(1-$K$2)+H.Marathon!$E71*$K$2</f>
        <v>0.72598533321847514</v>
      </c>
      <c r="F71" s="230">
        <f t="shared" si="4"/>
        <v>92.758331943222302</v>
      </c>
      <c r="G71" s="210">
        <v>65</v>
      </c>
      <c r="H71" s="325" t="s">
        <v>1828</v>
      </c>
      <c r="I71" s="256" t="s">
        <v>335</v>
      </c>
      <c r="J71" s="256" t="s">
        <v>594</v>
      </c>
      <c r="K71" s="256" t="s">
        <v>217</v>
      </c>
      <c r="L71" s="257">
        <v>18901</v>
      </c>
      <c r="M71" s="239" t="s">
        <v>1917</v>
      </c>
      <c r="N71" s="239" t="s">
        <v>1423</v>
      </c>
      <c r="O71" s="353">
        <v>42799</v>
      </c>
      <c r="P71" s="253"/>
      <c r="S71" s="210">
        <v>65</v>
      </c>
      <c r="T71" s="230">
        <v>92.258991954144349</v>
      </c>
    </row>
    <row r="72" spans="1:20">
      <c r="A72" s="210">
        <v>66</v>
      </c>
      <c r="B72" s="234">
        <v>4.6666666666666669E-2</v>
      </c>
      <c r="C72" s="217">
        <f t="shared" si="1"/>
        <v>67.2</v>
      </c>
      <c r="D72" s="217">
        <f t="shared" si="3"/>
        <v>61.207738112467446</v>
      </c>
      <c r="E72" s="232">
        <f>'10K'!$E72*(1-$K$2)+H.Marathon!$E72*$K$2</f>
        <v>0.715868091484688</v>
      </c>
      <c r="F72" s="230">
        <f t="shared" si="4"/>
        <v>91.082943619743219</v>
      </c>
      <c r="G72" s="210">
        <v>66</v>
      </c>
      <c r="H72" s="325" t="s">
        <v>1355</v>
      </c>
      <c r="I72" s="256" t="s">
        <v>340</v>
      </c>
      <c r="J72" s="256" t="s">
        <v>1916</v>
      </c>
      <c r="K72" s="256" t="s">
        <v>217</v>
      </c>
      <c r="L72" s="257">
        <v>17959</v>
      </c>
      <c r="M72" s="253" t="s">
        <v>1918</v>
      </c>
      <c r="N72" s="256" t="s">
        <v>1919</v>
      </c>
      <c r="O72" s="350">
        <v>42308</v>
      </c>
      <c r="P72" s="253"/>
      <c r="S72" s="210">
        <v>66</v>
      </c>
      <c r="T72" s="230">
        <v>90.62024388905364</v>
      </c>
    </row>
    <row r="73" spans="1:20">
      <c r="A73" s="210">
        <v>67</v>
      </c>
      <c r="B73" s="234">
        <v>4.6331018518518521E-2</v>
      </c>
      <c r="C73" s="217">
        <f t="shared" si="1"/>
        <v>66.716666666666669</v>
      </c>
      <c r="D73" s="217">
        <f t="shared" si="3"/>
        <v>62.093975628505532</v>
      </c>
      <c r="E73" s="232">
        <f>'10K'!$E73*(1-$K$2)+H.Marathon!$E73*$K$2</f>
        <v>0.70565084975090109</v>
      </c>
      <c r="F73" s="230">
        <f t="shared" si="4"/>
        <v>93.071160072703776</v>
      </c>
      <c r="G73" s="210">
        <v>67</v>
      </c>
      <c r="H73" s="325" t="s">
        <v>1829</v>
      </c>
      <c r="I73" s="256" t="s">
        <v>803</v>
      </c>
      <c r="J73" s="256" t="s">
        <v>888</v>
      </c>
      <c r="K73" s="256" t="s">
        <v>217</v>
      </c>
      <c r="L73" s="257">
        <v>15914</v>
      </c>
      <c r="M73" s="253"/>
      <c r="N73" s="256" t="s">
        <v>529</v>
      </c>
      <c r="O73" s="350">
        <v>40531</v>
      </c>
      <c r="P73" s="253"/>
      <c r="S73" s="210">
        <v>67</v>
      </c>
      <c r="T73" s="230">
        <v>92.621380546586423</v>
      </c>
    </row>
    <row r="74" spans="1:20">
      <c r="A74" s="210">
        <v>68</v>
      </c>
      <c r="B74" s="234">
        <v>4.6805555555555559E-2</v>
      </c>
      <c r="C74" s="217">
        <f t="shared" si="1"/>
        <v>67.400000000000006</v>
      </c>
      <c r="D74" s="217">
        <f t="shared" ref="D74:D105" si="5">E$4/E74</f>
        <v>62.99719547928521</v>
      </c>
      <c r="E74" s="232">
        <f>'10K'!$E74*(1-$K$2)+H.Marathon!$E74*$K$2</f>
        <v>0.69553360801711406</v>
      </c>
      <c r="F74" s="230">
        <f t="shared" si="4"/>
        <v>93.467649079058162</v>
      </c>
      <c r="G74" s="210">
        <v>68</v>
      </c>
      <c r="H74" s="325" t="s">
        <v>1830</v>
      </c>
      <c r="I74" s="256" t="s">
        <v>340</v>
      </c>
      <c r="J74" s="256" t="s">
        <v>1916</v>
      </c>
      <c r="K74" s="256" t="s">
        <v>217</v>
      </c>
      <c r="L74" s="257">
        <v>17959</v>
      </c>
      <c r="M74" s="239" t="s">
        <v>1912</v>
      </c>
      <c r="N74" s="239" t="s">
        <v>1913</v>
      </c>
      <c r="O74" s="353">
        <v>43036</v>
      </c>
      <c r="P74" s="253"/>
      <c r="S74" s="210">
        <v>68</v>
      </c>
      <c r="T74" s="230">
        <v>93.045908597045326</v>
      </c>
    </row>
    <row r="75" spans="1:20">
      <c r="A75" s="210">
        <v>69</v>
      </c>
      <c r="B75" s="234">
        <v>4.8715277777777781E-2</v>
      </c>
      <c r="C75" s="217">
        <f t="shared" ref="C75:C89" si="6">B75*1440</f>
        <v>70.150000000000006</v>
      </c>
      <c r="D75" s="217">
        <f t="shared" si="5"/>
        <v>63.932145488171209</v>
      </c>
      <c r="E75" s="232">
        <f>'10K'!$E75*(1-$K$2)+H.Marathon!$E75*$K$2</f>
        <v>0.6853620558498803</v>
      </c>
      <c r="F75" s="230">
        <f t="shared" si="4"/>
        <v>91.136344245432937</v>
      </c>
      <c r="G75" s="210">
        <v>69</v>
      </c>
      <c r="H75" s="325" t="s">
        <v>1831</v>
      </c>
      <c r="I75" s="210" t="s">
        <v>357</v>
      </c>
      <c r="J75" s="210" t="s">
        <v>358</v>
      </c>
      <c r="K75" s="256" t="s">
        <v>217</v>
      </c>
      <c r="L75" s="257"/>
      <c r="M75" s="239" t="s">
        <v>1912</v>
      </c>
      <c r="N75" s="239" t="s">
        <v>1913</v>
      </c>
      <c r="O75" s="353">
        <v>43036</v>
      </c>
      <c r="P75" s="253"/>
      <c r="S75" s="210">
        <v>69</v>
      </c>
      <c r="T75" s="230">
        <v>90.755182798668059</v>
      </c>
    </row>
    <row r="76" spans="1:20">
      <c r="A76" s="210">
        <v>70</v>
      </c>
      <c r="B76" s="234">
        <v>5.0601851851851849E-2</v>
      </c>
      <c r="C76" s="217">
        <f t="shared" si="6"/>
        <v>72.86666666666666</v>
      </c>
      <c r="D76" s="217">
        <f t="shared" si="5"/>
        <v>64.894436431473466</v>
      </c>
      <c r="E76" s="232">
        <f>'10K'!$E76*(1-$K$2)+H.Marathon!$E76*$K$2</f>
        <v>0.67519912454954012</v>
      </c>
      <c r="F76" s="230">
        <f t="shared" si="4"/>
        <v>89.059153382625993</v>
      </c>
      <c r="G76" s="210">
        <v>70</v>
      </c>
      <c r="H76" s="325" t="s">
        <v>1832</v>
      </c>
      <c r="I76" s="256" t="s">
        <v>1393</v>
      </c>
      <c r="J76" s="256" t="s">
        <v>1920</v>
      </c>
      <c r="K76" s="256" t="s">
        <v>266</v>
      </c>
      <c r="L76" s="257">
        <v>12540</v>
      </c>
      <c r="M76" s="253"/>
      <c r="N76" s="256" t="s">
        <v>1860</v>
      </c>
      <c r="O76" s="350">
        <v>38312</v>
      </c>
      <c r="P76" s="253"/>
      <c r="S76" s="210">
        <v>70</v>
      </c>
      <c r="T76" s="230">
        <v>88.71098401580096</v>
      </c>
    </row>
    <row r="77" spans="1:20">
      <c r="A77" s="210">
        <v>71</v>
      </c>
      <c r="B77" s="234">
        <v>5.3587962962962962E-2</v>
      </c>
      <c r="C77" s="217">
        <f t="shared" si="6"/>
        <v>77.166666666666671</v>
      </c>
      <c r="D77" s="217">
        <f t="shared" si="5"/>
        <v>65.886992489204133</v>
      </c>
      <c r="E77" s="232">
        <f>'10K'!$E77*(1-$K$2)+H.Marathon!$E77*$K$2</f>
        <v>0.66502757238230625</v>
      </c>
      <c r="F77" s="230">
        <f t="shared" si="4"/>
        <v>85.382711649076626</v>
      </c>
      <c r="G77" s="210">
        <v>71</v>
      </c>
      <c r="H77" s="325" t="s">
        <v>1833</v>
      </c>
      <c r="I77" s="256" t="s">
        <v>1921</v>
      </c>
      <c r="J77" s="256" t="s">
        <v>1922</v>
      </c>
      <c r="K77" s="256" t="s">
        <v>217</v>
      </c>
      <c r="L77" s="257">
        <v>15492</v>
      </c>
      <c r="M77" s="253"/>
      <c r="N77" s="256" t="s">
        <v>1858</v>
      </c>
      <c r="O77" s="350">
        <v>41459</v>
      </c>
      <c r="P77" s="253"/>
      <c r="S77" s="210">
        <v>71</v>
      </c>
      <c r="T77" s="230">
        <v>85.078761828890904</v>
      </c>
    </row>
    <row r="78" spans="1:20">
      <c r="A78" s="210">
        <v>72</v>
      </c>
      <c r="B78" s="234">
        <v>5.1747685185185188E-2</v>
      </c>
      <c r="C78" s="217">
        <f t="shared" si="6"/>
        <v>74.516666666666666</v>
      </c>
      <c r="D78" s="217">
        <f t="shared" si="5"/>
        <v>66.909501472354449</v>
      </c>
      <c r="E78" s="232">
        <f>'10K'!$E78*(1-$K$2)+H.Marathon!$E78*$K$2</f>
        <v>0.65486464108196596</v>
      </c>
      <c r="F78" s="230">
        <f t="shared" si="4"/>
        <v>89.791323827807361</v>
      </c>
      <c r="G78" s="210">
        <v>72</v>
      </c>
      <c r="H78" s="325" t="s">
        <v>1834</v>
      </c>
      <c r="I78" s="256" t="s">
        <v>1393</v>
      </c>
      <c r="J78" s="256" t="s">
        <v>1920</v>
      </c>
      <c r="K78" s="256" t="s">
        <v>266</v>
      </c>
      <c r="L78" s="257">
        <v>12540</v>
      </c>
      <c r="M78" s="253"/>
      <c r="N78" s="256" t="s">
        <v>1860</v>
      </c>
      <c r="O78" s="350">
        <v>39040</v>
      </c>
      <c r="P78" s="253"/>
      <c r="S78" s="210">
        <v>72</v>
      </c>
      <c r="T78" s="230">
        <v>89.497845568024204</v>
      </c>
    </row>
    <row r="79" spans="1:20">
      <c r="A79" s="210">
        <v>73</v>
      </c>
      <c r="B79" s="234">
        <v>5.1840277777777777E-2</v>
      </c>
      <c r="C79" s="217">
        <f t="shared" si="6"/>
        <v>74.650000000000006</v>
      </c>
      <c r="D79" s="217">
        <f t="shared" si="5"/>
        <v>67.965156475350256</v>
      </c>
      <c r="E79" s="232">
        <f>'10K'!$E79*(1-$K$2)+H.Marathon!$E79*$K$2</f>
        <v>0.6446930889147322</v>
      </c>
      <c r="F79" s="230">
        <f t="shared" si="4"/>
        <v>91.045085700402211</v>
      </c>
      <c r="G79" s="210">
        <v>73</v>
      </c>
      <c r="H79" s="346" t="s">
        <v>1835</v>
      </c>
      <c r="I79" s="210" t="s">
        <v>1923</v>
      </c>
      <c r="J79" s="210" t="s">
        <v>1924</v>
      </c>
      <c r="K79" s="256" t="s">
        <v>217</v>
      </c>
      <c r="L79" s="250"/>
      <c r="M79" s="210" t="s">
        <v>1925</v>
      </c>
      <c r="N79" s="210" t="s">
        <v>1926</v>
      </c>
      <c r="O79" s="353">
        <v>42791</v>
      </c>
      <c r="P79" s="253"/>
      <c r="S79" s="210">
        <v>73</v>
      </c>
      <c r="T79" s="230">
        <v>90.781304222041655</v>
      </c>
    </row>
    <row r="80" spans="1:20">
      <c r="A80" s="210">
        <v>74</v>
      </c>
      <c r="B80" s="234">
        <v>5.3182870370370373E-2</v>
      </c>
      <c r="C80" s="217">
        <f t="shared" si="6"/>
        <v>76.583333333333343</v>
      </c>
      <c r="D80" s="217">
        <f t="shared" si="5"/>
        <v>69.048746278823671</v>
      </c>
      <c r="E80" s="232">
        <f>'10K'!$E80*(1-$K$2)+H.Marathon!$E80*$K$2</f>
        <v>0.63457584718094528</v>
      </c>
      <c r="F80" s="230">
        <f t="shared" si="4"/>
        <v>90.161583824361685</v>
      </c>
      <c r="G80" s="210">
        <v>74</v>
      </c>
      <c r="H80" s="325" t="s">
        <v>1836</v>
      </c>
      <c r="I80" s="210" t="s">
        <v>636</v>
      </c>
      <c r="J80" s="210" t="s">
        <v>637</v>
      </c>
      <c r="K80" s="256" t="s">
        <v>217</v>
      </c>
      <c r="L80" s="257">
        <v>6357</v>
      </c>
      <c r="M80" s="210" t="s">
        <v>1927</v>
      </c>
      <c r="N80" s="210" t="s">
        <v>1928</v>
      </c>
      <c r="O80" s="353">
        <v>33720</v>
      </c>
      <c r="P80" s="210"/>
      <c r="S80" s="210">
        <v>74</v>
      </c>
      <c r="T80" s="230">
        <v>89.934947233736068</v>
      </c>
    </row>
    <row r="81" spans="1:20">
      <c r="A81" s="210">
        <v>75</v>
      </c>
      <c r="B81" s="234">
        <v>5.0960648148148151E-2</v>
      </c>
      <c r="C81" s="217">
        <f t="shared" si="6"/>
        <v>73.38333333333334</v>
      </c>
      <c r="D81" s="217">
        <f t="shared" si="5"/>
        <v>70.17868622998428</v>
      </c>
      <c r="E81" s="232">
        <f>'10K'!$E81*(1-$K$2)+H.Marathon!$E81*$K$2</f>
        <v>0.62435860544715815</v>
      </c>
      <c r="F81" s="230">
        <f t="shared" si="4"/>
        <v>95.633004174405102</v>
      </c>
      <c r="G81" s="210">
        <v>75</v>
      </c>
      <c r="H81" s="325" t="s">
        <v>1837</v>
      </c>
      <c r="I81" s="248" t="s">
        <v>357</v>
      </c>
      <c r="J81" s="248" t="s">
        <v>358</v>
      </c>
      <c r="K81" s="256" t="s">
        <v>217</v>
      </c>
      <c r="L81" s="257">
        <v>17637</v>
      </c>
      <c r="M81" s="249" t="s">
        <v>1909</v>
      </c>
      <c r="N81" s="248" t="s">
        <v>962</v>
      </c>
      <c r="O81" s="350">
        <v>45207</v>
      </c>
      <c r="P81" s="210"/>
      <c r="S81" s="210">
        <v>75</v>
      </c>
      <c r="T81" s="230">
        <v>95.423515955057937</v>
      </c>
    </row>
    <row r="82" spans="1:20">
      <c r="A82" s="210">
        <v>76</v>
      </c>
      <c r="B82" s="234">
        <v>5.6678240740740737E-2</v>
      </c>
      <c r="C82" s="217">
        <f t="shared" si="6"/>
        <v>81.61666666666666</v>
      </c>
      <c r="D82" s="217">
        <f t="shared" si="5"/>
        <v>71.374776711959001</v>
      </c>
      <c r="E82" s="232">
        <f>'10K'!$E82*(1-$K$2)+H.Marathon!$E82*$K$2</f>
        <v>0.61389567414681789</v>
      </c>
      <c r="F82" s="230">
        <f t="shared" si="4"/>
        <v>87.451227337503383</v>
      </c>
      <c r="G82" s="210">
        <v>76</v>
      </c>
      <c r="H82" s="325" t="s">
        <v>1838</v>
      </c>
      <c r="I82" s="210" t="s">
        <v>636</v>
      </c>
      <c r="J82" s="210" t="s">
        <v>637</v>
      </c>
      <c r="K82" s="256" t="s">
        <v>217</v>
      </c>
      <c r="L82" s="257">
        <v>6357</v>
      </c>
      <c r="M82" s="210" t="s">
        <v>1927</v>
      </c>
      <c r="N82" s="210" t="s">
        <v>1928</v>
      </c>
      <c r="O82" s="353">
        <v>34448</v>
      </c>
      <c r="P82" s="210"/>
      <c r="S82" s="210">
        <v>76</v>
      </c>
      <c r="T82" s="230">
        <v>87.269365190835472</v>
      </c>
    </row>
    <row r="83" spans="1:20">
      <c r="A83" s="210">
        <v>77</v>
      </c>
      <c r="B83" s="234">
        <v>5.5370370370370368E-2</v>
      </c>
      <c r="C83" s="217">
        <f t="shared" si="6"/>
        <v>79.733333333333334</v>
      </c>
      <c r="D83" s="217">
        <f t="shared" si="5"/>
        <v>72.70873875804169</v>
      </c>
      <c r="E83" s="232">
        <f>'10K'!$E83*(1-$K$2)+H.Marathon!$E83*$K$2</f>
        <v>0.60263274284647772</v>
      </c>
      <c r="F83" s="230">
        <f t="shared" si="4"/>
        <v>91.189889746707806</v>
      </c>
      <c r="G83" s="210">
        <v>77</v>
      </c>
      <c r="H83" s="325" t="s">
        <v>1839</v>
      </c>
      <c r="I83" s="210" t="s">
        <v>636</v>
      </c>
      <c r="J83" s="210" t="s">
        <v>637</v>
      </c>
      <c r="K83" s="256" t="s">
        <v>217</v>
      </c>
      <c r="L83" s="257">
        <v>6357</v>
      </c>
      <c r="M83" s="210" t="s">
        <v>1927</v>
      </c>
      <c r="N83" s="210" t="s">
        <v>1928</v>
      </c>
      <c r="O83" s="353">
        <v>34812</v>
      </c>
      <c r="P83" s="210"/>
      <c r="S83" s="210">
        <v>77</v>
      </c>
      <c r="T83" s="230">
        <v>90.955428077389428</v>
      </c>
    </row>
    <row r="84" spans="1:20">
      <c r="A84" s="210">
        <v>78</v>
      </c>
      <c r="B84" s="234">
        <v>6.204861111111111E-2</v>
      </c>
      <c r="C84" s="217">
        <f t="shared" si="6"/>
        <v>89.35</v>
      </c>
      <c r="D84" s="217">
        <f t="shared" si="5"/>
        <v>74.194964650945309</v>
      </c>
      <c r="E84" s="232">
        <f>'10K'!$E84*(1-$K$2)+H.Marathon!$E84*$K$2</f>
        <v>0.59056119067924384</v>
      </c>
      <c r="F84" s="230">
        <f t="shared" si="4"/>
        <v>83.038572636760293</v>
      </c>
      <c r="G84" s="210">
        <v>78</v>
      </c>
      <c r="H84" s="325" t="s">
        <v>1840</v>
      </c>
      <c r="I84" s="210" t="s">
        <v>636</v>
      </c>
      <c r="J84" s="210" t="s">
        <v>637</v>
      </c>
      <c r="K84" s="256" t="s">
        <v>217</v>
      </c>
      <c r="L84" s="257">
        <v>6357</v>
      </c>
      <c r="M84" s="210" t="s">
        <v>1927</v>
      </c>
      <c r="N84" s="210" t="s">
        <v>1928</v>
      </c>
      <c r="O84" s="353">
        <v>35176</v>
      </c>
      <c r="P84" s="210"/>
      <c r="S84" s="210">
        <v>78</v>
      </c>
      <c r="T84" s="230">
        <v>82.795161363526972</v>
      </c>
    </row>
    <row r="85" spans="1:20">
      <c r="A85" s="210">
        <v>79</v>
      </c>
      <c r="B85" s="234">
        <v>5.9085648148148151E-2</v>
      </c>
      <c r="C85" s="217">
        <f t="shared" si="6"/>
        <v>85.083333333333343</v>
      </c>
      <c r="D85" s="217">
        <f t="shared" si="5"/>
        <v>75.840978943430301</v>
      </c>
      <c r="E85" s="232">
        <f>'10K'!$E85*(1-$K$2)+H.Marathon!$E85*$K$2</f>
        <v>0.57774394894545689</v>
      </c>
      <c r="F85" s="230">
        <f t="shared" si="4"/>
        <v>89.137291608341187</v>
      </c>
      <c r="G85" s="210">
        <v>79</v>
      </c>
      <c r="H85" s="325" t="s">
        <v>1841</v>
      </c>
      <c r="I85" s="210" t="s">
        <v>636</v>
      </c>
      <c r="J85" s="210" t="s">
        <v>637</v>
      </c>
      <c r="K85" s="256" t="s">
        <v>217</v>
      </c>
      <c r="L85" s="257">
        <v>6357</v>
      </c>
      <c r="M85" s="210" t="s">
        <v>1927</v>
      </c>
      <c r="N85" s="210" t="s">
        <v>1928</v>
      </c>
      <c r="O85" s="353">
        <v>35540</v>
      </c>
      <c r="P85" s="210"/>
      <c r="S85" s="210">
        <v>79</v>
      </c>
      <c r="T85" s="230">
        <v>88.849207668095815</v>
      </c>
    </row>
    <row r="86" spans="1:20">
      <c r="A86" s="210">
        <v>80</v>
      </c>
      <c r="B86" s="234">
        <v>5.9131944444444445E-2</v>
      </c>
      <c r="C86" s="217">
        <f t="shared" si="6"/>
        <v>85.15</v>
      </c>
      <c r="D86" s="217">
        <f t="shared" si="5"/>
        <v>77.67167571845863</v>
      </c>
      <c r="E86" s="232">
        <f>'10K'!$E86*(1-$K$2)+H.Marathon!$E86*$K$2</f>
        <v>0.5641267072116698</v>
      </c>
      <c r="F86" s="230">
        <f t="shared" si="4"/>
        <v>91.217470015805773</v>
      </c>
      <c r="G86" s="210">
        <v>80</v>
      </c>
      <c r="H86" s="325" t="s">
        <v>1842</v>
      </c>
      <c r="I86" s="256" t="s">
        <v>365</v>
      </c>
      <c r="J86" s="256" t="s">
        <v>1929</v>
      </c>
      <c r="K86" s="256" t="s">
        <v>217</v>
      </c>
      <c r="L86" s="257">
        <v>13343</v>
      </c>
      <c r="M86" s="253" t="s">
        <v>1918</v>
      </c>
      <c r="N86" s="256" t="s">
        <v>1919</v>
      </c>
      <c r="O86" s="350">
        <v>42672</v>
      </c>
      <c r="P86" s="210"/>
      <c r="S86" s="210">
        <v>80</v>
      </c>
      <c r="T86" s="230">
        <v>90.915570440614445</v>
      </c>
    </row>
    <row r="87" spans="1:20">
      <c r="A87" s="210">
        <v>81</v>
      </c>
      <c r="B87" s="234">
        <v>6.0763888888888888E-2</v>
      </c>
      <c r="C87" s="217">
        <f t="shared" si="6"/>
        <v>87.5</v>
      </c>
      <c r="D87" s="217">
        <f t="shared" si="5"/>
        <v>79.71002245353057</v>
      </c>
      <c r="E87" s="232">
        <f>'10K'!$E87*(1-$K$2)+H.Marathon!$E87*$K$2</f>
        <v>0.54970084461098923</v>
      </c>
      <c r="F87" s="230">
        <f t="shared" si="4"/>
        <v>91.097168518320643</v>
      </c>
      <c r="G87" s="210">
        <v>81</v>
      </c>
      <c r="H87" s="325" t="s">
        <v>1297</v>
      </c>
      <c r="I87" s="210" t="s">
        <v>636</v>
      </c>
      <c r="J87" s="210" t="s">
        <v>637</v>
      </c>
      <c r="K87" s="256" t="s">
        <v>217</v>
      </c>
      <c r="L87" s="257">
        <v>6357</v>
      </c>
      <c r="M87" s="210" t="s">
        <v>1927</v>
      </c>
      <c r="N87" s="210" t="s">
        <v>1928</v>
      </c>
      <c r="O87" s="353">
        <v>36268</v>
      </c>
      <c r="P87" s="210"/>
      <c r="S87" s="210">
        <v>81</v>
      </c>
      <c r="T87" s="230">
        <v>90.802824916045012</v>
      </c>
    </row>
    <row r="88" spans="1:20">
      <c r="A88" s="210">
        <v>82</v>
      </c>
      <c r="B88" s="234">
        <v>7.0775462962962957E-2</v>
      </c>
      <c r="C88" s="217">
        <f t="shared" si="6"/>
        <v>101.91666666666666</v>
      </c>
      <c r="D88" s="217">
        <f t="shared" si="5"/>
        <v>81.972433103424677</v>
      </c>
      <c r="E88" s="232">
        <f>'10K'!$E88*(1-$K$2)+H.Marathon!$E88*$K$2</f>
        <v>0.53452929244375547</v>
      </c>
      <c r="F88" s="230"/>
      <c r="G88" s="210">
        <v>82</v>
      </c>
      <c r="H88" s="325" t="s">
        <v>1843</v>
      </c>
      <c r="I88" s="210" t="s">
        <v>636</v>
      </c>
      <c r="J88" s="210" t="s">
        <v>637</v>
      </c>
      <c r="K88" s="256" t="s">
        <v>217</v>
      </c>
      <c r="L88" s="257">
        <v>6357</v>
      </c>
      <c r="M88" s="210" t="s">
        <v>1927</v>
      </c>
      <c r="N88" s="210" t="s">
        <v>1928</v>
      </c>
      <c r="O88" s="353">
        <v>36632</v>
      </c>
      <c r="P88" s="210"/>
      <c r="S88" s="210">
        <v>82</v>
      </c>
      <c r="T88" s="230"/>
    </row>
    <row r="89" spans="1:20">
      <c r="A89" s="210">
        <v>83</v>
      </c>
      <c r="B89" s="234">
        <v>7.677083333333333E-2</v>
      </c>
      <c r="C89" s="217">
        <f t="shared" si="6"/>
        <v>110.55</v>
      </c>
      <c r="D89" s="217">
        <f t="shared" si="5"/>
        <v>84.489735596089702</v>
      </c>
      <c r="E89" s="232">
        <f>'10K'!$E89*(1-$K$2)+H.Marathon!$E89*$K$2</f>
        <v>0.51860342984307506</v>
      </c>
      <c r="F89" s="230">
        <f>100*(D89/C89)</f>
        <v>76.426716957114166</v>
      </c>
      <c r="G89" s="210">
        <v>83</v>
      </c>
      <c r="H89" s="325" t="s">
        <v>1844</v>
      </c>
      <c r="I89" s="210" t="s">
        <v>636</v>
      </c>
      <c r="J89" s="210" t="s">
        <v>637</v>
      </c>
      <c r="K89" s="256" t="s">
        <v>217</v>
      </c>
      <c r="L89" s="257">
        <v>6357</v>
      </c>
      <c r="M89" s="210" t="s">
        <v>1927</v>
      </c>
      <c r="N89" s="210" t="s">
        <v>1928</v>
      </c>
      <c r="O89" s="350">
        <v>37003</v>
      </c>
      <c r="P89" s="210"/>
      <c r="S89" s="210">
        <v>83</v>
      </c>
      <c r="T89" s="230">
        <v>76.252051697015432</v>
      </c>
    </row>
    <row r="90" spans="1:20">
      <c r="A90" s="210">
        <v>84</v>
      </c>
      <c r="B90" s="234">
        <v>7.2523148148148142E-2</v>
      </c>
      <c r="C90" s="217"/>
      <c r="D90" s="217">
        <f t="shared" si="5"/>
        <v>87.305489479079085</v>
      </c>
      <c r="E90" s="232">
        <f>'10K'!$E90*(1-$K$2)+H.Marathon!$E90*$K$2</f>
        <v>0.50187756724239441</v>
      </c>
      <c r="F90" s="312"/>
      <c r="G90" s="210">
        <v>84</v>
      </c>
      <c r="H90" s="346" t="s">
        <v>1845</v>
      </c>
      <c r="I90" s="210" t="s">
        <v>1930</v>
      </c>
      <c r="J90" s="210" t="s">
        <v>1931</v>
      </c>
      <c r="K90" s="256" t="s">
        <v>217</v>
      </c>
      <c r="L90" s="257"/>
      <c r="M90" s="253"/>
      <c r="N90" s="256" t="s">
        <v>1932</v>
      </c>
      <c r="O90" s="353">
        <v>35595</v>
      </c>
      <c r="P90" s="210"/>
    </row>
    <row r="91" spans="1:20">
      <c r="A91" s="210">
        <v>85</v>
      </c>
      <c r="B91" s="234"/>
      <c r="C91" s="217"/>
      <c r="D91" s="217">
        <f t="shared" si="5"/>
        <v>90.474710767953781</v>
      </c>
      <c r="E91" s="232">
        <f>'10K'!$E91*(1-$K$2)+H.Marathon!$E91*$K$2</f>
        <v>0.48429739420826723</v>
      </c>
      <c r="F91" s="312"/>
      <c r="G91" s="210">
        <v>85</v>
      </c>
      <c r="H91" s="325"/>
      <c r="I91" s="210"/>
      <c r="J91" s="210"/>
      <c r="K91" s="210"/>
      <c r="L91" s="210"/>
      <c r="M91" s="210"/>
      <c r="N91" s="210"/>
      <c r="O91" s="351"/>
      <c r="P91" s="210"/>
    </row>
    <row r="92" spans="1:20">
      <c r="A92" s="210">
        <v>86</v>
      </c>
      <c r="B92" s="234"/>
      <c r="C92" s="217"/>
      <c r="D92" s="217">
        <f t="shared" si="5"/>
        <v>94.023707012950467</v>
      </c>
      <c r="E92" s="232">
        <f>'10K'!$E92*(1-$K$2)+H.Marathon!$E92*$K$2</f>
        <v>0.46601722117413991</v>
      </c>
      <c r="F92" s="312"/>
      <c r="G92" s="210">
        <v>86</v>
      </c>
      <c r="H92" s="325"/>
      <c r="I92" s="210"/>
      <c r="J92" s="210"/>
      <c r="K92" s="210"/>
      <c r="L92" s="210"/>
      <c r="M92" s="210"/>
      <c r="N92" s="210"/>
      <c r="O92" s="351"/>
      <c r="P92" s="210"/>
    </row>
    <row r="93" spans="1:20">
      <c r="A93" s="210">
        <v>87</v>
      </c>
      <c r="B93" s="234">
        <v>7.0775462962962957E-2</v>
      </c>
      <c r="C93" s="217"/>
      <c r="D93" s="217">
        <f t="shared" si="5"/>
        <v>98.037669620398447</v>
      </c>
      <c r="E93" s="232">
        <f>'10K'!$E93*(1-$K$2)+H.Marathon!$E93*$K$2</f>
        <v>0.44693704814001256</v>
      </c>
      <c r="F93" s="312"/>
      <c r="G93" s="210">
        <v>87</v>
      </c>
      <c r="H93" s="325" t="s">
        <v>1843</v>
      </c>
      <c r="I93" s="256" t="s">
        <v>1933</v>
      </c>
      <c r="J93" s="256" t="s">
        <v>1934</v>
      </c>
      <c r="K93" s="256" t="s">
        <v>217</v>
      </c>
      <c r="L93" s="257">
        <v>10540</v>
      </c>
      <c r="M93" s="253"/>
      <c r="N93" s="256" t="s">
        <v>1852</v>
      </c>
      <c r="O93" s="350">
        <v>42441</v>
      </c>
      <c r="P93" s="210"/>
    </row>
    <row r="94" spans="1:20">
      <c r="A94" s="210">
        <v>88</v>
      </c>
      <c r="B94" s="234"/>
      <c r="C94" s="217"/>
      <c r="D94" s="217">
        <f t="shared" si="5"/>
        <v>102.60354943904129</v>
      </c>
      <c r="E94" s="232">
        <f>'10K'!$E94*(1-$K$2)+H.Marathon!$E94*$K$2</f>
        <v>0.42704825423899184</v>
      </c>
      <c r="F94" s="312"/>
      <c r="G94" s="210">
        <v>88</v>
      </c>
      <c r="H94" s="346"/>
      <c r="I94" s="210"/>
      <c r="J94" s="210"/>
      <c r="K94" s="210"/>
      <c r="L94" s="210"/>
      <c r="M94" s="210"/>
      <c r="N94" s="210"/>
      <c r="O94" s="351"/>
      <c r="P94" s="210"/>
    </row>
    <row r="95" spans="1:20">
      <c r="A95" s="210">
        <v>89</v>
      </c>
      <c r="B95" s="234"/>
      <c r="C95" s="217"/>
      <c r="D95" s="217">
        <f t="shared" si="5"/>
        <v>107.81294783269242</v>
      </c>
      <c r="E95" s="232">
        <f>'10K'!$E95*(1-$K$2)+H.Marathon!$E95*$K$2</f>
        <v>0.40641377077141772</v>
      </c>
      <c r="F95" s="312"/>
      <c r="G95" s="210">
        <v>89</v>
      </c>
      <c r="H95" s="266"/>
      <c r="I95" s="210"/>
      <c r="J95" s="210"/>
      <c r="K95" s="210"/>
      <c r="L95" s="210"/>
      <c r="M95" s="210"/>
      <c r="N95" s="210"/>
      <c r="O95" s="351"/>
      <c r="P95" s="210"/>
    </row>
    <row r="96" spans="1:20">
      <c r="A96" s="210">
        <v>90</v>
      </c>
      <c r="B96" s="234">
        <v>7.677083333333333E-2</v>
      </c>
      <c r="C96" s="217"/>
      <c r="D96" s="217">
        <f t="shared" si="5"/>
        <v>113.81564700150867</v>
      </c>
      <c r="E96" s="232">
        <f>'10K'!$E96*(1-$K$2)+H.Marathon!$E96*$K$2</f>
        <v>0.38497928730384379</v>
      </c>
      <c r="F96" s="312"/>
      <c r="G96" s="210">
        <v>90</v>
      </c>
      <c r="H96" s="325" t="s">
        <v>1844</v>
      </c>
      <c r="I96" s="256" t="s">
        <v>1935</v>
      </c>
      <c r="J96" s="256" t="s">
        <v>1936</v>
      </c>
      <c r="K96" s="256" t="s">
        <v>217</v>
      </c>
      <c r="L96" s="257">
        <v>9212</v>
      </c>
      <c r="M96" s="253"/>
      <c r="N96" s="256" t="s">
        <v>1883</v>
      </c>
      <c r="O96" s="350">
        <v>42420</v>
      </c>
      <c r="P96" s="210"/>
    </row>
    <row r="97" spans="1:16">
      <c r="A97" s="210">
        <v>91</v>
      </c>
      <c r="B97" s="234">
        <v>7.2523148148148142E-2</v>
      </c>
      <c r="C97" s="217"/>
      <c r="D97" s="217">
        <f t="shared" si="5"/>
        <v>120.79486062840849</v>
      </c>
      <c r="E97" s="232">
        <f>'10K'!$E97*(1-$K$2)+H.Marathon!$E97*$K$2</f>
        <v>0.36273618296937615</v>
      </c>
      <c r="F97" s="312"/>
      <c r="G97" s="210">
        <v>91</v>
      </c>
      <c r="H97" s="346" t="s">
        <v>1845</v>
      </c>
      <c r="I97" s="256" t="s">
        <v>1935</v>
      </c>
      <c r="J97" s="256" t="s">
        <v>1936</v>
      </c>
      <c r="K97" s="256" t="s">
        <v>217</v>
      </c>
      <c r="L97" s="257">
        <v>9212</v>
      </c>
      <c r="M97" s="253"/>
      <c r="N97" s="256" t="s">
        <v>1883</v>
      </c>
      <c r="O97" s="350">
        <v>42791</v>
      </c>
      <c r="P97" s="210"/>
    </row>
    <row r="98" spans="1:16">
      <c r="A98" s="210">
        <v>92</v>
      </c>
      <c r="B98" s="234">
        <v>0.11039351851851852</v>
      </c>
      <c r="C98" s="217"/>
      <c r="D98" s="217">
        <f t="shared" si="5"/>
        <v>128.96836907803575</v>
      </c>
      <c r="E98" s="232">
        <f>'10K'!$E98*(1-$K$2)+H.Marathon!$E98*$K$2</f>
        <v>0.33974738906835539</v>
      </c>
      <c r="F98" s="312"/>
      <c r="G98" s="210">
        <v>92</v>
      </c>
      <c r="H98" s="346" t="s">
        <v>1846</v>
      </c>
      <c r="I98" s="256" t="s">
        <v>1935</v>
      </c>
      <c r="J98" s="256" t="s">
        <v>1936</v>
      </c>
      <c r="K98" s="256" t="s">
        <v>217</v>
      </c>
      <c r="L98" s="257">
        <v>9212</v>
      </c>
      <c r="M98" s="210" t="s">
        <v>1925</v>
      </c>
      <c r="N98" s="210" t="s">
        <v>1926</v>
      </c>
      <c r="O98" s="353">
        <v>43155</v>
      </c>
      <c r="P98" s="210"/>
    </row>
    <row r="99" spans="1:16">
      <c r="A99" s="210">
        <v>93</v>
      </c>
      <c r="B99" s="234"/>
      <c r="C99" s="217"/>
      <c r="D99" s="217">
        <f t="shared" si="5"/>
        <v>138.65845744327603</v>
      </c>
      <c r="E99" s="232">
        <f>'10K'!$E99*(1-$K$2)+H.Marathon!$E99*$K$2</f>
        <v>0.31600428473388786</v>
      </c>
      <c r="F99" s="312"/>
      <c r="G99" s="210">
        <v>93</v>
      </c>
      <c r="H99" s="266"/>
      <c r="I99" s="210"/>
      <c r="J99" s="210"/>
      <c r="K99" s="210"/>
      <c r="L99" s="210"/>
      <c r="M99" s="210"/>
      <c r="N99" s="210"/>
      <c r="O99" s="210"/>
      <c r="P99" s="210"/>
    </row>
    <row r="100" spans="1:16">
      <c r="A100" s="210">
        <v>94</v>
      </c>
      <c r="B100" s="234"/>
      <c r="C100" s="217"/>
      <c r="D100" s="217">
        <f t="shared" si="5"/>
        <v>150.33448573364052</v>
      </c>
      <c r="E100" s="232">
        <f>'10K'!$E100*(1-$K$2)+H.Marathon!$E100*$K$2</f>
        <v>0.29146118039942026</v>
      </c>
      <c r="F100" s="312"/>
      <c r="G100" s="210">
        <v>94</v>
      </c>
      <c r="H100" s="266"/>
      <c r="I100" s="210"/>
      <c r="J100" s="210"/>
      <c r="K100" s="210"/>
      <c r="L100" s="210"/>
      <c r="M100" s="210"/>
      <c r="N100" s="210"/>
      <c r="O100" s="210"/>
      <c r="P100" s="210"/>
    </row>
    <row r="101" spans="1:16">
      <c r="A101" s="210">
        <v>95</v>
      </c>
      <c r="B101" s="234"/>
      <c r="C101" s="217"/>
      <c r="D101" s="217">
        <f t="shared" si="5"/>
        <v>164.68483245986994</v>
      </c>
      <c r="E101" s="232">
        <f>'10K'!$E101*(1-$K$2)+H.Marathon!$E101*$K$2</f>
        <v>0.26606376563150602</v>
      </c>
      <c r="F101" s="312"/>
      <c r="G101" s="210">
        <v>95</v>
      </c>
      <c r="H101" s="266"/>
      <c r="I101" s="210"/>
      <c r="J101" s="210"/>
      <c r="K101" s="210"/>
      <c r="L101" s="210"/>
      <c r="M101" s="210"/>
      <c r="N101" s="210"/>
      <c r="O101" s="210"/>
      <c r="P101" s="210"/>
    </row>
    <row r="102" spans="1:16">
      <c r="A102" s="210">
        <v>96</v>
      </c>
      <c r="B102" s="210"/>
      <c r="C102" s="217"/>
      <c r="D102" s="217">
        <f t="shared" si="5"/>
        <v>182.59504513436616</v>
      </c>
      <c r="E102" s="232">
        <f>'10K'!$E102*(1-$K$2)+H.Marathon!$E102*$K$2</f>
        <v>0.23996635086359169</v>
      </c>
      <c r="F102" s="312"/>
      <c r="G102" s="210">
        <v>96</v>
      </c>
      <c r="H102" s="266"/>
      <c r="I102" s="210"/>
      <c r="J102" s="210"/>
      <c r="K102" s="210"/>
      <c r="L102" s="210"/>
      <c r="M102" s="210"/>
      <c r="N102" s="210"/>
      <c r="O102" s="210"/>
      <c r="P102" s="210"/>
    </row>
    <row r="103" spans="1:16">
      <c r="A103" s="210">
        <v>97</v>
      </c>
      <c r="B103" s="210" t="s">
        <v>63</v>
      </c>
      <c r="C103" s="217"/>
      <c r="D103" s="217">
        <f t="shared" si="5"/>
        <v>205.64549422160275</v>
      </c>
      <c r="E103" s="232">
        <f>'10K'!$E103*(1-$K$2)+H.Marathon!$E103*$K$2</f>
        <v>0.2130689360956774</v>
      </c>
      <c r="F103" s="210"/>
      <c r="G103" s="210">
        <v>97</v>
      </c>
      <c r="H103" s="266"/>
      <c r="I103" s="210"/>
      <c r="J103" s="210"/>
      <c r="K103" s="210"/>
      <c r="L103" s="210"/>
      <c r="M103" s="210"/>
      <c r="N103" s="210"/>
      <c r="O103" s="210"/>
      <c r="P103" s="210"/>
    </row>
    <row r="104" spans="1:16">
      <c r="A104" s="210">
        <v>98</v>
      </c>
      <c r="B104" s="210" t="s">
        <v>63</v>
      </c>
      <c r="C104" s="217"/>
      <c r="D104" s="217">
        <f t="shared" si="5"/>
        <v>236.38315195610809</v>
      </c>
      <c r="E104" s="232">
        <f>'10K'!$E104*(1-$K$2)+H.Marathon!$E104*$K$2</f>
        <v>0.18536290046086956</v>
      </c>
      <c r="F104" s="210"/>
      <c r="G104" s="210">
        <v>98</v>
      </c>
      <c r="H104" s="266"/>
      <c r="I104" s="210"/>
      <c r="J104" s="210"/>
      <c r="K104" s="210"/>
      <c r="L104" s="210"/>
      <c r="M104" s="210"/>
      <c r="N104" s="210"/>
      <c r="O104" s="210"/>
      <c r="P104" s="210"/>
    </row>
    <row r="105" spans="1:16">
      <c r="A105" s="210">
        <v>99</v>
      </c>
      <c r="B105" s="210" t="s">
        <v>63</v>
      </c>
      <c r="C105" s="217"/>
      <c r="D105" s="217">
        <f t="shared" si="5"/>
        <v>279.24503525131462</v>
      </c>
      <c r="E105" s="232">
        <f>'10K'!$E105*(1-$K$2)+H.Marathon!$E105*$K$2</f>
        <v>0.15691117525950854</v>
      </c>
      <c r="F105" s="210"/>
      <c r="G105" s="210">
        <v>99</v>
      </c>
      <c r="H105" s="266"/>
      <c r="I105" s="210"/>
      <c r="J105" s="210"/>
      <c r="K105" s="210"/>
      <c r="L105" s="210"/>
      <c r="M105" s="210"/>
      <c r="N105" s="210"/>
      <c r="O105" s="210"/>
      <c r="P105" s="210"/>
    </row>
    <row r="106" spans="1:16">
      <c r="A106" s="210">
        <v>100</v>
      </c>
      <c r="B106" s="210"/>
      <c r="C106" s="210"/>
      <c r="D106" s="217">
        <f>E$4/E106</f>
        <v>343.23089004933564</v>
      </c>
      <c r="E106" s="232">
        <f>'10K'!$E106*(1-$K$2)+H.Marathon!$E106*$K$2</f>
        <v>0.12765945005814747</v>
      </c>
      <c r="F106" s="210"/>
      <c r="G106" s="210">
        <v>100</v>
      </c>
      <c r="H106" s="210"/>
      <c r="I106" s="210"/>
      <c r="J106" s="210"/>
      <c r="K106" s="210"/>
      <c r="L106" s="210"/>
      <c r="M106" s="210"/>
      <c r="N106" s="210"/>
      <c r="O106" s="210"/>
      <c r="P106" s="210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9.6640625" style="1"/>
    <col min="11" max="11" width="15.88671875" style="1" customWidth="1"/>
    <col min="12" max="12" width="6.77734375" style="1" customWidth="1"/>
    <col min="13" max="13" width="10.109375" style="1" bestFit="1" customWidth="1"/>
    <col min="14" max="14" width="21.5546875" style="1" customWidth="1"/>
    <col min="15" max="15" width="21.21875" style="1" customWidth="1"/>
    <col min="16" max="16" width="14.6640625" style="1" customWidth="1"/>
    <col min="17" max="16384" width="9.6640625" style="1"/>
  </cols>
  <sheetData>
    <row r="1" spans="1:17" ht="29.1" customHeight="1">
      <c r="A1" s="206" t="s">
        <v>68</v>
      </c>
      <c r="B1" s="207"/>
      <c r="C1" s="208"/>
      <c r="D1" s="209" t="s">
        <v>32</v>
      </c>
      <c r="E1" s="209" t="s">
        <v>54</v>
      </c>
      <c r="F1" s="209"/>
      <c r="G1" s="209"/>
      <c r="H1" s="209"/>
      <c r="I1" s="209"/>
      <c r="J1" s="210"/>
      <c r="K1" s="208" t="s">
        <v>2084</v>
      </c>
      <c r="L1" s="210"/>
      <c r="M1" s="210"/>
      <c r="N1" s="210"/>
      <c r="O1" s="210"/>
      <c r="P1" s="210"/>
      <c r="Q1" s="210"/>
    </row>
    <row r="2" spans="1:17" ht="15.95" customHeight="1">
      <c r="A2" s="206"/>
      <c r="B2" s="207"/>
      <c r="C2" s="208"/>
      <c r="D2" s="209"/>
      <c r="E2" s="209"/>
      <c r="F2" s="81"/>
      <c r="G2" s="82"/>
      <c r="H2" s="211"/>
      <c r="I2" s="211"/>
      <c r="J2" s="210"/>
      <c r="K2" s="215">
        <f>Parameters!M25</f>
        <v>0.63735080246240494</v>
      </c>
      <c r="L2" s="210"/>
      <c r="M2" s="210"/>
      <c r="N2" s="210"/>
      <c r="O2" s="210"/>
      <c r="P2" s="210"/>
      <c r="Q2" s="210"/>
    </row>
    <row r="3" spans="1:17" ht="15.95" customHeight="1">
      <c r="A3" s="206"/>
      <c r="B3" s="207"/>
      <c r="C3" s="208"/>
      <c r="D3" s="209"/>
      <c r="E3" s="209"/>
      <c r="F3" s="81"/>
      <c r="G3" s="82"/>
      <c r="H3" s="212"/>
      <c r="I3" s="213"/>
      <c r="J3" s="210"/>
      <c r="K3" s="210"/>
      <c r="L3" s="210"/>
      <c r="M3" s="210"/>
      <c r="N3" s="210"/>
      <c r="O3" s="210"/>
      <c r="P3" s="210"/>
      <c r="Q3" s="210"/>
    </row>
    <row r="4" spans="1:17" ht="15.75">
      <c r="A4" s="207"/>
      <c r="B4" s="207"/>
      <c r="C4" s="207"/>
      <c r="D4" s="214">
        <f>Parameters!G25</f>
        <v>3.2777777777777781E-2</v>
      </c>
      <c r="E4" s="215">
        <f>D4*1440</f>
        <v>47.2</v>
      </c>
      <c r="F4" s="216"/>
      <c r="G4" s="205"/>
      <c r="H4" s="212"/>
      <c r="I4" s="213"/>
      <c r="J4" s="217"/>
      <c r="K4" s="210"/>
      <c r="L4" s="210"/>
      <c r="M4" s="210"/>
      <c r="N4" s="210"/>
      <c r="O4" s="210"/>
      <c r="P4" s="210"/>
      <c r="Q4" s="210"/>
    </row>
    <row r="5" spans="1:17" ht="15.75" customHeight="1">
      <c r="A5" s="207"/>
      <c r="B5" s="207"/>
      <c r="C5" s="207"/>
      <c r="D5" s="214"/>
      <c r="E5" s="207">
        <f>E4*60</f>
        <v>2832</v>
      </c>
      <c r="F5" s="216"/>
      <c r="G5" s="205"/>
      <c r="H5" s="212"/>
      <c r="I5" s="213"/>
      <c r="J5" s="217"/>
      <c r="K5" s="210"/>
      <c r="L5" s="210"/>
      <c r="M5" s="210"/>
      <c r="N5" s="210"/>
      <c r="O5" s="210"/>
      <c r="P5" s="210"/>
      <c r="Q5" s="210"/>
    </row>
    <row r="6" spans="1:17" ht="48.75" customHeight="1">
      <c r="A6" s="218" t="s">
        <v>52</v>
      </c>
      <c r="B6" s="218" t="s">
        <v>2081</v>
      </c>
      <c r="C6" s="218" t="s">
        <v>2081</v>
      </c>
      <c r="D6" s="218" t="s">
        <v>1938</v>
      </c>
      <c r="E6" s="218" t="s">
        <v>134</v>
      </c>
      <c r="F6" s="218" t="s">
        <v>130</v>
      </c>
      <c r="G6" s="218" t="s">
        <v>52</v>
      </c>
      <c r="H6" s="314" t="s">
        <v>709</v>
      </c>
      <c r="I6" s="318" t="s">
        <v>1154</v>
      </c>
      <c r="J6" s="314" t="s">
        <v>403</v>
      </c>
      <c r="K6" s="314" t="s">
        <v>404</v>
      </c>
      <c r="L6" s="314" t="s">
        <v>405</v>
      </c>
      <c r="M6" s="316" t="s">
        <v>406</v>
      </c>
      <c r="N6" s="317" t="s">
        <v>407</v>
      </c>
      <c r="O6" s="318" t="s">
        <v>408</v>
      </c>
      <c r="P6" s="316" t="s">
        <v>409</v>
      </c>
      <c r="Q6" s="337"/>
    </row>
    <row r="7" spans="1:17">
      <c r="A7" s="210">
        <v>1</v>
      </c>
      <c r="B7" s="210" t="s">
        <v>63</v>
      </c>
      <c r="C7" s="210"/>
      <c r="D7" s="210"/>
      <c r="E7" s="210"/>
      <c r="F7" s="210"/>
      <c r="G7" s="210">
        <v>1</v>
      </c>
      <c r="H7" s="210"/>
      <c r="I7" s="210"/>
      <c r="J7" s="210"/>
      <c r="K7" s="210"/>
      <c r="L7" s="210"/>
      <c r="M7" s="210"/>
      <c r="N7" s="210"/>
      <c r="O7" s="210"/>
      <c r="P7" s="210"/>
      <c r="Q7" s="210"/>
    </row>
    <row r="8" spans="1:17">
      <c r="A8" s="210">
        <v>2</v>
      </c>
      <c r="B8" s="210" t="s">
        <v>63</v>
      </c>
      <c r="C8" s="210"/>
      <c r="D8" s="210"/>
      <c r="E8" s="210"/>
      <c r="F8" s="210"/>
      <c r="G8" s="210">
        <v>2</v>
      </c>
      <c r="H8" s="210"/>
      <c r="I8" s="210"/>
      <c r="J8" s="210"/>
      <c r="K8" s="210"/>
      <c r="L8" s="210"/>
      <c r="M8" s="210"/>
      <c r="N8" s="210"/>
      <c r="O8" s="210"/>
      <c r="P8" s="210"/>
      <c r="Q8" s="210"/>
    </row>
    <row r="9" spans="1:17">
      <c r="A9" s="210">
        <v>3</v>
      </c>
      <c r="B9" s="231" t="s">
        <v>63</v>
      </c>
      <c r="C9" s="217"/>
      <c r="D9" s="217"/>
      <c r="E9" s="232">
        <f>'10K'!$E9*(1-$K$2)+H.Marathon!$E9*$K$2</f>
        <v>0.55570216285862983</v>
      </c>
      <c r="F9" s="312"/>
      <c r="G9" s="210">
        <v>3</v>
      </c>
      <c r="H9" s="210"/>
      <c r="I9" s="210"/>
      <c r="J9" s="210"/>
      <c r="K9" s="210"/>
      <c r="L9" s="210"/>
      <c r="M9" s="210"/>
      <c r="N9" s="210"/>
      <c r="O9" s="210"/>
      <c r="P9" s="210"/>
      <c r="Q9" s="311"/>
    </row>
    <row r="10" spans="1:17">
      <c r="A10" s="210">
        <v>4</v>
      </c>
      <c r="B10" s="234"/>
      <c r="C10" s="217"/>
      <c r="D10" s="217"/>
      <c r="E10" s="232">
        <f>'10K'!$E10*(1-$K$2)+H.Marathon!$E10*$K$2</f>
        <v>0.59680867815488159</v>
      </c>
      <c r="F10" s="312"/>
      <c r="G10" s="210">
        <v>4</v>
      </c>
      <c r="H10" s="210"/>
      <c r="I10" s="210"/>
      <c r="J10" s="210"/>
      <c r="K10" s="210"/>
      <c r="L10" s="210"/>
      <c r="M10" s="210"/>
      <c r="N10" s="210"/>
      <c r="O10" s="210"/>
      <c r="P10" s="210"/>
      <c r="Q10" s="311"/>
    </row>
    <row r="11" spans="1:17">
      <c r="A11" s="210">
        <v>5</v>
      </c>
      <c r="B11" s="234"/>
      <c r="C11" s="217"/>
      <c r="D11" s="217">
        <f t="shared" ref="D11:D42" si="0">E$4/E11</f>
        <v>74.222707233972002</v>
      </c>
      <c r="E11" s="232">
        <f>'10K'!$E11*(1-$K$2)+H.Marathon!$E11*$K$2</f>
        <v>0.63592398821039486</v>
      </c>
      <c r="F11" s="312"/>
      <c r="G11" s="210">
        <v>5</v>
      </c>
      <c r="H11" s="313"/>
      <c r="I11" s="210"/>
      <c r="J11" s="210"/>
      <c r="K11" s="210"/>
      <c r="L11" s="210"/>
      <c r="M11" s="210"/>
      <c r="N11" s="210"/>
      <c r="O11" s="210"/>
      <c r="P11" s="210"/>
      <c r="Q11" s="311"/>
    </row>
    <row r="12" spans="1:17">
      <c r="A12" s="210">
        <v>6</v>
      </c>
      <c r="B12" s="234"/>
      <c r="C12" s="217"/>
      <c r="D12" s="217">
        <f t="shared" si="0"/>
        <v>70.122077831929062</v>
      </c>
      <c r="E12" s="232">
        <f>'10K'!$E12*(1-$K$2)+H.Marathon!$E12*$K$2</f>
        <v>0.67311182810541548</v>
      </c>
      <c r="F12" s="312"/>
      <c r="G12" s="210">
        <v>6</v>
      </c>
      <c r="H12" s="313"/>
      <c r="I12" s="210"/>
      <c r="J12" s="210"/>
      <c r="K12" s="210"/>
      <c r="L12" s="210"/>
      <c r="M12" s="210"/>
      <c r="N12" s="210"/>
      <c r="O12" s="210"/>
      <c r="P12" s="210"/>
      <c r="Q12" s="311"/>
    </row>
    <row r="13" spans="1:17">
      <c r="A13" s="210">
        <v>7</v>
      </c>
      <c r="B13" s="234">
        <v>6.1377314814814815E-2</v>
      </c>
      <c r="C13" s="217">
        <f t="shared" ref="C13:C75" si="1">B13*1440</f>
        <v>88.38333333333334</v>
      </c>
      <c r="D13" s="217">
        <f t="shared" si="0"/>
        <v>66.637633858136184</v>
      </c>
      <c r="E13" s="232">
        <f>'10K'!$E13*(1-$K$2)+H.Marathon!$E13*$K$2</f>
        <v>0.70830846275969739</v>
      </c>
      <c r="F13" s="312">
        <f t="shared" ref="F13:F72" si="2">100*(D13/C13)</f>
        <v>75.396153714655298</v>
      </c>
      <c r="G13" s="210">
        <v>7</v>
      </c>
      <c r="H13" s="325" t="s">
        <v>1940</v>
      </c>
      <c r="I13" s="253">
        <v>5303</v>
      </c>
      <c r="J13" s="256" t="s">
        <v>1151</v>
      </c>
      <c r="K13" s="256" t="s">
        <v>1847</v>
      </c>
      <c r="L13" s="256" t="s">
        <v>217</v>
      </c>
      <c r="M13" s="251">
        <v>39841</v>
      </c>
      <c r="N13" s="253"/>
      <c r="O13" s="256" t="s">
        <v>1941</v>
      </c>
      <c r="P13" s="350">
        <v>42714</v>
      </c>
      <c r="Q13" s="253"/>
    </row>
    <row r="14" spans="1:17">
      <c r="A14" s="210">
        <v>8</v>
      </c>
      <c r="B14" s="234">
        <v>5.9745370370370372E-2</v>
      </c>
      <c r="C14" s="217">
        <f t="shared" si="1"/>
        <v>86.033333333333331</v>
      </c>
      <c r="D14" s="217">
        <f t="shared" si="0"/>
        <v>63.651203287507911</v>
      </c>
      <c r="E14" s="232">
        <f>'10K'!$E14*(1-$K$2)+H.Marathon!$E14*$K$2</f>
        <v>0.74154136233373302</v>
      </c>
      <c r="F14" s="312">
        <f t="shared" si="2"/>
        <v>73.984350973469091</v>
      </c>
      <c r="G14" s="210">
        <v>8</v>
      </c>
      <c r="H14" s="325" t="s">
        <v>1942</v>
      </c>
      <c r="I14" s="253">
        <v>5162</v>
      </c>
      <c r="J14" s="256" t="s">
        <v>487</v>
      </c>
      <c r="K14" s="256" t="s">
        <v>488</v>
      </c>
      <c r="L14" s="256" t="s">
        <v>217</v>
      </c>
      <c r="M14" s="251">
        <v>38897</v>
      </c>
      <c r="N14" s="253"/>
      <c r="O14" s="256" t="s">
        <v>1943</v>
      </c>
      <c r="P14" s="350">
        <v>42056</v>
      </c>
      <c r="Q14" s="253"/>
    </row>
    <row r="15" spans="1:17">
      <c r="A15" s="210">
        <v>9</v>
      </c>
      <c r="B15" s="234">
        <v>4.8414351851851854E-2</v>
      </c>
      <c r="C15" s="217">
        <f t="shared" si="1"/>
        <v>69.716666666666669</v>
      </c>
      <c r="D15" s="217">
        <f t="shared" si="0"/>
        <v>61.072906692526679</v>
      </c>
      <c r="E15" s="232">
        <f>'10K'!$E15*(1-$K$2)+H.Marathon!$E15*$K$2</f>
        <v>0.77284679174727633</v>
      </c>
      <c r="F15" s="312">
        <f t="shared" si="2"/>
        <v>87.601587414573288</v>
      </c>
      <c r="G15" s="210">
        <v>9</v>
      </c>
      <c r="H15" s="325" t="s">
        <v>1944</v>
      </c>
      <c r="I15" s="253">
        <v>4183</v>
      </c>
      <c r="J15" s="256" t="s">
        <v>1341</v>
      </c>
      <c r="K15" s="256" t="s">
        <v>1945</v>
      </c>
      <c r="L15" s="256" t="s">
        <v>217</v>
      </c>
      <c r="M15" s="251">
        <v>26666</v>
      </c>
      <c r="N15" s="253"/>
      <c r="O15" s="256" t="s">
        <v>1946</v>
      </c>
      <c r="P15" s="350">
        <v>30031</v>
      </c>
      <c r="Q15" s="253"/>
    </row>
    <row r="16" spans="1:17">
      <c r="A16" s="210">
        <v>10</v>
      </c>
      <c r="B16" s="234"/>
      <c r="C16" s="217"/>
      <c r="D16" s="217">
        <f t="shared" si="0"/>
        <v>58.838394404161392</v>
      </c>
      <c r="E16" s="232">
        <f>'10K'!$E16*(1-$K$2)+H.Marathon!$E16*$K$2</f>
        <v>0.80219728083983455</v>
      </c>
      <c r="F16" s="312"/>
      <c r="G16" s="210">
        <v>10</v>
      </c>
      <c r="H16" s="325"/>
      <c r="I16" s="253"/>
      <c r="J16" s="256"/>
      <c r="K16" s="256"/>
      <c r="L16" s="256"/>
      <c r="M16" s="251"/>
      <c r="N16" s="253"/>
      <c r="O16" s="256"/>
      <c r="P16" s="350"/>
      <c r="Q16" s="253"/>
    </row>
    <row r="17" spans="1:17">
      <c r="A17" s="210">
        <v>11</v>
      </c>
      <c r="B17" s="234"/>
      <c r="C17" s="217"/>
      <c r="D17" s="217">
        <f t="shared" si="0"/>
        <v>56.898471324739674</v>
      </c>
      <c r="E17" s="232">
        <f>'10K'!$E17*(1-$K$2)+H.Marathon!$E17*$K$2</f>
        <v>0.82954776993239288</v>
      </c>
      <c r="F17" s="312"/>
      <c r="G17" s="210">
        <v>11</v>
      </c>
      <c r="H17" s="325"/>
      <c r="I17" s="253"/>
      <c r="J17" s="256"/>
      <c r="K17" s="256"/>
      <c r="L17" s="256"/>
      <c r="M17" s="251"/>
      <c r="N17" s="253"/>
      <c r="O17" s="256"/>
      <c r="P17" s="350"/>
      <c r="Q17" s="253"/>
    </row>
    <row r="18" spans="1:17">
      <c r="A18" s="210">
        <v>12</v>
      </c>
      <c r="B18" s="234">
        <v>4.0729166666666664E-2</v>
      </c>
      <c r="C18" s="217">
        <f t="shared" si="1"/>
        <v>58.65</v>
      </c>
      <c r="D18" s="217">
        <f t="shared" si="0"/>
        <v>55.208338339378891</v>
      </c>
      <c r="E18" s="232">
        <f>'10K'!$E18*(1-$K$2)+H.Marathon!$E18*$K$2</f>
        <v>0.85494331870396623</v>
      </c>
      <c r="F18" s="312">
        <f t="shared" si="2"/>
        <v>94.131864176264088</v>
      </c>
      <c r="G18" s="210">
        <v>12</v>
      </c>
      <c r="H18" s="325" t="s">
        <v>1947</v>
      </c>
      <c r="I18" s="253">
        <v>3519</v>
      </c>
      <c r="J18" s="256" t="s">
        <v>1461</v>
      </c>
      <c r="K18" s="256" t="s">
        <v>488</v>
      </c>
      <c r="L18" s="256" t="s">
        <v>217</v>
      </c>
      <c r="M18" s="251">
        <v>24921</v>
      </c>
      <c r="N18" s="253"/>
      <c r="O18" s="256" t="s">
        <v>1462</v>
      </c>
      <c r="P18" s="350">
        <v>29645</v>
      </c>
      <c r="Q18" s="253"/>
    </row>
    <row r="19" spans="1:17">
      <c r="A19" s="210">
        <v>13</v>
      </c>
      <c r="B19" s="234">
        <v>4.1342592592592591E-2</v>
      </c>
      <c r="C19" s="217">
        <f t="shared" si="1"/>
        <v>59.533333333333331</v>
      </c>
      <c r="D19" s="217">
        <f t="shared" si="0"/>
        <v>53.733364735785038</v>
      </c>
      <c r="E19" s="232">
        <f>'10K'!$E19*(1-$K$2)+H.Marathon!$E19*$K$2</f>
        <v>0.87841139731504692</v>
      </c>
      <c r="F19" s="312">
        <f t="shared" si="2"/>
        <v>90.257611538272741</v>
      </c>
      <c r="G19" s="210">
        <v>13</v>
      </c>
      <c r="H19" s="325" t="s">
        <v>1948</v>
      </c>
      <c r="I19" s="253">
        <v>3572</v>
      </c>
      <c r="J19" s="256" t="s">
        <v>1461</v>
      </c>
      <c r="K19" s="256" t="s">
        <v>488</v>
      </c>
      <c r="L19" s="256" t="s">
        <v>217</v>
      </c>
      <c r="M19" s="251">
        <v>24921</v>
      </c>
      <c r="N19" s="253"/>
      <c r="O19" s="256" t="s">
        <v>1462</v>
      </c>
      <c r="P19" s="350">
        <v>30009</v>
      </c>
      <c r="Q19" s="253"/>
    </row>
    <row r="20" spans="1:17">
      <c r="A20" s="210">
        <v>14</v>
      </c>
      <c r="B20" s="234">
        <v>4.1840277777777775E-2</v>
      </c>
      <c r="C20" s="217">
        <f t="shared" si="1"/>
        <v>60.249999999999993</v>
      </c>
      <c r="D20" s="217">
        <f t="shared" si="0"/>
        <v>52.449354820301352</v>
      </c>
      <c r="E20" s="232">
        <f>'10K'!$E20*(1-$K$2)+H.Marathon!$E20*$K$2</f>
        <v>0.89991574084588166</v>
      </c>
      <c r="F20" s="312">
        <f t="shared" si="2"/>
        <v>87.05287107103959</v>
      </c>
      <c r="G20" s="210">
        <v>14</v>
      </c>
      <c r="H20" s="325" t="s">
        <v>1949</v>
      </c>
      <c r="I20" s="253">
        <v>3615</v>
      </c>
      <c r="J20" s="256" t="s">
        <v>1461</v>
      </c>
      <c r="K20" s="256" t="s">
        <v>488</v>
      </c>
      <c r="L20" s="256" t="s">
        <v>217</v>
      </c>
      <c r="M20" s="251">
        <v>24921</v>
      </c>
      <c r="N20" s="253"/>
      <c r="O20" s="256" t="s">
        <v>1950</v>
      </c>
      <c r="P20" s="350">
        <v>30163</v>
      </c>
      <c r="Q20" s="253"/>
    </row>
    <row r="21" spans="1:17">
      <c r="A21" s="210">
        <v>15</v>
      </c>
      <c r="B21" s="234">
        <v>3.7534722222222219E-2</v>
      </c>
      <c r="C21" s="217">
        <f t="shared" si="1"/>
        <v>54.05</v>
      </c>
      <c r="D21" s="217">
        <f t="shared" si="0"/>
        <v>51.336216504701973</v>
      </c>
      <c r="E21" s="232">
        <f>'10K'!$E21*(1-$K$2)+H.Marathon!$E21*$K$2</f>
        <v>0.91942887913597748</v>
      </c>
      <c r="F21" s="312">
        <f t="shared" si="2"/>
        <v>94.979123967996259</v>
      </c>
      <c r="G21" s="210">
        <v>15</v>
      </c>
      <c r="H21" s="325" t="s">
        <v>1951</v>
      </c>
      <c r="I21" s="253">
        <v>3243</v>
      </c>
      <c r="J21" s="256" t="s">
        <v>252</v>
      </c>
      <c r="K21" s="256" t="s">
        <v>253</v>
      </c>
      <c r="L21" s="256" t="s">
        <v>244</v>
      </c>
      <c r="M21" s="251">
        <v>28256</v>
      </c>
      <c r="N21" s="253" t="s">
        <v>1952</v>
      </c>
      <c r="O21" s="256" t="s">
        <v>483</v>
      </c>
      <c r="P21" s="350">
        <v>34063</v>
      </c>
      <c r="Q21" s="253"/>
    </row>
    <row r="22" spans="1:17">
      <c r="A22" s="210">
        <v>16</v>
      </c>
      <c r="B22" s="234">
        <v>3.9108796296296294E-2</v>
      </c>
      <c r="C22" s="217">
        <f t="shared" si="1"/>
        <v>56.316666666666663</v>
      </c>
      <c r="D22" s="217">
        <f t="shared" si="0"/>
        <v>50.320994513812884</v>
      </c>
      <c r="E22" s="232">
        <f>'10K'!$E22*(1-$K$2)+H.Marathon!$E22*$K$2</f>
        <v>0.93797828234582714</v>
      </c>
      <c r="F22" s="312">
        <f t="shared" si="2"/>
        <v>89.353645185817498</v>
      </c>
      <c r="G22" s="210">
        <v>16</v>
      </c>
      <c r="H22" s="325" t="s">
        <v>1953</v>
      </c>
      <c r="I22" s="253">
        <v>3379</v>
      </c>
      <c r="J22" s="256" t="s">
        <v>281</v>
      </c>
      <c r="K22" s="256" t="s">
        <v>1954</v>
      </c>
      <c r="L22" s="256" t="s">
        <v>1469</v>
      </c>
      <c r="M22" s="251">
        <v>33967</v>
      </c>
      <c r="N22" s="253"/>
      <c r="O22" s="256" t="s">
        <v>1955</v>
      </c>
      <c r="P22" s="350">
        <v>40040</v>
      </c>
      <c r="Q22" s="253"/>
    </row>
    <row r="23" spans="1:17">
      <c r="A23" s="210">
        <v>17</v>
      </c>
      <c r="B23" s="234">
        <v>3.7337962962962962E-2</v>
      </c>
      <c r="C23" s="217">
        <f t="shared" si="1"/>
        <v>53.766666666666666</v>
      </c>
      <c r="D23" s="217">
        <f t="shared" si="0"/>
        <v>49.345147780620756</v>
      </c>
      <c r="E23" s="232">
        <f>'10K'!$E23*(1-$K$2)+H.Marathon!$E23*$K$2</f>
        <v>0.95652768555567658</v>
      </c>
      <c r="F23" s="312">
        <f t="shared" si="2"/>
        <v>91.776468283857582</v>
      </c>
      <c r="G23" s="210">
        <v>17</v>
      </c>
      <c r="H23" s="325" t="s">
        <v>1956</v>
      </c>
      <c r="I23" s="253">
        <v>3226</v>
      </c>
      <c r="J23" s="256" t="s">
        <v>1957</v>
      </c>
      <c r="K23" s="256" t="s">
        <v>1958</v>
      </c>
      <c r="L23" s="256" t="s">
        <v>244</v>
      </c>
      <c r="M23" s="251">
        <v>32348</v>
      </c>
      <c r="N23" s="253"/>
      <c r="O23" s="256" t="s">
        <v>1959</v>
      </c>
      <c r="P23" s="350">
        <v>38634</v>
      </c>
      <c r="Q23" s="253"/>
    </row>
    <row r="24" spans="1:17">
      <c r="A24" s="210">
        <v>18</v>
      </c>
      <c r="B24" s="234">
        <v>3.5879629629629629E-2</v>
      </c>
      <c r="C24" s="217">
        <f t="shared" si="1"/>
        <v>51.666666666666664</v>
      </c>
      <c r="D24" s="217">
        <f t="shared" si="0"/>
        <v>48.505920594512489</v>
      </c>
      <c r="E24" s="232">
        <f>'10K'!$E24*(1-$K$2)+H.Marathon!$E24*$K$2</f>
        <v>0.97307708876552634</v>
      </c>
      <c r="F24" s="312">
        <f t="shared" si="2"/>
        <v>93.882426957120941</v>
      </c>
      <c r="G24" s="210">
        <v>18</v>
      </c>
      <c r="H24" s="325" t="s">
        <v>1960</v>
      </c>
      <c r="I24" s="253">
        <v>3100</v>
      </c>
      <c r="J24" s="256" t="s">
        <v>251</v>
      </c>
      <c r="K24" s="256" t="s">
        <v>1874</v>
      </c>
      <c r="L24" s="256" t="s">
        <v>244</v>
      </c>
      <c r="M24" s="251">
        <v>27962</v>
      </c>
      <c r="N24" s="253" t="s">
        <v>1952</v>
      </c>
      <c r="O24" s="256" t="s">
        <v>483</v>
      </c>
      <c r="P24" s="350">
        <v>34798</v>
      </c>
      <c r="Q24" s="253"/>
    </row>
    <row r="25" spans="1:17">
      <c r="A25" s="210">
        <v>19</v>
      </c>
      <c r="B25" s="234">
        <v>3.6747685185185182E-2</v>
      </c>
      <c r="C25" s="217">
        <f t="shared" si="1"/>
        <v>52.916666666666664</v>
      </c>
      <c r="D25" s="217">
        <f t="shared" si="0"/>
        <v>47.888323197768926</v>
      </c>
      <c r="E25" s="232">
        <f>'10K'!$E25*(1-$K$2)+H.Marathon!$E25*$K$2</f>
        <v>0.98562649197537588</v>
      </c>
      <c r="F25" s="312">
        <f t="shared" si="2"/>
        <v>90.497618641453087</v>
      </c>
      <c r="G25" s="210">
        <v>19</v>
      </c>
      <c r="H25" s="325" t="s">
        <v>1961</v>
      </c>
      <c r="I25" s="253">
        <v>3175</v>
      </c>
      <c r="J25" s="256" t="s">
        <v>1962</v>
      </c>
      <c r="K25" s="256" t="s">
        <v>1963</v>
      </c>
      <c r="L25" s="256" t="s">
        <v>248</v>
      </c>
      <c r="M25" s="251">
        <v>30222</v>
      </c>
      <c r="N25" s="253" t="s">
        <v>1952</v>
      </c>
      <c r="O25" s="256" t="s">
        <v>483</v>
      </c>
      <c r="P25" s="350">
        <v>37353</v>
      </c>
      <c r="Q25" s="253"/>
    </row>
    <row r="26" spans="1:17">
      <c r="A26" s="210">
        <v>20</v>
      </c>
      <c r="B26" s="234">
        <v>3.574074074074074E-2</v>
      </c>
      <c r="C26" s="217">
        <f t="shared" si="1"/>
        <v>51.466666666666669</v>
      </c>
      <c r="D26" s="217">
        <f t="shared" si="0"/>
        <v>47.476508159761948</v>
      </c>
      <c r="E26" s="232">
        <f>'10K'!$E26*(1-$K$2)+H.Marathon!$E26*$K$2</f>
        <v>0.99417589518522553</v>
      </c>
      <c r="F26" s="312">
        <f t="shared" si="2"/>
        <v>92.247101346687714</v>
      </c>
      <c r="G26" s="210">
        <v>20</v>
      </c>
      <c r="H26" s="325" t="s">
        <v>1964</v>
      </c>
      <c r="I26" s="253">
        <v>3088</v>
      </c>
      <c r="J26" s="256" t="s">
        <v>1313</v>
      </c>
      <c r="K26" s="256" t="s">
        <v>1314</v>
      </c>
      <c r="L26" s="256" t="s">
        <v>248</v>
      </c>
      <c r="M26" s="251">
        <v>35364</v>
      </c>
      <c r="N26" s="253"/>
      <c r="O26" s="256" t="s">
        <v>343</v>
      </c>
      <c r="P26" s="350">
        <v>42750</v>
      </c>
      <c r="Q26" s="253"/>
    </row>
    <row r="27" spans="1:17">
      <c r="A27" s="210">
        <v>21</v>
      </c>
      <c r="B27" s="234">
        <v>3.6620370370370373E-2</v>
      </c>
      <c r="C27" s="217">
        <f t="shared" si="1"/>
        <v>52.733333333333334</v>
      </c>
      <c r="D27" s="217">
        <f t="shared" si="0"/>
        <v>47.260242707228045</v>
      </c>
      <c r="E27" s="232">
        <f>'10K'!$E27*(1-$K$2)+H.Marathon!$E27*$K$2</f>
        <v>0.99872529839507518</v>
      </c>
      <c r="F27" s="312">
        <f t="shared" si="2"/>
        <v>89.621193502960892</v>
      </c>
      <c r="G27" s="210">
        <v>21</v>
      </c>
      <c r="H27" s="325" t="s">
        <v>1965</v>
      </c>
      <c r="I27" s="253">
        <v>3164</v>
      </c>
      <c r="J27" s="256" t="s">
        <v>1966</v>
      </c>
      <c r="K27" s="256" t="s">
        <v>1967</v>
      </c>
      <c r="L27" s="256" t="s">
        <v>217</v>
      </c>
      <c r="M27" s="251">
        <v>24672</v>
      </c>
      <c r="N27" s="253" t="s">
        <v>1952</v>
      </c>
      <c r="O27" s="256" t="s">
        <v>483</v>
      </c>
      <c r="P27" s="350">
        <v>32600</v>
      </c>
      <c r="Q27" s="253"/>
    </row>
    <row r="28" spans="1:17">
      <c r="A28" s="210">
        <v>22</v>
      </c>
      <c r="B28" s="234">
        <v>3.5856481481481482E-2</v>
      </c>
      <c r="C28" s="217">
        <f t="shared" si="1"/>
        <v>51.633333333333333</v>
      </c>
      <c r="D28" s="217">
        <f t="shared" si="0"/>
        <v>47.2</v>
      </c>
      <c r="E28" s="232">
        <f>'10K'!$E28*(1-$K$2)+H.Marathon!$E28*$K$2</f>
        <v>1</v>
      </c>
      <c r="F28" s="312">
        <f t="shared" si="2"/>
        <v>91.413815364751457</v>
      </c>
      <c r="G28" s="210">
        <v>22</v>
      </c>
      <c r="H28" s="325" t="s">
        <v>1968</v>
      </c>
      <c r="I28" s="253">
        <v>3098</v>
      </c>
      <c r="J28" s="256" t="s">
        <v>1969</v>
      </c>
      <c r="K28" s="256" t="s">
        <v>1970</v>
      </c>
      <c r="L28" s="256" t="s">
        <v>248</v>
      </c>
      <c r="M28" s="251">
        <v>34374</v>
      </c>
      <c r="N28" s="253"/>
      <c r="O28" s="256" t="s">
        <v>1971</v>
      </c>
      <c r="P28" s="350">
        <v>42680</v>
      </c>
      <c r="Q28" s="253"/>
    </row>
    <row r="29" spans="1:17" ht="15.75">
      <c r="A29" s="210">
        <v>23</v>
      </c>
      <c r="B29" s="234">
        <v>3.4363425925925929E-2</v>
      </c>
      <c r="C29" s="217">
        <f t="shared" si="1"/>
        <v>49.483333333333341</v>
      </c>
      <c r="D29" s="217">
        <f t="shared" si="0"/>
        <v>47.2</v>
      </c>
      <c r="E29" s="232">
        <f>'10K'!$E29*(1-$K$2)+H.Marathon!$E29*$K$2</f>
        <v>1</v>
      </c>
      <c r="F29" s="312">
        <f t="shared" si="2"/>
        <v>95.385651734590766</v>
      </c>
      <c r="G29" s="210">
        <v>23</v>
      </c>
      <c r="H29" s="342" t="s">
        <v>1972</v>
      </c>
      <c r="I29" s="288">
        <v>2969</v>
      </c>
      <c r="J29" s="360" t="s">
        <v>1973</v>
      </c>
      <c r="K29" s="360" t="s">
        <v>1974</v>
      </c>
      <c r="L29" s="360" t="s">
        <v>244</v>
      </c>
      <c r="M29" s="363"/>
      <c r="N29" s="288" t="s">
        <v>1975</v>
      </c>
      <c r="O29" s="360" t="s">
        <v>1976</v>
      </c>
      <c r="P29" s="352">
        <v>43140</v>
      </c>
      <c r="Q29" s="343" t="s">
        <v>1328</v>
      </c>
    </row>
    <row r="30" spans="1:17">
      <c r="A30" s="210">
        <v>24</v>
      </c>
      <c r="B30" s="234">
        <v>3.5891203703703703E-2</v>
      </c>
      <c r="C30" s="217">
        <f t="shared" si="1"/>
        <v>51.68333333333333</v>
      </c>
      <c r="D30" s="217">
        <f t="shared" si="0"/>
        <v>47.2</v>
      </c>
      <c r="E30" s="232">
        <f>'10K'!$E30*(1-$K$2)+H.Marathon!$E30*$K$2</f>
        <v>1</v>
      </c>
      <c r="F30" s="312">
        <f t="shared" si="2"/>
        <v>91.325378910029031</v>
      </c>
      <c r="G30" s="210">
        <v>24</v>
      </c>
      <c r="H30" s="325" t="s">
        <v>1977</v>
      </c>
      <c r="I30" s="253">
        <v>3101</v>
      </c>
      <c r="J30" s="256" t="s">
        <v>1978</v>
      </c>
      <c r="K30" s="256" t="s">
        <v>1979</v>
      </c>
      <c r="L30" s="256" t="s">
        <v>259</v>
      </c>
      <c r="M30" s="251">
        <v>24394</v>
      </c>
      <c r="N30" s="253"/>
      <c r="O30" s="256" t="s">
        <v>529</v>
      </c>
      <c r="P30" s="350">
        <v>33348</v>
      </c>
      <c r="Q30" s="253"/>
    </row>
    <row r="31" spans="1:17">
      <c r="A31" s="210">
        <v>25</v>
      </c>
      <c r="B31" s="234">
        <v>3.6145833333333335E-2</v>
      </c>
      <c r="C31" s="217">
        <f t="shared" si="1"/>
        <v>52.050000000000004</v>
      </c>
      <c r="D31" s="217">
        <f t="shared" si="0"/>
        <v>47.2</v>
      </c>
      <c r="E31" s="232">
        <f>'10K'!$E31*(1-$K$2)+H.Marathon!$E31*$K$2</f>
        <v>1</v>
      </c>
      <c r="F31" s="312">
        <f t="shared" si="2"/>
        <v>90.682036503362156</v>
      </c>
      <c r="G31" s="210">
        <v>25</v>
      </c>
      <c r="H31" s="325" t="s">
        <v>1980</v>
      </c>
      <c r="I31" s="253">
        <v>3123</v>
      </c>
      <c r="J31" s="256" t="s">
        <v>1179</v>
      </c>
      <c r="K31" s="256" t="s">
        <v>1981</v>
      </c>
      <c r="L31" s="256" t="s">
        <v>217</v>
      </c>
      <c r="M31" s="251">
        <v>33523</v>
      </c>
      <c r="N31" s="253"/>
      <c r="O31" s="256" t="s">
        <v>1971</v>
      </c>
      <c r="P31" s="350">
        <v>42680</v>
      </c>
      <c r="Q31" s="253"/>
    </row>
    <row r="32" spans="1:17">
      <c r="A32" s="210">
        <v>26</v>
      </c>
      <c r="B32" s="234">
        <v>3.6377314814814814E-2</v>
      </c>
      <c r="C32" s="217">
        <f t="shared" si="1"/>
        <v>52.383333333333333</v>
      </c>
      <c r="D32" s="217">
        <f t="shared" si="0"/>
        <v>47.2</v>
      </c>
      <c r="E32" s="232">
        <f>'10K'!$E32*(1-$K$2)+H.Marathon!$E32*$K$2</f>
        <v>1</v>
      </c>
      <c r="F32" s="312">
        <f t="shared" si="2"/>
        <v>90.104995227489667</v>
      </c>
      <c r="G32" s="210">
        <v>26</v>
      </c>
      <c r="H32" s="325" t="s">
        <v>1982</v>
      </c>
      <c r="I32" s="253">
        <v>3143</v>
      </c>
      <c r="J32" s="256" t="s">
        <v>1983</v>
      </c>
      <c r="K32" s="256" t="s">
        <v>1984</v>
      </c>
      <c r="L32" s="256" t="s">
        <v>606</v>
      </c>
      <c r="M32" s="251">
        <v>22048</v>
      </c>
      <c r="N32" s="253" t="s">
        <v>1952</v>
      </c>
      <c r="O32" s="256" t="s">
        <v>483</v>
      </c>
      <c r="P32" s="350">
        <v>31872</v>
      </c>
      <c r="Q32" s="253"/>
    </row>
    <row r="33" spans="1:17">
      <c r="A33" s="210">
        <v>27</v>
      </c>
      <c r="B33" s="234">
        <v>3.560185185185185E-2</v>
      </c>
      <c r="C33" s="217">
        <f t="shared" si="1"/>
        <v>51.266666666666666</v>
      </c>
      <c r="D33" s="217">
        <f t="shared" si="0"/>
        <v>47.2</v>
      </c>
      <c r="E33" s="232">
        <f>'10K'!$E33*(1-$K$2)+H.Marathon!$E33*$K$2</f>
        <v>1</v>
      </c>
      <c r="F33" s="312">
        <f t="shared" si="2"/>
        <v>92.067620286085841</v>
      </c>
      <c r="G33" s="210">
        <v>27</v>
      </c>
      <c r="H33" s="325" t="s">
        <v>1985</v>
      </c>
      <c r="I33" s="253">
        <v>3076</v>
      </c>
      <c r="J33" s="256" t="s">
        <v>1986</v>
      </c>
      <c r="K33" s="256" t="s">
        <v>1987</v>
      </c>
      <c r="L33" s="256" t="s">
        <v>244</v>
      </c>
      <c r="M33" s="251">
        <v>32810</v>
      </c>
      <c r="N33" s="253"/>
      <c r="O33" s="256" t="s">
        <v>343</v>
      </c>
      <c r="P33" s="350">
        <v>42750</v>
      </c>
      <c r="Q33" s="253"/>
    </row>
    <row r="34" spans="1:17">
      <c r="A34" s="210">
        <v>28</v>
      </c>
      <c r="B34" s="234">
        <v>3.6273148148148152E-2</v>
      </c>
      <c r="C34" s="217">
        <f t="shared" si="1"/>
        <v>52.233333333333341</v>
      </c>
      <c r="D34" s="217">
        <f t="shared" si="0"/>
        <v>47.209441888377675</v>
      </c>
      <c r="E34" s="232">
        <f>'10K'!$E34*(1-$K$2)+H.Marathon!$E34*$K$2</f>
        <v>0.99980000000000002</v>
      </c>
      <c r="F34" s="312">
        <f t="shared" si="2"/>
        <v>90.381828758859612</v>
      </c>
      <c r="G34" s="210">
        <v>28</v>
      </c>
      <c r="H34" s="325" t="s">
        <v>1988</v>
      </c>
      <c r="I34" s="253">
        <v>3134</v>
      </c>
      <c r="J34" s="256" t="s">
        <v>523</v>
      </c>
      <c r="K34" s="256" t="s">
        <v>524</v>
      </c>
      <c r="L34" s="256" t="s">
        <v>314</v>
      </c>
      <c r="M34" s="251">
        <v>23521</v>
      </c>
      <c r="N34" s="253"/>
      <c r="O34" s="256" t="s">
        <v>1989</v>
      </c>
      <c r="P34" s="350">
        <v>33853</v>
      </c>
      <c r="Q34" s="253"/>
    </row>
    <row r="35" spans="1:17">
      <c r="A35" s="210">
        <v>29</v>
      </c>
      <c r="B35" s="234">
        <v>3.6018518518518519E-2</v>
      </c>
      <c r="C35" s="217">
        <f t="shared" si="1"/>
        <v>51.866666666666667</v>
      </c>
      <c r="D35" s="217">
        <f t="shared" si="0"/>
        <v>47.242518266439802</v>
      </c>
      <c r="E35" s="232">
        <f>'10K'!$E35*(1-$K$2)+H.Marathon!$E35*$K$2</f>
        <v>0.99909999999999999</v>
      </c>
      <c r="F35" s="312">
        <f t="shared" si="2"/>
        <v>91.084546786194991</v>
      </c>
      <c r="G35" s="210">
        <v>29</v>
      </c>
      <c r="H35" s="325" t="s">
        <v>1990</v>
      </c>
      <c r="I35" s="253">
        <v>3112</v>
      </c>
      <c r="J35" s="256" t="s">
        <v>1991</v>
      </c>
      <c r="K35" s="256" t="s">
        <v>1992</v>
      </c>
      <c r="L35" s="256" t="s">
        <v>295</v>
      </c>
      <c r="M35" s="251">
        <v>27235</v>
      </c>
      <c r="N35" s="253" t="s">
        <v>1993</v>
      </c>
      <c r="O35" s="256" t="s">
        <v>1994</v>
      </c>
      <c r="P35" s="350">
        <v>37856</v>
      </c>
      <c r="Q35" s="253"/>
    </row>
    <row r="36" spans="1:17">
      <c r="A36" s="210">
        <v>30</v>
      </c>
      <c r="B36" s="234">
        <v>3.6168981481481483E-2</v>
      </c>
      <c r="C36" s="217">
        <f t="shared" si="1"/>
        <v>52.083333333333336</v>
      </c>
      <c r="D36" s="217">
        <f t="shared" si="0"/>
        <v>47.29760973642486</v>
      </c>
      <c r="E36" s="232">
        <f>'10K'!$E36*(1-$K$2)+H.Marathon!$E36*$K$2</f>
        <v>0.99793626491975373</v>
      </c>
      <c r="F36" s="312">
        <f t="shared" si="2"/>
        <v>90.811410693935727</v>
      </c>
      <c r="G36" s="210">
        <v>30</v>
      </c>
      <c r="H36" s="325" t="s">
        <v>1995</v>
      </c>
      <c r="I36" s="253">
        <v>3125</v>
      </c>
      <c r="J36" s="256" t="s">
        <v>269</v>
      </c>
      <c r="K36" s="256" t="s">
        <v>270</v>
      </c>
      <c r="L36" s="256" t="s">
        <v>248</v>
      </c>
      <c r="M36" s="251">
        <v>30605</v>
      </c>
      <c r="N36" s="253" t="s">
        <v>1952</v>
      </c>
      <c r="O36" s="256" t="s">
        <v>483</v>
      </c>
      <c r="P36" s="350">
        <v>41735</v>
      </c>
      <c r="Q36" s="253"/>
    </row>
    <row r="37" spans="1:17">
      <c r="A37" s="210">
        <v>31</v>
      </c>
      <c r="B37" s="234">
        <v>3.5983796296296298E-2</v>
      </c>
      <c r="C37" s="217">
        <f t="shared" si="1"/>
        <v>51.81666666666667</v>
      </c>
      <c r="D37" s="217">
        <f t="shared" si="0"/>
        <v>47.37659484358521</v>
      </c>
      <c r="E37" s="232">
        <f>'10K'!$E37*(1-$K$2)+H.Marathon!$E37*$K$2</f>
        <v>0.99627252983950754</v>
      </c>
      <c r="F37" s="312">
        <f t="shared" si="2"/>
        <v>91.431189791415648</v>
      </c>
      <c r="G37" s="210">
        <v>31</v>
      </c>
      <c r="H37" s="325" t="s">
        <v>1996</v>
      </c>
      <c r="I37" s="253">
        <v>3109</v>
      </c>
      <c r="J37" s="256" t="s">
        <v>246</v>
      </c>
      <c r="K37" s="256" t="s">
        <v>530</v>
      </c>
      <c r="L37" s="256" t="s">
        <v>248</v>
      </c>
      <c r="M37" s="251">
        <v>31199</v>
      </c>
      <c r="N37" s="253"/>
      <c r="O37" s="256" t="s">
        <v>1959</v>
      </c>
      <c r="P37" s="350">
        <v>42666</v>
      </c>
      <c r="Q37" s="253"/>
    </row>
    <row r="38" spans="1:17">
      <c r="A38" s="210">
        <v>32</v>
      </c>
      <c r="B38" s="234">
        <v>3.5416666666666666E-2</v>
      </c>
      <c r="C38" s="217">
        <f t="shared" si="1"/>
        <v>51</v>
      </c>
      <c r="D38" s="217">
        <f t="shared" si="0"/>
        <v>47.474937104563693</v>
      </c>
      <c r="E38" s="232">
        <f>'10K'!$E38*(1-$K$2)+H.Marathon!$E38*$K$2</f>
        <v>0.99420879475926127</v>
      </c>
      <c r="F38" s="312">
        <f t="shared" si="2"/>
        <v>93.088111969732736</v>
      </c>
      <c r="G38" s="210">
        <v>32</v>
      </c>
      <c r="H38" s="325" t="s">
        <v>1997</v>
      </c>
      <c r="I38" s="253">
        <v>3060</v>
      </c>
      <c r="J38" s="256" t="s">
        <v>274</v>
      </c>
      <c r="K38" s="256" t="s">
        <v>1998</v>
      </c>
      <c r="L38" s="256" t="s">
        <v>276</v>
      </c>
      <c r="M38" s="251">
        <v>25535</v>
      </c>
      <c r="N38" s="253"/>
      <c r="O38" s="256" t="s">
        <v>1959</v>
      </c>
      <c r="P38" s="350">
        <v>37507</v>
      </c>
      <c r="Q38" s="253"/>
    </row>
    <row r="39" spans="1:17">
      <c r="A39" s="210">
        <v>33</v>
      </c>
      <c r="B39" s="234">
        <v>3.560185185185185E-2</v>
      </c>
      <c r="C39" s="217">
        <f t="shared" si="1"/>
        <v>51.266666666666666</v>
      </c>
      <c r="D39" s="217">
        <f t="shared" si="0"/>
        <v>47.595935134804499</v>
      </c>
      <c r="E39" s="232">
        <f>'10K'!$E39*(1-$K$2)+H.Marathon!$E39*$K$2</f>
        <v>0.99168132459876879</v>
      </c>
      <c r="F39" s="312">
        <f t="shared" si="2"/>
        <v>92.839925490515924</v>
      </c>
      <c r="G39" s="210">
        <v>33</v>
      </c>
      <c r="H39" s="325" t="s">
        <v>1985</v>
      </c>
      <c r="I39" s="253">
        <v>3076</v>
      </c>
      <c r="J39" s="256" t="s">
        <v>279</v>
      </c>
      <c r="K39" s="256" t="s">
        <v>280</v>
      </c>
      <c r="L39" s="256" t="s">
        <v>217</v>
      </c>
      <c r="M39" s="251">
        <v>23483</v>
      </c>
      <c r="N39" s="253" t="s">
        <v>1952</v>
      </c>
      <c r="O39" s="256" t="s">
        <v>483</v>
      </c>
      <c r="P39" s="350">
        <v>35890</v>
      </c>
      <c r="Q39" s="253"/>
    </row>
    <row r="40" spans="1:17">
      <c r="A40" s="210">
        <v>34</v>
      </c>
      <c r="B40" s="234">
        <v>3.5543981481481482E-2</v>
      </c>
      <c r="C40" s="217">
        <f t="shared" si="1"/>
        <v>51.183333333333337</v>
      </c>
      <c r="D40" s="217">
        <f t="shared" si="0"/>
        <v>47.741684097127845</v>
      </c>
      <c r="E40" s="232">
        <f>'10K'!$E40*(1-$K$2)+H.Marathon!$E40*$K$2</f>
        <v>0.98865385443827636</v>
      </c>
      <c r="F40" s="312">
        <f t="shared" si="2"/>
        <v>93.275839981363418</v>
      </c>
      <c r="G40" s="210">
        <v>34</v>
      </c>
      <c r="H40" s="325" t="s">
        <v>1999</v>
      </c>
      <c r="I40" s="253">
        <v>3071</v>
      </c>
      <c r="J40" s="256" t="s">
        <v>257</v>
      </c>
      <c r="K40" s="256" t="s">
        <v>528</v>
      </c>
      <c r="L40" s="256" t="s">
        <v>259</v>
      </c>
      <c r="M40" s="251">
        <v>27015</v>
      </c>
      <c r="N40" s="253"/>
      <c r="O40" s="256" t="s">
        <v>1959</v>
      </c>
      <c r="P40" s="350">
        <v>39747</v>
      </c>
      <c r="Q40" s="253"/>
    </row>
    <row r="41" spans="1:17">
      <c r="A41" s="210">
        <v>35</v>
      </c>
      <c r="B41" s="234">
        <v>3.6249999999999998E-2</v>
      </c>
      <c r="C41" s="217">
        <f t="shared" si="1"/>
        <v>52.199999999999996</v>
      </c>
      <c r="D41" s="217">
        <f t="shared" si="0"/>
        <v>47.909534487370294</v>
      </c>
      <c r="E41" s="232">
        <f>'10K'!$E41*(1-$K$2)+H.Marathon!$E41*$K$2</f>
        <v>0.98519011935803014</v>
      </c>
      <c r="F41" s="312">
        <f t="shared" si="2"/>
        <v>91.780717408755365</v>
      </c>
      <c r="G41" s="210">
        <v>35</v>
      </c>
      <c r="H41" s="325" t="s">
        <v>2000</v>
      </c>
      <c r="I41" s="253">
        <v>3132</v>
      </c>
      <c r="J41" s="256" t="s">
        <v>1363</v>
      </c>
      <c r="K41" s="256" t="s">
        <v>1518</v>
      </c>
      <c r="L41" s="256" t="s">
        <v>217</v>
      </c>
      <c r="M41" s="251">
        <v>28724</v>
      </c>
      <c r="N41" s="253" t="s">
        <v>1952</v>
      </c>
      <c r="O41" s="256" t="s">
        <v>483</v>
      </c>
      <c r="P41" s="350">
        <v>41735</v>
      </c>
      <c r="Q41" s="253"/>
    </row>
    <row r="42" spans="1:17">
      <c r="A42" s="210">
        <v>36</v>
      </c>
      <c r="B42" s="234">
        <v>3.6712962962962961E-2</v>
      </c>
      <c r="C42" s="217">
        <f t="shared" si="1"/>
        <v>52.866666666666667</v>
      </c>
      <c r="D42" s="217">
        <f t="shared" si="0"/>
        <v>48.10129075900268</v>
      </c>
      <c r="E42" s="232">
        <f>'10K'!$E42*(1-$K$2)+H.Marathon!$E42*$K$2</f>
        <v>0.98126264919753758</v>
      </c>
      <c r="F42" s="312">
        <f t="shared" si="2"/>
        <v>90.986048093952107</v>
      </c>
      <c r="G42" s="210">
        <v>36</v>
      </c>
      <c r="H42" s="325" t="s">
        <v>2001</v>
      </c>
      <c r="I42" s="253">
        <v>3172</v>
      </c>
      <c r="J42" s="256" t="s">
        <v>1380</v>
      </c>
      <c r="K42" s="256" t="s">
        <v>1520</v>
      </c>
      <c r="L42" s="256" t="s">
        <v>266</v>
      </c>
      <c r="M42" s="251">
        <v>19039</v>
      </c>
      <c r="N42" s="253"/>
      <c r="O42" s="256" t="s">
        <v>789</v>
      </c>
      <c r="P42" s="350">
        <v>32453</v>
      </c>
      <c r="Q42" s="253"/>
    </row>
    <row r="43" spans="1:17">
      <c r="A43" s="210">
        <v>37</v>
      </c>
      <c r="B43" s="234">
        <v>3.7303240740740741E-2</v>
      </c>
      <c r="C43" s="217">
        <f t="shared" si="1"/>
        <v>53.716666666666669</v>
      </c>
      <c r="D43" s="217">
        <f t="shared" ref="D43:D74" si="3">E$4/E43</f>
        <v>48.317514338240159</v>
      </c>
      <c r="E43" s="232">
        <f>'10K'!$E43*(1-$K$2)+H.Marathon!$E43*$K$2</f>
        <v>0.97687144395679892</v>
      </c>
      <c r="F43" s="312">
        <f t="shared" si="2"/>
        <v>89.948832153099886</v>
      </c>
      <c r="G43" s="210">
        <v>37</v>
      </c>
      <c r="H43" s="325" t="s">
        <v>2002</v>
      </c>
      <c r="I43" s="253">
        <v>3223</v>
      </c>
      <c r="J43" s="256" t="s">
        <v>2003</v>
      </c>
      <c r="K43" s="256" t="s">
        <v>2004</v>
      </c>
      <c r="L43" s="256" t="s">
        <v>244</v>
      </c>
      <c r="M43" s="251">
        <v>27280</v>
      </c>
      <c r="N43" s="253"/>
      <c r="O43" s="256" t="s">
        <v>1959</v>
      </c>
      <c r="P43" s="350">
        <v>40846</v>
      </c>
      <c r="Q43" s="253"/>
    </row>
    <row r="44" spans="1:17">
      <c r="A44" s="210">
        <v>38</v>
      </c>
      <c r="B44" s="234">
        <v>3.7835648148148146E-2</v>
      </c>
      <c r="C44" s="217">
        <f t="shared" si="1"/>
        <v>54.483333333333327</v>
      </c>
      <c r="D44" s="217">
        <f t="shared" si="3"/>
        <v>48.560658046246878</v>
      </c>
      <c r="E44" s="232">
        <f>'10K'!$E44*(1-$K$2)+H.Marathon!$E44*$K$2</f>
        <v>0.9719802387160601</v>
      </c>
      <c r="F44" s="312">
        <f t="shared" si="2"/>
        <v>89.129381547103492</v>
      </c>
      <c r="G44" s="210">
        <v>38</v>
      </c>
      <c r="H44" s="325" t="s">
        <v>2005</v>
      </c>
      <c r="I44" s="253">
        <v>3269</v>
      </c>
      <c r="J44" s="256" t="s">
        <v>2006</v>
      </c>
      <c r="K44" s="256" t="s">
        <v>2007</v>
      </c>
      <c r="L44" s="256" t="s">
        <v>303</v>
      </c>
      <c r="M44" s="251">
        <v>22024</v>
      </c>
      <c r="N44" s="253" t="s">
        <v>1952</v>
      </c>
      <c r="O44" s="256" t="s">
        <v>483</v>
      </c>
      <c r="P44" s="350">
        <v>36261</v>
      </c>
      <c r="Q44" s="253"/>
    </row>
    <row r="45" spans="1:17">
      <c r="A45" s="210">
        <v>39</v>
      </c>
      <c r="B45" s="234">
        <v>3.6805555555555557E-2</v>
      </c>
      <c r="C45" s="217">
        <f t="shared" si="1"/>
        <v>53</v>
      </c>
      <c r="D45" s="217">
        <f t="shared" si="3"/>
        <v>48.826456456542566</v>
      </c>
      <c r="E45" s="232">
        <f>'10K'!$E45*(1-$K$2)+H.Marathon!$E45*$K$2</f>
        <v>0.96668903347532142</v>
      </c>
      <c r="F45" s="312">
        <f t="shared" si="2"/>
        <v>92.125389540646353</v>
      </c>
      <c r="G45" s="210">
        <v>39</v>
      </c>
      <c r="H45" s="325" t="s">
        <v>2008</v>
      </c>
      <c r="I45" s="253">
        <v>3180</v>
      </c>
      <c r="J45" s="256" t="s">
        <v>770</v>
      </c>
      <c r="K45" s="256" t="s">
        <v>2009</v>
      </c>
      <c r="L45" s="256" t="s">
        <v>259</v>
      </c>
      <c r="M45" s="251">
        <v>26927</v>
      </c>
      <c r="N45" s="253"/>
      <c r="O45" s="256" t="s">
        <v>1959</v>
      </c>
      <c r="P45" s="350">
        <v>41210</v>
      </c>
      <c r="Q45" s="253"/>
    </row>
    <row r="46" spans="1:17">
      <c r="A46" s="210">
        <v>40</v>
      </c>
      <c r="B46" s="234">
        <v>3.7858796296296293E-2</v>
      </c>
      <c r="C46" s="217">
        <f t="shared" si="1"/>
        <v>54.516666666666666</v>
      </c>
      <c r="D46" s="217">
        <f t="shared" si="3"/>
        <v>49.120727108644402</v>
      </c>
      <c r="E46" s="232">
        <f>'10K'!$E46*(1-$K$2)+H.Marathon!$E46*$K$2</f>
        <v>0.96089782823458281</v>
      </c>
      <c r="F46" s="312">
        <f t="shared" si="2"/>
        <v>90.102220315459007</v>
      </c>
      <c r="G46" s="210">
        <v>40</v>
      </c>
      <c r="H46" s="325" t="s">
        <v>2010</v>
      </c>
      <c r="I46" s="253">
        <v>3271</v>
      </c>
      <c r="J46" s="256" t="s">
        <v>301</v>
      </c>
      <c r="K46" s="256" t="s">
        <v>554</v>
      </c>
      <c r="L46" s="256" t="s">
        <v>303</v>
      </c>
      <c r="M46" s="251">
        <v>20152</v>
      </c>
      <c r="N46" s="253" t="s">
        <v>1993</v>
      </c>
      <c r="O46" s="256" t="s">
        <v>1994</v>
      </c>
      <c r="P46" s="350">
        <v>34937</v>
      </c>
      <c r="Q46" s="253"/>
    </row>
    <row r="47" spans="1:17">
      <c r="A47" s="210">
        <v>41</v>
      </c>
      <c r="B47" s="234">
        <v>3.7870370370370374E-2</v>
      </c>
      <c r="C47" s="217">
        <f t="shared" si="1"/>
        <v>54.533333333333339</v>
      </c>
      <c r="D47" s="217">
        <f t="shared" si="3"/>
        <v>49.4425722933495</v>
      </c>
      <c r="E47" s="232">
        <f>'10K'!$E47*(1-$K$2)+H.Marathon!$E47*$K$2</f>
        <v>0.95464288791359775</v>
      </c>
      <c r="F47" s="312">
        <f t="shared" si="2"/>
        <v>90.664863618611548</v>
      </c>
      <c r="G47" s="210">
        <v>41</v>
      </c>
      <c r="H47" s="325" t="s">
        <v>2011</v>
      </c>
      <c r="I47" s="253">
        <v>3272</v>
      </c>
      <c r="J47" s="256" t="s">
        <v>1380</v>
      </c>
      <c r="K47" s="256" t="s">
        <v>1520</v>
      </c>
      <c r="L47" s="256" t="s">
        <v>266</v>
      </c>
      <c r="M47" s="251">
        <v>19039</v>
      </c>
      <c r="N47" s="253"/>
      <c r="O47" s="256" t="s">
        <v>2012</v>
      </c>
      <c r="P47" s="350">
        <v>34210</v>
      </c>
      <c r="Q47" s="253"/>
    </row>
    <row r="48" spans="1:17">
      <c r="A48" s="210">
        <v>42</v>
      </c>
      <c r="B48" s="234">
        <v>3.6620370370370373E-2</v>
      </c>
      <c r="C48" s="217">
        <f t="shared" si="1"/>
        <v>52.733333333333334</v>
      </c>
      <c r="D48" s="217">
        <f t="shared" si="3"/>
        <v>49.79301021850862</v>
      </c>
      <c r="E48" s="232">
        <f>'10K'!$E48*(1-$K$2)+H.Marathon!$E48*$K$2</f>
        <v>0.94792421251236658</v>
      </c>
      <c r="F48" s="312">
        <f t="shared" si="2"/>
        <v>94.424166027513181</v>
      </c>
      <c r="G48" s="210">
        <v>42</v>
      </c>
      <c r="H48" s="325" t="s">
        <v>1965</v>
      </c>
      <c r="I48" s="253">
        <v>3164</v>
      </c>
      <c r="J48" s="256" t="s">
        <v>770</v>
      </c>
      <c r="K48" s="256" t="s">
        <v>2009</v>
      </c>
      <c r="L48" s="256" t="s">
        <v>259</v>
      </c>
      <c r="M48" s="251">
        <v>26927</v>
      </c>
      <c r="N48" s="253"/>
      <c r="O48" s="256" t="s">
        <v>1959</v>
      </c>
      <c r="P48" s="350">
        <v>42302</v>
      </c>
      <c r="Q48" s="253"/>
    </row>
    <row r="49" spans="1:17">
      <c r="A49" s="210">
        <v>43</v>
      </c>
      <c r="B49" s="234">
        <v>3.8576388888888889E-2</v>
      </c>
      <c r="C49" s="217">
        <f t="shared" si="1"/>
        <v>55.55</v>
      </c>
      <c r="D49" s="217">
        <f t="shared" si="3"/>
        <v>50.173640804729885</v>
      </c>
      <c r="E49" s="232">
        <f>'10K'!$E49*(1-$K$2)+H.Marathon!$E49*$K$2</f>
        <v>0.94073300727162779</v>
      </c>
      <c r="F49" s="312">
        <f t="shared" si="2"/>
        <v>90.32158560707451</v>
      </c>
      <c r="G49" s="210">
        <v>43</v>
      </c>
      <c r="H49" s="325" t="s">
        <v>2013</v>
      </c>
      <c r="I49" s="253">
        <v>3333</v>
      </c>
      <c r="J49" s="256" t="s">
        <v>309</v>
      </c>
      <c r="K49" s="256" t="s">
        <v>878</v>
      </c>
      <c r="L49" s="256" t="s">
        <v>259</v>
      </c>
      <c r="M49" s="251">
        <v>13814</v>
      </c>
      <c r="N49" s="253"/>
      <c r="O49" s="256" t="s">
        <v>2014</v>
      </c>
      <c r="P49" s="350">
        <v>29575</v>
      </c>
      <c r="Q49" s="253"/>
    </row>
    <row r="50" spans="1:17">
      <c r="A50" s="210">
        <v>44</v>
      </c>
      <c r="B50" s="234">
        <v>3.8402777777777779E-2</v>
      </c>
      <c r="C50" s="217">
        <f t="shared" si="1"/>
        <v>55.300000000000004</v>
      </c>
      <c r="D50" s="217">
        <f t="shared" si="3"/>
        <v>50.583297660201161</v>
      </c>
      <c r="E50" s="232">
        <f>'10K'!$E50*(1-$K$2)+H.Marathon!$E50*$K$2</f>
        <v>0.93311433187039661</v>
      </c>
      <c r="F50" s="312">
        <f t="shared" si="2"/>
        <v>91.47070101302198</v>
      </c>
      <c r="G50" s="210">
        <v>44</v>
      </c>
      <c r="H50" s="325" t="s">
        <v>2015</v>
      </c>
      <c r="I50" s="253">
        <v>3318</v>
      </c>
      <c r="J50" s="256" t="s">
        <v>557</v>
      </c>
      <c r="K50" s="256" t="s">
        <v>558</v>
      </c>
      <c r="L50" s="256" t="s">
        <v>217</v>
      </c>
      <c r="M50" s="251">
        <v>16398</v>
      </c>
      <c r="N50" s="253" t="s">
        <v>1993</v>
      </c>
      <c r="O50" s="256" t="s">
        <v>1994</v>
      </c>
      <c r="P50" s="350">
        <v>32746</v>
      </c>
      <c r="Q50" s="253"/>
    </row>
    <row r="51" spans="1:17">
      <c r="A51" s="210">
        <v>45</v>
      </c>
      <c r="B51" s="234">
        <v>3.8842592592592595E-2</v>
      </c>
      <c r="C51" s="217">
        <f t="shared" si="1"/>
        <v>55.933333333333337</v>
      </c>
      <c r="D51" s="217">
        <f t="shared" si="3"/>
        <v>51.027266636222748</v>
      </c>
      <c r="E51" s="232">
        <f>'10K'!$E51*(1-$K$2)+H.Marathon!$E51*$K$2</f>
        <v>0.92499565646916537</v>
      </c>
      <c r="F51" s="312">
        <f t="shared" si="2"/>
        <v>91.228724617799912</v>
      </c>
      <c r="G51" s="210">
        <v>45</v>
      </c>
      <c r="H51" s="325" t="s">
        <v>2016</v>
      </c>
      <c r="I51" s="253">
        <v>3356</v>
      </c>
      <c r="J51" s="256" t="s">
        <v>301</v>
      </c>
      <c r="K51" s="256" t="s">
        <v>554</v>
      </c>
      <c r="L51" s="256" t="s">
        <v>303</v>
      </c>
      <c r="M51" s="251">
        <v>20152</v>
      </c>
      <c r="N51" s="253" t="s">
        <v>1993</v>
      </c>
      <c r="O51" s="256" t="s">
        <v>1994</v>
      </c>
      <c r="P51" s="350">
        <v>36764</v>
      </c>
      <c r="Q51" s="253"/>
    </row>
    <row r="52" spans="1:17">
      <c r="A52" s="210">
        <v>46</v>
      </c>
      <c r="B52" s="234">
        <v>3.9270833333333331E-2</v>
      </c>
      <c r="C52" s="217">
        <f t="shared" si="1"/>
        <v>56.55</v>
      </c>
      <c r="D52" s="217">
        <f t="shared" si="3"/>
        <v>51.503604290283604</v>
      </c>
      <c r="E52" s="232">
        <f>'10K'!$E52*(1-$K$2)+H.Marathon!$E52*$K$2</f>
        <v>0.91644071614818046</v>
      </c>
      <c r="F52" s="312">
        <f t="shared" si="2"/>
        <v>91.076223324993109</v>
      </c>
      <c r="G52" s="210">
        <v>46</v>
      </c>
      <c r="H52" s="325" t="s">
        <v>2017</v>
      </c>
      <c r="I52" s="253">
        <v>3393</v>
      </c>
      <c r="J52" s="256" t="s">
        <v>557</v>
      </c>
      <c r="K52" s="256" t="s">
        <v>558</v>
      </c>
      <c r="L52" s="256" t="s">
        <v>217</v>
      </c>
      <c r="M52" s="251">
        <v>16398</v>
      </c>
      <c r="N52" s="253" t="s">
        <v>1952</v>
      </c>
      <c r="O52" s="256" t="s">
        <v>483</v>
      </c>
      <c r="P52" s="350">
        <v>33335</v>
      </c>
      <c r="Q52" s="253"/>
    </row>
    <row r="53" spans="1:17">
      <c r="A53" s="210">
        <v>47</v>
      </c>
      <c r="B53" s="234">
        <v>3.9328703703703706E-2</v>
      </c>
      <c r="C53" s="217">
        <f t="shared" si="1"/>
        <v>56.63333333333334</v>
      </c>
      <c r="D53" s="217">
        <f t="shared" si="3"/>
        <v>52.013408996595722</v>
      </c>
      <c r="E53" s="232">
        <f>'10K'!$E53*(1-$K$2)+H.Marathon!$E53*$K$2</f>
        <v>0.90745830566670305</v>
      </c>
      <c r="F53" s="312">
        <f t="shared" si="2"/>
        <v>91.842393755024816</v>
      </c>
      <c r="G53" s="210">
        <v>47</v>
      </c>
      <c r="H53" s="325" t="s">
        <v>2018</v>
      </c>
      <c r="I53" s="253">
        <v>3398</v>
      </c>
      <c r="J53" s="256" t="s">
        <v>301</v>
      </c>
      <c r="K53" s="256" t="s">
        <v>554</v>
      </c>
      <c r="L53" s="256" t="s">
        <v>303</v>
      </c>
      <c r="M53" s="251">
        <v>20152</v>
      </c>
      <c r="N53" s="253"/>
      <c r="O53" s="256" t="s">
        <v>1852</v>
      </c>
      <c r="P53" s="350">
        <v>37556</v>
      </c>
      <c r="Q53" s="253"/>
    </row>
    <row r="54" spans="1:17">
      <c r="A54" s="210">
        <v>48</v>
      </c>
      <c r="B54" s="234">
        <v>3.8576388888888889E-2</v>
      </c>
      <c r="C54" s="217">
        <f t="shared" si="1"/>
        <v>55.55</v>
      </c>
      <c r="D54" s="217">
        <f t="shared" si="3"/>
        <v>52.564780982041668</v>
      </c>
      <c r="E54" s="232">
        <f>'10K'!$E54*(1-$K$2)+H.Marathon!$E54*$K$2</f>
        <v>0.89793963026547186</v>
      </c>
      <c r="F54" s="312">
        <f t="shared" si="2"/>
        <v>94.626068374512457</v>
      </c>
      <c r="G54" s="210">
        <v>48</v>
      </c>
      <c r="H54" s="325" t="s">
        <v>2013</v>
      </c>
      <c r="I54" s="253">
        <v>3333</v>
      </c>
      <c r="J54" s="256" t="s">
        <v>309</v>
      </c>
      <c r="K54" s="256" t="s">
        <v>878</v>
      </c>
      <c r="L54" s="256" t="s">
        <v>259</v>
      </c>
      <c r="M54" s="251">
        <v>13814</v>
      </c>
      <c r="N54" s="253"/>
      <c r="O54" s="256" t="s">
        <v>2019</v>
      </c>
      <c r="P54" s="350">
        <v>31690</v>
      </c>
      <c r="Q54" s="253"/>
    </row>
    <row r="55" spans="1:17">
      <c r="A55" s="210">
        <v>49</v>
      </c>
      <c r="B55" s="234">
        <v>3.9247685185185184E-2</v>
      </c>
      <c r="C55" s="217">
        <f t="shared" si="1"/>
        <v>56.516666666666666</v>
      </c>
      <c r="D55" s="217">
        <f t="shared" si="3"/>
        <v>53.155713978520197</v>
      </c>
      <c r="E55" s="232">
        <f>'10K'!$E55*(1-$K$2)+H.Marathon!$E55*$K$2</f>
        <v>0.88795721978399444</v>
      </c>
      <c r="F55" s="312">
        <f t="shared" si="2"/>
        <v>94.053165399917788</v>
      </c>
      <c r="G55" s="210">
        <v>49</v>
      </c>
      <c r="H55" s="325" t="s">
        <v>2020</v>
      </c>
      <c r="I55" s="253">
        <v>3391</v>
      </c>
      <c r="J55" s="256" t="s">
        <v>301</v>
      </c>
      <c r="K55" s="256" t="s">
        <v>554</v>
      </c>
      <c r="L55" s="256" t="s">
        <v>303</v>
      </c>
      <c r="M55" s="251">
        <v>20152</v>
      </c>
      <c r="N55" s="253" t="s">
        <v>1993</v>
      </c>
      <c r="O55" s="256" t="s">
        <v>1994</v>
      </c>
      <c r="P55" s="350">
        <v>38227</v>
      </c>
      <c r="Q55" s="253"/>
    </row>
    <row r="56" spans="1:17">
      <c r="A56" s="210">
        <v>50</v>
      </c>
      <c r="B56" s="234">
        <v>4.0428240740740744E-2</v>
      </c>
      <c r="C56" s="217">
        <f t="shared" si="1"/>
        <v>58.216666666666669</v>
      </c>
      <c r="D56" s="217">
        <f t="shared" si="3"/>
        <v>53.770650981761335</v>
      </c>
      <c r="E56" s="232">
        <f>'10K'!$E56*(1-$K$2)+H.Marathon!$E56*$K$2</f>
        <v>0.87780227946300937</v>
      </c>
      <c r="F56" s="312">
        <f t="shared" si="2"/>
        <v>92.362984795467511</v>
      </c>
      <c r="G56" s="210">
        <v>50</v>
      </c>
      <c r="H56" s="325" t="s">
        <v>2021</v>
      </c>
      <c r="I56" s="253">
        <v>3493</v>
      </c>
      <c r="J56" s="256" t="s">
        <v>301</v>
      </c>
      <c r="K56" s="256" t="s">
        <v>554</v>
      </c>
      <c r="L56" s="256" t="s">
        <v>303</v>
      </c>
      <c r="M56" s="251">
        <v>20152</v>
      </c>
      <c r="N56" s="253" t="s">
        <v>1993</v>
      </c>
      <c r="O56" s="256" t="s">
        <v>1994</v>
      </c>
      <c r="P56" s="350">
        <v>38591</v>
      </c>
      <c r="Q56" s="253"/>
    </row>
    <row r="57" spans="1:17">
      <c r="A57" s="210">
        <v>51</v>
      </c>
      <c r="B57" s="234">
        <v>4.0972222222222222E-2</v>
      </c>
      <c r="C57" s="217">
        <f t="shared" si="1"/>
        <v>59</v>
      </c>
      <c r="D57" s="217">
        <f t="shared" si="3"/>
        <v>54.403978796997905</v>
      </c>
      <c r="E57" s="232">
        <f>'10K'!$E57*(1-$K$2)+H.Marathon!$E57*$K$2</f>
        <v>0.86758360406177815</v>
      </c>
      <c r="F57" s="312">
        <f t="shared" si="2"/>
        <v>92.210133554233735</v>
      </c>
      <c r="G57" s="210">
        <v>51</v>
      </c>
      <c r="H57" s="325" t="s">
        <v>2022</v>
      </c>
      <c r="I57" s="253">
        <v>3540</v>
      </c>
      <c r="J57" s="256" t="s">
        <v>301</v>
      </c>
      <c r="K57" s="256" t="s">
        <v>554</v>
      </c>
      <c r="L57" s="256" t="s">
        <v>303</v>
      </c>
      <c r="M57" s="251">
        <v>20152</v>
      </c>
      <c r="N57" s="253" t="s">
        <v>1993</v>
      </c>
      <c r="O57" s="256" t="s">
        <v>1994</v>
      </c>
      <c r="P57" s="350">
        <v>38955</v>
      </c>
      <c r="Q57" s="253"/>
    </row>
    <row r="58" spans="1:17">
      <c r="A58" s="210">
        <v>52</v>
      </c>
      <c r="B58" s="234">
        <v>4.116898148148148E-2</v>
      </c>
      <c r="C58" s="217">
        <f t="shared" si="1"/>
        <v>59.283333333333331</v>
      </c>
      <c r="D58" s="217">
        <f t="shared" si="3"/>
        <v>55.050639666158148</v>
      </c>
      <c r="E58" s="232">
        <f>'10K'!$E58*(1-$K$2)+H.Marathon!$E58*$K$2</f>
        <v>0.85739239882103946</v>
      </c>
      <c r="F58" s="312">
        <f t="shared" si="2"/>
        <v>92.860229968217283</v>
      </c>
      <c r="G58" s="210">
        <v>52</v>
      </c>
      <c r="H58" s="325" t="s">
        <v>1824</v>
      </c>
      <c r="I58" s="253">
        <v>3557</v>
      </c>
      <c r="J58" s="256" t="s">
        <v>312</v>
      </c>
      <c r="K58" s="256" t="s">
        <v>578</v>
      </c>
      <c r="L58" s="256" t="s">
        <v>314</v>
      </c>
      <c r="M58" s="251">
        <v>22396</v>
      </c>
      <c r="N58" s="253"/>
      <c r="O58" s="256" t="s">
        <v>300</v>
      </c>
      <c r="P58" s="350">
        <v>41510</v>
      </c>
      <c r="Q58" s="253"/>
    </row>
    <row r="59" spans="1:17">
      <c r="A59" s="210">
        <v>53</v>
      </c>
      <c r="B59" s="234">
        <v>4.2615740740740739E-2</v>
      </c>
      <c r="C59" s="217">
        <f t="shared" si="1"/>
        <v>61.366666666666667</v>
      </c>
      <c r="D59" s="217">
        <f t="shared" si="3"/>
        <v>55.714664767300071</v>
      </c>
      <c r="E59" s="232">
        <f>'10K'!$E59*(1-$K$2)+H.Marathon!$E59*$K$2</f>
        <v>0.84717372341980823</v>
      </c>
      <c r="F59" s="312">
        <f t="shared" si="2"/>
        <v>90.789785063498215</v>
      </c>
      <c r="G59" s="210">
        <v>53</v>
      </c>
      <c r="H59" s="325" t="s">
        <v>2023</v>
      </c>
      <c r="I59" s="253">
        <v>3682</v>
      </c>
      <c r="J59" s="256" t="s">
        <v>377</v>
      </c>
      <c r="K59" s="256" t="s">
        <v>2024</v>
      </c>
      <c r="L59" s="256" t="s">
        <v>259</v>
      </c>
      <c r="M59" s="251">
        <v>17084</v>
      </c>
      <c r="N59" s="253"/>
      <c r="O59" s="256" t="s">
        <v>2025</v>
      </c>
      <c r="P59" s="350">
        <v>36590</v>
      </c>
      <c r="Q59" s="253"/>
    </row>
    <row r="60" spans="1:17">
      <c r="A60" s="210">
        <v>54</v>
      </c>
      <c r="B60" s="234">
        <v>4.3368055555555556E-2</v>
      </c>
      <c r="C60" s="217">
        <f t="shared" si="1"/>
        <v>62.45</v>
      </c>
      <c r="D60" s="217">
        <f t="shared" si="3"/>
        <v>56.390610286253626</v>
      </c>
      <c r="E60" s="232">
        <f>'10K'!$E60*(1-$K$2)+H.Marathon!$E60*$K$2</f>
        <v>0.83701878309882338</v>
      </c>
      <c r="F60" s="312">
        <f t="shared" si="2"/>
        <v>90.297214229389311</v>
      </c>
      <c r="G60" s="210">
        <v>54</v>
      </c>
      <c r="H60" s="325" t="s">
        <v>2026</v>
      </c>
      <c r="I60" s="253">
        <v>7347</v>
      </c>
      <c r="J60" s="256" t="s">
        <v>316</v>
      </c>
      <c r="K60" s="256" t="s">
        <v>885</v>
      </c>
      <c r="L60" s="256" t="s">
        <v>217</v>
      </c>
      <c r="M60" s="251">
        <v>20956</v>
      </c>
      <c r="N60" s="253" t="s">
        <v>1952</v>
      </c>
      <c r="O60" s="256" t="s">
        <v>483</v>
      </c>
      <c r="P60" s="350">
        <v>41000</v>
      </c>
      <c r="Q60" s="253"/>
    </row>
    <row r="61" spans="1:17">
      <c r="A61" s="210">
        <v>55</v>
      </c>
      <c r="B61" s="234">
        <v>4.2592592592592592E-2</v>
      </c>
      <c r="C61" s="217">
        <f t="shared" si="1"/>
        <v>61.333333333333329</v>
      </c>
      <c r="D61" s="217">
        <f t="shared" si="3"/>
        <v>57.09006315686598</v>
      </c>
      <c r="E61" s="232">
        <f>'10K'!$E61*(1-$K$2)+H.Marathon!$E61*$K$2</f>
        <v>0.82676384277783832</v>
      </c>
      <c r="F61" s="312">
        <f t="shared" si="2"/>
        <v>93.081624712281496</v>
      </c>
      <c r="G61" s="210">
        <v>55</v>
      </c>
      <c r="H61" s="325" t="s">
        <v>2027</v>
      </c>
      <c r="I61" s="253">
        <v>3680</v>
      </c>
      <c r="J61" s="256" t="s">
        <v>1026</v>
      </c>
      <c r="K61" s="256" t="s">
        <v>1027</v>
      </c>
      <c r="L61" s="256" t="s">
        <v>217</v>
      </c>
      <c r="M61" s="251">
        <v>23193</v>
      </c>
      <c r="N61" s="210" t="s">
        <v>2028</v>
      </c>
      <c r="O61" s="210" t="s">
        <v>1029</v>
      </c>
      <c r="P61" s="350">
        <v>43352</v>
      </c>
      <c r="Q61" s="253"/>
    </row>
    <row r="62" spans="1:17">
      <c r="A62" s="210">
        <v>56</v>
      </c>
      <c r="B62" s="234">
        <v>4.4374999999999998E-2</v>
      </c>
      <c r="C62" s="217">
        <f t="shared" si="1"/>
        <v>63.9</v>
      </c>
      <c r="D62" s="217">
        <f t="shared" si="3"/>
        <v>57.800006659239024</v>
      </c>
      <c r="E62" s="232">
        <f>'10K'!$E62*(1-$K$2)+H.Marathon!$E62*$K$2</f>
        <v>0.81660890245685347</v>
      </c>
      <c r="F62" s="312">
        <f t="shared" si="2"/>
        <v>90.453844537150275</v>
      </c>
      <c r="G62" s="210">
        <v>56</v>
      </c>
      <c r="H62" s="325" t="s">
        <v>1333</v>
      </c>
      <c r="I62" s="253">
        <v>3834</v>
      </c>
      <c r="J62" s="256" t="s">
        <v>326</v>
      </c>
      <c r="K62" s="256" t="s">
        <v>2029</v>
      </c>
      <c r="L62" s="256" t="s">
        <v>217</v>
      </c>
      <c r="M62" s="251">
        <v>20087</v>
      </c>
      <c r="N62" s="253" t="s">
        <v>2030</v>
      </c>
      <c r="O62" s="256" t="s">
        <v>2031</v>
      </c>
      <c r="P62" s="350">
        <v>40607</v>
      </c>
      <c r="Q62" s="253"/>
    </row>
    <row r="63" spans="1:17">
      <c r="A63" s="210">
        <v>57</v>
      </c>
      <c r="B63" s="234">
        <v>4.4930555555555557E-2</v>
      </c>
      <c r="C63" s="217">
        <f t="shared" si="1"/>
        <v>64.7</v>
      </c>
      <c r="D63" s="217">
        <f t="shared" si="3"/>
        <v>58.535087835343127</v>
      </c>
      <c r="E63" s="232">
        <f>'10K'!$E63*(1-$K$2)+H.Marathon!$E63*$K$2</f>
        <v>0.80635396213586841</v>
      </c>
      <c r="F63" s="312">
        <f t="shared" si="2"/>
        <v>90.47154224937114</v>
      </c>
      <c r="G63" s="210">
        <v>57</v>
      </c>
      <c r="H63" s="325" t="s">
        <v>2032</v>
      </c>
      <c r="I63" s="253">
        <v>3882</v>
      </c>
      <c r="J63" s="256" t="s">
        <v>1892</v>
      </c>
      <c r="K63" s="256" t="s">
        <v>1893</v>
      </c>
      <c r="L63" s="256" t="s">
        <v>217</v>
      </c>
      <c r="M63" s="251">
        <v>10885</v>
      </c>
      <c r="N63" s="253" t="s">
        <v>2033</v>
      </c>
      <c r="O63" s="256" t="s">
        <v>2034</v>
      </c>
      <c r="P63" s="350">
        <v>31795</v>
      </c>
      <c r="Q63" s="253"/>
    </row>
    <row r="64" spans="1:17" ht="12" customHeight="1">
      <c r="A64" s="210">
        <v>58</v>
      </c>
      <c r="B64" s="234">
        <v>4.2106481481481481E-2</v>
      </c>
      <c r="C64" s="217">
        <f t="shared" si="1"/>
        <v>60.633333333333333</v>
      </c>
      <c r="D64" s="217">
        <f t="shared" si="3"/>
        <v>59.281660372315827</v>
      </c>
      <c r="E64" s="232">
        <f>'10K'!$E64*(1-$K$2)+H.Marathon!$E64*$K$2</f>
        <v>0.79619902181488345</v>
      </c>
      <c r="F64" s="312">
        <f t="shared" si="2"/>
        <v>97.77074278007008</v>
      </c>
      <c r="G64" s="210">
        <v>58</v>
      </c>
      <c r="H64" s="325" t="s">
        <v>2035</v>
      </c>
      <c r="I64" s="253">
        <v>3638</v>
      </c>
      <c r="J64" s="248" t="s">
        <v>1026</v>
      </c>
      <c r="K64" s="248" t="s">
        <v>1027</v>
      </c>
      <c r="L64" s="256" t="s">
        <v>217</v>
      </c>
      <c r="M64" s="251">
        <v>23193</v>
      </c>
      <c r="N64" s="298" t="s">
        <v>2036</v>
      </c>
      <c r="O64" s="248" t="s">
        <v>1029</v>
      </c>
      <c r="P64" s="350">
        <v>44654</v>
      </c>
      <c r="Q64" s="253"/>
    </row>
    <row r="65" spans="1:17" ht="11.25" customHeight="1">
      <c r="A65" s="210">
        <v>59</v>
      </c>
      <c r="B65" s="234">
        <v>4.4386574074074071E-2</v>
      </c>
      <c r="C65" s="217">
        <f t="shared" si="1"/>
        <v>63.916666666666664</v>
      </c>
      <c r="D65" s="217">
        <f t="shared" si="3"/>
        <v>60.052392169052013</v>
      </c>
      <c r="E65" s="232">
        <f>'10K'!$E65*(1-$K$2)+H.Marathon!$E65*$K$2</f>
        <v>0.78598034641365233</v>
      </c>
      <c r="F65" s="312">
        <f t="shared" si="2"/>
        <v>93.954198960707188</v>
      </c>
      <c r="G65" s="210">
        <v>59</v>
      </c>
      <c r="H65" s="325" t="s">
        <v>2037</v>
      </c>
      <c r="I65" s="253">
        <v>3841</v>
      </c>
      <c r="J65" s="256" t="s">
        <v>316</v>
      </c>
      <c r="K65" s="256" t="s">
        <v>885</v>
      </c>
      <c r="L65" s="256" t="s">
        <v>217</v>
      </c>
      <c r="M65" s="251">
        <v>20956</v>
      </c>
      <c r="N65" s="253" t="s">
        <v>1952</v>
      </c>
      <c r="O65" s="256" t="s">
        <v>483</v>
      </c>
      <c r="P65" s="350">
        <v>42827</v>
      </c>
      <c r="Q65" s="210"/>
    </row>
    <row r="66" spans="1:17">
      <c r="A66" s="210">
        <v>60</v>
      </c>
      <c r="B66" s="234">
        <v>4.372685185185185E-2</v>
      </c>
      <c r="C66" s="217">
        <f t="shared" si="1"/>
        <v>62.966666666666661</v>
      </c>
      <c r="D66" s="217">
        <f t="shared" si="3"/>
        <v>60.841274381126865</v>
      </c>
      <c r="E66" s="232">
        <f>'10K'!$E66*(1-$K$2)+H.Marathon!$E66*$K$2</f>
        <v>0.77578914117291364</v>
      </c>
      <c r="F66" s="312">
        <f t="shared" si="2"/>
        <v>96.624575512641925</v>
      </c>
      <c r="G66" s="210">
        <v>60</v>
      </c>
      <c r="H66" s="325" t="s">
        <v>2038</v>
      </c>
      <c r="I66" s="253">
        <v>3778</v>
      </c>
      <c r="J66" s="248" t="s">
        <v>1026</v>
      </c>
      <c r="K66" s="248" t="s">
        <v>1027</v>
      </c>
      <c r="L66" s="256" t="s">
        <v>217</v>
      </c>
      <c r="M66" s="251">
        <v>23193</v>
      </c>
      <c r="N66" s="253" t="s">
        <v>2028</v>
      </c>
      <c r="O66" s="248" t="s">
        <v>1029</v>
      </c>
      <c r="P66" s="350">
        <v>45179</v>
      </c>
      <c r="Q66" s="210"/>
    </row>
    <row r="67" spans="1:17">
      <c r="A67" s="210">
        <v>61</v>
      </c>
      <c r="B67" s="234">
        <v>4.5034722222222219E-2</v>
      </c>
      <c r="C67" s="217">
        <f t="shared" si="1"/>
        <v>64.849999999999994</v>
      </c>
      <c r="D67" s="217">
        <f t="shared" si="3"/>
        <v>61.653371061569345</v>
      </c>
      <c r="E67" s="232">
        <f>'10K'!$E67*(1-$K$2)+H.Marathon!$E67*$K$2</f>
        <v>0.76557046577168231</v>
      </c>
      <c r="F67" s="312">
        <f t="shared" si="2"/>
        <v>95.070734096483193</v>
      </c>
      <c r="G67" s="210">
        <v>61</v>
      </c>
      <c r="H67" s="325" t="s">
        <v>2039</v>
      </c>
      <c r="I67" s="253">
        <v>3891</v>
      </c>
      <c r="J67" s="256" t="s">
        <v>796</v>
      </c>
      <c r="K67" s="256" t="s">
        <v>1914</v>
      </c>
      <c r="L67" s="256" t="s">
        <v>496</v>
      </c>
      <c r="M67" s="251">
        <v>17849</v>
      </c>
      <c r="N67" s="253"/>
      <c r="O67" s="256" t="s">
        <v>2040</v>
      </c>
      <c r="P67" s="350">
        <v>40293</v>
      </c>
      <c r="Q67" s="210"/>
    </row>
    <row r="68" spans="1:17">
      <c r="A68" s="210">
        <v>62</v>
      </c>
      <c r="B68" s="234">
        <v>4.5057870370370373E-2</v>
      </c>
      <c r="C68" s="217">
        <f t="shared" si="1"/>
        <v>64.88333333333334</v>
      </c>
      <c r="D68" s="217">
        <f t="shared" si="3"/>
        <v>62.485168002658561</v>
      </c>
      <c r="E68" s="232">
        <f>'10K'!$E68*(1-$K$2)+H.Marathon!$E68*$K$2</f>
        <v>0.75537926053094362</v>
      </c>
      <c r="F68" s="312">
        <f t="shared" si="2"/>
        <v>96.303880815810771</v>
      </c>
      <c r="G68" s="210">
        <v>62</v>
      </c>
      <c r="H68" s="325" t="s">
        <v>2041</v>
      </c>
      <c r="I68" s="253">
        <v>3893</v>
      </c>
      <c r="J68" s="256" t="s">
        <v>796</v>
      </c>
      <c r="K68" s="256" t="s">
        <v>1914</v>
      </c>
      <c r="L68" s="256" t="s">
        <v>496</v>
      </c>
      <c r="M68" s="251">
        <v>17849</v>
      </c>
      <c r="N68" s="253"/>
      <c r="O68" s="256" t="s">
        <v>2040</v>
      </c>
      <c r="P68" s="350">
        <v>40664</v>
      </c>
      <c r="Q68" s="210"/>
    </row>
    <row r="69" spans="1:17">
      <c r="A69" s="210">
        <v>63</v>
      </c>
      <c r="B69" s="234">
        <v>4.6886574074074074E-2</v>
      </c>
      <c r="C69" s="217">
        <f t="shared" si="1"/>
        <v>67.516666666666666</v>
      </c>
      <c r="D69" s="217">
        <f t="shared" si="3"/>
        <v>63.342051286547509</v>
      </c>
      <c r="E69" s="232">
        <f>'10K'!$E69*(1-$K$2)+H.Marathon!$E69*$K$2</f>
        <v>0.7451605851297125</v>
      </c>
      <c r="F69" s="312">
        <f t="shared" si="2"/>
        <v>93.816911310610976</v>
      </c>
      <c r="G69" s="210">
        <v>63</v>
      </c>
      <c r="H69" s="325" t="s">
        <v>2042</v>
      </c>
      <c r="I69" s="253">
        <v>4051</v>
      </c>
      <c r="J69" s="256" t="s">
        <v>796</v>
      </c>
      <c r="K69" s="256" t="s">
        <v>1914</v>
      </c>
      <c r="L69" s="256" t="s">
        <v>496</v>
      </c>
      <c r="M69" s="251">
        <v>17849</v>
      </c>
      <c r="N69" s="253"/>
      <c r="O69" s="256" t="s">
        <v>254</v>
      </c>
      <c r="P69" s="350">
        <v>41041</v>
      </c>
      <c r="Q69" s="210"/>
    </row>
    <row r="70" spans="1:17">
      <c r="A70" s="210">
        <v>64</v>
      </c>
      <c r="B70" s="234">
        <v>4.372685185185185E-2</v>
      </c>
      <c r="C70" s="217">
        <f t="shared" si="1"/>
        <v>62.966666666666661</v>
      </c>
      <c r="D70" s="217">
        <f t="shared" si="3"/>
        <v>64.217193886018379</v>
      </c>
      <c r="E70" s="232">
        <f>'10K'!$E70*(1-$K$2)+H.Marathon!$E70*$K$2</f>
        <v>0.73500564480872743</v>
      </c>
      <c r="F70" s="312">
        <f t="shared" si="2"/>
        <v>101.98601464163852</v>
      </c>
      <c r="G70" s="210">
        <v>64</v>
      </c>
      <c r="H70" s="325" t="s">
        <v>2038</v>
      </c>
      <c r="I70" s="253">
        <v>4120</v>
      </c>
      <c r="J70" s="256" t="s">
        <v>796</v>
      </c>
      <c r="K70" s="256" t="s">
        <v>1914</v>
      </c>
      <c r="L70" s="256" t="s">
        <v>496</v>
      </c>
      <c r="M70" s="251">
        <v>17849</v>
      </c>
      <c r="N70" s="253"/>
      <c r="O70" s="256" t="s">
        <v>2040</v>
      </c>
      <c r="P70" s="350">
        <v>41392</v>
      </c>
      <c r="Q70" s="210"/>
    </row>
    <row r="71" spans="1:17">
      <c r="A71" s="210">
        <v>65</v>
      </c>
      <c r="B71" s="234">
        <v>4.7847222222222222E-2</v>
      </c>
      <c r="C71" s="217">
        <f t="shared" si="1"/>
        <v>68.900000000000006</v>
      </c>
      <c r="D71" s="217">
        <f t="shared" si="3"/>
        <v>65.125842179568778</v>
      </c>
      <c r="E71" s="232">
        <f>'10K'!$E71*(1-$K$2)+H.Marathon!$E71*$K$2</f>
        <v>0.72475070448774237</v>
      </c>
      <c r="F71" s="312">
        <f t="shared" si="2"/>
        <v>94.522267314323329</v>
      </c>
      <c r="G71" s="210">
        <v>65</v>
      </c>
      <c r="H71" s="325" t="s">
        <v>2043</v>
      </c>
      <c r="I71" s="253">
        <v>4134</v>
      </c>
      <c r="J71" s="210" t="s">
        <v>335</v>
      </c>
      <c r="K71" s="210" t="s">
        <v>336</v>
      </c>
      <c r="L71" s="256" t="s">
        <v>217</v>
      </c>
      <c r="M71" s="251">
        <v>18901</v>
      </c>
      <c r="N71" s="253" t="s">
        <v>2044</v>
      </c>
      <c r="O71" s="256" t="s">
        <v>2045</v>
      </c>
      <c r="P71" s="350">
        <v>42749</v>
      </c>
      <c r="Q71" s="210"/>
    </row>
    <row r="72" spans="1:17">
      <c r="A72" s="210">
        <v>66</v>
      </c>
      <c r="B72" s="234">
        <v>4.9583333333333333E-2</v>
      </c>
      <c r="C72" s="217">
        <f t="shared" si="1"/>
        <v>71.400000000000006</v>
      </c>
      <c r="D72" s="217">
        <f t="shared" si="3"/>
        <v>66.051329110573135</v>
      </c>
      <c r="E72" s="232">
        <f>'10K'!$E72*(1-$K$2)+H.Marathon!$E72*$K$2</f>
        <v>0.71459576416675752</v>
      </c>
      <c r="F72" s="312">
        <f t="shared" si="2"/>
        <v>92.508864300522589</v>
      </c>
      <c r="G72" s="210">
        <v>66</v>
      </c>
      <c r="H72" s="325" t="s">
        <v>2046</v>
      </c>
      <c r="I72" s="253">
        <v>4284</v>
      </c>
      <c r="J72" s="256" t="s">
        <v>340</v>
      </c>
      <c r="K72" s="256" t="s">
        <v>1916</v>
      </c>
      <c r="L72" s="256" t="s">
        <v>217</v>
      </c>
      <c r="M72" s="251">
        <v>17959</v>
      </c>
      <c r="N72" s="253"/>
      <c r="O72" s="256" t="s">
        <v>343</v>
      </c>
      <c r="P72" s="350">
        <v>42288</v>
      </c>
      <c r="Q72" s="210"/>
    </row>
    <row r="73" spans="1:17">
      <c r="A73" s="210">
        <v>67</v>
      </c>
      <c r="B73" s="234">
        <v>5.0960648148148151E-2</v>
      </c>
      <c r="C73" s="217">
        <f t="shared" si="1"/>
        <v>73.38333333333334</v>
      </c>
      <c r="D73" s="217">
        <f t="shared" si="3"/>
        <v>67.0130118857561</v>
      </c>
      <c r="E73" s="232">
        <f>'10K'!$E73*(1-$K$2)+H.Marathon!$E73*$K$2</f>
        <v>0.70434082384577257</v>
      </c>
      <c r="F73" s="312">
        <f t="shared" ref="F73:F86" si="4">100*(D73/C73)</f>
        <v>91.319116810024198</v>
      </c>
      <c r="G73" s="210">
        <v>67</v>
      </c>
      <c r="H73" s="325" t="s">
        <v>1837</v>
      </c>
      <c r="I73" s="253">
        <v>4403</v>
      </c>
      <c r="J73" s="256" t="s">
        <v>1577</v>
      </c>
      <c r="K73" s="256" t="s">
        <v>1578</v>
      </c>
      <c r="L73" s="256" t="s">
        <v>217</v>
      </c>
      <c r="M73" s="251">
        <v>18106</v>
      </c>
      <c r="N73" s="253" t="s">
        <v>1952</v>
      </c>
      <c r="O73" s="256" t="s">
        <v>483</v>
      </c>
      <c r="P73" s="350">
        <v>42827</v>
      </c>
      <c r="Q73" s="210"/>
    </row>
    <row r="74" spans="1:17">
      <c r="A74" s="210">
        <v>68</v>
      </c>
      <c r="B74" s="234">
        <v>4.9942129629629628E-2</v>
      </c>
      <c r="C74" s="217">
        <f t="shared" si="1"/>
        <v>71.916666666666657</v>
      </c>
      <c r="D74" s="217">
        <f t="shared" si="3"/>
        <v>67.993315796538539</v>
      </c>
      <c r="E74" s="232">
        <f>'10K'!$E74*(1-$K$2)+H.Marathon!$E74*$K$2</f>
        <v>0.69418588352478761</v>
      </c>
      <c r="F74" s="312">
        <f t="shared" si="4"/>
        <v>94.54458743435255</v>
      </c>
      <c r="G74" s="210">
        <v>68</v>
      </c>
      <c r="H74" s="325" t="s">
        <v>2047</v>
      </c>
      <c r="I74" s="253">
        <v>4315</v>
      </c>
      <c r="J74" s="256" t="s">
        <v>340</v>
      </c>
      <c r="K74" s="256" t="s">
        <v>1916</v>
      </c>
      <c r="L74" s="256" t="s">
        <v>217</v>
      </c>
      <c r="M74" s="251">
        <v>17959</v>
      </c>
      <c r="N74" s="253" t="s">
        <v>1993</v>
      </c>
      <c r="O74" s="256" t="s">
        <v>1994</v>
      </c>
      <c r="P74" s="350">
        <v>42973</v>
      </c>
      <c r="Q74" s="210"/>
    </row>
    <row r="75" spans="1:17">
      <c r="A75" s="210">
        <v>69</v>
      </c>
      <c r="B75" s="234">
        <v>5.1053240740740739E-2</v>
      </c>
      <c r="C75" s="217">
        <f t="shared" si="1"/>
        <v>73.516666666666666</v>
      </c>
      <c r="D75" s="217">
        <f t="shared" ref="D75:D106" si="5">E$4/E75</f>
        <v>69.009156344632075</v>
      </c>
      <c r="E75" s="232">
        <f>'10K'!$E75*(1-$K$2)+H.Marathon!$E75*$K$2</f>
        <v>0.68396720812355638</v>
      </c>
      <c r="F75" s="312">
        <f t="shared" si="4"/>
        <v>93.868723207388911</v>
      </c>
      <c r="G75" s="210">
        <v>69</v>
      </c>
      <c r="H75" s="325" t="s">
        <v>2048</v>
      </c>
      <c r="I75" s="253">
        <v>4411</v>
      </c>
      <c r="J75" s="256" t="s">
        <v>357</v>
      </c>
      <c r="K75" s="256" t="s">
        <v>899</v>
      </c>
      <c r="L75" s="256" t="s">
        <v>217</v>
      </c>
      <c r="M75" s="251">
        <v>17637</v>
      </c>
      <c r="N75" s="253" t="s">
        <v>1993</v>
      </c>
      <c r="O75" s="256" t="s">
        <v>1994</v>
      </c>
      <c r="P75" s="350">
        <v>42973</v>
      </c>
      <c r="Q75" s="210"/>
    </row>
    <row r="76" spans="1:17">
      <c r="A76" s="210">
        <v>70</v>
      </c>
      <c r="B76" s="234">
        <v>5.1886574074074071E-2</v>
      </c>
      <c r="C76" s="217">
        <f t="shared" ref="C76:C86" si="6">B76*1440</f>
        <v>74.716666666666669</v>
      </c>
      <c r="D76" s="217">
        <f t="shared" si="5"/>
        <v>70.0529549851139</v>
      </c>
      <c r="E76" s="232">
        <f>'10K'!$E76*(1-$K$2)+H.Marathon!$E76*$K$2</f>
        <v>0.67377600288281769</v>
      </c>
      <c r="F76" s="312">
        <f t="shared" si="4"/>
        <v>93.758137388062323</v>
      </c>
      <c r="G76" s="210">
        <v>70</v>
      </c>
      <c r="H76" s="325" t="s">
        <v>2049</v>
      </c>
      <c r="I76" s="253">
        <v>4483</v>
      </c>
      <c r="J76" s="256" t="s">
        <v>347</v>
      </c>
      <c r="K76" s="256" t="s">
        <v>597</v>
      </c>
      <c r="L76" s="256" t="s">
        <v>259</v>
      </c>
      <c r="M76" s="251">
        <v>17277</v>
      </c>
      <c r="N76" s="253"/>
      <c r="O76" s="256" t="s">
        <v>2050</v>
      </c>
      <c r="P76" s="350">
        <v>42995</v>
      </c>
      <c r="Q76" s="210"/>
    </row>
    <row r="77" spans="1:17">
      <c r="A77" s="210">
        <v>71</v>
      </c>
      <c r="B77" s="234">
        <v>4.9780092592592591E-2</v>
      </c>
      <c r="C77" s="217">
        <f t="shared" si="6"/>
        <v>71.683333333333337</v>
      </c>
      <c r="D77" s="217">
        <f t="shared" si="5"/>
        <v>71.1317591490387</v>
      </c>
      <c r="E77" s="232">
        <f>'10K'!$E77*(1-$K$2)+H.Marathon!$E77*$K$2</f>
        <v>0.66355732748158647</v>
      </c>
      <c r="F77" s="312">
        <f t="shared" si="4"/>
        <v>99.230540547368562</v>
      </c>
      <c r="G77" s="210">
        <v>71</v>
      </c>
      <c r="H77" s="325" t="s">
        <v>2051</v>
      </c>
      <c r="I77" s="253">
        <v>4301</v>
      </c>
      <c r="J77" s="256" t="s">
        <v>357</v>
      </c>
      <c r="K77" s="256" t="s">
        <v>899</v>
      </c>
      <c r="L77" s="256" t="s">
        <v>217</v>
      </c>
      <c r="M77" s="251">
        <v>17637</v>
      </c>
      <c r="N77" s="253" t="s">
        <v>1993</v>
      </c>
      <c r="O77" s="256" t="s">
        <v>1994</v>
      </c>
      <c r="P77" s="350">
        <v>43700</v>
      </c>
      <c r="Q77" s="210"/>
    </row>
    <row r="78" spans="1:17">
      <c r="A78" s="210">
        <v>72</v>
      </c>
      <c r="B78" s="234">
        <v>5.5185185185185184E-2</v>
      </c>
      <c r="C78" s="217">
        <f t="shared" si="6"/>
        <v>79.466666666666669</v>
      </c>
      <c r="D78" s="217">
        <f t="shared" si="5"/>
        <v>72.241272378981506</v>
      </c>
      <c r="E78" s="232">
        <f>'10K'!$E78*(1-$K$2)+H.Marathon!$E78*$K$2</f>
        <v>0.65336612224084767</v>
      </c>
      <c r="F78" s="312">
        <f t="shared" si="4"/>
        <v>90.907641416503566</v>
      </c>
      <c r="G78" s="210">
        <v>72</v>
      </c>
      <c r="H78" s="325" t="s">
        <v>2052</v>
      </c>
      <c r="I78" s="253">
        <v>4768</v>
      </c>
      <c r="J78" s="256" t="s">
        <v>611</v>
      </c>
      <c r="K78" s="256" t="s">
        <v>612</v>
      </c>
      <c r="L78" s="256" t="s">
        <v>259</v>
      </c>
      <c r="M78" s="251">
        <v>12120</v>
      </c>
      <c r="N78" s="253"/>
      <c r="O78" s="256" t="s">
        <v>2053</v>
      </c>
      <c r="P78" s="350">
        <v>38669</v>
      </c>
      <c r="Q78" s="210"/>
    </row>
    <row r="79" spans="1:17">
      <c r="A79" s="210">
        <v>73</v>
      </c>
      <c r="B79" s="234">
        <v>5.6215277777777781E-2</v>
      </c>
      <c r="C79" s="217">
        <f t="shared" si="6"/>
        <v>80.95</v>
      </c>
      <c r="D79" s="217">
        <f t="shared" si="5"/>
        <v>73.389080889518624</v>
      </c>
      <c r="E79" s="232">
        <f>'10K'!$E79*(1-$K$2)+H.Marathon!$E79*$K$2</f>
        <v>0.64314744683961655</v>
      </c>
      <c r="F79" s="312">
        <f t="shared" si="4"/>
        <v>90.659766386063765</v>
      </c>
      <c r="G79" s="210">
        <v>73</v>
      </c>
      <c r="H79" s="325" t="s">
        <v>2054</v>
      </c>
      <c r="I79" s="253">
        <v>4857</v>
      </c>
      <c r="J79" s="256" t="s">
        <v>611</v>
      </c>
      <c r="K79" s="256" t="s">
        <v>612</v>
      </c>
      <c r="L79" s="256" t="s">
        <v>259</v>
      </c>
      <c r="M79" s="251">
        <v>12120</v>
      </c>
      <c r="N79" s="253"/>
      <c r="O79" s="256" t="s">
        <v>2055</v>
      </c>
      <c r="P79" s="350">
        <v>39040</v>
      </c>
      <c r="Q79" s="210"/>
    </row>
    <row r="80" spans="1:17">
      <c r="A80" s="210">
        <v>74</v>
      </c>
      <c r="B80" s="234">
        <v>5.5937500000000001E-2</v>
      </c>
      <c r="C80" s="217">
        <f t="shared" si="6"/>
        <v>80.55</v>
      </c>
      <c r="D80" s="217">
        <f t="shared" si="5"/>
        <v>74.566443542267606</v>
      </c>
      <c r="E80" s="232">
        <f>'10K'!$E80*(1-$K$2)+H.Marathon!$E80*$K$2</f>
        <v>0.63299250651863159</v>
      </c>
      <c r="F80" s="312">
        <f t="shared" si="4"/>
        <v>92.57162450933285</v>
      </c>
      <c r="G80" s="210">
        <v>74</v>
      </c>
      <c r="H80" s="325" t="s">
        <v>2056</v>
      </c>
      <c r="I80" s="253">
        <v>4833</v>
      </c>
      <c r="J80" s="210" t="s">
        <v>636</v>
      </c>
      <c r="K80" s="210" t="s">
        <v>637</v>
      </c>
      <c r="L80" s="256" t="s">
        <v>217</v>
      </c>
      <c r="M80" s="251">
        <v>6357</v>
      </c>
      <c r="N80" s="253" t="s">
        <v>2057</v>
      </c>
      <c r="O80" s="256" t="s">
        <v>2058</v>
      </c>
      <c r="P80" s="350">
        <v>33524</v>
      </c>
      <c r="Q80" s="210"/>
    </row>
    <row r="81" spans="1:17" ht="15.75">
      <c r="A81" s="210">
        <v>75</v>
      </c>
      <c r="B81" s="234">
        <v>5.5115740740740743E-2</v>
      </c>
      <c r="C81" s="217">
        <f t="shared" si="6"/>
        <v>79.366666666666674</v>
      </c>
      <c r="D81" s="217">
        <f t="shared" si="5"/>
        <v>75.794367582795701</v>
      </c>
      <c r="E81" s="232">
        <f>'10K'!$E81*(1-$K$2)+H.Marathon!$E81*$K$2</f>
        <v>0.62273756619764664</v>
      </c>
      <c r="F81" s="312">
        <f t="shared" si="4"/>
        <v>95.498993174459088</v>
      </c>
      <c r="G81" s="210">
        <v>75</v>
      </c>
      <c r="H81" s="325" t="s">
        <v>2059</v>
      </c>
      <c r="I81" s="253">
        <v>4762</v>
      </c>
      <c r="J81" s="256" t="s">
        <v>365</v>
      </c>
      <c r="K81" s="256" t="s">
        <v>366</v>
      </c>
      <c r="L81" s="256" t="s">
        <v>217</v>
      </c>
      <c r="M81" s="238">
        <v>13343</v>
      </c>
      <c r="N81" s="257" t="s">
        <v>2060</v>
      </c>
      <c r="O81" s="256" t="s">
        <v>2061</v>
      </c>
      <c r="P81" s="350">
        <v>40791</v>
      </c>
      <c r="Q81" s="210"/>
    </row>
    <row r="82" spans="1:17">
      <c r="A82" s="210">
        <v>76</v>
      </c>
      <c r="B82" s="234">
        <v>5.8958333333333335E-2</v>
      </c>
      <c r="C82" s="217">
        <f t="shared" si="6"/>
        <v>84.9</v>
      </c>
      <c r="D82" s="217">
        <f t="shared" si="5"/>
        <v>77.093149114400546</v>
      </c>
      <c r="E82" s="232">
        <f>'10K'!$E82*(1-$K$2)+H.Marathon!$E82*$K$2</f>
        <v>0.61224636095690788</v>
      </c>
      <c r="F82" s="312">
        <f t="shared" si="4"/>
        <v>90.804651489282136</v>
      </c>
      <c r="G82" s="210">
        <v>76</v>
      </c>
      <c r="H82" s="325" t="s">
        <v>687</v>
      </c>
      <c r="I82" s="253">
        <v>5094</v>
      </c>
      <c r="J82" s="210" t="s">
        <v>636</v>
      </c>
      <c r="K82" s="210" t="s">
        <v>637</v>
      </c>
      <c r="L82" s="256" t="s">
        <v>217</v>
      </c>
      <c r="M82" s="251">
        <v>6357</v>
      </c>
      <c r="N82" s="253" t="s">
        <v>2057</v>
      </c>
      <c r="O82" s="256" t="s">
        <v>483</v>
      </c>
      <c r="P82" s="350">
        <v>34259</v>
      </c>
      <c r="Q82" s="210"/>
    </row>
    <row r="83" spans="1:17" ht="15.75">
      <c r="A83" s="210">
        <v>77</v>
      </c>
      <c r="B83" s="234">
        <v>5.8946759259259261E-2</v>
      </c>
      <c r="C83" s="217">
        <f t="shared" si="6"/>
        <v>84.88333333333334</v>
      </c>
      <c r="D83" s="217">
        <f t="shared" si="5"/>
        <v>78.541634181923115</v>
      </c>
      <c r="E83" s="232">
        <f>'10K'!$E83*(1-$K$2)+H.Marathon!$E83*$K$2</f>
        <v>0.6009551557161692</v>
      </c>
      <c r="F83" s="312">
        <f t="shared" si="4"/>
        <v>92.528923049585444</v>
      </c>
      <c r="G83" s="210">
        <v>77</v>
      </c>
      <c r="H83" s="325" t="s">
        <v>1484</v>
      </c>
      <c r="I83" s="253">
        <v>5093</v>
      </c>
      <c r="J83" s="256" t="s">
        <v>365</v>
      </c>
      <c r="K83" s="256" t="s">
        <v>366</v>
      </c>
      <c r="L83" s="256" t="s">
        <v>217</v>
      </c>
      <c r="M83" s="238">
        <v>13343</v>
      </c>
      <c r="N83" s="257" t="s">
        <v>2062</v>
      </c>
      <c r="O83" s="256" t="s">
        <v>2061</v>
      </c>
      <c r="P83" s="350">
        <v>41777</v>
      </c>
      <c r="Q83" s="210"/>
    </row>
    <row r="84" spans="1:17">
      <c r="A84" s="210">
        <v>78</v>
      </c>
      <c r="B84" s="234">
        <v>6.6875000000000004E-2</v>
      </c>
      <c r="C84" s="217">
        <f t="shared" si="6"/>
        <v>96.300000000000011</v>
      </c>
      <c r="D84" s="217">
        <f t="shared" si="5"/>
        <v>80.158077119738181</v>
      </c>
      <c r="E84" s="232">
        <f>'10K'!$E84*(1-$K$2)+H.Marathon!$E84*$K$2</f>
        <v>0.58883648031493807</v>
      </c>
      <c r="F84" s="312">
        <f t="shared" si="4"/>
        <v>83.23787862901159</v>
      </c>
      <c r="G84" s="210">
        <v>78</v>
      </c>
      <c r="H84" s="325" t="s">
        <v>2063</v>
      </c>
      <c r="I84" s="253">
        <v>5778</v>
      </c>
      <c r="J84" s="256" t="s">
        <v>1283</v>
      </c>
      <c r="K84" s="256" t="s">
        <v>2064</v>
      </c>
      <c r="L84" s="256" t="s">
        <v>217</v>
      </c>
      <c r="M84" s="251">
        <v>14194</v>
      </c>
      <c r="N84" s="253" t="s">
        <v>1952</v>
      </c>
      <c r="O84" s="256" t="s">
        <v>2058</v>
      </c>
      <c r="P84" s="350">
        <v>42463</v>
      </c>
      <c r="Q84" s="210"/>
    </row>
    <row r="85" spans="1:17">
      <c r="A85" s="210">
        <v>79</v>
      </c>
      <c r="B85" s="234">
        <v>6.3032407407407412E-2</v>
      </c>
      <c r="C85" s="217">
        <f t="shared" si="6"/>
        <v>90.76666666666668</v>
      </c>
      <c r="D85" s="217">
        <f t="shared" si="5"/>
        <v>81.947070735106436</v>
      </c>
      <c r="E85" s="232">
        <f>'10K'!$E85*(1-$K$2)+H.Marathon!$E85*$K$2</f>
        <v>0.57598153999395296</v>
      </c>
      <c r="F85" s="312">
        <f t="shared" si="4"/>
        <v>90.283221522335396</v>
      </c>
      <c r="G85" s="210">
        <v>79</v>
      </c>
      <c r="H85" s="325" t="s">
        <v>2065</v>
      </c>
      <c r="I85" s="253">
        <v>5446</v>
      </c>
      <c r="J85" s="210" t="s">
        <v>636</v>
      </c>
      <c r="K85" s="210" t="s">
        <v>637</v>
      </c>
      <c r="L85" s="256" t="s">
        <v>217</v>
      </c>
      <c r="M85" s="251">
        <v>6357</v>
      </c>
      <c r="N85" s="253"/>
      <c r="O85" s="256"/>
      <c r="P85" s="350">
        <v>34987</v>
      </c>
      <c r="Q85" s="210"/>
    </row>
    <row r="86" spans="1:17">
      <c r="A86" s="210">
        <v>80</v>
      </c>
      <c r="B86" s="234">
        <v>6.627314814814815E-2</v>
      </c>
      <c r="C86" s="217">
        <f t="shared" si="6"/>
        <v>95.433333333333337</v>
      </c>
      <c r="D86" s="217">
        <f t="shared" si="5"/>
        <v>83.936986134837085</v>
      </c>
      <c r="E86" s="232">
        <f>'10K'!$E86*(1-$K$2)+H.Marathon!$E86*$K$2</f>
        <v>0.56232659967296805</v>
      </c>
      <c r="F86" s="312">
        <f t="shared" si="4"/>
        <v>87.953530703636488</v>
      </c>
      <c r="G86" s="210">
        <v>80</v>
      </c>
      <c r="H86" s="325" t="s">
        <v>2066</v>
      </c>
      <c r="I86" s="253">
        <v>5726</v>
      </c>
      <c r="J86" s="210" t="s">
        <v>636</v>
      </c>
      <c r="K86" s="210" t="s">
        <v>637</v>
      </c>
      <c r="L86" s="256" t="s">
        <v>217</v>
      </c>
      <c r="M86" s="251">
        <v>6357</v>
      </c>
      <c r="N86" s="253" t="s">
        <v>1952</v>
      </c>
      <c r="O86" s="256" t="s">
        <v>483</v>
      </c>
      <c r="P86" s="350">
        <v>35533</v>
      </c>
      <c r="Q86" s="210"/>
    </row>
    <row r="87" spans="1:17">
      <c r="A87" s="210">
        <v>81</v>
      </c>
      <c r="B87" s="234">
        <v>8.0150462962962965E-2</v>
      </c>
      <c r="C87" s="217"/>
      <c r="D87" s="217">
        <f t="shared" si="5"/>
        <v>86.155883244208255</v>
      </c>
      <c r="E87" s="232">
        <f>'10K'!$E87*(1-$K$2)+H.Marathon!$E87*$K$2</f>
        <v>0.54784418919149058</v>
      </c>
      <c r="F87" s="312"/>
      <c r="G87" s="210">
        <v>81</v>
      </c>
      <c r="H87" s="325" t="s">
        <v>2067</v>
      </c>
      <c r="I87" s="253">
        <v>6925</v>
      </c>
      <c r="J87" s="256" t="s">
        <v>2068</v>
      </c>
      <c r="K87" s="256" t="s">
        <v>2069</v>
      </c>
      <c r="L87" s="256" t="s">
        <v>496</v>
      </c>
      <c r="M87" s="251">
        <v>9288</v>
      </c>
      <c r="N87" s="253"/>
      <c r="O87" s="256" t="s">
        <v>254</v>
      </c>
      <c r="P87" s="350">
        <v>38493</v>
      </c>
      <c r="Q87" s="210"/>
    </row>
    <row r="88" spans="1:17">
      <c r="A88" s="210">
        <v>82</v>
      </c>
      <c r="B88" s="234">
        <v>6.3472222222222222E-2</v>
      </c>
      <c r="C88" s="217"/>
      <c r="D88" s="217">
        <f t="shared" si="5"/>
        <v>88.617609892767391</v>
      </c>
      <c r="E88" s="232">
        <f>'10K'!$E88*(1-$K$2)+H.Marathon!$E88*$K$2</f>
        <v>0.53262551379025935</v>
      </c>
      <c r="F88" s="312"/>
      <c r="G88" s="210">
        <v>82</v>
      </c>
      <c r="H88" s="325" t="s">
        <v>2070</v>
      </c>
      <c r="I88" s="253">
        <v>5484</v>
      </c>
      <c r="J88" s="210" t="s">
        <v>636</v>
      </c>
      <c r="K88" s="210" t="s">
        <v>637</v>
      </c>
      <c r="L88" s="256" t="s">
        <v>217</v>
      </c>
      <c r="M88" s="251">
        <v>6357</v>
      </c>
      <c r="N88" s="253" t="s">
        <v>1952</v>
      </c>
      <c r="O88" s="256" t="s">
        <v>483</v>
      </c>
      <c r="P88" s="350">
        <v>35890</v>
      </c>
      <c r="Q88" s="210"/>
    </row>
    <row r="89" spans="1:17">
      <c r="A89" s="210">
        <v>83</v>
      </c>
      <c r="B89" s="234">
        <v>6.7500000000000004E-2</v>
      </c>
      <c r="C89" s="217"/>
      <c r="D89" s="217">
        <f t="shared" si="5"/>
        <v>91.359005274072118</v>
      </c>
      <c r="E89" s="232">
        <f>'10K'!$E89*(1-$K$2)+H.Marathon!$E89*$K$2</f>
        <v>0.51664310330878205</v>
      </c>
      <c r="F89" s="312"/>
      <c r="G89" s="210">
        <v>83</v>
      </c>
      <c r="H89" s="325" t="s">
        <v>2071</v>
      </c>
      <c r="I89" s="253">
        <v>5832</v>
      </c>
      <c r="J89" s="210" t="s">
        <v>636</v>
      </c>
      <c r="K89" s="210" t="s">
        <v>637</v>
      </c>
      <c r="L89" s="256" t="s">
        <v>217</v>
      </c>
      <c r="M89" s="251">
        <v>6357</v>
      </c>
      <c r="N89" s="253" t="s">
        <v>1952</v>
      </c>
      <c r="O89" s="256" t="s">
        <v>483</v>
      </c>
      <c r="P89" s="353">
        <v>36261</v>
      </c>
      <c r="Q89" s="210"/>
    </row>
    <row r="90" spans="1:17">
      <c r="A90" s="210">
        <v>84</v>
      </c>
      <c r="B90" s="234">
        <v>8.5023148148148153E-2</v>
      </c>
      <c r="C90" s="217"/>
      <c r="D90" s="217">
        <f t="shared" si="5"/>
        <v>94.426308524137141</v>
      </c>
      <c r="E90" s="232">
        <f>'10K'!$E90*(1-$K$2)+H.Marathon!$E90*$K$2</f>
        <v>0.4998606928273045</v>
      </c>
      <c r="F90" s="312"/>
      <c r="G90" s="210">
        <v>84</v>
      </c>
      <c r="H90" s="325" t="s">
        <v>2072</v>
      </c>
      <c r="I90" s="253">
        <v>7346</v>
      </c>
      <c r="J90" s="210" t="s">
        <v>377</v>
      </c>
      <c r="K90" s="210" t="s">
        <v>2073</v>
      </c>
      <c r="L90" s="256" t="s">
        <v>217</v>
      </c>
      <c r="M90" s="251">
        <v>3552</v>
      </c>
      <c r="N90" s="253" t="s">
        <v>2074</v>
      </c>
      <c r="O90" s="256" t="s">
        <v>2075</v>
      </c>
      <c r="P90" s="353">
        <v>33749</v>
      </c>
      <c r="Q90" s="210"/>
    </row>
    <row r="91" spans="1:17">
      <c r="A91" s="210">
        <v>85</v>
      </c>
      <c r="B91" s="234">
        <v>7.9201388888888891E-2</v>
      </c>
      <c r="C91" s="217"/>
      <c r="D91" s="217">
        <f t="shared" si="5"/>
        <v>97.881742198881611</v>
      </c>
      <c r="E91" s="232">
        <f>'10K'!$E91*(1-$K$2)+H.Marathon!$E91*$K$2</f>
        <v>0.48221454726558088</v>
      </c>
      <c r="F91" s="312"/>
      <c r="G91" s="210">
        <v>85</v>
      </c>
      <c r="H91" s="325" t="s">
        <v>2076</v>
      </c>
      <c r="I91" s="253">
        <v>6843</v>
      </c>
      <c r="J91" s="210" t="s">
        <v>636</v>
      </c>
      <c r="K91" s="210" t="s">
        <v>637</v>
      </c>
      <c r="L91" s="256" t="s">
        <v>217</v>
      </c>
      <c r="M91" s="251">
        <v>6357</v>
      </c>
      <c r="N91" s="253" t="s">
        <v>1952</v>
      </c>
      <c r="O91" s="256" t="s">
        <v>483</v>
      </c>
      <c r="P91" s="353">
        <v>36989</v>
      </c>
      <c r="Q91" s="210"/>
    </row>
    <row r="92" spans="1:17">
      <c r="A92" s="210">
        <v>86</v>
      </c>
      <c r="B92" s="234">
        <v>6.7500000000000004E-2</v>
      </c>
      <c r="C92" s="217"/>
      <c r="D92" s="217">
        <f t="shared" si="5"/>
        <v>101.75299681251715</v>
      </c>
      <c r="E92" s="232">
        <f>'10K'!$E92*(1-$K$2)+H.Marathon!$E92*$K$2</f>
        <v>0.46386840170385713</v>
      </c>
      <c r="F92" s="312"/>
      <c r="G92" s="210">
        <v>86</v>
      </c>
      <c r="H92" s="325" t="s">
        <v>2071</v>
      </c>
      <c r="I92" s="253">
        <v>5832</v>
      </c>
      <c r="J92" s="210" t="s">
        <v>636</v>
      </c>
      <c r="K92" s="210" t="s">
        <v>637</v>
      </c>
      <c r="L92" s="256" t="s">
        <v>217</v>
      </c>
      <c r="M92" s="251">
        <v>6357</v>
      </c>
      <c r="N92" s="253" t="s">
        <v>1927</v>
      </c>
      <c r="O92" s="256" t="s">
        <v>1928</v>
      </c>
      <c r="P92" s="353">
        <v>37738</v>
      </c>
      <c r="Q92" s="210"/>
    </row>
    <row r="93" spans="1:17">
      <c r="A93" s="210">
        <v>87</v>
      </c>
      <c r="B93" s="234">
        <v>9.22337962962963E-2</v>
      </c>
      <c r="C93" s="217"/>
      <c r="D93" s="217">
        <f t="shared" si="5"/>
        <v>106.13365836342327</v>
      </c>
      <c r="E93" s="232">
        <f>'10K'!$E93*(1-$K$2)+H.Marathon!$E93*$K$2</f>
        <v>0.44472225614213345</v>
      </c>
      <c r="F93" s="312"/>
      <c r="G93" s="210">
        <v>87</v>
      </c>
      <c r="H93" s="325" t="s">
        <v>2077</v>
      </c>
      <c r="I93" s="253">
        <v>7969</v>
      </c>
      <c r="J93" s="210" t="s">
        <v>636</v>
      </c>
      <c r="K93" s="210" t="s">
        <v>637</v>
      </c>
      <c r="L93" s="256" t="s">
        <v>217</v>
      </c>
      <c r="M93" s="251">
        <v>6357</v>
      </c>
      <c r="N93" s="253" t="s">
        <v>1952</v>
      </c>
      <c r="O93" s="256" t="s">
        <v>483</v>
      </c>
      <c r="P93" s="353">
        <v>38081</v>
      </c>
      <c r="Q93" s="253"/>
    </row>
    <row r="94" spans="1:17">
      <c r="A94" s="210">
        <v>88</v>
      </c>
      <c r="B94" s="234">
        <v>8.1689814814814812E-2</v>
      </c>
      <c r="C94" s="217"/>
      <c r="D94" s="217">
        <f t="shared" si="5"/>
        <v>111.12454639839902</v>
      </c>
      <c r="E94" s="232">
        <f>'10K'!$E94*(1-$K$2)+H.Marathon!$E94*$K$2</f>
        <v>0.42474864041991733</v>
      </c>
      <c r="F94" s="312"/>
      <c r="G94" s="210">
        <v>88</v>
      </c>
      <c r="H94" s="325" t="s">
        <v>2078</v>
      </c>
      <c r="I94" s="253">
        <v>7058</v>
      </c>
      <c r="J94" s="256" t="s">
        <v>636</v>
      </c>
      <c r="K94" s="256" t="s">
        <v>2079</v>
      </c>
      <c r="L94" s="256" t="s">
        <v>217</v>
      </c>
      <c r="M94" s="251">
        <v>6357</v>
      </c>
      <c r="N94" s="253" t="s">
        <v>1952</v>
      </c>
      <c r="O94" s="256" t="s">
        <v>483</v>
      </c>
      <c r="P94" s="350">
        <v>38445</v>
      </c>
      <c r="Q94" s="253"/>
    </row>
    <row r="95" spans="1:17">
      <c r="A95" s="210">
        <v>89</v>
      </c>
      <c r="B95" s="234"/>
      <c r="C95" s="217"/>
      <c r="D95" s="217">
        <f t="shared" si="5"/>
        <v>116.82047540671667</v>
      </c>
      <c r="E95" s="232">
        <f>'10K'!$E95*(1-$K$2)+H.Marathon!$E95*$K$2</f>
        <v>0.40403875977794734</v>
      </c>
      <c r="F95" s="312"/>
      <c r="G95" s="210">
        <v>89</v>
      </c>
      <c r="H95" s="325"/>
      <c r="I95" s="253"/>
      <c r="J95" s="256"/>
      <c r="K95" s="256"/>
      <c r="L95" s="256"/>
      <c r="M95" s="251"/>
      <c r="N95" s="253"/>
      <c r="O95" s="256"/>
      <c r="P95" s="350"/>
      <c r="Q95" s="253"/>
    </row>
    <row r="96" spans="1:17">
      <c r="A96" s="210">
        <v>90</v>
      </c>
      <c r="B96" s="234"/>
      <c r="C96" s="217"/>
      <c r="D96" s="217">
        <f t="shared" si="5"/>
        <v>123.38937678799888</v>
      </c>
      <c r="E96" s="232">
        <f>'10K'!$E96*(1-$K$2)+H.Marathon!$E96*$K$2</f>
        <v>0.38252887913597744</v>
      </c>
      <c r="F96" s="312"/>
      <c r="G96" s="210">
        <v>90</v>
      </c>
      <c r="H96" s="325"/>
      <c r="I96" s="253"/>
      <c r="J96" s="256"/>
      <c r="K96" s="256"/>
      <c r="L96" s="256"/>
      <c r="M96" s="251"/>
      <c r="N96" s="253"/>
      <c r="O96" s="256"/>
      <c r="P96" s="350"/>
      <c r="Q96" s="253"/>
    </row>
    <row r="97" spans="1:17" ht="15.75">
      <c r="A97" s="210">
        <v>91</v>
      </c>
      <c r="B97" s="234">
        <v>0.14523148148148149</v>
      </c>
      <c r="C97" s="217"/>
      <c r="D97" s="217">
        <f t="shared" si="5"/>
        <v>131.04139405604155</v>
      </c>
      <c r="E97" s="232">
        <f>'10K'!$E97*(1-$K$2)+H.Marathon!$E97*$K$2</f>
        <v>0.36019152833351509</v>
      </c>
      <c r="F97" s="312"/>
      <c r="G97" s="210">
        <v>91</v>
      </c>
      <c r="H97" s="325" t="s">
        <v>2080</v>
      </c>
      <c r="I97" s="237">
        <v>13148</v>
      </c>
      <c r="J97" s="210" t="s">
        <v>639</v>
      </c>
      <c r="K97" s="210" t="s">
        <v>640</v>
      </c>
      <c r="L97" s="256" t="s">
        <v>217</v>
      </c>
      <c r="M97" s="238">
        <v>535</v>
      </c>
      <c r="N97" s="253" t="s">
        <v>1952</v>
      </c>
      <c r="O97" s="256" t="s">
        <v>483</v>
      </c>
      <c r="P97" s="364">
        <v>33699</v>
      </c>
      <c r="Q97" s="237"/>
    </row>
    <row r="98" spans="1:17">
      <c r="A98" s="210">
        <v>92</v>
      </c>
      <c r="B98" s="234"/>
      <c r="C98" s="217"/>
      <c r="D98" s="217">
        <f t="shared" si="5"/>
        <v>140.01035908887516</v>
      </c>
      <c r="E98" s="232">
        <f>'10K'!$E98*(1-$K$2)+H.Marathon!$E98*$K$2</f>
        <v>0.33711791261129892</v>
      </c>
      <c r="F98" s="312"/>
      <c r="G98" s="210">
        <v>92</v>
      </c>
      <c r="H98" s="266"/>
      <c r="I98" s="210"/>
      <c r="J98" s="210"/>
      <c r="K98" s="210"/>
      <c r="L98" s="210"/>
      <c r="M98" s="210"/>
      <c r="N98" s="210"/>
      <c r="O98" s="210"/>
      <c r="P98" s="351"/>
      <c r="Q98" s="210"/>
    </row>
    <row r="99" spans="1:17">
      <c r="A99" s="210">
        <v>93</v>
      </c>
      <c r="B99" s="234"/>
      <c r="C99" s="217"/>
      <c r="D99" s="217">
        <f t="shared" si="5"/>
        <v>150.66367261177666</v>
      </c>
      <c r="E99" s="232">
        <f>'10K'!$E99*(1-$K$2)+H.Marathon!$E99*$K$2</f>
        <v>0.31328056180883651</v>
      </c>
      <c r="F99" s="312"/>
      <c r="G99" s="210">
        <v>93</v>
      </c>
      <c r="H99" s="266"/>
      <c r="I99" s="210"/>
      <c r="J99" s="210"/>
      <c r="K99" s="210"/>
      <c r="L99" s="210"/>
      <c r="M99" s="210"/>
      <c r="N99" s="210"/>
      <c r="O99" s="210"/>
      <c r="P99" s="351"/>
      <c r="Q99" s="210"/>
    </row>
    <row r="100" spans="1:17">
      <c r="A100" s="210">
        <v>94</v>
      </c>
      <c r="B100" s="234"/>
      <c r="C100" s="217"/>
      <c r="D100" s="217">
        <f t="shared" si="5"/>
        <v>163.52367975478796</v>
      </c>
      <c r="E100" s="232">
        <f>'10K'!$E100*(1-$K$2)+H.Marathon!$E100*$K$2</f>
        <v>0.28864321100637408</v>
      </c>
      <c r="F100" s="312"/>
      <c r="G100" s="210">
        <v>94</v>
      </c>
      <c r="H100" s="266"/>
      <c r="I100" s="210"/>
      <c r="J100" s="210"/>
      <c r="K100" s="210"/>
      <c r="L100" s="210"/>
      <c r="M100" s="210"/>
      <c r="N100" s="210"/>
      <c r="O100" s="210"/>
      <c r="P100" s="351"/>
      <c r="Q100" s="210"/>
    </row>
    <row r="101" spans="1:17">
      <c r="A101" s="210">
        <v>95</v>
      </c>
      <c r="B101" s="234"/>
      <c r="C101" s="217"/>
      <c r="D101" s="217">
        <f t="shared" si="5"/>
        <v>179.37074870782484</v>
      </c>
      <c r="E101" s="232">
        <f>'10K'!$E101*(1-$K$2)+H.Marathon!$E101*$K$2</f>
        <v>0.26314212512366547</v>
      </c>
      <c r="F101" s="312"/>
      <c r="G101" s="210">
        <v>95</v>
      </c>
      <c r="H101" s="266"/>
      <c r="I101" s="210"/>
      <c r="J101" s="210"/>
      <c r="K101" s="210"/>
      <c r="L101" s="210"/>
      <c r="M101" s="210"/>
      <c r="N101" s="210"/>
      <c r="O101" s="210"/>
      <c r="P101" s="210"/>
      <c r="Q101" s="210"/>
    </row>
    <row r="102" spans="1:17">
      <c r="A102" s="210">
        <v>96</v>
      </c>
      <c r="B102" s="210"/>
      <c r="C102" s="217"/>
      <c r="D102" s="217">
        <f t="shared" si="5"/>
        <v>199.20567644678908</v>
      </c>
      <c r="E102" s="232">
        <f>'10K'!$E102*(1-$K$2)+H.Marathon!$E102*$K$2</f>
        <v>0.23694103924095683</v>
      </c>
      <c r="F102" s="312"/>
      <c r="G102" s="210">
        <v>96</v>
      </c>
      <c r="H102" s="266"/>
      <c r="I102" s="210"/>
      <c r="J102" s="210"/>
      <c r="K102" s="210"/>
      <c r="L102" s="210"/>
      <c r="M102" s="210"/>
      <c r="N102" s="210"/>
      <c r="O102" s="210"/>
      <c r="P102" s="210"/>
      <c r="Q102" s="210"/>
    </row>
    <row r="103" spans="1:17">
      <c r="A103" s="210">
        <v>97</v>
      </c>
      <c r="B103" s="210" t="s">
        <v>63</v>
      </c>
      <c r="C103" s="217"/>
      <c r="D103" s="217">
        <f t="shared" si="5"/>
        <v>224.82619075110696</v>
      </c>
      <c r="E103" s="232">
        <f>'10K'!$E103*(1-$K$2)+H.Marathon!$E103*$K$2</f>
        <v>0.20993995335824817</v>
      </c>
      <c r="F103" s="312"/>
      <c r="G103" s="210">
        <v>97</v>
      </c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</row>
    <row r="104" spans="1:17">
      <c r="A104" s="210">
        <v>98</v>
      </c>
      <c r="B104" s="210" t="s">
        <v>63</v>
      </c>
      <c r="C104" s="217"/>
      <c r="D104" s="217">
        <f t="shared" si="5"/>
        <v>259.18202098216551</v>
      </c>
      <c r="E104" s="232">
        <f>'10K'!$E104*(1-$K$2)+H.Marathon!$E104*$K$2</f>
        <v>0.18211139731504705</v>
      </c>
      <c r="F104" s="210"/>
      <c r="G104" s="210">
        <v>98</v>
      </c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</row>
    <row r="105" spans="1:17">
      <c r="A105" s="210">
        <v>99</v>
      </c>
      <c r="B105" s="210" t="s">
        <v>63</v>
      </c>
      <c r="C105" s="217"/>
      <c r="D105" s="217">
        <f t="shared" si="5"/>
        <v>307.39858303168791</v>
      </c>
      <c r="E105" s="232">
        <f>'10K'!$E105*(1-$K$2)+H.Marathon!$E105*$K$2</f>
        <v>0.15354657635209215</v>
      </c>
      <c r="F105" s="210"/>
      <c r="G105" s="210">
        <v>99</v>
      </c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</row>
    <row r="106" spans="1:17">
      <c r="A106" s="210">
        <v>100</v>
      </c>
      <c r="B106" s="210"/>
      <c r="C106" s="210"/>
      <c r="D106" s="217">
        <f t="shared" si="5"/>
        <v>380.0880399225602</v>
      </c>
      <c r="E106" s="232">
        <f>'10K'!$E106*(1-$K$2)+H.Marathon!$E106*$K$2</f>
        <v>0.12418175538913725</v>
      </c>
      <c r="F106" s="210"/>
      <c r="G106" s="210">
        <v>100</v>
      </c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6"/>
  <sheetViews>
    <sheetView zoomScale="87" zoomScaleNormal="87" workbookViewId="0">
      <selection activeCell="C7" sqref="C7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1" width="18.109375" style="1" customWidth="1"/>
    <col min="12" max="12" width="9.6640625" style="1"/>
    <col min="13" max="13" width="10.109375" style="1" bestFit="1" customWidth="1"/>
    <col min="14" max="14" width="9.6640625" style="1"/>
    <col min="15" max="15" width="24.109375" style="1" customWidth="1"/>
    <col min="16" max="16" width="10.109375" style="1" bestFit="1" customWidth="1"/>
    <col min="17" max="16384" width="9.6640625" style="1"/>
  </cols>
  <sheetData>
    <row r="1" spans="1:35" ht="29.1" customHeight="1">
      <c r="A1" s="206" t="s">
        <v>69</v>
      </c>
      <c r="B1" s="207"/>
      <c r="C1" s="208"/>
      <c r="D1" s="209" t="s">
        <v>32</v>
      </c>
      <c r="E1" s="209" t="s">
        <v>54</v>
      </c>
      <c r="F1" s="209"/>
      <c r="G1" s="209"/>
      <c r="H1" s="209"/>
      <c r="I1" s="209"/>
      <c r="J1" s="210"/>
      <c r="K1" s="210" t="s">
        <v>2357</v>
      </c>
      <c r="L1" s="210"/>
      <c r="M1" s="210"/>
      <c r="N1" s="210"/>
      <c r="O1" s="210"/>
      <c r="P1" s="210"/>
      <c r="Q1" s="210"/>
    </row>
    <row r="2" spans="1:35" ht="15.95" customHeight="1">
      <c r="A2" s="206"/>
      <c r="B2" s="207"/>
      <c r="C2" s="208"/>
      <c r="D2" s="209"/>
      <c r="E2" s="209"/>
      <c r="F2" s="205"/>
      <c r="G2" s="431"/>
      <c r="H2" s="211"/>
      <c r="I2" s="211"/>
      <c r="J2" s="210"/>
      <c r="K2" s="215">
        <f>Parameters!M26</f>
        <v>0.92844299215419079</v>
      </c>
      <c r="L2" s="210"/>
      <c r="M2" s="210"/>
      <c r="N2" s="210"/>
      <c r="O2" s="210"/>
      <c r="P2" s="210"/>
      <c r="Q2" s="210"/>
    </row>
    <row r="3" spans="1:35" ht="15.95" customHeight="1">
      <c r="A3" s="206"/>
      <c r="B3" s="207"/>
      <c r="C3" s="208"/>
      <c r="D3" s="209"/>
      <c r="E3" s="209"/>
      <c r="F3" s="205"/>
      <c r="G3" s="431"/>
      <c r="H3" s="212"/>
      <c r="I3" s="213"/>
      <c r="J3" s="210"/>
      <c r="K3" s="210"/>
      <c r="L3" s="210"/>
      <c r="M3" s="210"/>
      <c r="N3" s="210"/>
      <c r="O3" s="210"/>
      <c r="P3" s="210"/>
      <c r="Q3" s="210"/>
    </row>
    <row r="4" spans="1:35" ht="15.75">
      <c r="A4" s="207"/>
      <c r="B4" s="207"/>
      <c r="C4" s="207"/>
      <c r="D4" s="214">
        <f>Parameters!G26</f>
        <v>4.116898148148148E-2</v>
      </c>
      <c r="E4" s="215">
        <f>D4*1440</f>
        <v>59.283333333333331</v>
      </c>
      <c r="F4" s="216"/>
      <c r="G4" s="205"/>
      <c r="H4" s="212"/>
      <c r="I4" s="213"/>
      <c r="J4" s="210"/>
      <c r="K4" s="210"/>
      <c r="L4" s="210"/>
      <c r="M4" s="210"/>
      <c r="N4" s="210"/>
      <c r="O4" s="210"/>
      <c r="P4" s="210"/>
      <c r="Q4" s="210"/>
    </row>
    <row r="5" spans="1:35" ht="15.75">
      <c r="A5" s="207"/>
      <c r="B5" s="207"/>
      <c r="C5" s="207"/>
      <c r="D5" s="214"/>
      <c r="E5" s="207">
        <f>E4*60</f>
        <v>3557</v>
      </c>
      <c r="F5" s="216"/>
      <c r="G5" s="205"/>
      <c r="H5" s="212"/>
      <c r="I5" s="213"/>
      <c r="J5" s="210"/>
      <c r="K5" s="210">
        <v>62.1</v>
      </c>
      <c r="L5" s="210"/>
      <c r="M5" s="210"/>
      <c r="N5" s="210"/>
      <c r="O5" s="210"/>
      <c r="P5" s="210"/>
      <c r="Q5" s="210"/>
    </row>
    <row r="6" spans="1:35" ht="63">
      <c r="A6" s="218" t="s">
        <v>52</v>
      </c>
      <c r="B6" s="218" t="s">
        <v>2082</v>
      </c>
      <c r="C6" s="218" t="s">
        <v>2081</v>
      </c>
      <c r="D6" s="218" t="s">
        <v>2083</v>
      </c>
      <c r="E6" s="218" t="s">
        <v>2355</v>
      </c>
      <c r="F6" s="208" t="s">
        <v>130</v>
      </c>
      <c r="G6" s="218" t="s">
        <v>52</v>
      </c>
      <c r="H6" s="331" t="s">
        <v>709</v>
      </c>
      <c r="I6" s="332" t="s">
        <v>1154</v>
      </c>
      <c r="J6" s="333" t="s">
        <v>403</v>
      </c>
      <c r="K6" s="333" t="s">
        <v>404</v>
      </c>
      <c r="L6" s="334" t="s">
        <v>405</v>
      </c>
      <c r="M6" s="335" t="s">
        <v>406</v>
      </c>
      <c r="N6" s="336" t="s">
        <v>407</v>
      </c>
      <c r="O6" s="334" t="s">
        <v>408</v>
      </c>
      <c r="P6" s="335" t="s">
        <v>409</v>
      </c>
      <c r="Q6" s="337" t="s">
        <v>1150</v>
      </c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</row>
    <row r="7" spans="1:35">
      <c r="A7" s="210">
        <v>1</v>
      </c>
      <c r="B7" s="338"/>
      <c r="C7" s="210"/>
      <c r="D7" s="210"/>
      <c r="E7" s="210"/>
      <c r="F7" s="210"/>
      <c r="G7" s="210">
        <v>1</v>
      </c>
      <c r="H7" s="210"/>
      <c r="I7" s="210"/>
      <c r="J7" s="210"/>
      <c r="K7" s="210"/>
      <c r="L7" s="210"/>
      <c r="M7" s="210"/>
      <c r="N7" s="210"/>
      <c r="O7" s="210"/>
      <c r="P7" s="210"/>
      <c r="Q7" s="210"/>
    </row>
    <row r="8" spans="1:35">
      <c r="A8" s="210">
        <v>2</v>
      </c>
      <c r="B8" s="338"/>
      <c r="C8" s="210"/>
      <c r="D8" s="210"/>
      <c r="E8" s="210"/>
      <c r="F8" s="210"/>
      <c r="G8" s="210">
        <v>2</v>
      </c>
      <c r="H8" s="210"/>
      <c r="I8" s="210"/>
      <c r="J8" s="210"/>
      <c r="K8" s="210"/>
      <c r="L8" s="210"/>
      <c r="M8" s="210"/>
      <c r="N8" s="210"/>
      <c r="O8" s="210"/>
      <c r="P8" s="210"/>
      <c r="Q8" s="210"/>
    </row>
    <row r="9" spans="1:35">
      <c r="A9" s="210">
        <v>3</v>
      </c>
      <c r="B9" s="338"/>
      <c r="C9" s="217"/>
      <c r="D9" s="217"/>
      <c r="E9" s="232">
        <f>'10K'!$E9*(1-$K$2)+H.Marathon!$E9*$K$2</f>
        <v>0.52953297500533825</v>
      </c>
      <c r="F9" s="210"/>
      <c r="G9" s="210">
        <v>3</v>
      </c>
      <c r="H9" s="210"/>
      <c r="I9" s="210"/>
      <c r="J9" s="210"/>
      <c r="K9" s="210"/>
      <c r="L9" s="210"/>
      <c r="M9" s="210"/>
      <c r="N9" s="210"/>
      <c r="O9" s="210"/>
      <c r="P9" s="210"/>
      <c r="Q9" s="311"/>
    </row>
    <row r="10" spans="1:35">
      <c r="A10" s="210">
        <v>4</v>
      </c>
      <c r="B10" s="339"/>
      <c r="C10" s="217"/>
      <c r="D10" s="217"/>
      <c r="E10" s="232">
        <f>'10K'!$E10*(1-$K$2)+H.Marathon!$E10*$K$2</f>
        <v>0.57256069875355586</v>
      </c>
      <c r="F10" s="312"/>
      <c r="G10" s="210">
        <v>4</v>
      </c>
      <c r="H10" s="313"/>
      <c r="I10" s="210"/>
      <c r="J10" s="210"/>
      <c r="K10" s="210"/>
      <c r="L10" s="210"/>
      <c r="M10" s="210"/>
      <c r="N10" s="210"/>
      <c r="O10" s="210"/>
      <c r="P10" s="210"/>
      <c r="Q10" s="311"/>
    </row>
    <row r="11" spans="1:35">
      <c r="A11" s="210">
        <v>5</v>
      </c>
      <c r="B11" s="339"/>
      <c r="C11" s="217"/>
      <c r="D11" s="217">
        <f t="shared" ref="D11:D42" si="0">E$4/E11</f>
        <v>96.629792506827272</v>
      </c>
      <c r="E11" s="232">
        <f>'10K'!$E11*(1-$K$2)+H.Marathon!$E11*$K$2</f>
        <v>0.61350988960412733</v>
      </c>
      <c r="F11" s="312"/>
      <c r="G11" s="210">
        <v>5</v>
      </c>
      <c r="H11" s="313"/>
      <c r="I11" s="210"/>
      <c r="J11" s="210"/>
      <c r="K11" s="210"/>
      <c r="L11" s="210"/>
      <c r="M11" s="210"/>
      <c r="N11" s="210"/>
      <c r="O11" s="210"/>
      <c r="P11" s="210"/>
      <c r="Q11" s="311"/>
    </row>
    <row r="12" spans="1:35">
      <c r="A12" s="210">
        <v>6</v>
      </c>
      <c r="B12" s="339"/>
      <c r="C12" s="217"/>
      <c r="D12" s="217">
        <f t="shared" si="0"/>
        <v>90.859388403064159</v>
      </c>
      <c r="E12" s="232">
        <f>'10K'!$E12*(1-$K$2)+H.Marathon!$E12*$K$2</f>
        <v>0.65247339185626796</v>
      </c>
      <c r="F12" s="312"/>
      <c r="G12" s="210">
        <v>6</v>
      </c>
      <c r="H12" s="313"/>
      <c r="I12" s="210"/>
      <c r="J12" s="210"/>
      <c r="K12" s="210"/>
      <c r="L12" s="210"/>
      <c r="M12" s="210"/>
      <c r="N12" s="210"/>
      <c r="O12" s="210"/>
      <c r="P12" s="210"/>
      <c r="Q12" s="311"/>
    </row>
    <row r="13" spans="1:35">
      <c r="A13" s="210">
        <v>7</v>
      </c>
      <c r="B13" s="340">
        <v>7.9178240740740743E-2</v>
      </c>
      <c r="C13" s="217">
        <f>B13*1440</f>
        <v>114.01666666666667</v>
      </c>
      <c r="D13" s="217">
        <f t="shared" si="0"/>
        <v>85.99784476278839</v>
      </c>
      <c r="E13" s="232">
        <f>'10K'!$E13*(1-$K$2)+H.Marathon!$E13*$K$2</f>
        <v>0.68935836121076222</v>
      </c>
      <c r="F13" s="312">
        <f t="shared" ref="F13:F44" si="1">100*(D13/C13)</f>
        <v>75.425678786249136</v>
      </c>
      <c r="G13" s="210">
        <v>7</v>
      </c>
      <c r="H13" s="325" t="s">
        <v>1288</v>
      </c>
      <c r="I13" s="332">
        <v>6841</v>
      </c>
      <c r="J13" s="333" t="s">
        <v>1151</v>
      </c>
      <c r="K13" s="333" t="s">
        <v>1152</v>
      </c>
      <c r="L13" s="333" t="s">
        <v>217</v>
      </c>
      <c r="M13" s="335">
        <v>39841</v>
      </c>
      <c r="N13" s="337"/>
      <c r="O13" s="333" t="s">
        <v>1289</v>
      </c>
      <c r="P13" s="335">
        <v>42749</v>
      </c>
      <c r="Q13" s="337"/>
    </row>
    <row r="14" spans="1:35">
      <c r="A14" s="210">
        <v>8</v>
      </c>
      <c r="B14" s="340"/>
      <c r="C14" s="217"/>
      <c r="D14" s="217">
        <f t="shared" si="0"/>
        <v>81.854737356098383</v>
      </c>
      <c r="E14" s="232">
        <f>'10K'!$E14*(1-$K$2)+H.Marathon!$E14*$K$2</f>
        <v>0.72425048626604105</v>
      </c>
      <c r="F14" s="312"/>
      <c r="G14" s="210">
        <v>8</v>
      </c>
      <c r="H14" s="341"/>
      <c r="I14" s="210"/>
      <c r="J14" s="210"/>
      <c r="K14" s="210"/>
      <c r="L14" s="210"/>
      <c r="M14" s="210"/>
      <c r="N14" s="210"/>
      <c r="O14" s="210"/>
      <c r="P14" s="210"/>
      <c r="Q14" s="311"/>
    </row>
    <row r="15" spans="1:35">
      <c r="A15" s="210">
        <v>9</v>
      </c>
      <c r="B15" s="340"/>
      <c r="C15" s="217"/>
      <c r="D15" s="217">
        <f t="shared" si="0"/>
        <v>78.297287595467665</v>
      </c>
      <c r="E15" s="232">
        <f>'10K'!$E15*(1-$K$2)+H.Marathon!$E15*$K$2</f>
        <v>0.75715692272288904</v>
      </c>
      <c r="F15" s="312"/>
      <c r="G15" s="210">
        <v>9</v>
      </c>
      <c r="H15" s="341"/>
      <c r="I15" s="210"/>
      <c r="J15" s="210"/>
      <c r="K15" s="210"/>
      <c r="L15" s="210"/>
      <c r="M15" s="210"/>
      <c r="N15" s="210"/>
      <c r="O15" s="210"/>
      <c r="P15" s="210"/>
      <c r="Q15" s="311"/>
    </row>
    <row r="16" spans="1:35">
      <c r="A16" s="210">
        <v>10</v>
      </c>
      <c r="B16" s="340"/>
      <c r="C16" s="217"/>
      <c r="D16" s="217">
        <f t="shared" si="0"/>
        <v>75.233422025633843</v>
      </c>
      <c r="E16" s="232">
        <f>'10K'!$E16*(1-$K$2)+H.Marathon!$E16*$K$2</f>
        <v>0.78799198198287546</v>
      </c>
      <c r="F16" s="312"/>
      <c r="G16" s="210">
        <v>10</v>
      </c>
      <c r="H16" s="341"/>
      <c r="I16" s="210"/>
      <c r="J16" s="210"/>
      <c r="K16" s="210"/>
      <c r="L16" s="210"/>
      <c r="M16" s="210"/>
      <c r="N16" s="210"/>
      <c r="O16" s="210"/>
      <c r="P16" s="210"/>
      <c r="Q16" s="311"/>
    </row>
    <row r="17" spans="1:17">
      <c r="A17" s="210">
        <v>11</v>
      </c>
      <c r="B17" s="340"/>
      <c r="C17" s="217"/>
      <c r="D17" s="217">
        <f t="shared" si="0"/>
        <v>72.577584164120495</v>
      </c>
      <c r="E17" s="232">
        <f>'10K'!$E17*(1-$K$2)+H.Marathon!$E17*$K$2</f>
        <v>0.81682704124286187</v>
      </c>
      <c r="F17" s="312"/>
      <c r="G17" s="210">
        <v>11</v>
      </c>
      <c r="H17" s="341"/>
      <c r="I17" s="210"/>
      <c r="J17" s="210"/>
      <c r="K17" s="210"/>
      <c r="L17" s="210"/>
      <c r="M17" s="210"/>
      <c r="N17" s="210"/>
      <c r="O17" s="210"/>
      <c r="P17" s="210"/>
      <c r="Q17" s="311"/>
    </row>
    <row r="18" spans="1:17">
      <c r="A18" s="210">
        <v>12</v>
      </c>
      <c r="B18" s="340"/>
      <c r="C18" s="217"/>
      <c r="D18" s="217">
        <f t="shared" si="0"/>
        <v>70.274994372869756</v>
      </c>
      <c r="E18" s="232">
        <f>'10K'!$E18*(1-$K$2)+H.Marathon!$E18*$K$2</f>
        <v>0.84359072330598661</v>
      </c>
      <c r="F18" s="312"/>
      <c r="G18" s="210">
        <v>12</v>
      </c>
      <c r="H18" s="341"/>
      <c r="I18" s="210"/>
      <c r="J18" s="210"/>
      <c r="K18" s="210"/>
      <c r="L18" s="210"/>
      <c r="M18" s="210"/>
      <c r="N18" s="210"/>
      <c r="O18" s="210"/>
      <c r="P18" s="210"/>
      <c r="Q18" s="311"/>
    </row>
    <row r="19" spans="1:17">
      <c r="A19" s="210">
        <v>13</v>
      </c>
      <c r="B19" s="340">
        <v>5.8703703703703702E-2</v>
      </c>
      <c r="C19" s="217">
        <f t="shared" ref="C19:C77" si="2">B19*1440</f>
        <v>84.533333333333331</v>
      </c>
      <c r="D19" s="217">
        <f t="shared" si="0"/>
        <v>68.269770880045328</v>
      </c>
      <c r="E19" s="232">
        <f>'10K'!$E19*(1-$K$2)+H.Marathon!$E19*$K$2</f>
        <v>0.86836871677068039</v>
      </c>
      <c r="F19" s="312">
        <f t="shared" si="1"/>
        <v>80.760769968507887</v>
      </c>
      <c r="G19" s="210">
        <v>13</v>
      </c>
      <c r="H19" s="325" t="s">
        <v>1290</v>
      </c>
      <c r="I19" s="253">
        <v>5072</v>
      </c>
      <c r="J19" s="248" t="s">
        <v>1291</v>
      </c>
      <c r="K19" s="248" t="s">
        <v>1292</v>
      </c>
      <c r="L19" s="248" t="s">
        <v>217</v>
      </c>
      <c r="M19" s="257">
        <v>24858</v>
      </c>
      <c r="N19" s="249"/>
      <c r="O19" s="248" t="s">
        <v>1293</v>
      </c>
      <c r="P19" s="257">
        <v>29940</v>
      </c>
      <c r="Q19" s="249"/>
    </row>
    <row r="20" spans="1:17">
      <c r="A20" s="210">
        <v>14</v>
      </c>
      <c r="B20" s="340">
        <v>6.3310185185185192E-2</v>
      </c>
      <c r="C20" s="217">
        <f t="shared" si="2"/>
        <v>91.166666666666671</v>
      </c>
      <c r="D20" s="217">
        <f t="shared" si="0"/>
        <v>66.524239639645259</v>
      </c>
      <c r="E20" s="232">
        <f>'10K'!$E20*(1-$K$2)+H.Marathon!$E20*$K$2</f>
        <v>0.89115386593615886</v>
      </c>
      <c r="F20" s="312">
        <f t="shared" si="1"/>
        <v>72.969915509665725</v>
      </c>
      <c r="G20" s="210">
        <v>14</v>
      </c>
      <c r="H20" s="325" t="s">
        <v>1294</v>
      </c>
      <c r="I20" s="253">
        <v>5470</v>
      </c>
      <c r="J20" s="248" t="s">
        <v>281</v>
      </c>
      <c r="K20" s="248" t="s">
        <v>1295</v>
      </c>
      <c r="L20" s="248" t="s">
        <v>217</v>
      </c>
      <c r="M20" s="257">
        <v>23260</v>
      </c>
      <c r="N20" s="249"/>
      <c r="O20" s="248" t="s">
        <v>1296</v>
      </c>
      <c r="P20" s="257">
        <v>28687</v>
      </c>
      <c r="Q20" s="249"/>
    </row>
    <row r="21" spans="1:17">
      <c r="A21" s="210">
        <v>15</v>
      </c>
      <c r="B21" s="340">
        <v>6.0763888888888888E-2</v>
      </c>
      <c r="C21" s="217">
        <f t="shared" si="2"/>
        <v>87.5</v>
      </c>
      <c r="D21" s="217">
        <f t="shared" si="0"/>
        <v>65.013600753970536</v>
      </c>
      <c r="E21" s="232">
        <f>'10K'!$E21*(1-$K$2)+H.Marathon!$E21*$K$2</f>
        <v>0.91186048220399107</v>
      </c>
      <c r="F21" s="312">
        <f t="shared" si="1"/>
        <v>74.301258004537758</v>
      </c>
      <c r="G21" s="210">
        <v>15</v>
      </c>
      <c r="H21" s="325" t="s">
        <v>1297</v>
      </c>
      <c r="I21" s="253">
        <v>5250</v>
      </c>
      <c r="J21" s="248" t="s">
        <v>1298</v>
      </c>
      <c r="K21" s="248" t="s">
        <v>1299</v>
      </c>
      <c r="L21" s="248" t="s">
        <v>217</v>
      </c>
      <c r="M21" s="257">
        <v>22980</v>
      </c>
      <c r="N21" s="249" t="s">
        <v>1300</v>
      </c>
      <c r="O21" s="248" t="s">
        <v>1301</v>
      </c>
      <c r="P21" s="257">
        <v>28658</v>
      </c>
      <c r="Q21" s="249"/>
    </row>
    <row r="22" spans="1:17">
      <c r="A22" s="210">
        <v>16</v>
      </c>
      <c r="B22" s="340">
        <v>5.2789351851851851E-2</v>
      </c>
      <c r="C22" s="217">
        <f t="shared" si="2"/>
        <v>76.016666666666666</v>
      </c>
      <c r="D22" s="217">
        <f t="shared" si="0"/>
        <v>63.637797059974297</v>
      </c>
      <c r="E22" s="232">
        <f>'10K'!$E22*(1-$K$2)+H.Marathon!$E22*$K$2</f>
        <v>0.93157425417260786</v>
      </c>
      <c r="F22" s="312">
        <f t="shared" si="1"/>
        <v>83.715584819084796</v>
      </c>
      <c r="G22" s="210">
        <v>16</v>
      </c>
      <c r="H22" s="325" t="s">
        <v>1302</v>
      </c>
      <c r="I22" s="253">
        <v>4561</v>
      </c>
      <c r="J22" s="248" t="s">
        <v>1303</v>
      </c>
      <c r="K22" s="248" t="s">
        <v>1304</v>
      </c>
      <c r="L22" s="248" t="s">
        <v>240</v>
      </c>
      <c r="M22" s="257">
        <v>23751</v>
      </c>
      <c r="N22" s="249"/>
      <c r="O22" s="248" t="s">
        <v>730</v>
      </c>
      <c r="P22" s="257">
        <v>29877</v>
      </c>
      <c r="Q22" s="249"/>
    </row>
    <row r="23" spans="1:17">
      <c r="A23" s="210">
        <v>17</v>
      </c>
      <c r="B23" s="340">
        <v>4.8391203703703707E-2</v>
      </c>
      <c r="C23" s="217">
        <f t="shared" si="2"/>
        <v>69.683333333333337</v>
      </c>
      <c r="D23" s="217">
        <f t="shared" si="0"/>
        <v>62.319015591742939</v>
      </c>
      <c r="E23" s="232">
        <f>'10K'!$E23*(1-$K$2)+H.Marathon!$E23*$K$2</f>
        <v>0.95128802614122443</v>
      </c>
      <c r="F23" s="312">
        <f t="shared" si="1"/>
        <v>89.431737275880792</v>
      </c>
      <c r="G23" s="210">
        <v>17</v>
      </c>
      <c r="H23" s="325" t="s">
        <v>1305</v>
      </c>
      <c r="I23" s="253">
        <v>4181</v>
      </c>
      <c r="J23" s="248" t="s">
        <v>1306</v>
      </c>
      <c r="K23" s="248" t="s">
        <v>1307</v>
      </c>
      <c r="L23" s="248" t="s">
        <v>248</v>
      </c>
      <c r="M23" s="257">
        <v>32267</v>
      </c>
      <c r="N23" s="249"/>
      <c r="O23" s="248" t="s">
        <v>1308</v>
      </c>
      <c r="P23" s="257">
        <v>38838</v>
      </c>
      <c r="Q23" s="249"/>
    </row>
    <row r="24" spans="1:17">
      <c r="A24" s="210">
        <v>18</v>
      </c>
      <c r="B24" s="340">
        <v>4.6192129629629632E-2</v>
      </c>
      <c r="C24" s="217">
        <f t="shared" si="2"/>
        <v>66.516666666666666</v>
      </c>
      <c r="D24" s="217">
        <f t="shared" si="0"/>
        <v>61.179797033372751</v>
      </c>
      <c r="E24" s="232">
        <f>'10K'!$E24*(1-$K$2)+H.Marathon!$E24*$K$2</f>
        <v>0.96900179810984133</v>
      </c>
      <c r="F24" s="312">
        <f t="shared" si="1"/>
        <v>91.976642996801928</v>
      </c>
      <c r="G24" s="210">
        <v>18</v>
      </c>
      <c r="H24" s="325" t="s">
        <v>1309</v>
      </c>
      <c r="I24" s="253">
        <v>3991</v>
      </c>
      <c r="J24" s="248" t="s">
        <v>1310</v>
      </c>
      <c r="K24" s="248" t="s">
        <v>1311</v>
      </c>
      <c r="L24" s="248" t="s">
        <v>240</v>
      </c>
      <c r="M24" s="257">
        <v>29647</v>
      </c>
      <c r="N24" s="249"/>
      <c r="O24" s="248" t="s">
        <v>730</v>
      </c>
      <c r="P24" s="257">
        <v>36478</v>
      </c>
      <c r="Q24" s="249"/>
    </row>
    <row r="25" spans="1:17">
      <c r="A25" s="210">
        <v>19</v>
      </c>
      <c r="B25" s="340">
        <v>4.611111111111111E-2</v>
      </c>
      <c r="C25" s="217">
        <f t="shared" si="2"/>
        <v>66.399999999999991</v>
      </c>
      <c r="D25" s="217">
        <f t="shared" si="0"/>
        <v>60.326034448197724</v>
      </c>
      <c r="E25" s="232">
        <f>'10K'!$E25*(1-$K$2)+H.Marathon!$E25*$K$2</f>
        <v>0.98271557007845811</v>
      </c>
      <c r="F25" s="312">
        <f t="shared" si="1"/>
        <v>90.852461518370077</v>
      </c>
      <c r="G25" s="210">
        <v>19</v>
      </c>
      <c r="H25" s="325" t="s">
        <v>1312</v>
      </c>
      <c r="I25" s="253">
        <v>3984</v>
      </c>
      <c r="J25" s="248" t="s">
        <v>1313</v>
      </c>
      <c r="K25" s="248" t="s">
        <v>1314</v>
      </c>
      <c r="L25" s="248" t="s">
        <v>248</v>
      </c>
      <c r="M25" s="257">
        <v>35364</v>
      </c>
      <c r="N25" s="249"/>
      <c r="O25" s="248" t="s">
        <v>775</v>
      </c>
      <c r="P25" s="257">
        <v>42652</v>
      </c>
      <c r="Q25" s="249"/>
    </row>
    <row r="26" spans="1:17">
      <c r="A26" s="210">
        <v>20</v>
      </c>
      <c r="B26" s="340">
        <v>4.5555555555555557E-2</v>
      </c>
      <c r="C26" s="217">
        <f t="shared" si="2"/>
        <v>65.600000000000009</v>
      </c>
      <c r="D26" s="217">
        <f t="shared" si="0"/>
        <v>59.735570908302797</v>
      </c>
      <c r="E26" s="232">
        <f>'10K'!$E26*(1-$K$2)+H.Marathon!$E26*$K$2</f>
        <v>0.99242934204707489</v>
      </c>
      <c r="F26" s="312">
        <f t="shared" si="1"/>
        <v>91.060321506559134</v>
      </c>
      <c r="G26" s="210">
        <v>20</v>
      </c>
      <c r="H26" s="325" t="s">
        <v>1315</v>
      </c>
      <c r="I26" s="253">
        <v>3936</v>
      </c>
      <c r="J26" s="248" t="s">
        <v>1316</v>
      </c>
      <c r="K26" s="248" t="s">
        <v>1317</v>
      </c>
      <c r="L26" s="248" t="s">
        <v>240</v>
      </c>
      <c r="M26" s="257">
        <v>31503</v>
      </c>
      <c r="N26" s="249"/>
      <c r="O26" s="248" t="s">
        <v>1318</v>
      </c>
      <c r="P26" s="257">
        <v>38998</v>
      </c>
      <c r="Q26" s="249"/>
    </row>
    <row r="27" spans="1:17">
      <c r="A27" s="210">
        <v>21</v>
      </c>
      <c r="B27" s="340">
        <v>4.4895833333333336E-2</v>
      </c>
      <c r="C27" s="217">
        <f t="shared" si="2"/>
        <v>64.650000000000006</v>
      </c>
      <c r="D27" s="217">
        <f t="shared" si="0"/>
        <v>59.39362051482464</v>
      </c>
      <c r="E27" s="232">
        <f>'10K'!$E27*(1-$K$2)+H.Marathon!$E27*$K$2</f>
        <v>0.99814311401569167</v>
      </c>
      <c r="F27" s="312">
        <f t="shared" si="1"/>
        <v>91.869482621538495</v>
      </c>
      <c r="G27" s="210">
        <v>21</v>
      </c>
      <c r="H27" s="325" t="s">
        <v>1319</v>
      </c>
      <c r="I27" s="253">
        <v>3879</v>
      </c>
      <c r="J27" s="248" t="s">
        <v>1320</v>
      </c>
      <c r="K27" s="248" t="s">
        <v>1321</v>
      </c>
      <c r="L27" s="248" t="s">
        <v>248</v>
      </c>
      <c r="M27" s="257">
        <v>34830</v>
      </c>
      <c r="N27" s="249"/>
      <c r="O27" s="248" t="s">
        <v>739</v>
      </c>
      <c r="P27" s="257">
        <v>42631</v>
      </c>
      <c r="Q27" s="249"/>
    </row>
    <row r="28" spans="1:17">
      <c r="A28" s="210">
        <v>22</v>
      </c>
      <c r="B28" s="340">
        <v>4.4594907407407409E-2</v>
      </c>
      <c r="C28" s="217">
        <f t="shared" si="2"/>
        <v>64.216666666666669</v>
      </c>
      <c r="D28" s="217">
        <f t="shared" si="0"/>
        <v>59.283333333333331</v>
      </c>
      <c r="E28" s="232">
        <f>'10K'!$E28*(1-$K$2)+H.Marathon!$E28*$K$2</f>
        <v>1</v>
      </c>
      <c r="F28" s="312">
        <f t="shared" si="1"/>
        <v>92.317674539320009</v>
      </c>
      <c r="G28" s="210">
        <v>22</v>
      </c>
      <c r="H28" s="325" t="s">
        <v>1322</v>
      </c>
      <c r="I28" s="253">
        <v>3853</v>
      </c>
      <c r="J28" s="248" t="s">
        <v>520</v>
      </c>
      <c r="K28" s="248" t="s">
        <v>1323</v>
      </c>
      <c r="L28" s="248" t="s">
        <v>244</v>
      </c>
      <c r="M28" s="257">
        <v>34239</v>
      </c>
      <c r="N28" s="249"/>
      <c r="O28" s="248" t="s">
        <v>760</v>
      </c>
      <c r="P28" s="257">
        <v>42455</v>
      </c>
      <c r="Q28" s="249"/>
    </row>
    <row r="29" spans="1:17" ht="15.75">
      <c r="A29" s="210">
        <v>23</v>
      </c>
      <c r="B29" s="340">
        <v>4.2650462962962966E-2</v>
      </c>
      <c r="C29" s="217">
        <f t="shared" si="2"/>
        <v>61.416666666666671</v>
      </c>
      <c r="D29" s="217">
        <f t="shared" si="0"/>
        <v>59.283333333333331</v>
      </c>
      <c r="E29" s="232">
        <f>'10K'!$E29*(1-$K$2)+H.Marathon!$E29*$K$2</f>
        <v>1</v>
      </c>
      <c r="F29" s="312">
        <f t="shared" si="1"/>
        <v>96.526458616010842</v>
      </c>
      <c r="G29" s="210">
        <v>23</v>
      </c>
      <c r="H29" s="342" t="s">
        <v>1324</v>
      </c>
      <c r="I29" s="288">
        <v>3685</v>
      </c>
      <c r="J29" s="286" t="s">
        <v>1325</v>
      </c>
      <c r="K29" s="286" t="s">
        <v>1326</v>
      </c>
      <c r="L29" s="286" t="s">
        <v>244</v>
      </c>
      <c r="M29" s="244">
        <v>34311</v>
      </c>
      <c r="N29" s="287"/>
      <c r="O29" s="286" t="s">
        <v>1327</v>
      </c>
      <c r="P29" s="324">
        <v>42826</v>
      </c>
      <c r="Q29" s="343" t="s">
        <v>1328</v>
      </c>
    </row>
    <row r="30" spans="1:17">
      <c r="A30" s="210">
        <v>24</v>
      </c>
      <c r="B30" s="340">
        <v>4.5509259259259256E-2</v>
      </c>
      <c r="C30" s="217">
        <f t="shared" si="2"/>
        <v>65.533333333333331</v>
      </c>
      <c r="D30" s="217">
        <f t="shared" si="0"/>
        <v>59.283333333333331</v>
      </c>
      <c r="E30" s="232">
        <f>'10K'!$E30*(1-$K$2)+H.Marathon!$E30*$K$2</f>
        <v>1</v>
      </c>
      <c r="F30" s="312">
        <f t="shared" si="1"/>
        <v>90.462868769074262</v>
      </c>
      <c r="G30" s="210">
        <v>24</v>
      </c>
      <c r="H30" s="325" t="s">
        <v>1329</v>
      </c>
      <c r="I30" s="253">
        <v>3932</v>
      </c>
      <c r="J30" s="248" t="s">
        <v>1330</v>
      </c>
      <c r="K30" s="248" t="s">
        <v>1331</v>
      </c>
      <c r="L30" s="248" t="s">
        <v>240</v>
      </c>
      <c r="M30" s="257">
        <v>30035</v>
      </c>
      <c r="N30" s="249"/>
      <c r="O30" s="248" t="s">
        <v>1318</v>
      </c>
      <c r="P30" s="257">
        <v>38998</v>
      </c>
      <c r="Q30" s="249"/>
    </row>
    <row r="31" spans="1:17">
      <c r="A31" s="210">
        <v>25</v>
      </c>
      <c r="B31" s="340">
        <v>4.4293981481481483E-2</v>
      </c>
      <c r="C31" s="217">
        <f t="shared" si="2"/>
        <v>63.783333333333339</v>
      </c>
      <c r="D31" s="217">
        <f t="shared" si="0"/>
        <v>59.283333333333331</v>
      </c>
      <c r="E31" s="232">
        <f>'10K'!$E31*(1-$K$2)+H.Marathon!$E31*$K$2</f>
        <v>1</v>
      </c>
      <c r="F31" s="312">
        <f t="shared" si="1"/>
        <v>92.94486542984059</v>
      </c>
      <c r="G31" s="210">
        <v>25</v>
      </c>
      <c r="H31" s="325" t="s">
        <v>1332</v>
      </c>
      <c r="I31" s="253">
        <v>3827</v>
      </c>
      <c r="J31" s="248" t="s">
        <v>1168</v>
      </c>
      <c r="K31" s="248" t="s">
        <v>1169</v>
      </c>
      <c r="L31" s="248" t="s">
        <v>244</v>
      </c>
      <c r="M31" s="257">
        <v>29632</v>
      </c>
      <c r="N31" s="249"/>
      <c r="O31" s="248" t="s">
        <v>1318</v>
      </c>
      <c r="P31" s="257">
        <v>38998</v>
      </c>
      <c r="Q31" s="249"/>
    </row>
    <row r="32" spans="1:17">
      <c r="A32" s="210">
        <v>26</v>
      </c>
      <c r="B32" s="340">
        <v>4.4374999999999998E-2</v>
      </c>
      <c r="C32" s="217">
        <f t="shared" si="2"/>
        <v>63.9</v>
      </c>
      <c r="D32" s="217">
        <f t="shared" si="0"/>
        <v>59.283333333333331</v>
      </c>
      <c r="E32" s="232">
        <f>'10K'!$E32*(1-$K$2)+H.Marathon!$E32*$K$2</f>
        <v>1</v>
      </c>
      <c r="F32" s="312">
        <f t="shared" si="1"/>
        <v>92.775169535732914</v>
      </c>
      <c r="G32" s="210">
        <v>26</v>
      </c>
      <c r="H32" s="325" t="s">
        <v>1333</v>
      </c>
      <c r="I32" s="253">
        <v>3834</v>
      </c>
      <c r="J32" s="248" t="s">
        <v>265</v>
      </c>
      <c r="K32" s="248" t="s">
        <v>1334</v>
      </c>
      <c r="L32" s="248" t="s">
        <v>266</v>
      </c>
      <c r="M32" s="257">
        <v>27150</v>
      </c>
      <c r="N32" s="249"/>
      <c r="O32" s="248" t="s">
        <v>1335</v>
      </c>
      <c r="P32" s="257">
        <v>36961</v>
      </c>
      <c r="Q32" s="249"/>
    </row>
    <row r="33" spans="1:17">
      <c r="A33" s="210">
        <v>27</v>
      </c>
      <c r="B33" s="340">
        <v>4.4664351851851851E-2</v>
      </c>
      <c r="C33" s="217">
        <f t="shared" si="2"/>
        <v>64.316666666666663</v>
      </c>
      <c r="D33" s="217">
        <f t="shared" si="0"/>
        <v>59.283333333333331</v>
      </c>
      <c r="E33" s="232">
        <f>'10K'!$E33*(1-$K$2)+H.Marathon!$E33*$K$2</f>
        <v>1</v>
      </c>
      <c r="F33" s="312">
        <f t="shared" si="1"/>
        <v>92.174138377818096</v>
      </c>
      <c r="G33" s="210">
        <v>27</v>
      </c>
      <c r="H33" s="325" t="s">
        <v>1336</v>
      </c>
      <c r="I33" s="253">
        <v>3859</v>
      </c>
      <c r="J33" s="248" t="s">
        <v>281</v>
      </c>
      <c r="K33" s="248" t="s">
        <v>1337</v>
      </c>
      <c r="L33" s="248" t="s">
        <v>244</v>
      </c>
      <c r="M33" s="257">
        <v>32494</v>
      </c>
      <c r="N33" s="249"/>
      <c r="O33" s="248" t="s">
        <v>760</v>
      </c>
      <c r="P33" s="257">
        <v>42455</v>
      </c>
      <c r="Q33" s="249"/>
    </row>
    <row r="34" spans="1:17">
      <c r="A34" s="210">
        <v>28</v>
      </c>
      <c r="B34" s="340">
        <v>4.6296296296296294E-2</v>
      </c>
      <c r="C34" s="217">
        <f t="shared" si="2"/>
        <v>66.666666666666657</v>
      </c>
      <c r="D34" s="217">
        <f t="shared" si="0"/>
        <v>59.295192371807694</v>
      </c>
      <c r="E34" s="232">
        <f>'10K'!$E34*(1-$K$2)+H.Marathon!$E34*$K$2</f>
        <v>0.99980000000000002</v>
      </c>
      <c r="F34" s="312">
        <f t="shared" si="1"/>
        <v>88.942788557711552</v>
      </c>
      <c r="G34" s="210">
        <v>28</v>
      </c>
      <c r="H34" s="325" t="s">
        <v>1338</v>
      </c>
      <c r="I34" s="253">
        <v>4000</v>
      </c>
      <c r="J34" s="248" t="s">
        <v>309</v>
      </c>
      <c r="K34" s="248" t="s">
        <v>1339</v>
      </c>
      <c r="L34" s="248" t="s">
        <v>244</v>
      </c>
      <c r="M34" s="257">
        <v>25878</v>
      </c>
      <c r="N34" s="249"/>
      <c r="O34" s="248" t="s">
        <v>1335</v>
      </c>
      <c r="P34" s="257">
        <v>36232</v>
      </c>
      <c r="Q34" s="249"/>
    </row>
    <row r="35" spans="1:17">
      <c r="A35" s="210">
        <v>29</v>
      </c>
      <c r="B35" s="340">
        <v>4.5173611111111109E-2</v>
      </c>
      <c r="C35" s="217">
        <f t="shared" si="2"/>
        <v>65.05</v>
      </c>
      <c r="D35" s="217">
        <f t="shared" si="0"/>
        <v>59.336736396089812</v>
      </c>
      <c r="E35" s="232">
        <f>'10K'!$E35*(1-$K$2)+H.Marathon!$E35*$K$2</f>
        <v>0.99909999999999999</v>
      </c>
      <c r="F35" s="312">
        <f t="shared" si="1"/>
        <v>91.217119748024317</v>
      </c>
      <c r="G35" s="210">
        <v>29</v>
      </c>
      <c r="H35" s="325" t="s">
        <v>1340</v>
      </c>
      <c r="I35" s="253">
        <v>3903</v>
      </c>
      <c r="J35" s="248" t="s">
        <v>1341</v>
      </c>
      <c r="K35" s="248" t="s">
        <v>1323</v>
      </c>
      <c r="L35" s="248" t="s">
        <v>244</v>
      </c>
      <c r="M35" s="257">
        <v>30890</v>
      </c>
      <c r="N35" s="249"/>
      <c r="O35" s="248" t="s">
        <v>775</v>
      </c>
      <c r="P35" s="257">
        <v>41560</v>
      </c>
      <c r="Q35" s="249"/>
    </row>
    <row r="36" spans="1:17">
      <c r="A36" s="210">
        <v>30</v>
      </c>
      <c r="B36" s="340">
        <v>4.5486111111111109E-2</v>
      </c>
      <c r="C36" s="217">
        <f t="shared" si="2"/>
        <v>65.5</v>
      </c>
      <c r="D36" s="217">
        <f t="shared" si="0"/>
        <v>59.407664324945493</v>
      </c>
      <c r="E36" s="232">
        <f>'10K'!$E36*(1-$K$2)+H.Marathon!$E36*$K$2</f>
        <v>0.99790715570078459</v>
      </c>
      <c r="F36" s="312">
        <f t="shared" si="1"/>
        <v>90.698724160222127</v>
      </c>
      <c r="G36" s="210">
        <v>30</v>
      </c>
      <c r="H36" s="325" t="s">
        <v>1342</v>
      </c>
      <c r="I36" s="253">
        <v>3930</v>
      </c>
      <c r="J36" s="248" t="s">
        <v>1343</v>
      </c>
      <c r="K36" s="248" t="s">
        <v>1344</v>
      </c>
      <c r="L36" s="248" t="s">
        <v>244</v>
      </c>
      <c r="M36" s="257">
        <v>28908</v>
      </c>
      <c r="N36" s="249"/>
      <c r="O36" s="248" t="s">
        <v>775</v>
      </c>
      <c r="P36" s="257">
        <v>40097</v>
      </c>
      <c r="Q36" s="249"/>
    </row>
    <row r="37" spans="1:17">
      <c r="A37" s="210">
        <v>31</v>
      </c>
      <c r="B37" s="340">
        <v>4.5624999999999999E-2</v>
      </c>
      <c r="C37" s="217">
        <f t="shared" si="2"/>
        <v>65.7</v>
      </c>
      <c r="D37" s="217">
        <f t="shared" si="0"/>
        <v>59.508614416438057</v>
      </c>
      <c r="E37" s="232">
        <f>'10K'!$E37*(1-$K$2)+H.Marathon!$E37*$K$2</f>
        <v>0.99621431140156913</v>
      </c>
      <c r="F37" s="312">
        <f t="shared" si="1"/>
        <v>90.57627765059064</v>
      </c>
      <c r="G37" s="210">
        <v>31</v>
      </c>
      <c r="H37" s="325" t="s">
        <v>1345</v>
      </c>
      <c r="I37" s="253">
        <v>3942</v>
      </c>
      <c r="J37" s="248" t="s">
        <v>1346</v>
      </c>
      <c r="K37" s="248" t="s">
        <v>1347</v>
      </c>
      <c r="L37" s="248" t="s">
        <v>303</v>
      </c>
      <c r="M37" s="257">
        <v>27544</v>
      </c>
      <c r="N37" s="249"/>
      <c r="O37" s="248" t="s">
        <v>1318</v>
      </c>
      <c r="P37" s="257">
        <v>38998</v>
      </c>
      <c r="Q37" s="249"/>
    </row>
    <row r="38" spans="1:17">
      <c r="A38" s="210">
        <v>32</v>
      </c>
      <c r="B38" s="340">
        <v>4.3993055555555556E-2</v>
      </c>
      <c r="C38" s="217">
        <f t="shared" si="2"/>
        <v>63.35</v>
      </c>
      <c r="D38" s="217">
        <f t="shared" si="0"/>
        <v>59.633893135947723</v>
      </c>
      <c r="E38" s="232">
        <f>'10K'!$E38*(1-$K$2)+H.Marathon!$E38*$K$2</f>
        <v>0.99412146710235372</v>
      </c>
      <c r="F38" s="312">
        <f t="shared" si="1"/>
        <v>94.134006528725692</v>
      </c>
      <c r="G38" s="210">
        <v>32</v>
      </c>
      <c r="H38" s="325" t="s">
        <v>1348</v>
      </c>
      <c r="I38" s="253">
        <v>3801</v>
      </c>
      <c r="J38" s="248" t="s">
        <v>265</v>
      </c>
      <c r="K38" s="248" t="s">
        <v>1334</v>
      </c>
      <c r="L38" s="248" t="s">
        <v>266</v>
      </c>
      <c r="M38" s="257">
        <v>27150</v>
      </c>
      <c r="N38" s="249"/>
      <c r="O38" s="248" t="s">
        <v>1318</v>
      </c>
      <c r="P38" s="257">
        <v>38998</v>
      </c>
      <c r="Q38" s="249"/>
    </row>
    <row r="39" spans="1:17">
      <c r="A39" s="210">
        <v>33</v>
      </c>
      <c r="B39" s="340">
        <v>4.6574074074074073E-2</v>
      </c>
      <c r="C39" s="217">
        <f t="shared" si="2"/>
        <v>67.066666666666663</v>
      </c>
      <c r="D39" s="217">
        <f t="shared" si="0"/>
        <v>59.789404092692337</v>
      </c>
      <c r="E39" s="232">
        <f>'10K'!$E39*(1-$K$2)+H.Marathon!$E39*$K$2</f>
        <v>0.99153577850392294</v>
      </c>
      <c r="F39" s="312">
        <f t="shared" si="1"/>
        <v>89.149210873795738</v>
      </c>
      <c r="G39" s="210">
        <v>33</v>
      </c>
      <c r="H39" s="325" t="s">
        <v>1349</v>
      </c>
      <c r="I39" s="253">
        <v>4024</v>
      </c>
      <c r="J39" s="248" t="s">
        <v>1350</v>
      </c>
      <c r="K39" s="248" t="s">
        <v>1351</v>
      </c>
      <c r="L39" s="248" t="s">
        <v>606</v>
      </c>
      <c r="M39" s="257">
        <v>30264</v>
      </c>
      <c r="N39" s="249"/>
      <c r="O39" s="248" t="s">
        <v>760</v>
      </c>
      <c r="P39" s="257">
        <v>42455</v>
      </c>
      <c r="Q39" s="249"/>
    </row>
    <row r="40" spans="1:17">
      <c r="A40" s="210">
        <v>34</v>
      </c>
      <c r="B40" s="340">
        <v>4.5266203703703704E-2</v>
      </c>
      <c r="C40" s="217">
        <f t="shared" si="2"/>
        <v>65.183333333333337</v>
      </c>
      <c r="D40" s="217">
        <f t="shared" si="0"/>
        <v>59.976051334065382</v>
      </c>
      <c r="E40" s="232">
        <f>'10K'!$E40*(1-$K$2)+H.Marathon!$E40*$K$2</f>
        <v>0.98845008990549199</v>
      </c>
      <c r="F40" s="312">
        <f t="shared" si="1"/>
        <v>92.011329072971691</v>
      </c>
      <c r="G40" s="210">
        <v>34</v>
      </c>
      <c r="H40" s="325" t="s">
        <v>1352</v>
      </c>
      <c r="I40" s="253">
        <v>3911</v>
      </c>
      <c r="J40" s="248" t="s">
        <v>279</v>
      </c>
      <c r="K40" s="248" t="s">
        <v>280</v>
      </c>
      <c r="L40" s="248" t="s">
        <v>217</v>
      </c>
      <c r="M40" s="257">
        <v>23483</v>
      </c>
      <c r="N40" s="248" t="s">
        <v>1353</v>
      </c>
      <c r="O40" s="248" t="s">
        <v>1354</v>
      </c>
      <c r="P40" s="257">
        <v>36045</v>
      </c>
      <c r="Q40" s="249"/>
    </row>
    <row r="41" spans="1:17">
      <c r="A41" s="210">
        <v>35</v>
      </c>
      <c r="B41" s="340">
        <v>4.6666666666666669E-2</v>
      </c>
      <c r="C41" s="217">
        <f t="shared" si="2"/>
        <v>67.2</v>
      </c>
      <c r="D41" s="217">
        <f t="shared" si="0"/>
        <v>60.188737732308681</v>
      </c>
      <c r="E41" s="232">
        <f>'10K'!$E41*(1-$K$2)+H.Marathon!$E41*$K$2</f>
        <v>0.98495724560627662</v>
      </c>
      <c r="F41" s="312">
        <f t="shared" si="1"/>
        <v>89.566574006411727</v>
      </c>
      <c r="G41" s="210">
        <v>35</v>
      </c>
      <c r="H41" s="325" t="s">
        <v>1355</v>
      </c>
      <c r="I41" s="253">
        <v>4032</v>
      </c>
      <c r="J41" s="248" t="s">
        <v>1356</v>
      </c>
      <c r="K41" s="248" t="s">
        <v>1357</v>
      </c>
      <c r="L41" s="248" t="s">
        <v>266</v>
      </c>
      <c r="M41" s="257">
        <v>23469</v>
      </c>
      <c r="N41" s="249"/>
      <c r="O41" s="248" t="s">
        <v>1335</v>
      </c>
      <c r="P41" s="257">
        <v>36597</v>
      </c>
      <c r="Q41" s="249"/>
    </row>
    <row r="42" spans="1:17">
      <c r="A42" s="210">
        <v>36</v>
      </c>
      <c r="B42" s="340">
        <v>4.4016203703703703E-2</v>
      </c>
      <c r="C42" s="217">
        <f t="shared" si="2"/>
        <v>63.383333333333333</v>
      </c>
      <c r="D42" s="217">
        <f t="shared" si="0"/>
        <v>60.433284645029914</v>
      </c>
      <c r="E42" s="232">
        <f>'10K'!$E42*(1-$K$2)+H.Marathon!$E42*$K$2</f>
        <v>0.98097155700784577</v>
      </c>
      <c r="F42" s="312">
        <f t="shared" si="1"/>
        <v>95.345702832021956</v>
      </c>
      <c r="G42" s="210">
        <v>36</v>
      </c>
      <c r="H42" s="325" t="s">
        <v>1358</v>
      </c>
      <c r="I42" s="253">
        <v>3803</v>
      </c>
      <c r="J42" s="248" t="s">
        <v>1359</v>
      </c>
      <c r="K42" s="248" t="s">
        <v>1360</v>
      </c>
      <c r="L42" s="248" t="s">
        <v>1361</v>
      </c>
      <c r="M42" s="257">
        <v>25591</v>
      </c>
      <c r="N42" s="249"/>
      <c r="O42" s="248" t="s">
        <v>1318</v>
      </c>
      <c r="P42" s="257">
        <v>38998</v>
      </c>
      <c r="Q42" s="249"/>
    </row>
    <row r="43" spans="1:17">
      <c r="A43" s="210">
        <v>37</v>
      </c>
      <c r="B43" s="340">
        <v>4.6539351851851853E-2</v>
      </c>
      <c r="C43" s="217">
        <f t="shared" si="2"/>
        <v>67.016666666666666</v>
      </c>
      <c r="D43" s="217">
        <f t="shared" ref="D43:D74" si="3">E$4/E43</f>
        <v>60.71045247594423</v>
      </c>
      <c r="E43" s="232">
        <f>'10K'!$E43*(1-$K$2)+H.Marathon!$E43*$K$2</f>
        <v>0.97649302411019956</v>
      </c>
      <c r="F43" s="312">
        <f t="shared" si="1"/>
        <v>90.590080789770056</v>
      </c>
      <c r="G43" s="210">
        <v>37</v>
      </c>
      <c r="H43" s="325" t="s">
        <v>1362</v>
      </c>
      <c r="I43" s="253">
        <v>4021</v>
      </c>
      <c r="J43" s="248" t="s">
        <v>1363</v>
      </c>
      <c r="K43" s="248" t="s">
        <v>1364</v>
      </c>
      <c r="L43" s="248" t="s">
        <v>217</v>
      </c>
      <c r="M43" s="257">
        <v>28724</v>
      </c>
      <c r="N43" s="249"/>
      <c r="O43" s="248" t="s">
        <v>760</v>
      </c>
      <c r="P43" s="257">
        <v>42455</v>
      </c>
      <c r="Q43" s="249"/>
    </row>
    <row r="44" spans="1:17">
      <c r="A44" s="210">
        <v>38</v>
      </c>
      <c r="B44" s="340">
        <v>4.7141203703703706E-2</v>
      </c>
      <c r="C44" s="217">
        <f t="shared" si="2"/>
        <v>67.88333333333334</v>
      </c>
      <c r="D44" s="217">
        <f t="shared" si="3"/>
        <v>61.02156362005617</v>
      </c>
      <c r="E44" s="232">
        <f>'10K'!$E44*(1-$K$2)+H.Marathon!$E44*$K$2</f>
        <v>0.9715144912125534</v>
      </c>
      <c r="F44" s="312">
        <f t="shared" si="1"/>
        <v>89.891819720190767</v>
      </c>
      <c r="G44" s="210">
        <v>38</v>
      </c>
      <c r="H44" s="325" t="s">
        <v>1365</v>
      </c>
      <c r="I44" s="253">
        <v>4073</v>
      </c>
      <c r="J44" s="248" t="s">
        <v>279</v>
      </c>
      <c r="K44" s="248" t="s">
        <v>280</v>
      </c>
      <c r="L44" s="248" t="s">
        <v>217</v>
      </c>
      <c r="M44" s="257">
        <v>23483</v>
      </c>
      <c r="N44" s="248" t="s">
        <v>1353</v>
      </c>
      <c r="O44" s="248" t="s">
        <v>1354</v>
      </c>
      <c r="P44" s="257">
        <v>37501</v>
      </c>
      <c r="Q44" s="249"/>
    </row>
    <row r="45" spans="1:17">
      <c r="A45" s="210">
        <v>39</v>
      </c>
      <c r="B45" s="340">
        <v>4.5381944444444447E-2</v>
      </c>
      <c r="C45" s="217">
        <f t="shared" si="2"/>
        <v>65.350000000000009</v>
      </c>
      <c r="D45" s="217">
        <f t="shared" si="3"/>
        <v>61.361274076510711</v>
      </c>
      <c r="E45" s="232">
        <f>'10K'!$E45*(1-$K$2)+H.Marathon!$E45*$K$2</f>
        <v>0.96613595831490695</v>
      </c>
      <c r="F45" s="312">
        <f t="shared" ref="F45:F76" si="4">100*(D45/C45)</f>
        <v>93.896364309886309</v>
      </c>
      <c r="G45" s="210">
        <v>39</v>
      </c>
      <c r="H45" s="325" t="s">
        <v>1366</v>
      </c>
      <c r="I45" s="253">
        <v>3921</v>
      </c>
      <c r="J45" s="248" t="s">
        <v>284</v>
      </c>
      <c r="K45" s="248" t="s">
        <v>285</v>
      </c>
      <c r="L45" s="248" t="s">
        <v>244</v>
      </c>
      <c r="M45" s="257">
        <v>24566</v>
      </c>
      <c r="N45" s="249"/>
      <c r="O45" s="248" t="s">
        <v>1318</v>
      </c>
      <c r="P45" s="257">
        <v>38998</v>
      </c>
      <c r="Q45" s="249"/>
    </row>
    <row r="46" spans="1:17">
      <c r="A46" s="210">
        <v>40</v>
      </c>
      <c r="B46" s="340">
        <v>4.7905092592592589E-2</v>
      </c>
      <c r="C46" s="217">
        <f t="shared" si="2"/>
        <v>68.983333333333334</v>
      </c>
      <c r="D46" s="217">
        <f t="shared" si="3"/>
        <v>61.73691737668463</v>
      </c>
      <c r="E46" s="232">
        <f>'10K'!$E46*(1-$K$2)+H.Marathon!$E46*$K$2</f>
        <v>0.96025742541726078</v>
      </c>
      <c r="F46" s="312">
        <f t="shared" si="4"/>
        <v>89.495410548467689</v>
      </c>
      <c r="G46" s="210">
        <v>40</v>
      </c>
      <c r="H46" s="325" t="s">
        <v>1367</v>
      </c>
      <c r="I46" s="253">
        <v>4139</v>
      </c>
      <c r="J46" s="248" t="s">
        <v>1368</v>
      </c>
      <c r="K46" s="248" t="s">
        <v>1369</v>
      </c>
      <c r="L46" s="248" t="s">
        <v>217</v>
      </c>
      <c r="M46" s="257">
        <v>27599</v>
      </c>
      <c r="N46" s="248" t="s">
        <v>1353</v>
      </c>
      <c r="O46" s="248" t="s">
        <v>1354</v>
      </c>
      <c r="P46" s="257">
        <v>42254</v>
      </c>
      <c r="Q46" s="249"/>
    </row>
    <row r="47" spans="1:17">
      <c r="A47" s="210">
        <v>41</v>
      </c>
      <c r="B47" s="340">
        <v>4.5740740740740742E-2</v>
      </c>
      <c r="C47" s="217">
        <f t="shared" si="2"/>
        <v>65.866666666666674</v>
      </c>
      <c r="D47" s="217">
        <f t="shared" si="3"/>
        <v>62.149282342407936</v>
      </c>
      <c r="E47" s="232">
        <f>'10K'!$E47*(1-$K$2)+H.Marathon!$E47*$K$2</f>
        <v>0.95388604822039902</v>
      </c>
      <c r="F47" s="312">
        <f t="shared" si="4"/>
        <v>94.35619788827114</v>
      </c>
      <c r="G47" s="210">
        <v>41</v>
      </c>
      <c r="H47" s="325" t="s">
        <v>667</v>
      </c>
      <c r="I47" s="253">
        <v>3952</v>
      </c>
      <c r="J47" s="210" t="s">
        <v>291</v>
      </c>
      <c r="K47" s="210" t="s">
        <v>292</v>
      </c>
      <c r="L47" s="248" t="s">
        <v>217</v>
      </c>
      <c r="M47" s="257">
        <v>26709</v>
      </c>
      <c r="N47" s="210" t="s">
        <v>1370</v>
      </c>
      <c r="O47" s="248" t="s">
        <v>1371</v>
      </c>
      <c r="P47" s="250">
        <v>41903</v>
      </c>
      <c r="Q47" s="249"/>
    </row>
    <row r="48" spans="1:17">
      <c r="A48" s="210">
        <v>42</v>
      </c>
      <c r="B48" s="340">
        <v>4.8194444444444443E-2</v>
      </c>
      <c r="C48" s="217">
        <f t="shared" si="2"/>
        <v>69.399999999999991</v>
      </c>
      <c r="D48" s="217">
        <f t="shared" si="3"/>
        <v>62.599753944837751</v>
      </c>
      <c r="E48" s="232">
        <f>'10K'!$E48*(1-$K$2)+H.Marathon!$E48*$K$2</f>
        <v>0.947021826724322</v>
      </c>
      <c r="F48" s="312">
        <f t="shared" si="4"/>
        <v>90.201374560284947</v>
      </c>
      <c r="G48" s="210">
        <v>42</v>
      </c>
      <c r="H48" s="325" t="s">
        <v>1372</v>
      </c>
      <c r="I48" s="253">
        <v>4164</v>
      </c>
      <c r="J48" s="248" t="s">
        <v>560</v>
      </c>
      <c r="K48" s="210" t="s">
        <v>561</v>
      </c>
      <c r="L48" s="248" t="s">
        <v>217</v>
      </c>
      <c r="M48" s="257">
        <v>24103</v>
      </c>
      <c r="N48" s="248" t="s">
        <v>1353</v>
      </c>
      <c r="O48" s="248" t="s">
        <v>1354</v>
      </c>
      <c r="P48" s="257">
        <v>39692</v>
      </c>
      <c r="Q48" s="249"/>
    </row>
    <row r="49" spans="1:17">
      <c r="A49" s="210">
        <v>43</v>
      </c>
      <c r="B49" s="340">
        <v>4.9641203703703701E-2</v>
      </c>
      <c r="C49" s="217">
        <f t="shared" si="2"/>
        <v>71.483333333333334</v>
      </c>
      <c r="D49" s="217">
        <f t="shared" si="3"/>
        <v>63.084603766555233</v>
      </c>
      <c r="E49" s="232">
        <f>'10K'!$E49*(1-$K$2)+H.Marathon!$E49*$K$2</f>
        <v>0.93974329382667576</v>
      </c>
      <c r="F49" s="312">
        <f t="shared" si="4"/>
        <v>88.250786336985627</v>
      </c>
      <c r="G49" s="210">
        <v>43</v>
      </c>
      <c r="H49" s="325" t="s">
        <v>1373</v>
      </c>
      <c r="I49" s="253">
        <v>4289</v>
      </c>
      <c r="J49" s="248" t="s">
        <v>301</v>
      </c>
      <c r="K49" s="248" t="s">
        <v>302</v>
      </c>
      <c r="L49" s="248" t="s">
        <v>303</v>
      </c>
      <c r="M49" s="257">
        <v>20152</v>
      </c>
      <c r="N49" s="248" t="s">
        <v>1353</v>
      </c>
      <c r="O49" s="248" t="s">
        <v>1354</v>
      </c>
      <c r="P49" s="257">
        <v>36045</v>
      </c>
      <c r="Q49" s="249"/>
    </row>
    <row r="50" spans="1:17">
      <c r="A50" s="210">
        <v>44</v>
      </c>
      <c r="B50" s="340">
        <v>4.777777777777778E-2</v>
      </c>
      <c r="C50" s="217">
        <f t="shared" si="2"/>
        <v>68.8</v>
      </c>
      <c r="D50" s="217">
        <f t="shared" si="3"/>
        <v>63.610155091877324</v>
      </c>
      <c r="E50" s="232">
        <f>'10K'!$E50*(1-$K$2)+H.Marathon!$E50*$K$2</f>
        <v>0.93197907233059862</v>
      </c>
      <c r="F50" s="312">
        <f t="shared" si="4"/>
        <v>92.456620773077518</v>
      </c>
      <c r="G50" s="210">
        <v>44</v>
      </c>
      <c r="H50" s="325" t="s">
        <v>672</v>
      </c>
      <c r="I50" s="253">
        <v>4128</v>
      </c>
      <c r="J50" s="248" t="s">
        <v>575</v>
      </c>
      <c r="K50" s="248" t="s">
        <v>772</v>
      </c>
      <c r="L50" s="248" t="s">
        <v>552</v>
      </c>
      <c r="M50" s="257">
        <v>18655</v>
      </c>
      <c r="N50" s="249"/>
      <c r="O50" s="248" t="s">
        <v>1374</v>
      </c>
      <c r="P50" s="257">
        <v>34784</v>
      </c>
      <c r="Q50" s="249"/>
    </row>
    <row r="51" spans="1:17">
      <c r="A51" s="210">
        <v>45</v>
      </c>
      <c r="B51" s="340">
        <v>4.6770833333333331E-2</v>
      </c>
      <c r="C51" s="217">
        <f t="shared" si="2"/>
        <v>67.349999999999994</v>
      </c>
      <c r="D51" s="217">
        <f t="shared" si="3"/>
        <v>64.179257570422678</v>
      </c>
      <c r="E51" s="232">
        <f>'10K'!$E51*(1-$K$2)+H.Marathon!$E51*$K$2</f>
        <v>0.92371485083452165</v>
      </c>
      <c r="F51" s="312">
        <f t="shared" si="4"/>
        <v>95.292141901147261</v>
      </c>
      <c r="G51" s="210">
        <v>45</v>
      </c>
      <c r="H51" s="325" t="s">
        <v>1375</v>
      </c>
      <c r="I51" s="253">
        <v>4041</v>
      </c>
      <c r="J51" s="248" t="s">
        <v>279</v>
      </c>
      <c r="K51" s="248" t="s">
        <v>280</v>
      </c>
      <c r="L51" s="248" t="s">
        <v>217</v>
      </c>
      <c r="M51" s="257">
        <v>23483</v>
      </c>
      <c r="N51" s="248" t="s">
        <v>1353</v>
      </c>
      <c r="O51" s="248" t="s">
        <v>1354</v>
      </c>
      <c r="P51" s="257">
        <v>40063</v>
      </c>
      <c r="Q51" s="249"/>
    </row>
    <row r="52" spans="1:17">
      <c r="A52" s="210">
        <v>46</v>
      </c>
      <c r="B52" s="340">
        <v>4.8877314814814818E-2</v>
      </c>
      <c r="C52" s="217">
        <f t="shared" si="2"/>
        <v>70.38333333333334</v>
      </c>
      <c r="D52" s="217">
        <f t="shared" si="3"/>
        <v>64.787450040661597</v>
      </c>
      <c r="E52" s="232">
        <f>'10K'!$E52*(1-$K$2)+H.Marathon!$E52*$K$2</f>
        <v>0.91504347363765981</v>
      </c>
      <c r="F52" s="312">
        <f t="shared" si="4"/>
        <v>92.049419901484626</v>
      </c>
      <c r="G52" s="210">
        <v>46</v>
      </c>
      <c r="H52" s="325" t="s">
        <v>1376</v>
      </c>
      <c r="I52" s="253">
        <v>4223</v>
      </c>
      <c r="J52" s="248" t="s">
        <v>279</v>
      </c>
      <c r="K52" s="248" t="s">
        <v>280</v>
      </c>
      <c r="L52" s="248" t="s">
        <v>217</v>
      </c>
      <c r="M52" s="257">
        <v>23483</v>
      </c>
      <c r="N52" s="248" t="s">
        <v>1353</v>
      </c>
      <c r="O52" s="248" t="s">
        <v>1354</v>
      </c>
      <c r="P52" s="257">
        <v>40427</v>
      </c>
      <c r="Q52" s="249"/>
    </row>
    <row r="53" spans="1:17">
      <c r="A53" s="210">
        <v>47</v>
      </c>
      <c r="B53" s="340">
        <v>5.1701388888888887E-2</v>
      </c>
      <c r="C53" s="217">
        <f t="shared" si="2"/>
        <v>74.45</v>
      </c>
      <c r="D53" s="217">
        <f t="shared" si="3"/>
        <v>65.44234776028253</v>
      </c>
      <c r="E53" s="232">
        <f>'10K'!$E53*(1-$K$2)+H.Marathon!$E53*$K$2</f>
        <v>0.90588640784236729</v>
      </c>
      <c r="F53" s="312">
        <f t="shared" si="4"/>
        <v>87.901071538324416</v>
      </c>
      <c r="G53" s="210">
        <v>47</v>
      </c>
      <c r="H53" s="325" t="s">
        <v>1377</v>
      </c>
      <c r="I53" s="253">
        <v>4467</v>
      </c>
      <c r="J53" s="248" t="s">
        <v>1250</v>
      </c>
      <c r="K53" s="248" t="s">
        <v>1378</v>
      </c>
      <c r="L53" s="248" t="s">
        <v>217</v>
      </c>
      <c r="M53" s="257">
        <v>16974</v>
      </c>
      <c r="N53" s="248" t="s">
        <v>1353</v>
      </c>
      <c r="O53" s="248" t="s">
        <v>1354</v>
      </c>
      <c r="P53" s="257">
        <v>34218</v>
      </c>
      <c r="Q53" s="249"/>
    </row>
    <row r="54" spans="1:17">
      <c r="A54" s="210">
        <v>48</v>
      </c>
      <c r="B54" s="340">
        <v>5.3483796296296293E-2</v>
      </c>
      <c r="C54" s="217">
        <f t="shared" si="2"/>
        <v>77.016666666666666</v>
      </c>
      <c r="D54" s="217">
        <f t="shared" si="3"/>
        <v>66.148031410624895</v>
      </c>
      <c r="E54" s="232">
        <f>'10K'!$E54*(1-$K$2)+H.Marathon!$E54*$K$2</f>
        <v>0.89622218634629036</v>
      </c>
      <c r="F54" s="312">
        <f t="shared" si="4"/>
        <v>85.887943835479192</v>
      </c>
      <c r="G54" s="210">
        <v>48</v>
      </c>
      <c r="H54" s="325" t="s">
        <v>1379</v>
      </c>
      <c r="I54" s="253">
        <v>4621</v>
      </c>
      <c r="J54" s="248" t="s">
        <v>1380</v>
      </c>
      <c r="K54" s="248" t="s">
        <v>1381</v>
      </c>
      <c r="L54" s="248" t="s">
        <v>266</v>
      </c>
      <c r="M54" s="257">
        <v>21521</v>
      </c>
      <c r="N54" s="249"/>
      <c r="O54" s="248" t="s">
        <v>1335</v>
      </c>
      <c r="P54" s="257">
        <v>39152</v>
      </c>
      <c r="Q54" s="249"/>
    </row>
    <row r="55" spans="1:17">
      <c r="A55" s="210">
        <v>49</v>
      </c>
      <c r="B55" s="340">
        <v>4.8402777777777781E-2</v>
      </c>
      <c r="C55" s="217">
        <f t="shared" si="2"/>
        <v>69.7</v>
      </c>
      <c r="D55" s="217">
        <f t="shared" si="3"/>
        <v>66.906293858478605</v>
      </c>
      <c r="E55" s="232">
        <f>'10K'!$E55*(1-$K$2)+H.Marathon!$E55*$K$2</f>
        <v>0.88606512055099784</v>
      </c>
      <c r="F55" s="312">
        <f t="shared" si="4"/>
        <v>95.99181328332655</v>
      </c>
      <c r="G55" s="210">
        <v>49</v>
      </c>
      <c r="H55" s="325" t="s">
        <v>1382</v>
      </c>
      <c r="I55" s="253">
        <v>4182</v>
      </c>
      <c r="J55" s="248" t="s">
        <v>305</v>
      </c>
      <c r="K55" s="248" t="s">
        <v>1383</v>
      </c>
      <c r="L55" s="248" t="s">
        <v>217</v>
      </c>
      <c r="M55" s="257">
        <v>22408</v>
      </c>
      <c r="N55" s="248" t="s">
        <v>1384</v>
      </c>
      <c r="O55" s="248" t="s">
        <v>1385</v>
      </c>
      <c r="P55" s="250">
        <v>40454</v>
      </c>
      <c r="Q55" s="249"/>
    </row>
    <row r="56" spans="1:17">
      <c r="A56" s="210">
        <v>50</v>
      </c>
      <c r="B56" s="340">
        <v>5.4930555555555559E-2</v>
      </c>
      <c r="C56" s="217">
        <f t="shared" si="2"/>
        <v>79.100000000000009</v>
      </c>
      <c r="D56" s="217">
        <f t="shared" si="3"/>
        <v>67.690976081067433</v>
      </c>
      <c r="E56" s="232">
        <f>'10K'!$E56*(1-$K$2)+H.Marathon!$E56*$K$2</f>
        <v>0.87579374335413596</v>
      </c>
      <c r="F56" s="312">
        <f t="shared" si="4"/>
        <v>85.576455222588393</v>
      </c>
      <c r="G56" s="210">
        <v>50</v>
      </c>
      <c r="H56" s="325" t="s">
        <v>1386</v>
      </c>
      <c r="I56" s="253">
        <v>4746</v>
      </c>
      <c r="J56" s="248" t="s">
        <v>1380</v>
      </c>
      <c r="K56" s="248" t="s">
        <v>1381</v>
      </c>
      <c r="L56" s="248" t="s">
        <v>266</v>
      </c>
      <c r="M56" s="257">
        <v>21521</v>
      </c>
      <c r="N56" s="249"/>
      <c r="O56" s="248" t="s">
        <v>1335</v>
      </c>
      <c r="P56" s="257">
        <v>39880</v>
      </c>
      <c r="Q56" s="249"/>
    </row>
    <row r="57" spans="1:17">
      <c r="A57" s="210">
        <v>51</v>
      </c>
      <c r="B57" s="340">
        <v>5.3611111111111109E-2</v>
      </c>
      <c r="C57" s="217">
        <f t="shared" si="2"/>
        <v>77.2</v>
      </c>
      <c r="D57" s="217">
        <f t="shared" si="3"/>
        <v>68.501630503721742</v>
      </c>
      <c r="E57" s="232">
        <f>'10K'!$E57*(1-$K$2)+H.Marathon!$E57*$K$2</f>
        <v>0.86542952185805899</v>
      </c>
      <c r="F57" s="312">
        <f t="shared" si="4"/>
        <v>88.732681999639567</v>
      </c>
      <c r="G57" s="210">
        <v>51</v>
      </c>
      <c r="H57" s="325" t="s">
        <v>1387</v>
      </c>
      <c r="I57" s="253">
        <v>4632</v>
      </c>
      <c r="J57" s="248" t="s">
        <v>279</v>
      </c>
      <c r="K57" s="248" t="s">
        <v>280</v>
      </c>
      <c r="L57" s="248" t="s">
        <v>217</v>
      </c>
      <c r="M57" s="257">
        <v>23483</v>
      </c>
      <c r="N57" s="249" t="s">
        <v>1388</v>
      </c>
      <c r="O57" s="248" t="s">
        <v>1389</v>
      </c>
      <c r="P57" s="257">
        <v>42413</v>
      </c>
      <c r="Q57" s="249"/>
    </row>
    <row r="58" spans="1:17">
      <c r="A58" s="210">
        <v>52</v>
      </c>
      <c r="B58" s="340">
        <v>5.3969907407407404E-2</v>
      </c>
      <c r="C58" s="217">
        <f t="shared" si="2"/>
        <v>77.716666666666669</v>
      </c>
      <c r="D58" s="217">
        <f t="shared" si="3"/>
        <v>69.324989503201891</v>
      </c>
      <c r="E58" s="232">
        <f>'10K'!$E58*(1-$K$2)+H.Marathon!$E58*$K$2</f>
        <v>0.85515098896041275</v>
      </c>
      <c r="F58" s="312">
        <f t="shared" si="4"/>
        <v>89.202216817330324</v>
      </c>
      <c r="G58" s="210">
        <v>52</v>
      </c>
      <c r="H58" s="325" t="s">
        <v>1390</v>
      </c>
      <c r="I58" s="253">
        <v>4663</v>
      </c>
      <c r="J58" s="248" t="s">
        <v>335</v>
      </c>
      <c r="K58" s="248" t="s">
        <v>336</v>
      </c>
      <c r="L58" s="248" t="s">
        <v>217</v>
      </c>
      <c r="M58" s="257">
        <v>18901</v>
      </c>
      <c r="N58" s="248" t="s">
        <v>1353</v>
      </c>
      <c r="O58" s="248" t="s">
        <v>1354</v>
      </c>
      <c r="P58" s="257">
        <v>38236</v>
      </c>
      <c r="Q58" s="249"/>
    </row>
    <row r="59" spans="1:17">
      <c r="A59" s="210">
        <v>53</v>
      </c>
      <c r="B59" s="340">
        <v>5.6504629629629627E-2</v>
      </c>
      <c r="C59" s="217">
        <f t="shared" si="2"/>
        <v>81.36666666666666</v>
      </c>
      <c r="D59" s="217">
        <f t="shared" si="3"/>
        <v>70.175499447363322</v>
      </c>
      <c r="E59" s="232">
        <f>'10K'!$E59*(1-$K$2)+H.Marathon!$E59*$K$2</f>
        <v>0.84478676746433568</v>
      </c>
      <c r="F59" s="312">
        <f t="shared" si="4"/>
        <v>86.246005056161408</v>
      </c>
      <c r="G59" s="210">
        <v>53</v>
      </c>
      <c r="H59" s="325" t="s">
        <v>1391</v>
      </c>
      <c r="I59" s="253">
        <v>4882</v>
      </c>
      <c r="J59" s="248" t="s">
        <v>335</v>
      </c>
      <c r="K59" s="248" t="s">
        <v>336</v>
      </c>
      <c r="L59" s="248" t="s">
        <v>217</v>
      </c>
      <c r="M59" s="257">
        <v>18901</v>
      </c>
      <c r="N59" s="248" t="s">
        <v>1353</v>
      </c>
      <c r="O59" s="248" t="s">
        <v>1354</v>
      </c>
      <c r="P59" s="257">
        <v>38600</v>
      </c>
      <c r="Q59" s="249"/>
    </row>
    <row r="60" spans="1:17">
      <c r="A60" s="210">
        <v>54</v>
      </c>
      <c r="B60" s="340">
        <v>5.949074074074074E-2</v>
      </c>
      <c r="C60" s="217">
        <f t="shared" si="2"/>
        <v>85.666666666666671</v>
      </c>
      <c r="D60" s="217">
        <f t="shared" si="3"/>
        <v>71.039233098304138</v>
      </c>
      <c r="E60" s="232">
        <f>'10K'!$E60*(1-$K$2)+H.Marathon!$E60*$K$2</f>
        <v>0.83451539026747401</v>
      </c>
      <c r="F60" s="312">
        <f t="shared" si="4"/>
        <v>82.925174822923111</v>
      </c>
      <c r="G60" s="210">
        <v>54</v>
      </c>
      <c r="H60" s="325" t="s">
        <v>1392</v>
      </c>
      <c r="I60" s="253">
        <v>5140</v>
      </c>
      <c r="J60" s="248" t="s">
        <v>1393</v>
      </c>
      <c r="K60" s="248" t="s">
        <v>1394</v>
      </c>
      <c r="L60" s="248" t="s">
        <v>217</v>
      </c>
      <c r="M60" s="257">
        <v>15784</v>
      </c>
      <c r="N60" s="248" t="s">
        <v>1353</v>
      </c>
      <c r="O60" s="248" t="s">
        <v>1354</v>
      </c>
      <c r="P60" s="257">
        <v>35674</v>
      </c>
      <c r="Q60" s="249"/>
    </row>
    <row r="61" spans="1:17">
      <c r="A61" s="210">
        <v>55</v>
      </c>
      <c r="B61" s="340">
        <v>5.4675925925925926E-2</v>
      </c>
      <c r="C61" s="217">
        <f t="shared" si="2"/>
        <v>78.733333333333334</v>
      </c>
      <c r="D61" s="217">
        <f t="shared" si="3"/>
        <v>71.933220885090577</v>
      </c>
      <c r="E61" s="232">
        <f>'10K'!$E61*(1-$K$2)+H.Marathon!$E61*$K$2</f>
        <v>0.82414401307061225</v>
      </c>
      <c r="F61" s="312">
        <f t="shared" si="4"/>
        <v>91.36310866014891</v>
      </c>
      <c r="G61" s="210">
        <v>55</v>
      </c>
      <c r="H61" s="325" t="s">
        <v>1395</v>
      </c>
      <c r="I61" s="253">
        <v>4724</v>
      </c>
      <c r="J61" s="248" t="s">
        <v>803</v>
      </c>
      <c r="K61" s="248" t="s">
        <v>804</v>
      </c>
      <c r="L61" s="248" t="s">
        <v>217</v>
      </c>
      <c r="M61" s="257">
        <v>15914</v>
      </c>
      <c r="N61" s="248" t="s">
        <v>1353</v>
      </c>
      <c r="O61" s="248" t="s">
        <v>1354</v>
      </c>
      <c r="P61" s="257">
        <v>36045</v>
      </c>
      <c r="Q61" s="249"/>
    </row>
    <row r="62" spans="1:17">
      <c r="A62" s="210">
        <v>56</v>
      </c>
      <c r="B62" s="340">
        <v>5.5972222222222222E-2</v>
      </c>
      <c r="C62" s="217">
        <f t="shared" si="2"/>
        <v>80.599999999999994</v>
      </c>
      <c r="D62" s="217">
        <f t="shared" si="3"/>
        <v>72.841045048391905</v>
      </c>
      <c r="E62" s="232">
        <f>'10K'!$E62*(1-$K$2)+H.Marathon!$E62*$K$2</f>
        <v>0.81387263587375058</v>
      </c>
      <c r="F62" s="312">
        <f t="shared" si="4"/>
        <v>90.373505022818748</v>
      </c>
      <c r="G62" s="210">
        <v>56</v>
      </c>
      <c r="H62" s="325" t="s">
        <v>1396</v>
      </c>
      <c r="I62" s="253">
        <v>4836</v>
      </c>
      <c r="J62" s="248" t="s">
        <v>1234</v>
      </c>
      <c r="K62" s="248" t="s">
        <v>1235</v>
      </c>
      <c r="L62" s="248" t="s">
        <v>217</v>
      </c>
      <c r="M62" s="257">
        <v>14922</v>
      </c>
      <c r="N62" s="248" t="s">
        <v>1397</v>
      </c>
      <c r="O62" s="248" t="s">
        <v>826</v>
      </c>
      <c r="P62" s="257">
        <v>35385</v>
      </c>
      <c r="Q62" s="249"/>
    </row>
    <row r="63" spans="1:17">
      <c r="A63" s="210">
        <v>57</v>
      </c>
      <c r="B63" s="340">
        <v>5.7951388888888886E-2</v>
      </c>
      <c r="C63" s="217">
        <f t="shared" si="2"/>
        <v>83.449999999999989</v>
      </c>
      <c r="D63" s="217">
        <f t="shared" si="3"/>
        <v>73.781257581293815</v>
      </c>
      <c r="E63" s="232">
        <f>'10K'!$E63*(1-$K$2)+H.Marathon!$E63*$K$2</f>
        <v>0.80350125867688893</v>
      </c>
      <c r="F63" s="312">
        <f t="shared" si="4"/>
        <v>88.413729875726574</v>
      </c>
      <c r="G63" s="210">
        <v>57</v>
      </c>
      <c r="H63" s="325" t="s">
        <v>1398</v>
      </c>
      <c r="I63" s="253">
        <v>5007</v>
      </c>
      <c r="J63" s="248" t="s">
        <v>1399</v>
      </c>
      <c r="K63" s="248" t="s">
        <v>1400</v>
      </c>
      <c r="L63" s="248" t="s">
        <v>552</v>
      </c>
      <c r="M63" s="257">
        <v>20095</v>
      </c>
      <c r="N63" s="249"/>
      <c r="O63" s="248" t="s">
        <v>1308</v>
      </c>
      <c r="P63" s="257">
        <v>41030</v>
      </c>
      <c r="Q63" s="249"/>
    </row>
    <row r="64" spans="1:17">
      <c r="A64" s="210">
        <v>58</v>
      </c>
      <c r="B64" s="340">
        <v>6.2060185185185184E-2</v>
      </c>
      <c r="C64" s="217">
        <f t="shared" si="2"/>
        <v>89.36666666666666</v>
      </c>
      <c r="D64" s="217">
        <f t="shared" si="3"/>
        <v>74.736636525493807</v>
      </c>
      <c r="E64" s="232">
        <f>'10K'!$E64*(1-$K$2)+H.Marathon!$E64*$K$2</f>
        <v>0.79322988148002727</v>
      </c>
      <c r="F64" s="312">
        <f t="shared" si="4"/>
        <v>83.629209092309381</v>
      </c>
      <c r="G64" s="210">
        <v>58</v>
      </c>
      <c r="H64" s="325" t="s">
        <v>1401</v>
      </c>
      <c r="I64" s="253">
        <v>5362</v>
      </c>
      <c r="J64" s="248" t="s">
        <v>821</v>
      </c>
      <c r="K64" s="248" t="s">
        <v>1251</v>
      </c>
      <c r="L64" s="248" t="s">
        <v>217</v>
      </c>
      <c r="M64" s="257">
        <v>9478</v>
      </c>
      <c r="N64" s="249" t="s">
        <v>1402</v>
      </c>
      <c r="O64" s="248" t="s">
        <v>1029</v>
      </c>
      <c r="P64" s="257">
        <v>30766</v>
      </c>
      <c r="Q64" s="249"/>
    </row>
    <row r="65" spans="1:17">
      <c r="A65" s="210">
        <v>59</v>
      </c>
      <c r="B65" s="340">
        <v>5.3703703703703705E-2</v>
      </c>
      <c r="C65" s="217">
        <f t="shared" si="2"/>
        <v>77.333333333333329</v>
      </c>
      <c r="D65" s="217">
        <f t="shared" si="3"/>
        <v>75.7260617799339</v>
      </c>
      <c r="E65" s="232">
        <f>'10K'!$E65*(1-$K$2)+H.Marathon!$E65*$K$2</f>
        <v>0.78286565998395008</v>
      </c>
      <c r="F65" s="312">
        <f t="shared" si="4"/>
        <v>97.9216316119835</v>
      </c>
      <c r="G65" s="210">
        <v>59</v>
      </c>
      <c r="H65" s="325" t="s">
        <v>1403</v>
      </c>
      <c r="I65" s="253">
        <v>4680</v>
      </c>
      <c r="J65" s="256" t="s">
        <v>1026</v>
      </c>
      <c r="K65" s="256" t="s">
        <v>1027</v>
      </c>
      <c r="L65" s="256" t="s">
        <v>217</v>
      </c>
      <c r="M65" s="251">
        <v>23193</v>
      </c>
      <c r="N65" s="253" t="s">
        <v>1404</v>
      </c>
      <c r="O65" s="256" t="s">
        <v>260</v>
      </c>
      <c r="P65" s="251">
        <v>45039</v>
      </c>
      <c r="Q65" s="249"/>
    </row>
    <row r="66" spans="1:17">
      <c r="A66" s="210">
        <v>60</v>
      </c>
      <c r="B66" s="340">
        <v>5.5E-2</v>
      </c>
      <c r="C66" s="217">
        <f t="shared" si="2"/>
        <v>79.2</v>
      </c>
      <c r="D66" s="217">
        <f t="shared" si="3"/>
        <v>76.733524614772577</v>
      </c>
      <c r="E66" s="232">
        <f>'10K'!$E66*(1-$K$2)+H.Marathon!$E66*$K$2</f>
        <v>0.77258712708630395</v>
      </c>
      <c r="F66" s="312">
        <f t="shared" si="4"/>
        <v>96.885763402490625</v>
      </c>
      <c r="G66" s="210">
        <v>60</v>
      </c>
      <c r="H66" s="325" t="s">
        <v>1405</v>
      </c>
      <c r="I66" s="253">
        <v>4752</v>
      </c>
      <c r="J66" s="256" t="s">
        <v>1026</v>
      </c>
      <c r="K66" s="256" t="s">
        <v>1027</v>
      </c>
      <c r="L66" s="248" t="s">
        <v>217</v>
      </c>
      <c r="M66" s="251">
        <v>23193</v>
      </c>
      <c r="N66" s="249" t="s">
        <v>1406</v>
      </c>
      <c r="O66" s="248" t="s">
        <v>962</v>
      </c>
      <c r="P66" s="257">
        <v>45207</v>
      </c>
      <c r="Q66" s="249"/>
    </row>
    <row r="67" spans="1:17">
      <c r="A67" s="210">
        <v>61</v>
      </c>
      <c r="B67" s="340">
        <v>6.0150462962962961E-2</v>
      </c>
      <c r="C67" s="217">
        <f t="shared" si="2"/>
        <v>86.61666666666666</v>
      </c>
      <c r="D67" s="217">
        <f t="shared" si="3"/>
        <v>77.776898199388697</v>
      </c>
      <c r="E67" s="232">
        <f>'10K'!$E67*(1-$K$2)+H.Marathon!$E67*$K$2</f>
        <v>0.76222290559022676</v>
      </c>
      <c r="F67" s="312">
        <f t="shared" si="4"/>
        <v>89.794379295041793</v>
      </c>
      <c r="G67" s="210">
        <v>61</v>
      </c>
      <c r="H67" s="325" t="s">
        <v>1407</v>
      </c>
      <c r="I67" s="253">
        <v>5197</v>
      </c>
      <c r="J67" s="248" t="s">
        <v>1399</v>
      </c>
      <c r="K67" s="248" t="s">
        <v>1400</v>
      </c>
      <c r="L67" s="248" t="s">
        <v>552</v>
      </c>
      <c r="M67" s="257">
        <v>20095</v>
      </c>
      <c r="N67" s="249"/>
      <c r="O67" s="248" t="s">
        <v>1308</v>
      </c>
      <c r="P67" s="257">
        <v>42491</v>
      </c>
      <c r="Q67" s="249"/>
    </row>
    <row r="68" spans="1:17">
      <c r="A68" s="210">
        <v>62</v>
      </c>
      <c r="B68" s="340">
        <v>6.6215277777777776E-2</v>
      </c>
      <c r="C68" s="217">
        <f t="shared" si="2"/>
        <v>95.35</v>
      </c>
      <c r="D68" s="217">
        <f t="shared" si="3"/>
        <v>78.840051852572742</v>
      </c>
      <c r="E68" s="232">
        <f>'10K'!$E68*(1-$K$2)+H.Marathon!$E68*$K$2</f>
        <v>0.75194437269258052</v>
      </c>
      <c r="F68" s="312">
        <f t="shared" si="4"/>
        <v>82.684899688067901</v>
      </c>
      <c r="G68" s="210">
        <v>62</v>
      </c>
      <c r="H68" s="325" t="s">
        <v>1408</v>
      </c>
      <c r="I68" s="253">
        <v>5721</v>
      </c>
      <c r="J68" s="248" t="s">
        <v>1409</v>
      </c>
      <c r="K68" s="248" t="s">
        <v>1410</v>
      </c>
      <c r="L68" s="248" t="s">
        <v>217</v>
      </c>
      <c r="M68" s="257"/>
      <c r="N68" s="248" t="s">
        <v>1353</v>
      </c>
      <c r="O68" s="248" t="s">
        <v>1354</v>
      </c>
      <c r="P68" s="257">
        <v>43710</v>
      </c>
      <c r="Q68" s="249"/>
    </row>
    <row r="69" spans="1:17">
      <c r="A69" s="210">
        <v>63</v>
      </c>
      <c r="B69" s="340">
        <v>6.7025462962962967E-2</v>
      </c>
      <c r="C69" s="217">
        <f t="shared" si="2"/>
        <v>96.51666666666668</v>
      </c>
      <c r="D69" s="217">
        <f t="shared" si="3"/>
        <v>79.941909499172226</v>
      </c>
      <c r="E69" s="232">
        <f>'10K'!$E69*(1-$K$2)+H.Marathon!$E69*$K$2</f>
        <v>0.74158015119650345</v>
      </c>
      <c r="F69" s="312">
        <f t="shared" si="4"/>
        <v>82.827051803666606</v>
      </c>
      <c r="G69" s="210">
        <v>63</v>
      </c>
      <c r="H69" s="325" t="s">
        <v>1411</v>
      </c>
      <c r="I69" s="253">
        <v>5791</v>
      </c>
      <c r="J69" s="248" t="s">
        <v>1412</v>
      </c>
      <c r="K69" s="248" t="s">
        <v>1413</v>
      </c>
      <c r="L69" s="248" t="s">
        <v>217</v>
      </c>
      <c r="M69" s="257">
        <v>6986</v>
      </c>
      <c r="N69" s="248" t="s">
        <v>1414</v>
      </c>
      <c r="O69" s="248" t="s">
        <v>1415</v>
      </c>
      <c r="P69" s="257">
        <v>30051</v>
      </c>
      <c r="Q69" s="249"/>
    </row>
    <row r="70" spans="1:17">
      <c r="A70" s="210">
        <v>64</v>
      </c>
      <c r="B70" s="340">
        <v>6.9305555555555551E-2</v>
      </c>
      <c r="C70" s="217">
        <f t="shared" si="2"/>
        <v>99.8</v>
      </c>
      <c r="D70" s="217">
        <f t="shared" si="3"/>
        <v>81.06470951948728</v>
      </c>
      <c r="E70" s="232">
        <f>'10K'!$E70*(1-$K$2)+H.Marathon!$E70*$K$2</f>
        <v>0.73130877399964178</v>
      </c>
      <c r="F70" s="312">
        <f t="shared" si="4"/>
        <v>81.227163847181643</v>
      </c>
      <c r="G70" s="210">
        <v>64</v>
      </c>
      <c r="H70" s="325" t="s">
        <v>1416</v>
      </c>
      <c r="I70" s="253">
        <v>5988</v>
      </c>
      <c r="J70" s="248" t="s">
        <v>1417</v>
      </c>
      <c r="K70" s="248" t="s">
        <v>1418</v>
      </c>
      <c r="L70" s="248" t="s">
        <v>217</v>
      </c>
      <c r="M70" s="257">
        <v>15383</v>
      </c>
      <c r="N70" s="249" t="s">
        <v>1419</v>
      </c>
      <c r="O70" s="248" t="s">
        <v>1420</v>
      </c>
      <c r="P70" s="257">
        <v>38902</v>
      </c>
      <c r="Q70" s="249"/>
    </row>
    <row r="71" spans="1:17">
      <c r="A71" s="210">
        <v>65</v>
      </c>
      <c r="B71" s="340">
        <v>6.0937499999999999E-2</v>
      </c>
      <c r="C71" s="217">
        <f t="shared" si="2"/>
        <v>87.75</v>
      </c>
      <c r="D71" s="217">
        <f t="shared" si="3"/>
        <v>82.230903260454539</v>
      </c>
      <c r="E71" s="232">
        <f>'10K'!$E71*(1-$K$2)+H.Marathon!$E71*$K$2</f>
        <v>0.72093739680278002</v>
      </c>
      <c r="F71" s="312">
        <f t="shared" si="4"/>
        <v>93.710431066045061</v>
      </c>
      <c r="G71" s="210">
        <v>65</v>
      </c>
      <c r="H71" s="325" t="s">
        <v>1421</v>
      </c>
      <c r="I71" s="253">
        <v>5265</v>
      </c>
      <c r="J71" s="248" t="s">
        <v>335</v>
      </c>
      <c r="K71" s="248" t="s">
        <v>336</v>
      </c>
      <c r="L71" s="248" t="s">
        <v>217</v>
      </c>
      <c r="M71" s="257">
        <v>18901</v>
      </c>
      <c r="N71" s="249" t="s">
        <v>1422</v>
      </c>
      <c r="O71" s="248" t="s">
        <v>1423</v>
      </c>
      <c r="P71" s="257">
        <v>42799</v>
      </c>
      <c r="Q71" s="249"/>
    </row>
    <row r="72" spans="1:17">
      <c r="A72" s="210">
        <v>66</v>
      </c>
      <c r="B72" s="340">
        <v>6.969907407407408E-2</v>
      </c>
      <c r="C72" s="217">
        <f t="shared" si="2"/>
        <v>100.36666666666667</v>
      </c>
      <c r="D72" s="217">
        <f t="shared" si="3"/>
        <v>83.419400531078409</v>
      </c>
      <c r="E72" s="232">
        <f>'10K'!$E72*(1-$K$2)+H.Marathon!$E72*$K$2</f>
        <v>0.71066601960591846</v>
      </c>
      <c r="F72" s="312">
        <f t="shared" si="4"/>
        <v>83.114646826049551</v>
      </c>
      <c r="G72" s="210">
        <v>66</v>
      </c>
      <c r="H72" s="325" t="s">
        <v>1424</v>
      </c>
      <c r="I72" s="253">
        <v>6022</v>
      </c>
      <c r="J72" s="248" t="s">
        <v>1425</v>
      </c>
      <c r="K72" s="248" t="s">
        <v>1426</v>
      </c>
      <c r="L72" s="248" t="s">
        <v>217</v>
      </c>
      <c r="M72" s="257">
        <v>13405</v>
      </c>
      <c r="N72" s="249" t="s">
        <v>1300</v>
      </c>
      <c r="O72" s="248" t="s">
        <v>1301</v>
      </c>
      <c r="P72" s="257">
        <v>37793</v>
      </c>
      <c r="Q72" s="249"/>
    </row>
    <row r="73" spans="1:17">
      <c r="A73" s="210">
        <v>67</v>
      </c>
      <c r="B73" s="340">
        <v>7.1412037037037038E-2</v>
      </c>
      <c r="C73" s="217">
        <f t="shared" si="2"/>
        <v>102.83333333333333</v>
      </c>
      <c r="D73" s="217">
        <f t="shared" si="3"/>
        <v>84.6548434661659</v>
      </c>
      <c r="E73" s="232">
        <f>'10K'!$E73*(1-$K$2)+H.Marathon!$E73*$K$2</f>
        <v>0.70029464240905681</v>
      </c>
      <c r="F73" s="312">
        <f t="shared" si="4"/>
        <v>82.322376142138637</v>
      </c>
      <c r="G73" s="210">
        <v>67</v>
      </c>
      <c r="H73" s="325" t="s">
        <v>1427</v>
      </c>
      <c r="I73" s="253">
        <v>6170</v>
      </c>
      <c r="J73" s="256" t="s">
        <v>1428</v>
      </c>
      <c r="K73" s="256" t="s">
        <v>1429</v>
      </c>
      <c r="L73" s="256" t="s">
        <v>217</v>
      </c>
      <c r="M73" s="257">
        <v>7758</v>
      </c>
      <c r="N73" s="344" t="s">
        <v>1430</v>
      </c>
      <c r="O73" s="344" t="s">
        <v>1431</v>
      </c>
      <c r="P73" s="345">
        <v>32320</v>
      </c>
      <c r="Q73" s="249"/>
    </row>
    <row r="74" spans="1:17">
      <c r="A74" s="210">
        <v>68</v>
      </c>
      <c r="B74" s="340">
        <v>7.6296296296296293E-2</v>
      </c>
      <c r="C74" s="217">
        <f t="shared" si="2"/>
        <v>109.86666666666666</v>
      </c>
      <c r="D74" s="217">
        <f t="shared" si="3"/>
        <v>85.914977540797281</v>
      </c>
      <c r="E74" s="232">
        <f>'10K'!$E74*(1-$K$2)+H.Marathon!$E74*$K$2</f>
        <v>0.69002326521219493</v>
      </c>
      <c r="F74" s="312">
        <f t="shared" si="4"/>
        <v>78.199312082036371</v>
      </c>
      <c r="G74" s="210">
        <v>68</v>
      </c>
      <c r="H74" s="346" t="s">
        <v>1432</v>
      </c>
      <c r="I74" s="253">
        <v>6592</v>
      </c>
      <c r="J74" s="256" t="s">
        <v>1428</v>
      </c>
      <c r="K74" s="256" t="s">
        <v>1429</v>
      </c>
      <c r="L74" s="256" t="s">
        <v>217</v>
      </c>
      <c r="M74" s="257">
        <v>7758</v>
      </c>
      <c r="N74" s="344" t="s">
        <v>1430</v>
      </c>
      <c r="O74" s="344" t="s">
        <v>1431</v>
      </c>
      <c r="P74" s="345">
        <v>32698</v>
      </c>
      <c r="Q74" s="249"/>
    </row>
    <row r="75" spans="1:17">
      <c r="A75" s="210">
        <v>69</v>
      </c>
      <c r="B75" s="340">
        <v>7.3287037037037039E-2</v>
      </c>
      <c r="C75" s="217">
        <f t="shared" si="2"/>
        <v>105.53333333333333</v>
      </c>
      <c r="D75" s="217">
        <f t="shared" ref="D75:D106" si="5">E$4/E75</f>
        <v>87.225107767557304</v>
      </c>
      <c r="E75" s="232">
        <f>'10K'!$E75*(1-$K$2)+H.Marathon!$E75*$K$2</f>
        <v>0.67965904371611796</v>
      </c>
      <c r="F75" s="312">
        <f t="shared" si="4"/>
        <v>82.651712982524288</v>
      </c>
      <c r="G75" s="210">
        <v>69</v>
      </c>
      <c r="H75" s="325" t="s">
        <v>1433</v>
      </c>
      <c r="I75" s="253">
        <v>6332</v>
      </c>
      <c r="J75" s="248" t="s">
        <v>1434</v>
      </c>
      <c r="K75" s="248" t="s">
        <v>1435</v>
      </c>
      <c r="L75" s="256" t="s">
        <v>217</v>
      </c>
      <c r="M75" s="257">
        <v>14825</v>
      </c>
      <c r="N75" s="249" t="s">
        <v>1353</v>
      </c>
      <c r="O75" s="248" t="s">
        <v>1436</v>
      </c>
      <c r="P75" s="257">
        <v>40063</v>
      </c>
      <c r="Q75" s="249"/>
    </row>
    <row r="76" spans="1:17">
      <c r="A76" s="210">
        <v>70</v>
      </c>
      <c r="B76" s="340">
        <v>6.5694444444444444E-2</v>
      </c>
      <c r="C76" s="217">
        <f t="shared" si="2"/>
        <v>94.6</v>
      </c>
      <c r="D76" s="217">
        <f t="shared" si="5"/>
        <v>88.564474727305424</v>
      </c>
      <c r="E76" s="232">
        <f>'10K'!$E76*(1-$K$2)+H.Marathon!$E76*$K$2</f>
        <v>0.66938051081847172</v>
      </c>
      <c r="F76" s="312">
        <f t="shared" si="4"/>
        <v>93.619952143028996</v>
      </c>
      <c r="G76" s="210">
        <v>70</v>
      </c>
      <c r="H76" s="325" t="s">
        <v>1437</v>
      </c>
      <c r="I76" s="253">
        <v>5676</v>
      </c>
      <c r="J76" s="248" t="s">
        <v>357</v>
      </c>
      <c r="K76" s="248" t="s">
        <v>358</v>
      </c>
      <c r="L76" s="256" t="s">
        <v>217</v>
      </c>
      <c r="M76" s="257">
        <v>17637</v>
      </c>
      <c r="N76" s="249" t="s">
        <v>1406</v>
      </c>
      <c r="O76" s="248" t="s">
        <v>962</v>
      </c>
      <c r="P76" s="257">
        <v>43380</v>
      </c>
      <c r="Q76" s="249"/>
    </row>
    <row r="77" spans="1:17">
      <c r="A77" s="210">
        <v>71</v>
      </c>
      <c r="B77" s="340">
        <v>8.1145833333333334E-2</v>
      </c>
      <c r="C77" s="217">
        <f t="shared" si="2"/>
        <v>116.85</v>
      </c>
      <c r="D77" s="217">
        <f t="shared" si="5"/>
        <v>89.957311061747617</v>
      </c>
      <c r="E77" s="232">
        <f>'10K'!$E77*(1-$K$2)+H.Marathon!$E77*$K$2</f>
        <v>0.65901628932239475</v>
      </c>
      <c r="F77" s="312">
        <f t="shared" ref="F77:F83" si="6">100*(D77/C77)</f>
        <v>76.985289740477214</v>
      </c>
      <c r="G77" s="210">
        <v>71</v>
      </c>
      <c r="H77" s="325" t="s">
        <v>1438</v>
      </c>
      <c r="I77" s="253">
        <v>7011</v>
      </c>
      <c r="J77" s="347" t="s">
        <v>1439</v>
      </c>
      <c r="K77" s="347" t="s">
        <v>1440</v>
      </c>
      <c r="L77" s="256" t="s">
        <v>217</v>
      </c>
      <c r="M77" s="257">
        <v>8453</v>
      </c>
      <c r="N77" s="249" t="s">
        <v>1441</v>
      </c>
      <c r="O77" s="248" t="s">
        <v>1442</v>
      </c>
      <c r="P77" s="257">
        <v>34552</v>
      </c>
      <c r="Q77" s="249"/>
    </row>
    <row r="78" spans="1:17">
      <c r="A78" s="210">
        <v>72</v>
      </c>
      <c r="B78" s="340">
        <v>8.4120370370370373E-2</v>
      </c>
      <c r="C78" s="217">
        <f t="shared" ref="C78:C86" si="7">B78*1440</f>
        <v>121.13333333333334</v>
      </c>
      <c r="D78" s="217">
        <f t="shared" si="5"/>
        <v>91.382585253013602</v>
      </c>
      <c r="E78" s="232">
        <f>'10K'!$E78*(1-$K$2)+H.Marathon!$E78*$K$2</f>
        <v>0.64873775642474829</v>
      </c>
      <c r="F78" s="312">
        <f t="shared" si="6"/>
        <v>75.439668618338146</v>
      </c>
      <c r="G78" s="210">
        <v>72</v>
      </c>
      <c r="H78" s="325" t="s">
        <v>1443</v>
      </c>
      <c r="I78" s="253">
        <v>7268</v>
      </c>
      <c r="J78" s="347" t="s">
        <v>377</v>
      </c>
      <c r="K78" s="347" t="s">
        <v>378</v>
      </c>
      <c r="L78" s="256" t="s">
        <v>217</v>
      </c>
      <c r="M78" s="257">
        <v>3552</v>
      </c>
      <c r="N78" s="249" t="s">
        <v>1444</v>
      </c>
      <c r="O78" s="248" t="s">
        <v>865</v>
      </c>
      <c r="P78" s="257">
        <v>29870</v>
      </c>
      <c r="Q78" s="249"/>
    </row>
    <row r="79" spans="1:17">
      <c r="A79" s="210">
        <v>73</v>
      </c>
      <c r="B79" s="340">
        <v>8.3020833333333335E-2</v>
      </c>
      <c r="C79" s="217">
        <f t="shared" si="7"/>
        <v>119.55</v>
      </c>
      <c r="D79" s="217">
        <f t="shared" si="5"/>
        <v>92.866214041842085</v>
      </c>
      <c r="E79" s="232">
        <f>'10K'!$E79*(1-$K$2)+H.Marathon!$E79*$K$2</f>
        <v>0.63837353492867122</v>
      </c>
      <c r="F79" s="312">
        <f t="shared" si="6"/>
        <v>77.679810992757908</v>
      </c>
      <c r="G79" s="210">
        <v>73</v>
      </c>
      <c r="H79" s="325" t="s">
        <v>1445</v>
      </c>
      <c r="I79" s="253">
        <v>7173</v>
      </c>
      <c r="J79" s="347" t="s">
        <v>377</v>
      </c>
      <c r="K79" s="347" t="s">
        <v>378</v>
      </c>
      <c r="L79" s="256" t="s">
        <v>217</v>
      </c>
      <c r="M79" s="257">
        <v>3552</v>
      </c>
      <c r="N79" s="249" t="s">
        <v>1444</v>
      </c>
      <c r="O79" s="248" t="s">
        <v>865</v>
      </c>
      <c r="P79" s="257">
        <v>30234</v>
      </c>
      <c r="Q79" s="249"/>
    </row>
    <row r="80" spans="1:17">
      <c r="A80" s="210">
        <v>74</v>
      </c>
      <c r="B80" s="340">
        <v>7.9826388888888891E-2</v>
      </c>
      <c r="C80" s="217">
        <f t="shared" si="7"/>
        <v>114.95</v>
      </c>
      <c r="D80" s="217">
        <f t="shared" si="5"/>
        <v>94.384858583221799</v>
      </c>
      <c r="E80" s="232">
        <f>'10K'!$E80*(1-$K$2)+H.Marathon!$E80*$K$2</f>
        <v>0.62810215773180966</v>
      </c>
      <c r="F80" s="312">
        <f t="shared" si="6"/>
        <v>82.109489850562682</v>
      </c>
      <c r="G80" s="210">
        <v>74</v>
      </c>
      <c r="H80" s="325" t="s">
        <v>1446</v>
      </c>
      <c r="I80" s="253">
        <v>6897</v>
      </c>
      <c r="J80" s="347" t="s">
        <v>382</v>
      </c>
      <c r="K80" s="347" t="s">
        <v>383</v>
      </c>
      <c r="L80" s="256" t="s">
        <v>217</v>
      </c>
      <c r="M80" s="257">
        <v>2522</v>
      </c>
      <c r="N80" s="249" t="s">
        <v>1447</v>
      </c>
      <c r="O80" s="248" t="s">
        <v>1448</v>
      </c>
      <c r="P80" s="257">
        <v>29729</v>
      </c>
      <c r="Q80" s="249"/>
    </row>
    <row r="81" spans="1:17">
      <c r="A81" s="210">
        <v>75</v>
      </c>
      <c r="B81" s="340">
        <v>6.789351851851852E-2</v>
      </c>
      <c r="C81" s="217">
        <f t="shared" si="7"/>
        <v>97.766666666666666</v>
      </c>
      <c r="D81" s="217">
        <f t="shared" si="5"/>
        <v>95.969531066583116</v>
      </c>
      <c r="E81" s="232">
        <f>'10K'!$E81*(1-$K$2)+H.Marathon!$E81*$K$2</f>
        <v>0.61773078053494801</v>
      </c>
      <c r="F81" s="312">
        <f t="shared" si="6"/>
        <v>98.161811523951357</v>
      </c>
      <c r="G81" s="210">
        <v>75</v>
      </c>
      <c r="H81" s="325" t="s">
        <v>1449</v>
      </c>
      <c r="I81" s="253">
        <v>5866</v>
      </c>
      <c r="J81" s="248" t="s">
        <v>357</v>
      </c>
      <c r="K81" s="248" t="s">
        <v>358</v>
      </c>
      <c r="L81" s="256" t="s">
        <v>217</v>
      </c>
      <c r="M81" s="257">
        <v>17637</v>
      </c>
      <c r="N81" s="249" t="s">
        <v>1406</v>
      </c>
      <c r="O81" s="248" t="s">
        <v>962</v>
      </c>
      <c r="P81" s="257">
        <v>45207</v>
      </c>
      <c r="Q81" s="249"/>
    </row>
    <row r="82" spans="1:17">
      <c r="A82" s="210">
        <v>76</v>
      </c>
      <c r="B82" s="340">
        <v>8.098379629629629E-2</v>
      </c>
      <c r="C82" s="217">
        <f t="shared" si="7"/>
        <v>116.61666666666666</v>
      </c>
      <c r="D82" s="217">
        <f t="shared" si="5"/>
        <v>97.641627061467759</v>
      </c>
      <c r="E82" s="232">
        <f>'10K'!$E82*(1-$K$2)+H.Marathon!$E82*$K$2</f>
        <v>0.60715224763730169</v>
      </c>
      <c r="F82" s="312">
        <f t="shared" si="6"/>
        <v>83.728706927083977</v>
      </c>
      <c r="G82" s="210">
        <v>76</v>
      </c>
      <c r="H82" s="325" t="s">
        <v>1450</v>
      </c>
      <c r="I82" s="253">
        <v>6997</v>
      </c>
      <c r="J82" s="347" t="s">
        <v>382</v>
      </c>
      <c r="K82" s="347" t="s">
        <v>383</v>
      </c>
      <c r="L82" s="256" t="s">
        <v>217</v>
      </c>
      <c r="M82" s="257">
        <v>2522</v>
      </c>
      <c r="N82" s="249" t="s">
        <v>1447</v>
      </c>
      <c r="O82" s="248" t="s">
        <v>1448</v>
      </c>
      <c r="P82" s="257">
        <v>30457</v>
      </c>
      <c r="Q82" s="249"/>
    </row>
    <row r="83" spans="1:17">
      <c r="A83" s="210">
        <v>77</v>
      </c>
      <c r="B83" s="340">
        <v>7.8437499999999993E-2</v>
      </c>
      <c r="C83" s="217">
        <f t="shared" si="7"/>
        <v>112.94999999999999</v>
      </c>
      <c r="D83" s="217">
        <f t="shared" si="5"/>
        <v>99.506460031119857</v>
      </c>
      <c r="E83" s="232">
        <f>'10K'!$E83*(1-$K$2)+H.Marathon!$E83*$K$2</f>
        <v>0.59577371473965546</v>
      </c>
      <c r="F83" s="312">
        <f t="shared" si="6"/>
        <v>88.097795512279646</v>
      </c>
      <c r="G83" s="210">
        <v>77</v>
      </c>
      <c r="H83" s="325" t="s">
        <v>1451</v>
      </c>
      <c r="I83" s="253">
        <v>6777</v>
      </c>
      <c r="J83" s="347" t="s">
        <v>382</v>
      </c>
      <c r="K83" s="347" t="s">
        <v>383</v>
      </c>
      <c r="L83" s="256" t="s">
        <v>217</v>
      </c>
      <c r="M83" s="257">
        <v>2522</v>
      </c>
      <c r="N83" s="249" t="s">
        <v>1447</v>
      </c>
      <c r="O83" s="248" t="s">
        <v>1448</v>
      </c>
      <c r="P83" s="257">
        <v>30828</v>
      </c>
      <c r="Q83" s="249"/>
    </row>
    <row r="84" spans="1:17">
      <c r="A84" s="210">
        <v>78</v>
      </c>
      <c r="B84" s="348" t="s">
        <v>1454</v>
      </c>
      <c r="C84" s="217"/>
      <c r="D84" s="217">
        <f t="shared" si="5"/>
        <v>101.59789004252976</v>
      </c>
      <c r="E84" s="232">
        <f>'10K'!$E84*(1-$K$2)+H.Marathon!$E84*$K$2</f>
        <v>0.58350949324357837</v>
      </c>
      <c r="F84" s="312"/>
      <c r="G84" s="210">
        <v>78</v>
      </c>
      <c r="H84" s="266"/>
      <c r="I84" s="210"/>
      <c r="J84" s="210"/>
      <c r="K84" s="210"/>
      <c r="L84" s="210"/>
      <c r="M84" s="210"/>
      <c r="N84" s="210"/>
      <c r="O84" s="210"/>
      <c r="P84" s="210"/>
      <c r="Q84" s="249"/>
    </row>
    <row r="85" spans="1:17">
      <c r="A85" s="210">
        <v>79</v>
      </c>
      <c r="B85" s="348" t="s">
        <v>1454</v>
      </c>
      <c r="C85" s="217"/>
      <c r="D85" s="217">
        <f t="shared" si="5"/>
        <v>103.90775246377949</v>
      </c>
      <c r="E85" s="232">
        <f>'10K'!$E85*(1-$K$2)+H.Marathon!$E85*$K$2</f>
        <v>0.57053811604671667</v>
      </c>
      <c r="F85" s="312"/>
      <c r="G85" s="210">
        <v>79</v>
      </c>
      <c r="H85" s="341"/>
      <c r="I85" s="210"/>
      <c r="J85" s="210"/>
      <c r="K85" s="210"/>
      <c r="L85" s="210"/>
      <c r="M85" s="210"/>
      <c r="N85" s="210"/>
      <c r="O85" s="210"/>
      <c r="P85" s="210"/>
      <c r="Q85" s="210"/>
    </row>
    <row r="86" spans="1:17">
      <c r="A86" s="210">
        <v>80</v>
      </c>
      <c r="B86" s="340">
        <v>0.1017824074074074</v>
      </c>
      <c r="C86" s="217">
        <f t="shared" si="7"/>
        <v>146.56666666666666</v>
      </c>
      <c r="D86" s="217">
        <f t="shared" si="5"/>
        <v>106.47786442092126</v>
      </c>
      <c r="E86" s="232">
        <f>'10K'!$E86*(1-$K$2)+H.Marathon!$E86*$K$2</f>
        <v>0.55676673884985495</v>
      </c>
      <c r="F86" s="312">
        <f>100*(D86/C86)</f>
        <v>72.648076702925593</v>
      </c>
      <c r="G86" s="210">
        <v>80</v>
      </c>
      <c r="H86" s="325" t="s">
        <v>1452</v>
      </c>
      <c r="I86" s="253">
        <v>8794</v>
      </c>
      <c r="J86" s="347" t="s">
        <v>639</v>
      </c>
      <c r="K86" s="347" t="s">
        <v>640</v>
      </c>
      <c r="L86" s="256" t="s">
        <v>217</v>
      </c>
      <c r="M86" s="257">
        <v>535</v>
      </c>
      <c r="N86" s="249" t="s">
        <v>1453</v>
      </c>
      <c r="O86" s="249" t="s">
        <v>401</v>
      </c>
      <c r="P86" s="257">
        <v>30016</v>
      </c>
      <c r="Q86" s="210"/>
    </row>
    <row r="87" spans="1:17">
      <c r="A87" s="210">
        <v>81</v>
      </c>
      <c r="B87" s="339"/>
      <c r="C87" s="217"/>
      <c r="D87" s="217">
        <f t="shared" si="5"/>
        <v>109.35671558726563</v>
      </c>
      <c r="E87" s="232">
        <f>'10K'!$E87*(1-$K$2)+H.Marathon!$E87*$K$2</f>
        <v>0.54210967305456237</v>
      </c>
      <c r="F87" s="312"/>
      <c r="G87" s="210">
        <v>81</v>
      </c>
      <c r="H87" s="266"/>
      <c r="I87" s="210"/>
      <c r="J87" s="210"/>
      <c r="K87" s="210"/>
      <c r="L87" s="210"/>
      <c r="M87" s="210"/>
      <c r="N87" s="210"/>
      <c r="O87" s="210"/>
      <c r="P87" s="210"/>
      <c r="Q87" s="210"/>
    </row>
    <row r="88" spans="1:17">
      <c r="A88" s="210">
        <v>82</v>
      </c>
      <c r="B88" s="339"/>
      <c r="C88" s="217"/>
      <c r="D88" s="217">
        <f t="shared" si="5"/>
        <v>112.54645513868481</v>
      </c>
      <c r="E88" s="232">
        <f>'10K'!$E88*(1-$K$2)+H.Marathon!$E88*$K$2</f>
        <v>0.52674545155848529</v>
      </c>
      <c r="F88" s="312"/>
      <c r="G88" s="210">
        <v>82</v>
      </c>
      <c r="H88" s="266"/>
      <c r="I88" s="210"/>
      <c r="J88" s="210"/>
      <c r="K88" s="210"/>
      <c r="L88" s="210"/>
      <c r="M88" s="210"/>
      <c r="N88" s="210"/>
      <c r="O88" s="210"/>
      <c r="P88" s="210"/>
      <c r="Q88" s="210"/>
    </row>
    <row r="89" spans="1:17">
      <c r="A89" s="210">
        <v>83</v>
      </c>
      <c r="B89" s="339"/>
      <c r="C89" s="217"/>
      <c r="D89" s="217">
        <f t="shared" si="5"/>
        <v>116.10787668959729</v>
      </c>
      <c r="E89" s="232">
        <f>'10K'!$E89*(1-$K$2)+H.Marathon!$E89*$K$2</f>
        <v>0.51058838576319288</v>
      </c>
      <c r="F89" s="312"/>
      <c r="G89" s="210">
        <v>83</v>
      </c>
      <c r="H89" s="266"/>
      <c r="I89" s="210"/>
      <c r="J89" s="210"/>
      <c r="K89" s="210"/>
      <c r="L89" s="210"/>
      <c r="M89" s="210"/>
      <c r="N89" s="210"/>
      <c r="O89" s="210"/>
      <c r="P89" s="210"/>
      <c r="Q89" s="210"/>
    </row>
    <row r="90" spans="1:17">
      <c r="A90" s="210">
        <v>84</v>
      </c>
      <c r="B90" s="339"/>
      <c r="C90" s="217"/>
      <c r="D90" s="217">
        <f t="shared" si="5"/>
        <v>120.09637746889398</v>
      </c>
      <c r="E90" s="232">
        <f>'10K'!$E90*(1-$K$2)+H.Marathon!$E90*$K$2</f>
        <v>0.49363131996790027</v>
      </c>
      <c r="F90" s="312"/>
      <c r="G90" s="210">
        <v>84</v>
      </c>
      <c r="H90" s="266"/>
      <c r="I90" s="210"/>
      <c r="J90" s="210"/>
      <c r="K90" s="210"/>
      <c r="L90" s="210"/>
      <c r="M90" s="210"/>
      <c r="N90" s="210"/>
      <c r="O90" s="210"/>
      <c r="P90" s="210"/>
      <c r="Q90" s="210"/>
    </row>
    <row r="91" spans="1:17">
      <c r="A91" s="210">
        <v>85</v>
      </c>
      <c r="B91" s="339"/>
      <c r="C91" s="217"/>
      <c r="D91" s="217">
        <f t="shared" si="5"/>
        <v>124.60203804328735</v>
      </c>
      <c r="E91" s="232">
        <f>'10K'!$E91*(1-$K$2)+H.Marathon!$E91*$K$2</f>
        <v>0.4757814098733924</v>
      </c>
      <c r="F91" s="312"/>
      <c r="G91" s="210">
        <v>85</v>
      </c>
      <c r="H91" s="266"/>
      <c r="I91" s="210"/>
      <c r="J91" s="210"/>
      <c r="K91" s="210"/>
      <c r="L91" s="210"/>
      <c r="M91" s="210"/>
      <c r="N91" s="210"/>
      <c r="O91" s="210"/>
      <c r="P91" s="210"/>
      <c r="Q91" s="210"/>
    </row>
    <row r="92" spans="1:17">
      <c r="A92" s="210">
        <v>86</v>
      </c>
      <c r="B92" s="339"/>
      <c r="C92" s="217"/>
      <c r="D92" s="217">
        <f t="shared" si="5"/>
        <v>129.65715039756128</v>
      </c>
      <c r="E92" s="232">
        <f>'10K'!$E92*(1-$K$2)+H.Marathon!$E92*$K$2</f>
        <v>0.45723149977888444</v>
      </c>
      <c r="F92" s="312"/>
      <c r="G92" s="210">
        <v>86</v>
      </c>
      <c r="H92" s="266"/>
      <c r="I92" s="210"/>
      <c r="J92" s="210"/>
      <c r="K92" s="210"/>
      <c r="L92" s="210"/>
      <c r="M92" s="210"/>
      <c r="N92" s="210"/>
      <c r="O92" s="210"/>
      <c r="P92" s="210"/>
      <c r="Q92" s="210"/>
    </row>
    <row r="93" spans="1:17">
      <c r="A93" s="210">
        <v>87</v>
      </c>
      <c r="B93" s="339"/>
      <c r="C93" s="217"/>
      <c r="D93" s="217">
        <f t="shared" si="5"/>
        <v>135.38667696914263</v>
      </c>
      <c r="E93" s="232">
        <f>'10K'!$E93*(1-$K$2)+H.Marathon!$E93*$K$2</f>
        <v>0.43788158968437646</v>
      </c>
      <c r="F93" s="312"/>
      <c r="G93" s="210">
        <v>87</v>
      </c>
      <c r="H93" s="266"/>
      <c r="I93" s="210"/>
      <c r="J93" s="210"/>
      <c r="K93" s="210"/>
      <c r="L93" s="210"/>
      <c r="M93" s="210"/>
      <c r="N93" s="210"/>
      <c r="O93" s="210"/>
      <c r="P93" s="210"/>
      <c r="Q93" s="210"/>
    </row>
    <row r="94" spans="1:17">
      <c r="A94" s="210">
        <v>88</v>
      </c>
      <c r="B94" s="339"/>
      <c r="C94" s="217"/>
      <c r="D94" s="217">
        <f t="shared" si="5"/>
        <v>141.94637231546827</v>
      </c>
      <c r="E94" s="232">
        <f>'10K'!$E94*(1-$K$2)+H.Marathon!$E94*$K$2</f>
        <v>0.41764599099143773</v>
      </c>
      <c r="F94" s="312"/>
      <c r="G94" s="210">
        <v>88</v>
      </c>
      <c r="H94" s="266"/>
      <c r="I94" s="210"/>
      <c r="J94" s="210"/>
      <c r="K94" s="210"/>
      <c r="L94" s="210"/>
      <c r="M94" s="210"/>
      <c r="N94" s="210"/>
      <c r="O94" s="210"/>
      <c r="P94" s="210"/>
      <c r="Q94" s="210"/>
    </row>
    <row r="95" spans="1:17">
      <c r="A95" s="210">
        <v>89</v>
      </c>
      <c r="B95" s="349"/>
      <c r="C95" s="217"/>
      <c r="D95" s="217">
        <f t="shared" si="5"/>
        <v>149.44000417483588</v>
      </c>
      <c r="E95" s="232">
        <f>'10K'!$E95*(1-$K$2)+H.Marathon!$E95*$K$2</f>
        <v>0.39670323659771434</v>
      </c>
      <c r="F95" s="312"/>
      <c r="G95" s="210">
        <v>89</v>
      </c>
      <c r="H95" s="266"/>
      <c r="I95" s="210"/>
      <c r="J95" s="210"/>
      <c r="K95" s="210"/>
      <c r="L95" s="210"/>
      <c r="M95" s="210"/>
      <c r="N95" s="210"/>
      <c r="O95" s="210"/>
      <c r="P95" s="210"/>
      <c r="Q95" s="210"/>
    </row>
    <row r="96" spans="1:17">
      <c r="A96" s="210">
        <v>90</v>
      </c>
      <c r="B96" s="349"/>
      <c r="C96" s="217"/>
      <c r="D96" s="217">
        <f t="shared" si="5"/>
        <v>158.10555017656824</v>
      </c>
      <c r="E96" s="232">
        <f>'10K'!$E96*(1-$K$2)+H.Marathon!$E96*$K$2</f>
        <v>0.37496048220399103</v>
      </c>
      <c r="F96" s="312"/>
      <c r="G96" s="210">
        <v>90</v>
      </c>
      <c r="H96" s="266"/>
      <c r="I96" s="210"/>
      <c r="J96" s="210"/>
      <c r="K96" s="210"/>
      <c r="L96" s="210"/>
      <c r="M96" s="210"/>
      <c r="N96" s="210"/>
      <c r="O96" s="210"/>
      <c r="P96" s="210"/>
      <c r="Q96" s="210"/>
    </row>
    <row r="97" spans="1:17">
      <c r="A97" s="210">
        <v>91</v>
      </c>
      <c r="B97" s="338"/>
      <c r="C97" s="217"/>
      <c r="D97" s="217">
        <f t="shared" si="5"/>
        <v>168.25984223844515</v>
      </c>
      <c r="E97" s="232">
        <f>'10K'!$E97*(1-$K$2)+H.Marathon!$E97*$K$2</f>
        <v>0.35233203921183681</v>
      </c>
      <c r="F97" s="312"/>
      <c r="G97" s="210">
        <v>91</v>
      </c>
      <c r="H97" s="266"/>
      <c r="I97" s="210"/>
      <c r="J97" s="210"/>
      <c r="K97" s="210"/>
      <c r="L97" s="210"/>
      <c r="M97" s="210"/>
      <c r="N97" s="210"/>
      <c r="O97" s="210"/>
      <c r="P97" s="210"/>
      <c r="Q97" s="210"/>
    </row>
    <row r="98" spans="1:17">
      <c r="A98" s="210">
        <v>92</v>
      </c>
      <c r="B98" s="338"/>
      <c r="C98" s="217"/>
      <c r="D98" s="217">
        <f t="shared" si="5"/>
        <v>180.19445207319197</v>
      </c>
      <c r="E98" s="232">
        <f>'10K'!$E98*(1-$K$2)+H.Marathon!$E98*$K$2</f>
        <v>0.32899644051889809</v>
      </c>
      <c r="F98" s="312"/>
      <c r="G98" s="210">
        <v>92</v>
      </c>
      <c r="H98" s="266"/>
      <c r="I98" s="210"/>
      <c r="J98" s="210"/>
      <c r="K98" s="210"/>
      <c r="L98" s="210"/>
      <c r="M98" s="210"/>
      <c r="N98" s="210"/>
      <c r="O98" s="210"/>
      <c r="P98" s="210"/>
      <c r="Q98" s="210"/>
    </row>
    <row r="99" spans="1:17">
      <c r="A99" s="210">
        <v>93</v>
      </c>
      <c r="B99" s="338"/>
      <c r="C99" s="217"/>
      <c r="D99" s="217">
        <f t="shared" si="5"/>
        <v>194.45574417214067</v>
      </c>
      <c r="E99" s="232">
        <f>'10K'!$E99*(1-$K$2)+H.Marathon!$E99*$K$2</f>
        <v>0.30486799752674393</v>
      </c>
      <c r="F99" s="312"/>
      <c r="G99" s="210">
        <v>93</v>
      </c>
      <c r="H99" s="266"/>
      <c r="I99" s="210"/>
      <c r="J99" s="210"/>
      <c r="K99" s="210"/>
      <c r="L99" s="210"/>
      <c r="M99" s="210"/>
      <c r="N99" s="210"/>
      <c r="O99" s="210"/>
      <c r="P99" s="210"/>
      <c r="Q99" s="210"/>
    </row>
    <row r="100" spans="1:17">
      <c r="A100" s="210">
        <v>94</v>
      </c>
      <c r="B100" s="338"/>
      <c r="C100" s="217"/>
      <c r="D100" s="217">
        <f t="shared" si="5"/>
        <v>211.7719070886362</v>
      </c>
      <c r="E100" s="232">
        <f>'10K'!$E100*(1-$K$2)+H.Marathon!$E100*$K$2</f>
        <v>0.27993955453458969</v>
      </c>
      <c r="F100" s="312"/>
      <c r="G100" s="210">
        <v>94</v>
      </c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</row>
    <row r="101" spans="1:17">
      <c r="A101" s="210">
        <v>95</v>
      </c>
      <c r="B101" s="338"/>
      <c r="C101" s="217"/>
      <c r="D101" s="217">
        <f t="shared" si="5"/>
        <v>233.29032570725201</v>
      </c>
      <c r="E101" s="232">
        <f>'10K'!$E101*(1-$K$2)+H.Marathon!$E101*$K$2</f>
        <v>0.25411826724322012</v>
      </c>
      <c r="F101" s="312"/>
      <c r="G101" s="210">
        <v>95</v>
      </c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</row>
    <row r="102" spans="1:17">
      <c r="A102" s="210">
        <v>96</v>
      </c>
      <c r="B102" s="338"/>
      <c r="C102" s="217"/>
      <c r="D102" s="217">
        <f t="shared" si="5"/>
        <v>260.47504385108749</v>
      </c>
      <c r="E102" s="232">
        <f>'10K'!$E102*(1-$K$2)+H.Marathon!$E102*$K$2</f>
        <v>0.22759697995185046</v>
      </c>
      <c r="F102" s="312"/>
      <c r="G102" s="210">
        <v>96</v>
      </c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</row>
    <row r="103" spans="1:17">
      <c r="A103" s="210">
        <v>97</v>
      </c>
      <c r="B103" s="338"/>
      <c r="C103" s="217"/>
      <c r="D103" s="217">
        <f t="shared" si="5"/>
        <v>296.00862963352182</v>
      </c>
      <c r="E103" s="232">
        <f>'10K'!$E103*(1-$K$2)+H.Marathon!$E103*$K$2</f>
        <v>0.20027569266048087</v>
      </c>
      <c r="F103" s="312"/>
      <c r="G103" s="210">
        <v>97</v>
      </c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</row>
    <row r="104" spans="1:17">
      <c r="A104" s="210">
        <v>98</v>
      </c>
      <c r="B104" s="338"/>
      <c r="C104" s="217"/>
      <c r="D104" s="217">
        <f t="shared" si="5"/>
        <v>344.53289619368445</v>
      </c>
      <c r="E104" s="232">
        <f>'10K'!$E104*(1-$K$2)+H.Marathon!$E104*$K$2</f>
        <v>0.17206871677068042</v>
      </c>
      <c r="F104" s="312"/>
      <c r="G104" s="210">
        <v>98</v>
      </c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</row>
    <row r="105" spans="1:17">
      <c r="A105" s="210">
        <v>99</v>
      </c>
      <c r="B105" s="210" t="s">
        <v>63</v>
      </c>
      <c r="C105" s="217"/>
      <c r="D105" s="217">
        <f t="shared" si="5"/>
        <v>414.12109335339858</v>
      </c>
      <c r="E105" s="232">
        <f>'10K'!$E105*(1-$K$2)+H.Marathon!$E105*$K$2</f>
        <v>0.14315458518009538</v>
      </c>
      <c r="F105" s="312"/>
      <c r="G105" s="210">
        <v>99</v>
      </c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</row>
    <row r="106" spans="1:17">
      <c r="A106" s="210">
        <v>100</v>
      </c>
      <c r="B106" s="210"/>
      <c r="C106" s="210"/>
      <c r="D106" s="217">
        <f t="shared" si="5"/>
        <v>522.59429028601096</v>
      </c>
      <c r="E106" s="232">
        <f>'10K'!$E106*(1-$K$2)+H.Marathon!$E106*$K$2</f>
        <v>0.11344045358951035</v>
      </c>
      <c r="F106" s="312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</row>
  </sheetData>
  <conditionalFormatting sqref="J86:K86">
    <cfRule type="expression" dxfId="11" priority="7" stopIfTrue="1">
      <formula>#REF!="unvalidatable"</formula>
    </cfRule>
    <cfRule type="expression" dxfId="10" priority="8" stopIfTrue="1">
      <formula>$AK84="record"</formula>
    </cfRule>
    <cfRule type="expression" dxfId="9" priority="9" stopIfTrue="1">
      <formula>$AK84="best"</formula>
    </cfRule>
  </conditionalFormatting>
  <conditionalFormatting sqref="N73:P74 H74 J77:K80 J82:K83">
    <cfRule type="expression" dxfId="8" priority="1" stopIfTrue="1">
      <formula>#REF!="unvalidatable"</formula>
    </cfRule>
    <cfRule type="expression" dxfId="7" priority="2" stopIfTrue="1">
      <formula>$AK73="record"</formula>
    </cfRule>
    <cfRule type="expression" dxfId="6" priority="3" stopIfTrue="1">
      <formula>$AK73="best"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6"/>
  <sheetViews>
    <sheetView topLeftCell="B1" zoomScale="87" zoomScaleNormal="87" workbookViewId="0">
      <selection activeCell="C32" sqref="C32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12.44140625" style="1" customWidth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8" width="9.6640625" style="1"/>
    <col min="19" max="19" width="11.21875" style="1" customWidth="1"/>
    <col min="20" max="20" width="9.6640625" style="1" customWidth="1"/>
    <col min="21" max="16384" width="9.6640625" style="1"/>
  </cols>
  <sheetData>
    <row r="1" spans="1:23" ht="29.1" customHeight="1">
      <c r="A1" s="29" t="s">
        <v>70</v>
      </c>
      <c r="B1" s="30"/>
      <c r="C1" s="31"/>
      <c r="D1" s="32" t="s">
        <v>32</v>
      </c>
      <c r="E1" s="32" t="s">
        <v>54</v>
      </c>
      <c r="F1" s="32" t="s">
        <v>55</v>
      </c>
      <c r="G1" s="32" t="s">
        <v>56</v>
      </c>
      <c r="H1" s="32" t="s">
        <v>57</v>
      </c>
      <c r="I1" s="32" t="s">
        <v>58</v>
      </c>
      <c r="M1" s="212"/>
      <c r="N1" s="213"/>
    </row>
    <row r="2" spans="1:23" ht="18" customHeight="1">
      <c r="A2" s="29"/>
      <c r="B2" s="30"/>
      <c r="C2" s="31"/>
      <c r="D2" s="32"/>
      <c r="E2" s="32"/>
      <c r="F2" s="81">
        <f>(+H$3-H$4)*F$4/2</f>
        <v>0.05</v>
      </c>
      <c r="G2" s="82">
        <f>(+I$4-I$3)*G$4/2</f>
        <v>0.11333249999999999</v>
      </c>
      <c r="H2" s="83"/>
      <c r="I2" s="83"/>
      <c r="M2" s="212"/>
      <c r="N2" s="213"/>
    </row>
    <row r="3" spans="1:23" ht="18" customHeight="1">
      <c r="A3" s="29"/>
      <c r="B3" s="30"/>
      <c r="C3" s="31"/>
      <c r="D3" s="32"/>
      <c r="E3" s="32"/>
      <c r="F3" s="81">
        <f>F4/(2*(+H3-H4))</f>
        <v>2E-3</v>
      </c>
      <c r="G3" s="82">
        <f>G4/(2*(+I4-I3))</f>
        <v>2.3630136986301371E-4</v>
      </c>
      <c r="H3" s="212">
        <v>22</v>
      </c>
      <c r="I3" s="385">
        <v>27</v>
      </c>
      <c r="M3" s="212"/>
      <c r="N3" s="213"/>
    </row>
    <row r="4" spans="1:23" ht="15.75">
      <c r="A4" s="30"/>
      <c r="B4" s="30"/>
      <c r="C4" s="30">
        <f>Parameters!$AG$27</f>
        <v>0</v>
      </c>
      <c r="D4" s="34">
        <f>Parameters!G27</f>
        <v>4.3657407407407409E-2</v>
      </c>
      <c r="E4" s="35">
        <f>D4*1440</f>
        <v>62.866666666666667</v>
      </c>
      <c r="F4" s="33">
        <v>0.02</v>
      </c>
      <c r="G4" s="81">
        <v>1.035E-2</v>
      </c>
      <c r="H4" s="212">
        <v>17</v>
      </c>
      <c r="I4" s="385">
        <v>48.9</v>
      </c>
    </row>
    <row r="5" spans="1:23" ht="15.75">
      <c r="A5" s="30"/>
      <c r="B5" s="30"/>
      <c r="C5" s="30"/>
      <c r="D5" s="34"/>
      <c r="E5" s="30">
        <f>E4*60</f>
        <v>3772</v>
      </c>
      <c r="F5" s="33">
        <v>1.0200000000000001E-3</v>
      </c>
      <c r="G5" s="81">
        <v>4.0000000000000002E-4</v>
      </c>
      <c r="H5" s="212">
        <v>15</v>
      </c>
      <c r="I5" s="385">
        <v>75.150000000000006</v>
      </c>
      <c r="K5" s="1">
        <f>E4</f>
        <v>62.866666666666667</v>
      </c>
    </row>
    <row r="6" spans="1:23" ht="63">
      <c r="A6" s="36" t="s">
        <v>52</v>
      </c>
      <c r="B6" s="36" t="s">
        <v>963</v>
      </c>
      <c r="C6" s="36" t="s">
        <v>1774</v>
      </c>
      <c r="D6" s="36" t="s">
        <v>2365</v>
      </c>
      <c r="E6" s="36" t="s">
        <v>2372</v>
      </c>
      <c r="F6" s="36" t="s">
        <v>933</v>
      </c>
      <c r="G6" s="36" t="s">
        <v>136</v>
      </c>
      <c r="H6" s="36" t="s">
        <v>932</v>
      </c>
      <c r="I6" s="386" t="s">
        <v>52</v>
      </c>
      <c r="J6" s="109" t="s">
        <v>1037</v>
      </c>
      <c r="K6" s="111" t="s">
        <v>965</v>
      </c>
      <c r="L6" s="36" t="s">
        <v>709</v>
      </c>
      <c r="M6" s="125" t="s">
        <v>403</v>
      </c>
      <c r="N6" s="125" t="s">
        <v>404</v>
      </c>
      <c r="O6" s="126" t="s">
        <v>405</v>
      </c>
      <c r="P6" s="127" t="s">
        <v>406</v>
      </c>
      <c r="Q6" s="125" t="s">
        <v>407</v>
      </c>
      <c r="R6" s="126" t="s">
        <v>408</v>
      </c>
      <c r="S6" s="127" t="s">
        <v>409</v>
      </c>
      <c r="T6" s="152" t="s">
        <v>935</v>
      </c>
      <c r="U6" s="36" t="s">
        <v>52</v>
      </c>
      <c r="V6" s="152" t="s">
        <v>936</v>
      </c>
      <c r="W6" s="152" t="s">
        <v>937</v>
      </c>
    </row>
    <row r="7" spans="1:23">
      <c r="A7" s="1">
        <v>1</v>
      </c>
      <c r="B7" s="3"/>
      <c r="F7" s="24"/>
      <c r="G7" s="24"/>
      <c r="I7" s="1">
        <v>1</v>
      </c>
      <c r="J7" s="110"/>
      <c r="K7" s="112"/>
      <c r="U7" s="1">
        <v>1</v>
      </c>
    </row>
    <row r="8" spans="1:23">
      <c r="A8" s="1">
        <v>2</v>
      </c>
      <c r="B8" s="117"/>
      <c r="F8" s="24"/>
      <c r="G8" s="24"/>
      <c r="I8" s="1">
        <v>2</v>
      </c>
      <c r="J8" s="110"/>
      <c r="K8" s="112"/>
      <c r="T8" s="24"/>
      <c r="U8" s="1">
        <v>2</v>
      </c>
    </row>
    <row r="9" spans="1:23">
      <c r="A9" s="1">
        <v>3</v>
      </c>
      <c r="B9" s="117"/>
      <c r="C9" s="24"/>
      <c r="D9" s="24"/>
      <c r="E9" s="4">
        <f t="shared" ref="E9:E31" si="0">ROUND(1-IF(A9&gt;=H$3,0,IF(A9&gt;=H$4,F$3*(A9-H$3)^2,F$2+F$4*(H$4-A9)+(A9&lt;H$5)*F$5*(H$5-A9)^2)),4)</f>
        <v>0.52310000000000001</v>
      </c>
      <c r="F9" s="24"/>
      <c r="G9" s="24"/>
      <c r="H9" s="145"/>
      <c r="I9" s="1">
        <v>3</v>
      </c>
      <c r="J9" s="110"/>
      <c r="K9" s="112"/>
      <c r="P9" s="38"/>
      <c r="T9" s="24">
        <v>119.47419000549147</v>
      </c>
      <c r="U9" s="1">
        <v>3</v>
      </c>
    </row>
    <row r="10" spans="1:23">
      <c r="A10" s="1">
        <v>4</v>
      </c>
      <c r="B10" s="118"/>
      <c r="C10" s="24"/>
      <c r="D10" s="24"/>
      <c r="E10" s="4">
        <f t="shared" si="0"/>
        <v>0.56659999999999999</v>
      </c>
      <c r="F10" s="24"/>
      <c r="G10" s="24"/>
      <c r="H10" s="145"/>
      <c r="I10" s="1">
        <v>4</v>
      </c>
      <c r="J10" s="110"/>
      <c r="K10" s="113"/>
      <c r="P10" s="38"/>
      <c r="T10" s="24">
        <v>105.94716337959581</v>
      </c>
      <c r="U10" s="1">
        <v>4</v>
      </c>
    </row>
    <row r="11" spans="1:23">
      <c r="A11" s="1">
        <v>5</v>
      </c>
      <c r="B11" s="118">
        <v>7.7442129629629625E-2</v>
      </c>
      <c r="C11" s="24">
        <f t="shared" ref="C11:C75" si="1">B11*1440</f>
        <v>111.51666666666667</v>
      </c>
      <c r="D11" s="24">
        <f t="shared" ref="D11:D42" si="2">E$4/E11</f>
        <v>103.39912280701755</v>
      </c>
      <c r="E11" s="4">
        <f t="shared" si="0"/>
        <v>0.60799999999999998</v>
      </c>
      <c r="F11" s="24">
        <v>102.55196001052356</v>
      </c>
      <c r="G11" s="24">
        <v>111.51666666666668</v>
      </c>
      <c r="H11" s="145">
        <f t="shared" ref="H11:H73" si="3">((F11-D11)/F11)</f>
        <v>-8.2608152628877753E-3</v>
      </c>
      <c r="I11" s="1">
        <v>5</v>
      </c>
      <c r="J11" s="110">
        <f t="shared" ref="J11:J42" si="4">100*F11/+C11</f>
        <v>91.961105972670964</v>
      </c>
      <c r="K11" s="113">
        <f t="shared" ref="K11:K42" si="5">100*(D11/C11)</f>
        <v>92.720779680482039</v>
      </c>
      <c r="L11" s="163" t="s">
        <v>648</v>
      </c>
      <c r="M11" s="119" t="s">
        <v>710</v>
      </c>
      <c r="N11" s="119" t="s">
        <v>711</v>
      </c>
      <c r="O11" s="119" t="s">
        <v>217</v>
      </c>
      <c r="P11" s="121">
        <v>28821</v>
      </c>
      <c r="Q11" s="122"/>
      <c r="R11" s="119" t="s">
        <v>712</v>
      </c>
      <c r="S11" s="136">
        <v>30975</v>
      </c>
      <c r="T11" s="131"/>
      <c r="U11" s="1">
        <v>5</v>
      </c>
    </row>
    <row r="12" spans="1:23">
      <c r="A12" s="1">
        <v>6</v>
      </c>
      <c r="B12" s="118">
        <v>0.11136574074074074</v>
      </c>
      <c r="C12" s="24">
        <f t="shared" si="1"/>
        <v>160.36666666666667</v>
      </c>
      <c r="D12" s="24">
        <f t="shared" si="2"/>
        <v>97.106374214807957</v>
      </c>
      <c r="E12" s="4">
        <f t="shared" si="0"/>
        <v>0.64739999999999998</v>
      </c>
      <c r="F12" s="24">
        <v>96.994127600278702</v>
      </c>
      <c r="G12" s="24">
        <v>160.36666666666667</v>
      </c>
      <c r="H12" s="145">
        <f t="shared" si="3"/>
        <v>-1.1572516533354784E-3</v>
      </c>
      <c r="I12" s="1">
        <v>6</v>
      </c>
      <c r="J12" s="110">
        <f t="shared" si="4"/>
        <v>60.48272350879985</v>
      </c>
      <c r="K12" s="113">
        <f t="shared" si="5"/>
        <v>60.552717240578644</v>
      </c>
      <c r="L12" s="163" t="s">
        <v>649</v>
      </c>
      <c r="M12" s="119" t="s">
        <v>713</v>
      </c>
      <c r="N12" s="119" t="s">
        <v>714</v>
      </c>
      <c r="O12" s="119" t="s">
        <v>217</v>
      </c>
      <c r="P12" s="121">
        <v>39044</v>
      </c>
      <c r="Q12" s="122"/>
      <c r="R12" s="119" t="s">
        <v>715</v>
      </c>
      <c r="S12" s="136">
        <v>41587</v>
      </c>
      <c r="T12" s="131"/>
      <c r="U12" s="1">
        <v>6</v>
      </c>
    </row>
    <row r="13" spans="1:23">
      <c r="A13" s="1">
        <v>7</v>
      </c>
      <c r="B13" s="118">
        <v>7.013888888888889E-2</v>
      </c>
      <c r="C13" s="24">
        <f t="shared" si="1"/>
        <v>101</v>
      </c>
      <c r="D13" s="24">
        <f t="shared" si="2"/>
        <v>91.816367265469069</v>
      </c>
      <c r="E13" s="4">
        <f t="shared" si="0"/>
        <v>0.68469999999999998</v>
      </c>
      <c r="F13" s="24">
        <v>92.242888920441104</v>
      </c>
      <c r="G13" s="24">
        <v>101</v>
      </c>
      <c r="H13" s="145">
        <f t="shared" si="3"/>
        <v>4.6238974078522972E-3</v>
      </c>
      <c r="I13" s="1">
        <v>7</v>
      </c>
      <c r="J13" s="110">
        <f t="shared" si="4"/>
        <v>91.329592990535758</v>
      </c>
      <c r="K13" s="113">
        <f t="shared" si="5"/>
        <v>90.907294322246599</v>
      </c>
      <c r="L13" s="163" t="s">
        <v>650</v>
      </c>
      <c r="M13" s="119" t="s">
        <v>484</v>
      </c>
      <c r="N13" s="119" t="s">
        <v>485</v>
      </c>
      <c r="O13" s="119" t="s">
        <v>217</v>
      </c>
      <c r="P13" s="121">
        <v>39042</v>
      </c>
      <c r="Q13" s="122"/>
      <c r="R13" s="119" t="s">
        <v>716</v>
      </c>
      <c r="S13" s="136">
        <v>41959</v>
      </c>
      <c r="T13" s="131"/>
      <c r="U13" s="1">
        <v>7</v>
      </c>
    </row>
    <row r="14" spans="1:23">
      <c r="A14" s="1">
        <v>8</v>
      </c>
      <c r="B14" s="118">
        <v>6.626157407407407E-2</v>
      </c>
      <c r="C14" s="24">
        <f t="shared" si="1"/>
        <v>95.416666666666657</v>
      </c>
      <c r="D14" s="24">
        <f t="shared" si="2"/>
        <v>87.314814814814824</v>
      </c>
      <c r="E14" s="4">
        <f t="shared" si="0"/>
        <v>0.72</v>
      </c>
      <c r="F14" s="24">
        <v>88.162120595286567</v>
      </c>
      <c r="G14" s="24">
        <v>95.416666666666657</v>
      </c>
      <c r="H14" s="145">
        <f t="shared" si="3"/>
        <v>9.6107690553559853E-3</v>
      </c>
      <c r="I14" s="1">
        <v>8</v>
      </c>
      <c r="J14" s="110">
        <f t="shared" si="4"/>
        <v>92.396982283269764</v>
      </c>
      <c r="K14" s="113">
        <f t="shared" si="5"/>
        <v>91.508976225133452</v>
      </c>
      <c r="L14" s="163" t="s">
        <v>651</v>
      </c>
      <c r="M14" s="119" t="s">
        <v>717</v>
      </c>
      <c r="N14" s="119" t="s">
        <v>718</v>
      </c>
      <c r="O14" s="119" t="s">
        <v>217</v>
      </c>
      <c r="P14" s="121">
        <v>27357</v>
      </c>
      <c r="Q14" s="122"/>
      <c r="R14" s="119" t="s">
        <v>529</v>
      </c>
      <c r="S14" s="136">
        <v>30583</v>
      </c>
      <c r="T14" s="131"/>
      <c r="U14" s="1">
        <v>8</v>
      </c>
    </row>
    <row r="15" spans="1:23">
      <c r="A15" s="1">
        <v>9</v>
      </c>
      <c r="B15" s="118">
        <v>6.1469907407407411E-2</v>
      </c>
      <c r="C15" s="24">
        <f t="shared" si="1"/>
        <v>88.516666666666666</v>
      </c>
      <c r="D15" s="24">
        <f t="shared" si="2"/>
        <v>83.455020133634235</v>
      </c>
      <c r="E15" s="4">
        <f t="shared" si="0"/>
        <v>0.75329999999999997</v>
      </c>
      <c r="F15" s="24">
        <v>84.625070557075247</v>
      </c>
      <c r="G15" s="24">
        <v>88.516666666666666</v>
      </c>
      <c r="H15" s="145">
        <f t="shared" si="3"/>
        <v>1.3826285942673136E-2</v>
      </c>
      <c r="I15" s="1">
        <v>9</v>
      </c>
      <c r="J15" s="110">
        <f t="shared" si="4"/>
        <v>95.603544218123048</v>
      </c>
      <c r="K15" s="113">
        <f t="shared" si="5"/>
        <v>94.281702278630277</v>
      </c>
      <c r="L15" s="163" t="s">
        <v>652</v>
      </c>
      <c r="M15" s="119" t="s">
        <v>717</v>
      </c>
      <c r="N15" s="119" t="s">
        <v>718</v>
      </c>
      <c r="O15" s="119" t="s">
        <v>217</v>
      </c>
      <c r="P15" s="121">
        <v>27357</v>
      </c>
      <c r="Q15" s="122"/>
      <c r="R15" s="119" t="s">
        <v>719</v>
      </c>
      <c r="S15" s="136">
        <v>30941</v>
      </c>
      <c r="T15" s="131"/>
      <c r="U15" s="1">
        <v>9</v>
      </c>
    </row>
    <row r="16" spans="1:23">
      <c r="A16" s="1">
        <v>10</v>
      </c>
      <c r="B16" s="118">
        <v>5.962962962962963E-2</v>
      </c>
      <c r="C16" s="24">
        <f t="shared" si="1"/>
        <v>85.86666666666666</v>
      </c>
      <c r="D16" s="24">
        <f t="shared" si="2"/>
        <v>80.135967707669437</v>
      </c>
      <c r="E16" s="4">
        <f t="shared" si="0"/>
        <v>0.78449999999999998</v>
      </c>
      <c r="F16" s="24">
        <v>81.534471218206164</v>
      </c>
      <c r="G16" s="24">
        <v>85.86666666666666</v>
      </c>
      <c r="H16" s="145">
        <f t="shared" si="3"/>
        <v>1.7152297545341165E-2</v>
      </c>
      <c r="I16" s="1">
        <v>10</v>
      </c>
      <c r="J16" s="110">
        <f t="shared" si="4"/>
        <v>94.954741325550657</v>
      </c>
      <c r="K16" s="113">
        <f t="shared" si="5"/>
        <v>93.326049348993905</v>
      </c>
      <c r="L16" s="163" t="s">
        <v>653</v>
      </c>
      <c r="M16" s="119" t="s">
        <v>560</v>
      </c>
      <c r="N16" s="119" t="s">
        <v>720</v>
      </c>
      <c r="O16" s="119" t="s">
        <v>217</v>
      </c>
      <c r="P16" s="121">
        <v>26623</v>
      </c>
      <c r="Q16" s="122"/>
      <c r="R16" s="119" t="s">
        <v>721</v>
      </c>
      <c r="S16" s="136">
        <v>30345</v>
      </c>
      <c r="T16" s="131"/>
      <c r="U16" s="1">
        <v>10</v>
      </c>
    </row>
    <row r="17" spans="1:21">
      <c r="A17" s="1">
        <v>11</v>
      </c>
      <c r="B17" s="118">
        <v>6.3460648148148155E-2</v>
      </c>
      <c r="C17" s="24">
        <f t="shared" si="1"/>
        <v>91.38333333333334</v>
      </c>
      <c r="D17" s="24">
        <f t="shared" si="2"/>
        <v>77.260251525951418</v>
      </c>
      <c r="E17" s="4">
        <f t="shared" si="0"/>
        <v>0.81369999999999998</v>
      </c>
      <c r="F17" s="24">
        <v>78.852611562891937</v>
      </c>
      <c r="G17" s="24">
        <v>91.38333333333334</v>
      </c>
      <c r="H17" s="145">
        <f t="shared" si="3"/>
        <v>2.0194131879455523E-2</v>
      </c>
      <c r="I17" s="1">
        <v>11</v>
      </c>
      <c r="J17" s="110">
        <f t="shared" si="4"/>
        <v>86.287738350784522</v>
      </c>
      <c r="K17" s="113">
        <f t="shared" si="5"/>
        <v>84.545232382948825</v>
      </c>
      <c r="L17" s="163" t="s">
        <v>654</v>
      </c>
      <c r="M17" s="119" t="s">
        <v>722</v>
      </c>
      <c r="N17" s="119" t="s">
        <v>723</v>
      </c>
      <c r="O17" s="119" t="s">
        <v>217</v>
      </c>
      <c r="P17" s="121">
        <v>37435</v>
      </c>
      <c r="Q17" s="122"/>
      <c r="R17" s="119" t="s">
        <v>343</v>
      </c>
      <c r="S17" s="136">
        <v>41658</v>
      </c>
      <c r="T17" s="131"/>
      <c r="U17" s="1">
        <v>11</v>
      </c>
    </row>
    <row r="18" spans="1:21">
      <c r="A18" s="1">
        <v>12</v>
      </c>
      <c r="B18" s="118">
        <v>5.6770833333333333E-2</v>
      </c>
      <c r="C18" s="24">
        <f t="shared" si="1"/>
        <v>81.75</v>
      </c>
      <c r="D18" s="24">
        <f t="shared" si="2"/>
        <v>74.770060260069769</v>
      </c>
      <c r="E18" s="4">
        <f t="shared" si="0"/>
        <v>0.84079999999999999</v>
      </c>
      <c r="F18" s="24">
        <v>76.494367910828529</v>
      </c>
      <c r="G18" s="24">
        <v>81.75</v>
      </c>
      <c r="H18" s="145">
        <f t="shared" si="3"/>
        <v>2.2541628852582068E-2</v>
      </c>
      <c r="I18" s="1">
        <v>12</v>
      </c>
      <c r="J18" s="110">
        <f t="shared" si="4"/>
        <v>93.571092245661816</v>
      </c>
      <c r="K18" s="113">
        <f t="shared" si="5"/>
        <v>91.461847412929387</v>
      </c>
      <c r="L18" s="163" t="s">
        <v>655</v>
      </c>
      <c r="M18" s="119" t="s">
        <v>724</v>
      </c>
      <c r="N18" s="119" t="s">
        <v>725</v>
      </c>
      <c r="O18" s="119" t="s">
        <v>726</v>
      </c>
      <c r="P18" s="121">
        <v>31948</v>
      </c>
      <c r="Q18" s="122"/>
      <c r="R18" s="119" t="s">
        <v>727</v>
      </c>
      <c r="S18" s="136">
        <v>36638</v>
      </c>
      <c r="T18" s="131"/>
      <c r="U18" s="1">
        <v>12</v>
      </c>
    </row>
    <row r="19" spans="1:21">
      <c r="A19" s="1">
        <v>13</v>
      </c>
      <c r="B19" s="118">
        <v>5.3043981481481484E-2</v>
      </c>
      <c r="C19" s="24">
        <f t="shared" si="1"/>
        <v>76.38333333333334</v>
      </c>
      <c r="D19" s="24">
        <f t="shared" si="2"/>
        <v>72.602686992339372</v>
      </c>
      <c r="E19" s="4">
        <f t="shared" si="0"/>
        <v>0.8659</v>
      </c>
      <c r="F19" s="24">
        <v>74.426242028487422</v>
      </c>
      <c r="G19" s="24">
        <v>76.38333333333334</v>
      </c>
      <c r="H19" s="145">
        <f t="shared" si="3"/>
        <v>2.4501506275838376E-2</v>
      </c>
      <c r="I19" s="1">
        <v>13</v>
      </c>
      <c r="J19" s="110">
        <f t="shared" si="4"/>
        <v>97.437803222981557</v>
      </c>
      <c r="K19" s="113">
        <f t="shared" si="5"/>
        <v>95.050430275809774</v>
      </c>
      <c r="L19" s="163" t="s">
        <v>656</v>
      </c>
      <c r="M19" s="119" t="s">
        <v>724</v>
      </c>
      <c r="N19" s="119" t="s">
        <v>725</v>
      </c>
      <c r="O19" s="119" t="s">
        <v>726</v>
      </c>
      <c r="P19" s="121">
        <v>31948</v>
      </c>
      <c r="Q19" s="122"/>
      <c r="R19" s="119" t="s">
        <v>727</v>
      </c>
      <c r="S19" s="136">
        <v>37002</v>
      </c>
      <c r="T19" s="131"/>
      <c r="U19" s="1">
        <v>13</v>
      </c>
    </row>
    <row r="20" spans="1:21">
      <c r="A20" s="1">
        <v>14</v>
      </c>
      <c r="B20" s="118">
        <v>5.2245370370370373E-2</v>
      </c>
      <c r="C20" s="24">
        <f t="shared" si="1"/>
        <v>75.233333333333334</v>
      </c>
      <c r="D20" s="24">
        <f t="shared" si="2"/>
        <v>70.716160479940001</v>
      </c>
      <c r="E20" s="4">
        <f t="shared" si="0"/>
        <v>0.88900000000000001</v>
      </c>
      <c r="F20" s="24">
        <v>72.620910649079676</v>
      </c>
      <c r="G20" s="24">
        <v>75.23333333333332</v>
      </c>
      <c r="H20" s="145">
        <f t="shared" si="3"/>
        <v>2.6228673699010045E-2</v>
      </c>
      <c r="I20" s="1">
        <v>14</v>
      </c>
      <c r="J20" s="110">
        <f t="shared" si="4"/>
        <v>96.527572860983184</v>
      </c>
      <c r="K20" s="113">
        <f t="shared" si="5"/>
        <v>93.995782649455023</v>
      </c>
      <c r="L20" s="163" t="s">
        <v>657</v>
      </c>
      <c r="M20" s="119" t="s">
        <v>728</v>
      </c>
      <c r="N20" s="119" t="s">
        <v>729</v>
      </c>
      <c r="O20" s="119" t="s">
        <v>240</v>
      </c>
      <c r="P20" s="121">
        <v>34401</v>
      </c>
      <c r="Q20" s="122"/>
      <c r="R20" s="119" t="s">
        <v>730</v>
      </c>
      <c r="S20" s="136">
        <v>39776</v>
      </c>
      <c r="T20" s="131"/>
      <c r="U20" s="1">
        <v>14</v>
      </c>
    </row>
    <row r="21" spans="1:21">
      <c r="A21" s="1">
        <v>15</v>
      </c>
      <c r="B21" s="118">
        <v>5.0416666666666665E-2</v>
      </c>
      <c r="C21" s="24">
        <f t="shared" si="1"/>
        <v>72.599999999999994</v>
      </c>
      <c r="D21" s="24">
        <f t="shared" si="2"/>
        <v>69.08424908424908</v>
      </c>
      <c r="E21" s="4">
        <f t="shared" si="0"/>
        <v>0.91</v>
      </c>
      <c r="F21" s="24">
        <v>71.040641516311283</v>
      </c>
      <c r="G21" s="24">
        <v>72.599999999999994</v>
      </c>
      <c r="H21" s="145">
        <f t="shared" si="3"/>
        <v>2.7539059196319403E-2</v>
      </c>
      <c r="I21" s="1">
        <v>15</v>
      </c>
      <c r="J21" s="110">
        <f t="shared" si="4"/>
        <v>97.85212330070425</v>
      </c>
      <c r="K21" s="113">
        <f t="shared" si="5"/>
        <v>95.157367884640607</v>
      </c>
      <c r="L21" s="163" t="s">
        <v>658</v>
      </c>
      <c r="M21" s="119" t="s">
        <v>731</v>
      </c>
      <c r="N21" s="119" t="s">
        <v>732</v>
      </c>
      <c r="O21" s="119" t="s">
        <v>248</v>
      </c>
      <c r="P21" s="121">
        <v>29894</v>
      </c>
      <c r="Q21" s="122"/>
      <c r="R21" s="119" t="s">
        <v>733</v>
      </c>
      <c r="S21" s="136">
        <v>35707</v>
      </c>
      <c r="T21" s="131"/>
      <c r="U21" s="1">
        <v>15</v>
      </c>
    </row>
    <row r="22" spans="1:21">
      <c r="A22" s="1">
        <v>16</v>
      </c>
      <c r="B22" s="118">
        <v>5.0358796296296297E-2</v>
      </c>
      <c r="C22" s="24">
        <f t="shared" si="1"/>
        <v>72.516666666666666</v>
      </c>
      <c r="D22" s="24">
        <f t="shared" si="2"/>
        <v>67.598566308243718</v>
      </c>
      <c r="E22" s="4">
        <f t="shared" si="0"/>
        <v>0.93</v>
      </c>
      <c r="F22" s="24">
        <v>69.594715229423315</v>
      </c>
      <c r="G22" s="24">
        <v>72.516666666666666</v>
      </c>
      <c r="H22" s="145">
        <f t="shared" si="3"/>
        <v>2.8682478469797126E-2</v>
      </c>
      <c r="I22" s="1">
        <v>16</v>
      </c>
      <c r="J22" s="110">
        <f t="shared" si="4"/>
        <v>95.97064844324062</v>
      </c>
      <c r="K22" s="113">
        <f t="shared" si="5"/>
        <v>93.217972385534893</v>
      </c>
      <c r="L22" s="163" t="s">
        <v>659</v>
      </c>
      <c r="M22" s="119" t="s">
        <v>734</v>
      </c>
      <c r="N22" s="119" t="s">
        <v>735</v>
      </c>
      <c r="O22" s="119" t="s">
        <v>502</v>
      </c>
      <c r="P22" s="121">
        <v>34717</v>
      </c>
      <c r="Q22" s="122"/>
      <c r="R22" s="119" t="s">
        <v>736</v>
      </c>
      <c r="S22" s="136">
        <v>40657</v>
      </c>
      <c r="T22" s="131"/>
      <c r="U22" s="1">
        <v>16</v>
      </c>
    </row>
    <row r="23" spans="1:21">
      <c r="A23" s="1">
        <v>17</v>
      </c>
      <c r="B23" s="118">
        <v>4.87037037037037E-2</v>
      </c>
      <c r="C23" s="24">
        <f t="shared" si="1"/>
        <v>70.133333333333326</v>
      </c>
      <c r="D23" s="24">
        <f t="shared" si="2"/>
        <v>66.175438596491233</v>
      </c>
      <c r="E23" s="4">
        <f t="shared" si="0"/>
        <v>0.95</v>
      </c>
      <c r="F23" s="24">
        <v>68.206474190726155</v>
      </c>
      <c r="G23" s="24">
        <v>70.133333333333326</v>
      </c>
      <c r="H23" s="145">
        <f t="shared" si="3"/>
        <v>2.9777753773865004E-2</v>
      </c>
      <c r="I23" s="1">
        <v>17</v>
      </c>
      <c r="J23" s="110">
        <f t="shared" si="4"/>
        <v>97.252577268145671</v>
      </c>
      <c r="K23" s="113">
        <f t="shared" si="5"/>
        <v>94.356613968381041</v>
      </c>
      <c r="L23" s="163" t="s">
        <v>660</v>
      </c>
      <c r="M23" s="119" t="s">
        <v>737</v>
      </c>
      <c r="N23" s="119" t="s">
        <v>738</v>
      </c>
      <c r="O23" s="119" t="s">
        <v>248</v>
      </c>
      <c r="P23" s="121">
        <v>35226</v>
      </c>
      <c r="Q23" s="122"/>
      <c r="R23" s="119" t="s">
        <v>739</v>
      </c>
      <c r="S23" s="136">
        <v>41727</v>
      </c>
      <c r="T23" s="131"/>
      <c r="U23" s="1">
        <v>17</v>
      </c>
    </row>
    <row r="24" spans="1:21">
      <c r="A24" s="1">
        <v>18</v>
      </c>
      <c r="B24" s="118">
        <v>4.746527777777778E-2</v>
      </c>
      <c r="C24" s="24">
        <f t="shared" si="1"/>
        <v>68.350000000000009</v>
      </c>
      <c r="D24" s="24">
        <f t="shared" si="2"/>
        <v>64.944903581267226</v>
      </c>
      <c r="E24" s="4">
        <f t="shared" si="0"/>
        <v>0.96799999999999997</v>
      </c>
      <c r="F24" s="24">
        <v>67.003575357535752</v>
      </c>
      <c r="G24" s="24">
        <v>68.350000000000009</v>
      </c>
      <c r="H24" s="145">
        <f t="shared" si="3"/>
        <v>3.0724804837403218E-2</v>
      </c>
      <c r="I24" s="1">
        <v>18</v>
      </c>
      <c r="J24" s="110">
        <f t="shared" si="4"/>
        <v>98.030102937140811</v>
      </c>
      <c r="K24" s="113">
        <f t="shared" si="5"/>
        <v>95.018147156206609</v>
      </c>
      <c r="L24" s="163" t="s">
        <v>661</v>
      </c>
      <c r="M24" s="119" t="s">
        <v>740</v>
      </c>
      <c r="N24" s="119" t="s">
        <v>741</v>
      </c>
      <c r="O24" s="119" t="s">
        <v>244</v>
      </c>
      <c r="P24" s="121">
        <v>33974</v>
      </c>
      <c r="Q24" s="122"/>
      <c r="R24" s="119" t="s">
        <v>742</v>
      </c>
      <c r="S24" s="136">
        <v>40789</v>
      </c>
      <c r="T24" s="131"/>
      <c r="U24" s="1">
        <v>18</v>
      </c>
    </row>
    <row r="25" spans="1:21">
      <c r="A25" s="1">
        <v>19</v>
      </c>
      <c r="B25" s="118">
        <v>4.71875E-2</v>
      </c>
      <c r="C25" s="24">
        <f t="shared" si="1"/>
        <v>67.95</v>
      </c>
      <c r="D25" s="24">
        <f t="shared" si="2"/>
        <v>64.019008825526143</v>
      </c>
      <c r="E25" s="4">
        <f t="shared" si="0"/>
        <v>0.98199999999999998</v>
      </c>
      <c r="F25" s="24">
        <v>66.096924068233463</v>
      </c>
      <c r="G25" s="24">
        <v>67.95</v>
      </c>
      <c r="H25" s="145">
        <f t="shared" si="3"/>
        <v>3.143739700446934E-2</v>
      </c>
      <c r="I25" s="1">
        <v>19</v>
      </c>
      <c r="J25" s="110">
        <f t="shared" si="4"/>
        <v>97.272883102624675</v>
      </c>
      <c r="K25" s="113">
        <f t="shared" si="5"/>
        <v>94.214876858758117</v>
      </c>
      <c r="L25" s="163" t="s">
        <v>662</v>
      </c>
      <c r="M25" s="119" t="s">
        <v>743</v>
      </c>
      <c r="N25" s="119" t="s">
        <v>744</v>
      </c>
      <c r="O25" s="119" t="s">
        <v>248</v>
      </c>
      <c r="P25" s="121">
        <v>32891</v>
      </c>
      <c r="Q25" s="167" t="s">
        <v>1009</v>
      </c>
      <c r="R25" s="119" t="s">
        <v>745</v>
      </c>
      <c r="S25" s="136">
        <v>39864</v>
      </c>
      <c r="T25" s="131"/>
      <c r="U25" s="1">
        <v>19</v>
      </c>
    </row>
    <row r="26" spans="1:21">
      <c r="A26" s="1">
        <v>20</v>
      </c>
      <c r="B26" s="118">
        <v>4.4606481481481483E-2</v>
      </c>
      <c r="C26" s="24">
        <f t="shared" si="1"/>
        <v>64.233333333333334</v>
      </c>
      <c r="D26" s="24">
        <f t="shared" si="2"/>
        <v>63.373655913978496</v>
      </c>
      <c r="E26" s="4">
        <f t="shared" si="0"/>
        <v>0.99199999999999999</v>
      </c>
      <c r="F26" s="24">
        <v>65.464194545210276</v>
      </c>
      <c r="G26" s="24">
        <v>67.216666666666654</v>
      </c>
      <c r="H26" s="145">
        <f t="shared" si="3"/>
        <v>3.1934077028749383E-2</v>
      </c>
      <c r="I26" s="1">
        <v>20</v>
      </c>
      <c r="J26" s="110">
        <f t="shared" si="4"/>
        <v>101.91623437240831</v>
      </c>
      <c r="K26" s="113">
        <f t="shared" si="5"/>
        <v>98.661633493479755</v>
      </c>
      <c r="L26" s="176">
        <v>4.4606481481481483E-2</v>
      </c>
      <c r="M26" s="119" t="s">
        <v>1010</v>
      </c>
      <c r="N26" s="119" t="s">
        <v>1011</v>
      </c>
      <c r="O26" s="119" t="s">
        <v>248</v>
      </c>
      <c r="P26" s="121">
        <v>37216</v>
      </c>
      <c r="Q26" s="167" t="s">
        <v>1009</v>
      </c>
      <c r="R26" s="119" t="s">
        <v>745</v>
      </c>
      <c r="S26" s="136">
        <v>44611</v>
      </c>
      <c r="T26" s="131"/>
      <c r="U26" s="1">
        <v>20</v>
      </c>
    </row>
    <row r="27" spans="1:21">
      <c r="A27" s="1">
        <v>21</v>
      </c>
      <c r="B27" s="118">
        <v>4.6400462962962963E-2</v>
      </c>
      <c r="C27" s="24">
        <f t="shared" si="1"/>
        <v>66.816666666666663</v>
      </c>
      <c r="D27" s="24">
        <f t="shared" si="2"/>
        <v>62.992651970607881</v>
      </c>
      <c r="E27" s="4">
        <f t="shared" si="0"/>
        <v>0.998</v>
      </c>
      <c r="F27" s="24">
        <v>65.090338309454637</v>
      </c>
      <c r="G27" s="24">
        <v>66.816666666666663</v>
      </c>
      <c r="H27" s="145">
        <f t="shared" si="3"/>
        <v>3.2227307359716996E-2</v>
      </c>
      <c r="I27" s="1">
        <v>21</v>
      </c>
      <c r="J27" s="110">
        <f t="shared" si="4"/>
        <v>97.416320742511317</v>
      </c>
      <c r="K27" s="113">
        <f t="shared" si="5"/>
        <v>94.276855032089628</v>
      </c>
      <c r="L27" s="163" t="s">
        <v>663</v>
      </c>
      <c r="M27" s="119" t="s">
        <v>748</v>
      </c>
      <c r="N27" s="119" t="s">
        <v>749</v>
      </c>
      <c r="O27" s="119" t="s">
        <v>244</v>
      </c>
      <c r="P27" s="121">
        <v>28211</v>
      </c>
      <c r="Q27" s="122"/>
      <c r="R27" s="119" t="s">
        <v>750</v>
      </c>
      <c r="S27" s="136">
        <v>36175</v>
      </c>
      <c r="T27" s="131"/>
      <c r="U27" s="1">
        <v>21</v>
      </c>
    </row>
    <row r="28" spans="1:21">
      <c r="A28" s="1">
        <v>22</v>
      </c>
      <c r="B28" s="118">
        <v>4.4340277777777777E-2</v>
      </c>
      <c r="C28" s="24">
        <f t="shared" si="1"/>
        <v>63.85</v>
      </c>
      <c r="D28" s="24">
        <f t="shared" si="2"/>
        <v>62.866666666666667</v>
      </c>
      <c r="E28" s="4">
        <f t="shared" si="0"/>
        <v>1</v>
      </c>
      <c r="F28" s="24">
        <v>64.966666666666669</v>
      </c>
      <c r="G28" s="24">
        <v>65.599999999999994</v>
      </c>
      <c r="H28" s="145">
        <f t="shared" si="3"/>
        <v>3.2324268855823519E-2</v>
      </c>
      <c r="I28" s="1">
        <v>22</v>
      </c>
      <c r="J28" s="110">
        <f t="shared" si="4"/>
        <v>101.74889062907857</v>
      </c>
      <c r="K28" s="113">
        <f t="shared" si="5"/>
        <v>98.459932132602461</v>
      </c>
      <c r="L28" s="163" t="s">
        <v>997</v>
      </c>
      <c r="M28" s="119" t="s">
        <v>1012</v>
      </c>
      <c r="N28" s="119" t="s">
        <v>1013</v>
      </c>
      <c r="O28" s="119" t="s">
        <v>248</v>
      </c>
      <c r="P28" s="121">
        <v>36375</v>
      </c>
      <c r="Q28" s="122" t="s">
        <v>1014</v>
      </c>
      <c r="R28" s="119" t="s">
        <v>751</v>
      </c>
      <c r="S28" s="136">
        <v>44493</v>
      </c>
      <c r="T28" s="131"/>
      <c r="U28" s="1">
        <v>22</v>
      </c>
    </row>
    <row r="29" spans="1:21">
      <c r="A29" s="1">
        <v>23</v>
      </c>
      <c r="B29" s="118">
        <v>4.3657407407407409E-2</v>
      </c>
      <c r="C29" s="24">
        <f t="shared" si="1"/>
        <v>62.866666666666667</v>
      </c>
      <c r="D29" s="24">
        <f t="shared" si="2"/>
        <v>62.866666666666667</v>
      </c>
      <c r="E29" s="4">
        <f t="shared" si="0"/>
        <v>1</v>
      </c>
      <c r="F29" s="24">
        <v>64.966666666666669</v>
      </c>
      <c r="G29" s="24">
        <v>64.849999999999994</v>
      </c>
      <c r="H29" s="145">
        <f t="shared" si="3"/>
        <v>3.2324268855823519E-2</v>
      </c>
      <c r="I29" s="1">
        <v>23</v>
      </c>
      <c r="J29" s="110">
        <f t="shared" si="4"/>
        <v>103.34040296924709</v>
      </c>
      <c r="K29" s="113">
        <f t="shared" si="5"/>
        <v>100</v>
      </c>
      <c r="L29" s="163" t="s">
        <v>998</v>
      </c>
      <c r="M29" s="120" t="s">
        <v>1015</v>
      </c>
      <c r="N29" s="120" t="s">
        <v>1016</v>
      </c>
      <c r="O29" s="120" t="s">
        <v>248</v>
      </c>
      <c r="P29" s="168">
        <v>35874</v>
      </c>
      <c r="Q29" s="138" t="s">
        <v>1014</v>
      </c>
      <c r="R29" s="120" t="s">
        <v>751</v>
      </c>
      <c r="S29" s="376">
        <v>44493</v>
      </c>
      <c r="T29" s="169" t="s">
        <v>950</v>
      </c>
      <c r="U29" s="1">
        <v>23</v>
      </c>
    </row>
    <row r="30" spans="1:21">
      <c r="A30" s="1">
        <v>24</v>
      </c>
      <c r="B30" s="118">
        <v>4.5960648148148146E-2</v>
      </c>
      <c r="C30" s="24">
        <f t="shared" si="1"/>
        <v>66.183333333333337</v>
      </c>
      <c r="D30" s="24">
        <f t="shared" si="2"/>
        <v>62.866666666666667</v>
      </c>
      <c r="E30" s="4">
        <f t="shared" si="0"/>
        <v>1</v>
      </c>
      <c r="F30" s="24">
        <v>64.966666666666669</v>
      </c>
      <c r="G30" s="24">
        <v>66.183333333333337</v>
      </c>
      <c r="H30" s="145">
        <f t="shared" si="3"/>
        <v>3.2324268855823519E-2</v>
      </c>
      <c r="I30" s="1">
        <v>24</v>
      </c>
      <c r="J30" s="110">
        <f t="shared" si="4"/>
        <v>98.161672122890963</v>
      </c>
      <c r="K30" s="113">
        <f t="shared" si="5"/>
        <v>94.988667841853442</v>
      </c>
      <c r="L30" s="163" t="s">
        <v>664</v>
      </c>
      <c r="M30" s="119" t="s">
        <v>752</v>
      </c>
      <c r="N30" s="119" t="s">
        <v>753</v>
      </c>
      <c r="O30" s="119" t="s">
        <v>754</v>
      </c>
      <c r="P30" s="121">
        <v>33985</v>
      </c>
      <c r="Q30" s="122"/>
      <c r="R30" s="119" t="s">
        <v>739</v>
      </c>
      <c r="S30" s="136">
        <v>42995</v>
      </c>
      <c r="T30" s="131"/>
      <c r="U30" s="1">
        <v>24</v>
      </c>
    </row>
    <row r="31" spans="1:21">
      <c r="A31" s="1">
        <v>25</v>
      </c>
      <c r="B31" s="118">
        <v>4.5729166666666668E-2</v>
      </c>
      <c r="C31" s="24">
        <f t="shared" si="1"/>
        <v>65.850000000000009</v>
      </c>
      <c r="D31" s="24">
        <f t="shared" si="2"/>
        <v>62.866666666666667</v>
      </c>
      <c r="E31" s="4">
        <f t="shared" si="0"/>
        <v>1</v>
      </c>
      <c r="F31" s="24">
        <v>64.966666666666669</v>
      </c>
      <c r="G31" s="24">
        <v>65.849999999999994</v>
      </c>
      <c r="H31" s="145">
        <f t="shared" si="3"/>
        <v>3.2324268855823519E-2</v>
      </c>
      <c r="I31" s="1">
        <v>25</v>
      </c>
      <c r="J31" s="110">
        <f t="shared" si="4"/>
        <v>98.658567451278145</v>
      </c>
      <c r="K31" s="113">
        <f t="shared" si="5"/>
        <v>95.469501392052635</v>
      </c>
      <c r="L31" s="163" t="s">
        <v>665</v>
      </c>
      <c r="M31" s="130" t="s">
        <v>862</v>
      </c>
      <c r="N31" s="130" t="s">
        <v>863</v>
      </c>
      <c r="O31" s="130" t="s">
        <v>244</v>
      </c>
      <c r="P31" s="121">
        <v>34385</v>
      </c>
      <c r="Q31" s="122"/>
      <c r="R31" s="119" t="s">
        <v>522</v>
      </c>
      <c r="S31" s="136">
        <v>42462</v>
      </c>
      <c r="T31" s="131"/>
      <c r="U31" s="1">
        <v>25</v>
      </c>
    </row>
    <row r="32" spans="1:21">
      <c r="A32" s="1">
        <v>26</v>
      </c>
      <c r="B32" s="118">
        <v>4.4467592592592593E-2</v>
      </c>
      <c r="C32" s="24">
        <f t="shared" si="1"/>
        <v>64.033333333333331</v>
      </c>
      <c r="D32" s="24">
        <f t="shared" si="2"/>
        <v>62.866666666666667</v>
      </c>
      <c r="E32" s="4">
        <f>1-IF(A32&gt;=H$3,0,IF(A32&gt;=H$4,F$3*(A32-H$3)^2,F$2+F$4*(H$4-A32)+(A32&lt;H$5)*F$5*(H$5-A32)^2))</f>
        <v>1</v>
      </c>
      <c r="F32" s="24">
        <v>64.966666666666669</v>
      </c>
      <c r="G32" s="24">
        <v>64.816666666666663</v>
      </c>
      <c r="H32" s="145">
        <f t="shared" si="3"/>
        <v>3.2324268855823519E-2</v>
      </c>
      <c r="I32" s="1">
        <v>26</v>
      </c>
      <c r="J32" s="110">
        <f t="shared" si="4"/>
        <v>101.45757418011453</v>
      </c>
      <c r="K32" s="113">
        <f t="shared" si="5"/>
        <v>98.178032274856847</v>
      </c>
      <c r="L32" s="164" t="s">
        <v>999</v>
      </c>
      <c r="M32" s="130" t="s">
        <v>639</v>
      </c>
      <c r="N32" s="130" t="s">
        <v>1017</v>
      </c>
      <c r="O32" s="119" t="s">
        <v>244</v>
      </c>
      <c r="P32" s="121">
        <v>34554</v>
      </c>
      <c r="Q32" s="167" t="s">
        <v>1018</v>
      </c>
      <c r="R32" s="119" t="s">
        <v>1019</v>
      </c>
      <c r="S32" s="136">
        <v>44290</v>
      </c>
      <c r="T32" s="131"/>
      <c r="U32" s="1">
        <v>26</v>
      </c>
    </row>
    <row r="33" spans="1:23">
      <c r="A33" s="1">
        <v>27</v>
      </c>
      <c r="B33" s="118">
        <v>4.5243055555555557E-2</v>
      </c>
      <c r="C33" s="24">
        <f t="shared" si="1"/>
        <v>65.150000000000006</v>
      </c>
      <c r="D33" s="24">
        <f t="shared" si="2"/>
        <v>62.866666666666667</v>
      </c>
      <c r="E33" s="4">
        <f>1-IF(A33&gt;=H$3,0,IF(A33&gt;=H$4,F$3*(A33-H$3)^2,F$2+F$4*(H$4-A33)+(A33&lt;H$5)*F$5*(H$5-A33)^2))</f>
        <v>1</v>
      </c>
      <c r="F33" s="24">
        <v>64.966666666666669</v>
      </c>
      <c r="G33" s="24">
        <v>65.150000000000006</v>
      </c>
      <c r="H33" s="145">
        <f t="shared" si="3"/>
        <v>3.2324268855823519E-2</v>
      </c>
      <c r="I33" s="1">
        <v>27</v>
      </c>
      <c r="J33" s="110">
        <f t="shared" si="4"/>
        <v>99.718598106932717</v>
      </c>
      <c r="K33" s="113">
        <f t="shared" si="5"/>
        <v>96.495267331798402</v>
      </c>
      <c r="L33" s="163" t="s">
        <v>666</v>
      </c>
      <c r="M33" s="119" t="s">
        <v>755</v>
      </c>
      <c r="N33" s="119" t="s">
        <v>756</v>
      </c>
      <c r="O33" s="119" t="s">
        <v>244</v>
      </c>
      <c r="P33" s="121">
        <v>31835</v>
      </c>
      <c r="Q33" s="122"/>
      <c r="R33" s="119" t="s">
        <v>757</v>
      </c>
      <c r="S33" s="136">
        <v>42050</v>
      </c>
      <c r="T33" s="131"/>
      <c r="U33" s="1">
        <v>27</v>
      </c>
    </row>
    <row r="34" spans="1:23">
      <c r="A34" s="1">
        <v>28</v>
      </c>
      <c r="B34" s="118">
        <v>4.4803240740740741E-2</v>
      </c>
      <c r="C34" s="24">
        <f t="shared" si="1"/>
        <v>64.516666666666666</v>
      </c>
      <c r="D34" s="24">
        <f t="shared" si="2"/>
        <v>62.8792425151697</v>
      </c>
      <c r="E34" s="4">
        <f t="shared" ref="E34:E65" si="6">ROUND(1-IF(A34&lt;I$3,0,IF(A34&lt;I$4,G$3*(A34-I$3)^2,G$2+G$4*(A34-I$4)+(A34&gt;I$5)*G$5*(A34-I$5)^2)),4)</f>
        <v>0.99980000000000002</v>
      </c>
      <c r="F34" s="24">
        <v>64.966666666666669</v>
      </c>
      <c r="G34" s="24">
        <v>64.516666666666666</v>
      </c>
      <c r="H34" s="145">
        <f t="shared" si="3"/>
        <v>3.2130694994822497E-2</v>
      </c>
      <c r="I34" s="1">
        <v>28</v>
      </c>
      <c r="J34" s="110">
        <f t="shared" si="4"/>
        <v>100.69749418754844</v>
      </c>
      <c r="K34" s="113">
        <f t="shared" si="5"/>
        <v>97.46201371506541</v>
      </c>
      <c r="L34" s="165" t="s">
        <v>929</v>
      </c>
      <c r="M34" s="119" t="s">
        <v>927</v>
      </c>
      <c r="N34" s="119" t="s">
        <v>928</v>
      </c>
      <c r="O34" s="119" t="s">
        <v>248</v>
      </c>
      <c r="P34" s="121">
        <v>33441</v>
      </c>
      <c r="Q34" s="167" t="s">
        <v>1009</v>
      </c>
      <c r="R34" s="119" t="s">
        <v>745</v>
      </c>
      <c r="S34" s="136">
        <v>43882</v>
      </c>
      <c r="T34" s="131"/>
      <c r="U34" s="1">
        <v>28</v>
      </c>
    </row>
    <row r="35" spans="1:23">
      <c r="A35" s="1">
        <v>29</v>
      </c>
      <c r="B35" s="118">
        <v>4.5347222222222219E-2</v>
      </c>
      <c r="C35" s="24">
        <f t="shared" si="1"/>
        <v>65.3</v>
      </c>
      <c r="D35" s="24">
        <f t="shared" si="2"/>
        <v>62.923297634537754</v>
      </c>
      <c r="E35" s="4">
        <f t="shared" si="6"/>
        <v>0.99909999999999999</v>
      </c>
      <c r="F35" s="24">
        <v>64.966666666666669</v>
      </c>
      <c r="G35" s="24">
        <v>65.833333333333343</v>
      </c>
      <c r="H35" s="145">
        <f t="shared" si="3"/>
        <v>3.1452576174380423E-2</v>
      </c>
      <c r="I35" s="1">
        <v>29</v>
      </c>
      <c r="J35" s="110">
        <f t="shared" si="4"/>
        <v>99.489535477284335</v>
      </c>
      <c r="K35" s="113">
        <f t="shared" si="5"/>
        <v>96.360333284131329</v>
      </c>
      <c r="L35" s="163" t="s">
        <v>1000</v>
      </c>
      <c r="M35" s="167" t="s">
        <v>256</v>
      </c>
      <c r="N35" s="119" t="s">
        <v>247</v>
      </c>
      <c r="O35" s="119" t="s">
        <v>248</v>
      </c>
      <c r="P35" s="121">
        <v>33277</v>
      </c>
      <c r="Q35" s="122" t="s">
        <v>1020</v>
      </c>
      <c r="R35" s="119" t="s">
        <v>751</v>
      </c>
      <c r="S35" s="136">
        <v>44171</v>
      </c>
      <c r="T35" s="131"/>
      <c r="U35" s="1">
        <v>29</v>
      </c>
    </row>
    <row r="36" spans="1:23">
      <c r="A36" s="1">
        <v>30</v>
      </c>
      <c r="B36" s="118">
        <v>4.6400462962962963E-2</v>
      </c>
      <c r="C36" s="24">
        <f t="shared" si="1"/>
        <v>66.816666666666663</v>
      </c>
      <c r="D36" s="24">
        <f t="shared" si="2"/>
        <v>62.998964492100079</v>
      </c>
      <c r="E36" s="4">
        <f t="shared" si="6"/>
        <v>0.99790000000000001</v>
      </c>
      <c r="F36" s="24">
        <v>64.986162515421299</v>
      </c>
      <c r="G36" s="24">
        <v>66.816666666666663</v>
      </c>
      <c r="H36" s="145">
        <f t="shared" si="3"/>
        <v>3.057878702792545E-2</v>
      </c>
      <c r="I36" s="1">
        <v>30</v>
      </c>
      <c r="J36" s="110">
        <f t="shared" si="4"/>
        <v>97.260407855457174</v>
      </c>
      <c r="K36" s="113">
        <f t="shared" si="5"/>
        <v>94.286302557395985</v>
      </c>
      <c r="L36" s="163" t="s">
        <v>663</v>
      </c>
      <c r="M36" s="119" t="s">
        <v>281</v>
      </c>
      <c r="N36" s="119" t="s">
        <v>758</v>
      </c>
      <c r="O36" s="119" t="s">
        <v>244</v>
      </c>
      <c r="P36" s="121">
        <v>29969</v>
      </c>
      <c r="Q36" s="167" t="s">
        <v>1009</v>
      </c>
      <c r="R36" s="119" t="s">
        <v>745</v>
      </c>
      <c r="S36" s="136">
        <v>40956</v>
      </c>
      <c r="T36" s="131"/>
      <c r="U36" s="1">
        <v>30</v>
      </c>
      <c r="V36" s="4"/>
      <c r="W36" s="4"/>
    </row>
    <row r="37" spans="1:23">
      <c r="A37" s="1">
        <v>31</v>
      </c>
      <c r="B37" s="118">
        <v>4.5740740740740742E-2</v>
      </c>
      <c r="C37" s="24">
        <f t="shared" si="1"/>
        <v>65.866666666666674</v>
      </c>
      <c r="D37" s="24">
        <f t="shared" si="2"/>
        <v>63.106471257444959</v>
      </c>
      <c r="E37" s="4">
        <f t="shared" si="6"/>
        <v>0.99619999999999997</v>
      </c>
      <c r="F37" s="24">
        <v>65.03820869623253</v>
      </c>
      <c r="G37" s="24">
        <v>65.866666666666674</v>
      </c>
      <c r="H37" s="145">
        <f t="shared" si="3"/>
        <v>2.9701578157079092E-2</v>
      </c>
      <c r="I37" s="1">
        <v>31</v>
      </c>
      <c r="J37" s="110">
        <f t="shared" si="4"/>
        <v>98.742219680514964</v>
      </c>
      <c r="K37" s="113">
        <f t="shared" si="5"/>
        <v>95.809419925270674</v>
      </c>
      <c r="L37" s="163" t="s">
        <v>667</v>
      </c>
      <c r="M37" s="119" t="s">
        <v>284</v>
      </c>
      <c r="N37" s="119" t="s">
        <v>759</v>
      </c>
      <c r="O37" s="119" t="s">
        <v>244</v>
      </c>
      <c r="P37" s="121">
        <v>31609</v>
      </c>
      <c r="Q37" s="122"/>
      <c r="R37" s="119" t="s">
        <v>760</v>
      </c>
      <c r="S37" s="136">
        <v>43009</v>
      </c>
      <c r="T37" s="131"/>
      <c r="U37" s="1">
        <v>31</v>
      </c>
      <c r="V37" s="4"/>
      <c r="W37" s="4"/>
    </row>
    <row r="38" spans="1:23">
      <c r="A38" s="1">
        <v>32</v>
      </c>
      <c r="B38" s="118">
        <v>4.4999999999999998E-2</v>
      </c>
      <c r="C38" s="24">
        <f t="shared" si="1"/>
        <v>64.8</v>
      </c>
      <c r="D38" s="24">
        <f t="shared" si="2"/>
        <v>63.239781376789729</v>
      </c>
      <c r="E38" s="4">
        <f t="shared" si="6"/>
        <v>0.99409999999999998</v>
      </c>
      <c r="F38" s="24">
        <v>65.122961774926495</v>
      </c>
      <c r="G38" s="24">
        <v>66.11666666666666</v>
      </c>
      <c r="H38" s="145">
        <f t="shared" si="3"/>
        <v>2.8917302696478766E-2</v>
      </c>
      <c r="I38" s="1">
        <v>32</v>
      </c>
      <c r="J38" s="110">
        <f t="shared" si="4"/>
        <v>100.4983978008125</v>
      </c>
      <c r="K38" s="113">
        <f t="shared" si="5"/>
        <v>97.592255211095264</v>
      </c>
      <c r="L38" s="163" t="s">
        <v>1001</v>
      </c>
      <c r="M38" s="119" t="s">
        <v>545</v>
      </c>
      <c r="N38" s="119" t="s">
        <v>1021</v>
      </c>
      <c r="O38" s="119" t="s">
        <v>244</v>
      </c>
      <c r="P38" s="121">
        <v>32855</v>
      </c>
      <c r="Q38" s="167" t="s">
        <v>1018</v>
      </c>
      <c r="R38" s="131" t="s">
        <v>1019</v>
      </c>
      <c r="S38" s="136" t="s">
        <v>1022</v>
      </c>
      <c r="T38" s="131"/>
      <c r="U38" s="1">
        <v>32</v>
      </c>
      <c r="V38" s="4"/>
      <c r="W38" s="4"/>
    </row>
    <row r="39" spans="1:23">
      <c r="A39" s="1">
        <v>33</v>
      </c>
      <c r="B39" s="118">
        <v>4.5856481481481484E-2</v>
      </c>
      <c r="C39" s="24">
        <f t="shared" si="1"/>
        <v>66.033333333333331</v>
      </c>
      <c r="D39" s="24">
        <f t="shared" si="2"/>
        <v>63.405614388972936</v>
      </c>
      <c r="E39" s="4">
        <f t="shared" si="6"/>
        <v>0.99150000000000005</v>
      </c>
      <c r="F39" s="24">
        <v>65.240677512217985</v>
      </c>
      <c r="G39" s="24">
        <v>66.033333333333331</v>
      </c>
      <c r="H39" s="145">
        <f t="shared" si="3"/>
        <v>2.8127591453988E-2</v>
      </c>
      <c r="I39" s="1">
        <v>33</v>
      </c>
      <c r="J39" s="110">
        <f t="shared" si="4"/>
        <v>98.799612587912151</v>
      </c>
      <c r="K39" s="113">
        <f t="shared" si="5"/>
        <v>96.020617449227061</v>
      </c>
      <c r="L39" s="163" t="s">
        <v>668</v>
      </c>
      <c r="M39" s="119" t="s">
        <v>281</v>
      </c>
      <c r="N39" s="119" t="s">
        <v>758</v>
      </c>
      <c r="O39" s="119" t="s">
        <v>244</v>
      </c>
      <c r="P39" s="121">
        <v>29969</v>
      </c>
      <c r="Q39" s="167" t="s">
        <v>1009</v>
      </c>
      <c r="R39" s="119" t="s">
        <v>745</v>
      </c>
      <c r="S39" s="136">
        <v>42048</v>
      </c>
      <c r="T39" s="131"/>
      <c r="U39" s="1">
        <v>33</v>
      </c>
      <c r="V39" s="4"/>
      <c r="W39" s="4"/>
    </row>
    <row r="40" spans="1:23">
      <c r="A40" s="1">
        <v>34</v>
      </c>
      <c r="B40" s="118">
        <v>4.6828703703703706E-2</v>
      </c>
      <c r="C40" s="24">
        <f t="shared" si="1"/>
        <v>67.433333333333337</v>
      </c>
      <c r="D40" s="24">
        <f t="shared" si="2"/>
        <v>63.604478618642929</v>
      </c>
      <c r="E40" s="4">
        <f t="shared" si="6"/>
        <v>0.98839999999999995</v>
      </c>
      <c r="F40" s="24">
        <v>65.39829541641501</v>
      </c>
      <c r="G40" s="24">
        <v>67.433333333333337</v>
      </c>
      <c r="H40" s="145">
        <f t="shared" si="3"/>
        <v>2.7429106314624706E-2</v>
      </c>
      <c r="I40" s="1">
        <v>34</v>
      </c>
      <c r="J40" s="110">
        <f t="shared" si="4"/>
        <v>96.982148417817612</v>
      </c>
      <c r="K40" s="113">
        <f t="shared" si="5"/>
        <v>94.322014758244578</v>
      </c>
      <c r="L40" s="163" t="s">
        <v>669</v>
      </c>
      <c r="M40" s="119" t="s">
        <v>252</v>
      </c>
      <c r="N40" s="119" t="s">
        <v>253</v>
      </c>
      <c r="O40" s="119" t="s">
        <v>244</v>
      </c>
      <c r="P40" s="121">
        <v>28256</v>
      </c>
      <c r="Q40" s="122"/>
      <c r="R40" s="119" t="s">
        <v>522</v>
      </c>
      <c r="S40" s="136">
        <v>40999</v>
      </c>
      <c r="T40" s="131"/>
      <c r="U40" s="1">
        <v>34</v>
      </c>
      <c r="V40" s="4"/>
      <c r="W40" s="4"/>
    </row>
    <row r="41" spans="1:23">
      <c r="A41" s="1">
        <v>35</v>
      </c>
      <c r="B41" s="118">
        <v>4.5289351851851851E-2</v>
      </c>
      <c r="C41" s="24">
        <f t="shared" si="1"/>
        <v>65.216666666666669</v>
      </c>
      <c r="D41" s="24">
        <f t="shared" si="2"/>
        <v>63.830507327309036</v>
      </c>
      <c r="E41" s="4">
        <f t="shared" si="6"/>
        <v>0.9849</v>
      </c>
      <c r="F41" s="24">
        <v>65.596392030156167</v>
      </c>
      <c r="G41" s="24">
        <v>65.216666666666669</v>
      </c>
      <c r="H41" s="145">
        <f t="shared" si="3"/>
        <v>2.6920454741402755E-2</v>
      </c>
      <c r="I41" s="1">
        <v>35</v>
      </c>
      <c r="J41" s="110">
        <f t="shared" si="4"/>
        <v>100.58225202681753</v>
      </c>
      <c r="K41" s="113">
        <f t="shared" si="5"/>
        <v>97.874532063341221</v>
      </c>
      <c r="L41" s="163" t="s">
        <v>670</v>
      </c>
      <c r="M41" s="119" t="s">
        <v>281</v>
      </c>
      <c r="N41" s="119" t="s">
        <v>758</v>
      </c>
      <c r="O41" s="119" t="s">
        <v>244</v>
      </c>
      <c r="P41" s="121">
        <v>29969</v>
      </c>
      <c r="Q41" s="167" t="s">
        <v>1009</v>
      </c>
      <c r="R41" s="119" t="s">
        <v>745</v>
      </c>
      <c r="S41" s="136">
        <v>42776</v>
      </c>
      <c r="T41" s="131"/>
      <c r="U41" s="1">
        <v>35</v>
      </c>
      <c r="V41" s="4"/>
      <c r="W41" s="4"/>
    </row>
    <row r="42" spans="1:23">
      <c r="A42" s="1">
        <v>36</v>
      </c>
      <c r="B42" s="118">
        <v>4.746527777777778E-2</v>
      </c>
      <c r="C42" s="24">
        <f t="shared" si="1"/>
        <v>68.350000000000009</v>
      </c>
      <c r="D42" s="24">
        <f t="shared" si="2"/>
        <v>64.090800965100073</v>
      </c>
      <c r="E42" s="4">
        <f t="shared" si="6"/>
        <v>0.98089999999999999</v>
      </c>
      <c r="F42" s="24">
        <v>65.822357311719017</v>
      </c>
      <c r="G42" s="24">
        <v>68.350000000000009</v>
      </c>
      <c r="H42" s="145">
        <f t="shared" si="3"/>
        <v>2.6306507656945585E-2</v>
      </c>
      <c r="I42" s="1">
        <v>36</v>
      </c>
      <c r="J42" s="110">
        <f t="shared" si="4"/>
        <v>96.301912672595478</v>
      </c>
      <c r="K42" s="113">
        <f t="shared" si="5"/>
        <v>93.768545669495339</v>
      </c>
      <c r="L42" s="163" t="s">
        <v>661</v>
      </c>
      <c r="M42" s="119" t="s">
        <v>761</v>
      </c>
      <c r="N42" s="119" t="s">
        <v>762</v>
      </c>
      <c r="O42" s="119" t="s">
        <v>244</v>
      </c>
      <c r="P42" s="121">
        <v>29113</v>
      </c>
      <c r="Q42" s="122"/>
      <c r="R42" s="119" t="s">
        <v>582</v>
      </c>
      <c r="S42" s="136">
        <v>42281</v>
      </c>
      <c r="T42" s="131"/>
      <c r="U42" s="1">
        <v>36</v>
      </c>
      <c r="V42" s="4"/>
      <c r="W42" s="4"/>
    </row>
    <row r="43" spans="1:23">
      <c r="A43" s="1">
        <v>37</v>
      </c>
      <c r="B43" s="118">
        <v>4.7858796296296295E-2</v>
      </c>
      <c r="C43" s="24">
        <f t="shared" si="1"/>
        <v>68.916666666666671</v>
      </c>
      <c r="D43" s="24">
        <f t="shared" ref="D43:D74" si="7">E$4/E43</f>
        <v>64.386180527106376</v>
      </c>
      <c r="E43" s="4">
        <f t="shared" si="6"/>
        <v>0.97640000000000005</v>
      </c>
      <c r="F43" s="24">
        <v>66.090200067819609</v>
      </c>
      <c r="G43" s="24">
        <v>68.916666666666671</v>
      </c>
      <c r="H43" s="145">
        <f t="shared" si="3"/>
        <v>2.5783240767384932E-2</v>
      </c>
      <c r="I43" s="1">
        <v>37</v>
      </c>
      <c r="J43" s="110">
        <f t="shared" ref="J43:J74" si="8">100*F43/+C43</f>
        <v>95.898718357174758</v>
      </c>
      <c r="K43" s="113">
        <f t="shared" ref="K43:K74" si="9">100*(D43/C43)</f>
        <v>93.426138612488089</v>
      </c>
      <c r="L43" s="163" t="s">
        <v>671</v>
      </c>
      <c r="M43" s="119" t="s">
        <v>763</v>
      </c>
      <c r="N43" s="119" t="s">
        <v>764</v>
      </c>
      <c r="O43" s="119" t="s">
        <v>765</v>
      </c>
      <c r="P43" s="121">
        <v>27855</v>
      </c>
      <c r="Q43" s="122"/>
      <c r="R43" s="119" t="s">
        <v>739</v>
      </c>
      <c r="S43" s="136">
        <v>41727</v>
      </c>
      <c r="T43" s="131"/>
      <c r="U43" s="1">
        <v>37</v>
      </c>
      <c r="V43" s="4"/>
      <c r="W43" s="4"/>
    </row>
    <row r="44" spans="1:23">
      <c r="A44" s="1">
        <v>38</v>
      </c>
      <c r="B44" s="118">
        <v>4.670138888888889E-2</v>
      </c>
      <c r="C44" s="24">
        <f t="shared" si="1"/>
        <v>67.25</v>
      </c>
      <c r="D44" s="24">
        <f t="shared" si="7"/>
        <v>64.71758973303136</v>
      </c>
      <c r="E44" s="4">
        <f t="shared" si="6"/>
        <v>0.97140000000000004</v>
      </c>
      <c r="F44" s="24">
        <v>66.394140691534659</v>
      </c>
      <c r="G44" s="24">
        <v>67.266666666666666</v>
      </c>
      <c r="H44" s="145">
        <f t="shared" si="3"/>
        <v>2.525148968027929E-2</v>
      </c>
      <c r="I44" s="1">
        <v>38</v>
      </c>
      <c r="J44" s="110">
        <f t="shared" si="8"/>
        <v>98.727346753211393</v>
      </c>
      <c r="K44" s="113">
        <f t="shared" si="9"/>
        <v>96.234334175511322</v>
      </c>
      <c r="L44" s="163" t="s">
        <v>1002</v>
      </c>
      <c r="M44" s="119" t="s">
        <v>1023</v>
      </c>
      <c r="N44" s="119" t="s">
        <v>1024</v>
      </c>
      <c r="O44" s="119" t="s">
        <v>217</v>
      </c>
      <c r="P44" s="121">
        <v>30421</v>
      </c>
      <c r="Q44" s="170" t="s">
        <v>1025</v>
      </c>
      <c r="R44" s="130" t="s">
        <v>353</v>
      </c>
      <c r="S44" s="136">
        <v>44577</v>
      </c>
      <c r="T44" s="131"/>
      <c r="U44" s="1">
        <v>38</v>
      </c>
      <c r="V44" s="4"/>
      <c r="W44" s="4"/>
    </row>
    <row r="45" spans="1:23">
      <c r="A45" s="1">
        <v>39</v>
      </c>
      <c r="B45" s="118">
        <v>4.777777777777778E-2</v>
      </c>
      <c r="C45" s="24">
        <f t="shared" si="1"/>
        <v>68.8</v>
      </c>
      <c r="D45" s="24">
        <f t="shared" si="7"/>
        <v>65.079365079365076</v>
      </c>
      <c r="E45" s="4">
        <f t="shared" si="6"/>
        <v>0.96599999999999997</v>
      </c>
      <c r="F45" s="24">
        <v>66.735148091080291</v>
      </c>
      <c r="G45" s="24">
        <v>68.8</v>
      </c>
      <c r="H45" s="145">
        <f t="shared" si="3"/>
        <v>2.4811258520853186E-2</v>
      </c>
      <c r="I45" s="1">
        <v>39</v>
      </c>
      <c r="J45" s="110">
        <f t="shared" si="8"/>
        <v>96.998761760291131</v>
      </c>
      <c r="K45" s="113">
        <f t="shared" si="9"/>
        <v>94.592100406053888</v>
      </c>
      <c r="L45" s="163" t="s">
        <v>672</v>
      </c>
      <c r="M45" s="119" t="s">
        <v>550</v>
      </c>
      <c r="N45" s="119" t="s">
        <v>766</v>
      </c>
      <c r="O45" s="119" t="s">
        <v>552</v>
      </c>
      <c r="P45" s="121">
        <v>27368</v>
      </c>
      <c r="Q45" s="122"/>
      <c r="R45" s="119" t="s">
        <v>739</v>
      </c>
      <c r="S45" s="136">
        <v>41727</v>
      </c>
      <c r="T45" s="131"/>
      <c r="U45" s="1">
        <v>39</v>
      </c>
      <c r="V45" s="4"/>
      <c r="W45" s="4"/>
    </row>
    <row r="46" spans="1:23">
      <c r="A46" s="1">
        <v>40</v>
      </c>
      <c r="B46" s="118">
        <v>4.8564814814814818E-2</v>
      </c>
      <c r="C46" s="24">
        <f t="shared" si="1"/>
        <v>69.933333333333337</v>
      </c>
      <c r="D46" s="24">
        <f t="shared" si="7"/>
        <v>65.479290351699476</v>
      </c>
      <c r="E46" s="4">
        <f t="shared" si="6"/>
        <v>0.96009999999999995</v>
      </c>
      <c r="F46" s="24">
        <v>67.121259083238627</v>
      </c>
      <c r="G46" s="24">
        <v>69.933333333333337</v>
      </c>
      <c r="H46" s="145">
        <f t="shared" si="3"/>
        <v>2.4462722451360872E-2</v>
      </c>
      <c r="I46" s="1">
        <v>40</v>
      </c>
      <c r="J46" s="110">
        <f t="shared" si="8"/>
        <v>95.978921472695845</v>
      </c>
      <c r="K46" s="113">
        <f t="shared" si="9"/>
        <v>93.631015755528324</v>
      </c>
      <c r="L46" s="163" t="s">
        <v>673</v>
      </c>
      <c r="M46" s="119" t="s">
        <v>542</v>
      </c>
      <c r="N46" s="119" t="s">
        <v>767</v>
      </c>
      <c r="O46" s="119" t="s">
        <v>295</v>
      </c>
      <c r="P46" s="121">
        <v>24899</v>
      </c>
      <c r="Q46" s="122"/>
      <c r="R46" s="119" t="s">
        <v>768</v>
      </c>
      <c r="S46" s="136">
        <v>39704</v>
      </c>
      <c r="T46" s="131"/>
      <c r="U46" s="1">
        <v>40</v>
      </c>
      <c r="V46" s="4"/>
      <c r="W46" s="4"/>
    </row>
    <row r="47" spans="1:23">
      <c r="A47" s="1">
        <v>41</v>
      </c>
      <c r="B47" s="118">
        <v>4.8344907407407406E-2</v>
      </c>
      <c r="C47" s="24">
        <f t="shared" si="1"/>
        <v>69.61666666666666</v>
      </c>
      <c r="D47" s="24">
        <f t="shared" si="7"/>
        <v>65.918702596903287</v>
      </c>
      <c r="E47" s="4">
        <f t="shared" si="6"/>
        <v>0.95369999999999999</v>
      </c>
      <c r="F47" s="24">
        <v>67.546960560060995</v>
      </c>
      <c r="G47" s="24">
        <v>69.61666666666666</v>
      </c>
      <c r="H47" s="145">
        <f t="shared" si="3"/>
        <v>2.4105569660827348E-2</v>
      </c>
      <c r="I47" s="1">
        <v>41</v>
      </c>
      <c r="J47" s="110">
        <f t="shared" si="8"/>
        <v>97.026996255773525</v>
      </c>
      <c r="K47" s="113">
        <f t="shared" si="9"/>
        <v>94.688105238549142</v>
      </c>
      <c r="L47" s="163" t="s">
        <v>674</v>
      </c>
      <c r="M47" s="119" t="s">
        <v>291</v>
      </c>
      <c r="N47" s="119" t="s">
        <v>292</v>
      </c>
      <c r="O47" s="119" t="s">
        <v>217</v>
      </c>
      <c r="P47" s="121">
        <v>26709</v>
      </c>
      <c r="Q47" s="122" t="s">
        <v>769</v>
      </c>
      <c r="R47" s="119" t="s">
        <v>719</v>
      </c>
      <c r="S47" s="136">
        <v>41903</v>
      </c>
      <c r="T47" s="131"/>
      <c r="U47" s="1">
        <v>41</v>
      </c>
      <c r="V47" s="4"/>
      <c r="W47" s="4"/>
    </row>
    <row r="48" spans="1:23">
      <c r="A48" s="1">
        <v>42</v>
      </c>
      <c r="B48" s="118">
        <v>4.8587962962962965E-2</v>
      </c>
      <c r="C48" s="24">
        <f t="shared" si="1"/>
        <v>69.966666666666669</v>
      </c>
      <c r="D48" s="24">
        <f t="shared" si="7"/>
        <v>66.39909871849035</v>
      </c>
      <c r="E48" s="4">
        <f t="shared" si="6"/>
        <v>0.94679999999999997</v>
      </c>
      <c r="F48" s="24">
        <v>68.013679508654377</v>
      </c>
      <c r="G48" s="24">
        <v>69.966666666666669</v>
      </c>
      <c r="H48" s="145">
        <f t="shared" si="3"/>
        <v>2.373905958078007E-2</v>
      </c>
      <c r="I48" s="1">
        <v>42</v>
      </c>
      <c r="J48" s="110">
        <f t="shared" si="8"/>
        <v>97.2086891500539</v>
      </c>
      <c r="K48" s="113">
        <f t="shared" si="9"/>
        <v>94.901046286551235</v>
      </c>
      <c r="L48" s="163" t="s">
        <v>675</v>
      </c>
      <c r="M48" s="119" t="s">
        <v>770</v>
      </c>
      <c r="N48" s="119" t="s">
        <v>771</v>
      </c>
      <c r="O48" s="119" t="s">
        <v>259</v>
      </c>
      <c r="P48" s="121">
        <v>26927</v>
      </c>
      <c r="Q48" s="122"/>
      <c r="R48" s="119" t="s">
        <v>582</v>
      </c>
      <c r="S48" s="136">
        <v>42281</v>
      </c>
      <c r="T48" s="131"/>
      <c r="U48" s="1">
        <v>42</v>
      </c>
      <c r="V48" s="4"/>
      <c r="W48" s="4"/>
    </row>
    <row r="49" spans="1:23">
      <c r="A49" s="1">
        <v>43</v>
      </c>
      <c r="B49" s="118">
        <v>4.9930555555555554E-2</v>
      </c>
      <c r="C49" s="24">
        <f t="shared" si="1"/>
        <v>71.899999999999991</v>
      </c>
      <c r="D49" s="24">
        <f t="shared" si="7"/>
        <v>66.915025722902257</v>
      </c>
      <c r="E49" s="4">
        <f t="shared" si="6"/>
        <v>0.9395</v>
      </c>
      <c r="F49" s="24">
        <v>68.530239099859358</v>
      </c>
      <c r="G49" s="24">
        <v>71.899999999999991</v>
      </c>
      <c r="H49" s="145">
        <f t="shared" si="3"/>
        <v>2.3569352714551024E-2</v>
      </c>
      <c r="I49" s="1">
        <v>43</v>
      </c>
      <c r="J49" s="110">
        <f t="shared" si="8"/>
        <v>95.313267176438615</v>
      </c>
      <c r="K49" s="113">
        <f t="shared" si="9"/>
        <v>93.066795163980899</v>
      </c>
      <c r="L49" s="163" t="s">
        <v>676</v>
      </c>
      <c r="M49" s="119" t="s">
        <v>575</v>
      </c>
      <c r="N49" s="119" t="s">
        <v>772</v>
      </c>
      <c r="O49" s="119" t="s">
        <v>552</v>
      </c>
      <c r="P49" s="121">
        <v>18655</v>
      </c>
      <c r="Q49" s="122"/>
      <c r="R49" s="119" t="s">
        <v>510</v>
      </c>
      <c r="S49" s="136">
        <v>34601</v>
      </c>
      <c r="T49" s="131"/>
      <c r="U49" s="1">
        <v>43</v>
      </c>
      <c r="V49" s="4"/>
      <c r="W49" s="4"/>
    </row>
    <row r="50" spans="1:23">
      <c r="A50" s="1">
        <v>44</v>
      </c>
      <c r="B50" s="118">
        <v>4.8449074074074075E-2</v>
      </c>
      <c r="C50" s="24">
        <f t="shared" si="1"/>
        <v>69.766666666666666</v>
      </c>
      <c r="D50" s="24">
        <f t="shared" si="7"/>
        <v>67.475224500017887</v>
      </c>
      <c r="E50" s="4">
        <f t="shared" si="6"/>
        <v>0.93169999999999997</v>
      </c>
      <c r="F50" s="24">
        <v>69.091424722606263</v>
      </c>
      <c r="G50" s="24">
        <v>72.05</v>
      </c>
      <c r="H50" s="145">
        <f t="shared" si="3"/>
        <v>2.3392197064646219E-2</v>
      </c>
      <c r="I50" s="1">
        <v>44</v>
      </c>
      <c r="J50" s="110">
        <f t="shared" si="8"/>
        <v>99.032142459540751</v>
      </c>
      <c r="K50" s="113">
        <f t="shared" si="9"/>
        <v>96.715563067393049</v>
      </c>
      <c r="L50" s="164" t="s">
        <v>1003</v>
      </c>
      <c r="M50" s="171" t="s">
        <v>761</v>
      </c>
      <c r="N50" s="153" t="s">
        <v>533</v>
      </c>
      <c r="O50" s="171" t="s">
        <v>244</v>
      </c>
      <c r="P50" s="121">
        <v>29174</v>
      </c>
      <c r="Q50" s="22" t="s">
        <v>773</v>
      </c>
      <c r="R50" s="123" t="s">
        <v>774</v>
      </c>
      <c r="S50" s="412">
        <v>45368</v>
      </c>
      <c r="T50" s="131"/>
      <c r="U50" s="1">
        <v>44</v>
      </c>
      <c r="V50" s="4"/>
      <c r="W50" s="4"/>
    </row>
    <row r="51" spans="1:23">
      <c r="A51" s="1">
        <v>45</v>
      </c>
      <c r="B51" s="118">
        <v>5.0046296296296297E-2</v>
      </c>
      <c r="C51" s="24">
        <f t="shared" si="1"/>
        <v>72.066666666666663</v>
      </c>
      <c r="D51" s="24">
        <f t="shared" si="7"/>
        <v>68.081726951122661</v>
      </c>
      <c r="E51" s="4">
        <f t="shared" si="6"/>
        <v>0.9234</v>
      </c>
      <c r="F51" s="24">
        <v>69.699245431462998</v>
      </c>
      <c r="G51" s="24">
        <v>72.066666666666663</v>
      </c>
      <c r="H51" s="145">
        <f t="shared" si="3"/>
        <v>2.3207116093256461E-2</v>
      </c>
      <c r="I51" s="1">
        <v>45</v>
      </c>
      <c r="J51" s="110">
        <f t="shared" si="8"/>
        <v>96.714956657904253</v>
      </c>
      <c r="K51" s="113">
        <f t="shared" si="9"/>
        <v>94.470481430790016</v>
      </c>
      <c r="L51" s="163" t="s">
        <v>677</v>
      </c>
      <c r="M51" s="119" t="s">
        <v>575</v>
      </c>
      <c r="N51" s="119" t="s">
        <v>772</v>
      </c>
      <c r="O51" s="119" t="s">
        <v>552</v>
      </c>
      <c r="P51" s="121">
        <v>18655</v>
      </c>
      <c r="Q51" s="122"/>
      <c r="R51" s="119" t="s">
        <v>775</v>
      </c>
      <c r="S51" s="136">
        <v>35141</v>
      </c>
      <c r="T51" s="131"/>
      <c r="U51" s="1">
        <v>45</v>
      </c>
      <c r="V51" s="4"/>
      <c r="W51" s="4"/>
    </row>
    <row r="52" spans="1:23">
      <c r="A52" s="1">
        <v>46</v>
      </c>
      <c r="B52" s="118">
        <v>4.9513888888888892E-2</v>
      </c>
      <c r="C52" s="24">
        <f t="shared" si="1"/>
        <v>71.300000000000011</v>
      </c>
      <c r="D52" s="24">
        <f t="shared" si="7"/>
        <v>68.729273714514775</v>
      </c>
      <c r="E52" s="4">
        <f t="shared" si="6"/>
        <v>0.91469999999999996</v>
      </c>
      <c r="F52" s="24">
        <v>70.36355103072313</v>
      </c>
      <c r="G52" s="24">
        <v>71.300000000000011</v>
      </c>
      <c r="H52" s="145">
        <f t="shared" si="3"/>
        <v>2.3226191576016016E-2</v>
      </c>
      <c r="I52" s="1">
        <v>46</v>
      </c>
      <c r="J52" s="110">
        <f t="shared" si="8"/>
        <v>98.686607336217563</v>
      </c>
      <c r="K52" s="113">
        <f t="shared" si="9"/>
        <v>96.394493288239502</v>
      </c>
      <c r="L52" s="163" t="s">
        <v>678</v>
      </c>
      <c r="M52" s="119" t="s">
        <v>568</v>
      </c>
      <c r="N52" s="119" t="s">
        <v>776</v>
      </c>
      <c r="O52" s="119" t="s">
        <v>570</v>
      </c>
      <c r="P52" s="121">
        <v>15372</v>
      </c>
      <c r="Q52" s="122"/>
      <c r="R52" s="119" t="s">
        <v>777</v>
      </c>
      <c r="S52" s="136">
        <v>32340</v>
      </c>
      <c r="T52" s="131"/>
      <c r="U52" s="1">
        <v>46</v>
      </c>
      <c r="V52" s="4"/>
      <c r="W52" s="4"/>
    </row>
    <row r="53" spans="1:23">
      <c r="A53" s="1">
        <v>47</v>
      </c>
      <c r="B53" s="118">
        <v>5.2569444444444446E-2</v>
      </c>
      <c r="C53" s="24">
        <f t="shared" si="1"/>
        <v>75.7</v>
      </c>
      <c r="D53" s="24">
        <f t="shared" si="7"/>
        <v>69.427572243695934</v>
      </c>
      <c r="E53" s="4">
        <f t="shared" si="6"/>
        <v>0.90549999999999997</v>
      </c>
      <c r="F53" s="24">
        <v>71.079504011670309</v>
      </c>
      <c r="G53" s="24">
        <v>75.7</v>
      </c>
      <c r="H53" s="145">
        <f t="shared" si="3"/>
        <v>2.3240620358059193E-2</v>
      </c>
      <c r="I53" s="1">
        <v>47</v>
      </c>
      <c r="J53" s="110">
        <f t="shared" si="8"/>
        <v>93.896306488335938</v>
      </c>
      <c r="K53" s="113">
        <f t="shared" si="9"/>
        <v>91.714098076216558</v>
      </c>
      <c r="L53" s="163" t="s">
        <v>679</v>
      </c>
      <c r="M53" s="119" t="s">
        <v>575</v>
      </c>
      <c r="N53" s="119" t="s">
        <v>772</v>
      </c>
      <c r="O53" s="119" t="s">
        <v>552</v>
      </c>
      <c r="P53" s="121">
        <v>18655</v>
      </c>
      <c r="Q53" s="122"/>
      <c r="R53" s="119" t="s">
        <v>778</v>
      </c>
      <c r="S53" s="136">
        <v>36051</v>
      </c>
      <c r="T53" s="131"/>
      <c r="U53" s="1">
        <v>47</v>
      </c>
      <c r="V53" s="4"/>
      <c r="W53" s="4"/>
    </row>
    <row r="54" spans="1:23">
      <c r="A54" s="1">
        <v>48</v>
      </c>
      <c r="B54" s="118">
        <v>5.2152777777777777E-2</v>
      </c>
      <c r="C54" s="24">
        <f t="shared" si="1"/>
        <v>75.099999999999994</v>
      </c>
      <c r="D54" s="24">
        <f t="shared" si="7"/>
        <v>70.179355510902724</v>
      </c>
      <c r="E54" s="4">
        <f t="shared" si="6"/>
        <v>0.89580000000000004</v>
      </c>
      <c r="F54" s="24">
        <v>71.849885718498854</v>
      </c>
      <c r="G54" s="24">
        <v>75.099999999999994</v>
      </c>
      <c r="H54" s="145">
        <f t="shared" si="3"/>
        <v>2.3250283433172203E-2</v>
      </c>
      <c r="I54" s="1">
        <v>48</v>
      </c>
      <c r="J54" s="110">
        <f t="shared" si="8"/>
        <v>95.672284578560394</v>
      </c>
      <c r="K54" s="113">
        <f t="shared" si="9"/>
        <v>93.447876845409766</v>
      </c>
      <c r="L54" s="163" t="s">
        <v>680</v>
      </c>
      <c r="M54" s="119" t="s">
        <v>568</v>
      </c>
      <c r="N54" s="119" t="s">
        <v>776</v>
      </c>
      <c r="O54" s="119" t="s">
        <v>570</v>
      </c>
      <c r="P54" s="121">
        <v>15372</v>
      </c>
      <c r="Q54" s="122"/>
      <c r="R54" s="119" t="s">
        <v>779</v>
      </c>
      <c r="S54" s="136">
        <v>33117</v>
      </c>
      <c r="T54" s="131"/>
      <c r="U54" s="1">
        <v>48</v>
      </c>
      <c r="V54" s="4"/>
      <c r="W54" s="4"/>
    </row>
    <row r="55" spans="1:23">
      <c r="A55" s="1">
        <v>49</v>
      </c>
      <c r="B55" s="118">
        <v>5.1064814814814813E-2</v>
      </c>
      <c r="C55" s="24">
        <f t="shared" si="1"/>
        <v>73.533333333333331</v>
      </c>
      <c r="D55" s="24">
        <f t="shared" si="7"/>
        <v>70.987654320987644</v>
      </c>
      <c r="E55" s="4">
        <f t="shared" si="6"/>
        <v>0.88560000000000005</v>
      </c>
      <c r="F55" s="24">
        <v>72.677779020770402</v>
      </c>
      <c r="G55" s="24">
        <v>73.533333333333331</v>
      </c>
      <c r="H55" s="145">
        <f t="shared" si="3"/>
        <v>2.3255040571613237E-2</v>
      </c>
      <c r="I55" s="1">
        <v>49</v>
      </c>
      <c r="J55" s="110">
        <f t="shared" si="8"/>
        <v>98.836508187811063</v>
      </c>
      <c r="K55" s="113">
        <f t="shared" si="9"/>
        <v>96.538061179946936</v>
      </c>
      <c r="L55" s="163" t="s">
        <v>681</v>
      </c>
      <c r="M55" s="119" t="s">
        <v>305</v>
      </c>
      <c r="N55" s="119" t="s">
        <v>306</v>
      </c>
      <c r="O55" s="119" t="s">
        <v>217</v>
      </c>
      <c r="P55" s="121">
        <v>22408</v>
      </c>
      <c r="Q55" s="122" t="s">
        <v>780</v>
      </c>
      <c r="R55" s="119" t="s">
        <v>237</v>
      </c>
      <c r="S55" s="136">
        <v>40454</v>
      </c>
      <c r="T55" s="131"/>
      <c r="U55" s="1">
        <v>49</v>
      </c>
      <c r="V55" s="4"/>
      <c r="W55" s="4"/>
    </row>
    <row r="56" spans="1:23">
      <c r="A56" s="1">
        <v>50</v>
      </c>
      <c r="B56" s="118">
        <v>5.2291666666666667E-2</v>
      </c>
      <c r="C56" s="24">
        <f t="shared" si="1"/>
        <v>75.3</v>
      </c>
      <c r="D56" s="24">
        <f t="shared" si="7"/>
        <v>71.822994021097529</v>
      </c>
      <c r="E56" s="4">
        <f t="shared" si="6"/>
        <v>0.87529999999999997</v>
      </c>
      <c r="F56" s="24">
        <v>73.533295604602912</v>
      </c>
      <c r="G56" s="24">
        <v>75.3</v>
      </c>
      <c r="H56" s="145">
        <f t="shared" si="3"/>
        <v>2.3258872996824113E-2</v>
      </c>
      <c r="I56" s="1">
        <v>50</v>
      </c>
      <c r="J56" s="110">
        <f t="shared" si="8"/>
        <v>97.653779023377041</v>
      </c>
      <c r="K56" s="113">
        <f t="shared" si="9"/>
        <v>95.3824621794124</v>
      </c>
      <c r="L56" s="163" t="s">
        <v>682</v>
      </c>
      <c r="M56" s="119" t="s">
        <v>305</v>
      </c>
      <c r="N56" s="119" t="s">
        <v>306</v>
      </c>
      <c r="O56" s="119" t="s">
        <v>217</v>
      </c>
      <c r="P56" s="121">
        <v>22408</v>
      </c>
      <c r="Q56" s="122" t="s">
        <v>781</v>
      </c>
      <c r="R56" s="119" t="s">
        <v>782</v>
      </c>
      <c r="S56" s="136">
        <v>40846</v>
      </c>
      <c r="T56" s="131"/>
      <c r="U56" s="1">
        <v>50</v>
      </c>
      <c r="V56" s="4"/>
      <c r="W56" s="4"/>
    </row>
    <row r="57" spans="1:23">
      <c r="A57" s="1">
        <v>51</v>
      </c>
      <c r="B57" s="118">
        <v>5.28587962962963E-2</v>
      </c>
      <c r="C57" s="24">
        <f t="shared" si="1"/>
        <v>76.116666666666674</v>
      </c>
      <c r="D57" s="24">
        <f t="shared" si="7"/>
        <v>72.686630438971747</v>
      </c>
      <c r="E57" s="4">
        <f t="shared" si="6"/>
        <v>0.8649</v>
      </c>
      <c r="F57" s="24">
        <v>74.409193295918755</v>
      </c>
      <c r="G57" s="24">
        <v>76.116666666666674</v>
      </c>
      <c r="H57" s="145">
        <f t="shared" si="3"/>
        <v>2.3149866040027178E-2</v>
      </c>
      <c r="I57" s="1">
        <v>51</v>
      </c>
      <c r="J57" s="110">
        <f t="shared" si="8"/>
        <v>97.75676806996114</v>
      </c>
      <c r="K57" s="113">
        <f t="shared" si="9"/>
        <v>95.493711984635524</v>
      </c>
      <c r="L57" s="163" t="s">
        <v>683</v>
      </c>
      <c r="M57" s="119" t="s">
        <v>301</v>
      </c>
      <c r="N57" s="119" t="s">
        <v>302</v>
      </c>
      <c r="O57" s="119" t="s">
        <v>303</v>
      </c>
      <c r="P57" s="121">
        <v>20152</v>
      </c>
      <c r="Q57" s="122" t="s">
        <v>783</v>
      </c>
      <c r="R57" s="119" t="s">
        <v>529</v>
      </c>
      <c r="S57" s="136">
        <v>38802</v>
      </c>
      <c r="T57" s="131"/>
      <c r="U57" s="1">
        <v>51</v>
      </c>
      <c r="V57" s="4"/>
      <c r="W57" s="4"/>
    </row>
    <row r="58" spans="1:23">
      <c r="A58" s="1">
        <v>52</v>
      </c>
      <c r="B58" s="118">
        <v>5.5625000000000001E-2</v>
      </c>
      <c r="C58" s="24">
        <f t="shared" si="1"/>
        <v>80.099999999999994</v>
      </c>
      <c r="D58" s="24">
        <f t="shared" si="7"/>
        <v>73.562680396286765</v>
      </c>
      <c r="E58" s="4">
        <f t="shared" si="6"/>
        <v>0.85460000000000003</v>
      </c>
      <c r="F58" s="24">
        <v>75.306209188207561</v>
      </c>
      <c r="G58" s="24">
        <v>80.099999999999994</v>
      </c>
      <c r="H58" s="145">
        <f t="shared" si="3"/>
        <v>2.3152523685839969E-2</v>
      </c>
      <c r="I58" s="1">
        <v>52</v>
      </c>
      <c r="J58" s="110">
        <f t="shared" si="8"/>
        <v>94.015242432219182</v>
      </c>
      <c r="K58" s="113">
        <f t="shared" si="9"/>
        <v>91.838552304977242</v>
      </c>
      <c r="L58" s="163" t="s">
        <v>684</v>
      </c>
      <c r="M58" s="119" t="s">
        <v>583</v>
      </c>
      <c r="N58" s="119" t="s">
        <v>784</v>
      </c>
      <c r="O58" s="119" t="s">
        <v>552</v>
      </c>
      <c r="P58" s="121">
        <v>21934</v>
      </c>
      <c r="Q58" s="122"/>
      <c r="R58" s="119" t="s">
        <v>623</v>
      </c>
      <c r="S58" s="136">
        <v>40979</v>
      </c>
      <c r="T58" s="131"/>
      <c r="U58" s="1">
        <v>52</v>
      </c>
      <c r="V58" s="4"/>
      <c r="W58" s="4"/>
    </row>
    <row r="59" spans="1:23">
      <c r="A59" s="1">
        <v>53</v>
      </c>
      <c r="B59" s="118">
        <v>5.5706018518518516E-2</v>
      </c>
      <c r="C59" s="24">
        <f t="shared" si="1"/>
        <v>80.216666666666669</v>
      </c>
      <c r="D59" s="24">
        <f t="shared" si="7"/>
        <v>74.468925215193877</v>
      </c>
      <c r="E59" s="4">
        <f t="shared" si="6"/>
        <v>0.84419999999999995</v>
      </c>
      <c r="F59" s="24">
        <v>76.225116351832298</v>
      </c>
      <c r="G59" s="24">
        <v>80.216666666666669</v>
      </c>
      <c r="H59" s="145">
        <f t="shared" si="3"/>
        <v>2.3039533695591474E-2</v>
      </c>
      <c r="I59" s="1">
        <v>53</v>
      </c>
      <c r="J59" s="110">
        <f t="shared" si="8"/>
        <v>95.024038668396784</v>
      </c>
      <c r="K59" s="113">
        <f t="shared" si="9"/>
        <v>92.834729127605073</v>
      </c>
      <c r="L59" s="163" t="s">
        <v>685</v>
      </c>
      <c r="M59" s="119" t="s">
        <v>785</v>
      </c>
      <c r="N59" s="119" t="s">
        <v>786</v>
      </c>
      <c r="O59" s="119" t="s">
        <v>787</v>
      </c>
      <c r="P59" s="121">
        <v>23167</v>
      </c>
      <c r="Q59" s="122"/>
      <c r="R59" s="119" t="s">
        <v>788</v>
      </c>
      <c r="S59" s="136">
        <v>42526</v>
      </c>
      <c r="T59" s="131"/>
      <c r="U59" s="1">
        <v>53</v>
      </c>
      <c r="V59" s="4"/>
      <c r="W59" s="4"/>
    </row>
    <row r="60" spans="1:23">
      <c r="A60" s="1">
        <v>54</v>
      </c>
      <c r="B60" s="118">
        <v>5.541666666666667E-2</v>
      </c>
      <c r="C60" s="24">
        <f t="shared" si="1"/>
        <v>79.800000000000011</v>
      </c>
      <c r="D60" s="24">
        <f t="shared" si="7"/>
        <v>75.388735659751376</v>
      </c>
      <c r="E60" s="4">
        <f t="shared" si="6"/>
        <v>0.83389999999999997</v>
      </c>
      <c r="F60" s="24">
        <v>77.166726056142849</v>
      </c>
      <c r="G60" s="24">
        <v>79.800000000000011</v>
      </c>
      <c r="H60" s="145">
        <f t="shared" si="3"/>
        <v>2.3040894531379912E-2</v>
      </c>
      <c r="I60" s="1">
        <v>54</v>
      </c>
      <c r="J60" s="110">
        <f t="shared" si="8"/>
        <v>96.700157965091279</v>
      </c>
      <c r="K60" s="113">
        <f t="shared" si="9"/>
        <v>94.472099824249838</v>
      </c>
      <c r="L60" s="163" t="s">
        <v>686</v>
      </c>
      <c r="M60" s="119" t="s">
        <v>318</v>
      </c>
      <c r="N60" s="119" t="s">
        <v>319</v>
      </c>
      <c r="O60" s="119" t="s">
        <v>320</v>
      </c>
      <c r="P60" s="121">
        <v>21769</v>
      </c>
      <c r="Q60" s="122"/>
      <c r="R60" s="119" t="s">
        <v>789</v>
      </c>
      <c r="S60" s="136">
        <v>41707</v>
      </c>
      <c r="T60" s="131"/>
      <c r="U60" s="1">
        <v>54</v>
      </c>
      <c r="V60" s="4"/>
      <c r="W60" s="4"/>
    </row>
    <row r="61" spans="1:23">
      <c r="A61" s="1">
        <v>55</v>
      </c>
      <c r="B61" s="118">
        <v>5.5300925925925927E-2</v>
      </c>
      <c r="C61" s="24">
        <f t="shared" si="1"/>
        <v>79.63333333333334</v>
      </c>
      <c r="D61" s="24">
        <f t="shared" si="7"/>
        <v>76.340821696012952</v>
      </c>
      <c r="E61" s="4">
        <f t="shared" si="6"/>
        <v>0.82350000000000001</v>
      </c>
      <c r="F61" s="24">
        <v>78.131890158348369</v>
      </c>
      <c r="G61" s="24">
        <v>79.649999999999991</v>
      </c>
      <c r="H61" s="145">
        <f t="shared" si="3"/>
        <v>2.2923654588484853E-2</v>
      </c>
      <c r="I61" s="1">
        <v>55</v>
      </c>
      <c r="J61" s="110">
        <f t="shared" si="8"/>
        <v>98.114554405627914</v>
      </c>
      <c r="K61" s="113">
        <f t="shared" si="9"/>
        <v>95.8654102503302</v>
      </c>
      <c r="L61" s="415">
        <v>5.5300925925925927E-2</v>
      </c>
      <c r="M61" s="119" t="s">
        <v>318</v>
      </c>
      <c r="N61" s="119" t="s">
        <v>319</v>
      </c>
      <c r="O61" s="119" t="s">
        <v>320</v>
      </c>
      <c r="P61" s="121">
        <v>21769</v>
      </c>
      <c r="Q61" s="122"/>
      <c r="R61" s="119" t="s">
        <v>789</v>
      </c>
      <c r="S61" s="136">
        <v>42071</v>
      </c>
      <c r="T61" s="131"/>
      <c r="U61" s="1">
        <v>55</v>
      </c>
      <c r="V61" s="4"/>
      <c r="W61" s="4"/>
    </row>
    <row r="62" spans="1:23">
      <c r="A62" s="1">
        <v>56</v>
      </c>
      <c r="B62" s="118">
        <v>5.5625000000000001E-2</v>
      </c>
      <c r="C62" s="24">
        <f t="shared" si="1"/>
        <v>80.099999999999994</v>
      </c>
      <c r="D62" s="24">
        <f t="shared" si="7"/>
        <v>77.307755369732746</v>
      </c>
      <c r="E62" s="4">
        <f t="shared" si="6"/>
        <v>0.81320000000000003</v>
      </c>
      <c r="F62" s="24">
        <v>79.121503673933333</v>
      </c>
      <c r="G62" s="24">
        <v>80.099999999999994</v>
      </c>
      <c r="H62" s="145">
        <f t="shared" si="3"/>
        <v>2.2923582338313524E-2</v>
      </c>
      <c r="I62" s="1">
        <v>56</v>
      </c>
      <c r="J62" s="110">
        <f t="shared" si="8"/>
        <v>98.778406584186442</v>
      </c>
      <c r="K62" s="113">
        <f t="shared" si="9"/>
        <v>96.514051647606436</v>
      </c>
      <c r="L62" s="163" t="s">
        <v>684</v>
      </c>
      <c r="M62" s="119" t="s">
        <v>318</v>
      </c>
      <c r="N62" s="119" t="s">
        <v>319</v>
      </c>
      <c r="O62" s="119" t="s">
        <v>320</v>
      </c>
      <c r="P62" s="121">
        <v>21769</v>
      </c>
      <c r="Q62" s="122"/>
      <c r="R62" s="119" t="s">
        <v>790</v>
      </c>
      <c r="S62" s="136">
        <v>42232</v>
      </c>
      <c r="T62" s="131"/>
      <c r="U62" s="1">
        <v>56</v>
      </c>
      <c r="V62" s="4"/>
      <c r="W62" s="4"/>
    </row>
    <row r="63" spans="1:23">
      <c r="A63" s="1">
        <v>57</v>
      </c>
      <c r="B63" s="118">
        <v>5.8958333333333335E-2</v>
      </c>
      <c r="C63" s="24">
        <f t="shared" si="1"/>
        <v>84.9</v>
      </c>
      <c r="D63" s="24">
        <f t="shared" si="7"/>
        <v>78.309250954990873</v>
      </c>
      <c r="E63" s="4">
        <f t="shared" si="6"/>
        <v>0.80279999999999996</v>
      </c>
      <c r="F63" s="24">
        <v>80.136507544920036</v>
      </c>
      <c r="G63" s="24">
        <v>84.9</v>
      </c>
      <c r="H63" s="145">
        <f t="shared" si="3"/>
        <v>2.2801799652984702E-2</v>
      </c>
      <c r="I63" s="1">
        <v>57</v>
      </c>
      <c r="J63" s="110">
        <f t="shared" si="8"/>
        <v>94.389290394487659</v>
      </c>
      <c r="K63" s="113">
        <f t="shared" si="9"/>
        <v>92.237044705525179</v>
      </c>
      <c r="L63" s="163" t="s">
        <v>687</v>
      </c>
      <c r="M63" s="119" t="s">
        <v>326</v>
      </c>
      <c r="N63" s="119" t="s">
        <v>327</v>
      </c>
      <c r="O63" s="119" t="s">
        <v>217</v>
      </c>
      <c r="P63" s="121">
        <v>20087</v>
      </c>
      <c r="Q63" s="122" t="s">
        <v>791</v>
      </c>
      <c r="R63" s="119" t="s">
        <v>792</v>
      </c>
      <c r="S63" s="136">
        <v>41231</v>
      </c>
      <c r="T63" s="131"/>
      <c r="U63" s="1">
        <v>57</v>
      </c>
      <c r="V63" s="4"/>
      <c r="W63" s="4"/>
    </row>
    <row r="64" spans="1:23">
      <c r="A64" s="1">
        <v>58</v>
      </c>
      <c r="B64" s="118">
        <v>5.8553240740740739E-2</v>
      </c>
      <c r="C64" s="24">
        <f t="shared" si="1"/>
        <v>84.316666666666663</v>
      </c>
      <c r="D64" s="24">
        <f t="shared" si="7"/>
        <v>79.327024185068353</v>
      </c>
      <c r="E64" s="4">
        <f t="shared" si="6"/>
        <v>0.79249999999999998</v>
      </c>
      <c r="F64" s="24">
        <v>81.177891623974347</v>
      </c>
      <c r="G64" s="24">
        <v>84.833333333333329</v>
      </c>
      <c r="H64" s="145">
        <f t="shared" si="3"/>
        <v>2.2800141785887119E-2</v>
      </c>
      <c r="I64" s="1">
        <v>58</v>
      </c>
      <c r="J64" s="110">
        <f t="shared" si="8"/>
        <v>96.277396668085814</v>
      </c>
      <c r="K64" s="113">
        <f t="shared" si="9"/>
        <v>94.082258373277355</v>
      </c>
      <c r="L64" s="163" t="s">
        <v>1004</v>
      </c>
      <c r="M64" s="130" t="s">
        <v>1026</v>
      </c>
      <c r="N64" s="130" t="s">
        <v>1027</v>
      </c>
      <c r="O64" s="119" t="s">
        <v>217</v>
      </c>
      <c r="P64" s="121">
        <v>23193</v>
      </c>
      <c r="Q64" s="170" t="s">
        <v>1028</v>
      </c>
      <c r="R64" s="130" t="s">
        <v>1029</v>
      </c>
      <c r="S64" s="136">
        <v>44472</v>
      </c>
      <c r="T64" s="131" t="s">
        <v>1030</v>
      </c>
      <c r="U64" s="1">
        <v>58</v>
      </c>
      <c r="V64" s="4"/>
      <c r="W64" s="4"/>
    </row>
    <row r="65" spans="1:23">
      <c r="A65" s="1">
        <v>59</v>
      </c>
      <c r="B65" s="118">
        <v>5.9710648148148152E-2</v>
      </c>
      <c r="C65" s="24">
        <f t="shared" si="1"/>
        <v>85.983333333333334</v>
      </c>
      <c r="D65" s="24">
        <f t="shared" si="7"/>
        <v>80.381877850232286</v>
      </c>
      <c r="E65" s="4">
        <f t="shared" si="6"/>
        <v>0.78210000000000002</v>
      </c>
      <c r="F65" s="24">
        <v>82.246697894248214</v>
      </c>
      <c r="G65" s="24">
        <v>86</v>
      </c>
      <c r="H65" s="145">
        <f t="shared" si="3"/>
        <v>2.267349439868931E-2</v>
      </c>
      <c r="I65" s="1">
        <v>59</v>
      </c>
      <c r="J65" s="110">
        <f t="shared" si="8"/>
        <v>95.654232867898671</v>
      </c>
      <c r="K65" s="113">
        <f t="shared" si="9"/>
        <v>93.485417154757457</v>
      </c>
      <c r="L65" s="415">
        <v>5.9722222222222225E-2</v>
      </c>
      <c r="M65" s="119" t="s">
        <v>793</v>
      </c>
      <c r="N65" s="119" t="s">
        <v>794</v>
      </c>
      <c r="O65" s="119" t="s">
        <v>320</v>
      </c>
      <c r="P65" s="121">
        <v>20518</v>
      </c>
      <c r="Q65" s="122"/>
      <c r="R65" s="119" t="s">
        <v>795</v>
      </c>
      <c r="S65" s="136">
        <v>42113</v>
      </c>
      <c r="T65" s="131"/>
      <c r="U65" s="1">
        <v>59</v>
      </c>
      <c r="V65" s="4"/>
      <c r="W65" s="4"/>
    </row>
    <row r="66" spans="1:23">
      <c r="A66" s="1">
        <v>60</v>
      </c>
      <c r="B66" s="118">
        <v>5.8090277777777775E-2</v>
      </c>
      <c r="C66" s="24">
        <f t="shared" si="1"/>
        <v>83.649999999999991</v>
      </c>
      <c r="D66" s="24">
        <f t="shared" si="7"/>
        <v>81.454608275028065</v>
      </c>
      <c r="E66" s="4">
        <f t="shared" ref="E66:E97" si="10">ROUND(1-IF(A66&lt;I$3,0,IF(A66&lt;I$4,G$3*(A66-I$3)^2,G$2+G$4*(A66-I$4)+(A66&gt;I$5)*G$5*(A66-I$5)^2)),4)</f>
        <v>0.77180000000000004</v>
      </c>
      <c r="F66" s="24">
        <v>83.344023946974559</v>
      </c>
      <c r="G66" s="24">
        <v>84.933333333333337</v>
      </c>
      <c r="H66" s="145">
        <f t="shared" si="3"/>
        <v>2.2670079778588391E-2</v>
      </c>
      <c r="I66" s="1">
        <v>60</v>
      </c>
      <c r="J66" s="110">
        <f t="shared" si="8"/>
        <v>99.634218705289385</v>
      </c>
      <c r="K66" s="113">
        <f t="shared" si="9"/>
        <v>97.375503018563151</v>
      </c>
      <c r="L66" s="163" t="s">
        <v>1005</v>
      </c>
      <c r="M66" s="119" t="s">
        <v>1026</v>
      </c>
      <c r="N66" s="119" t="s">
        <v>1027</v>
      </c>
      <c r="O66" s="119" t="s">
        <v>217</v>
      </c>
      <c r="P66" s="121">
        <v>23193</v>
      </c>
      <c r="Q66" s="173" t="s">
        <v>1031</v>
      </c>
      <c r="R66" s="173" t="s">
        <v>865</v>
      </c>
      <c r="S66" s="377">
        <v>45207</v>
      </c>
      <c r="T66" s="131"/>
      <c r="U66" s="1">
        <v>60</v>
      </c>
      <c r="V66" s="4"/>
      <c r="W66" s="4"/>
    </row>
    <row r="67" spans="1:23">
      <c r="A67" s="1">
        <v>61</v>
      </c>
      <c r="B67" s="118">
        <v>5.7326388888888892E-2</v>
      </c>
      <c r="C67" s="24">
        <f t="shared" si="1"/>
        <v>82.550000000000011</v>
      </c>
      <c r="D67" s="24">
        <f t="shared" si="7"/>
        <v>82.567200770510468</v>
      </c>
      <c r="E67" s="4">
        <f t="shared" si="10"/>
        <v>0.76139999999999997</v>
      </c>
      <c r="F67" s="24">
        <v>84.471026741212668</v>
      </c>
      <c r="G67" s="24">
        <v>86.516666666666666</v>
      </c>
      <c r="H67" s="145">
        <f t="shared" si="3"/>
        <v>2.2538212735768025E-2</v>
      </c>
      <c r="I67" s="1">
        <v>61</v>
      </c>
      <c r="J67" s="110">
        <f t="shared" si="8"/>
        <v>102.32710689426123</v>
      </c>
      <c r="K67" s="113">
        <f t="shared" si="9"/>
        <v>100.02083679044271</v>
      </c>
      <c r="L67" s="163" t="s">
        <v>1006</v>
      </c>
      <c r="M67" s="119" t="s">
        <v>1032</v>
      </c>
      <c r="N67" s="119" t="s">
        <v>1033</v>
      </c>
      <c r="O67" s="119" t="s">
        <v>1034</v>
      </c>
      <c r="P67" s="121"/>
      <c r="Q67" s="122" t="s">
        <v>773</v>
      </c>
      <c r="R67" s="119" t="s">
        <v>774</v>
      </c>
      <c r="S67" s="136">
        <v>45368</v>
      </c>
      <c r="T67" s="131"/>
      <c r="U67" s="1">
        <v>61</v>
      </c>
      <c r="V67" s="4"/>
      <c r="W67" s="4"/>
    </row>
    <row r="68" spans="1:23">
      <c r="A68" s="1">
        <v>62</v>
      </c>
      <c r="B68" s="118">
        <v>6.0335648148148145E-2</v>
      </c>
      <c r="C68" s="24">
        <f t="shared" si="1"/>
        <v>86.883333333333326</v>
      </c>
      <c r="D68" s="24">
        <f t="shared" si="7"/>
        <v>83.699463009807843</v>
      </c>
      <c r="E68" s="4">
        <f t="shared" si="10"/>
        <v>0.75109999999999999</v>
      </c>
      <c r="F68" s="24">
        <v>85.628926672817542</v>
      </c>
      <c r="G68" s="24">
        <v>86.883333333333326</v>
      </c>
      <c r="H68" s="145">
        <f t="shared" si="3"/>
        <v>2.2532848862885455E-2</v>
      </c>
      <c r="I68" s="1">
        <v>62</v>
      </c>
      <c r="J68" s="110">
        <f t="shared" si="8"/>
        <v>98.556217156513583</v>
      </c>
      <c r="K68" s="113">
        <f t="shared" si="9"/>
        <v>96.335464810828142</v>
      </c>
      <c r="L68" s="163" t="s">
        <v>688</v>
      </c>
      <c r="M68" s="119" t="s">
        <v>796</v>
      </c>
      <c r="N68" s="119" t="s">
        <v>797</v>
      </c>
      <c r="O68" s="119" t="s">
        <v>496</v>
      </c>
      <c r="P68" s="121">
        <v>17849</v>
      </c>
      <c r="Q68" s="122"/>
      <c r="R68" s="119" t="s">
        <v>798</v>
      </c>
      <c r="S68" s="136">
        <v>40678</v>
      </c>
      <c r="T68" s="131"/>
      <c r="U68" s="1">
        <v>62</v>
      </c>
      <c r="V68" s="4"/>
      <c r="W68" s="4"/>
    </row>
    <row r="69" spans="1:23">
      <c r="A69" s="1">
        <v>63</v>
      </c>
      <c r="B69" s="118">
        <v>6.1076388888888888E-2</v>
      </c>
      <c r="C69" s="24">
        <f t="shared" si="1"/>
        <v>87.95</v>
      </c>
      <c r="D69" s="24">
        <f t="shared" si="7"/>
        <v>84.874668106745872</v>
      </c>
      <c r="E69" s="4">
        <f t="shared" si="10"/>
        <v>0.74070000000000003</v>
      </c>
      <c r="F69" s="24">
        <v>86.81901198271639</v>
      </c>
      <c r="G69" s="24">
        <v>87.95</v>
      </c>
      <c r="H69" s="145">
        <f t="shared" si="3"/>
        <v>2.2395369764834347E-2</v>
      </c>
      <c r="I69" s="1">
        <v>63</v>
      </c>
      <c r="J69" s="110">
        <f t="shared" si="8"/>
        <v>98.714055693821919</v>
      </c>
      <c r="K69" s="113">
        <f t="shared" si="9"/>
        <v>96.503317915572339</v>
      </c>
      <c r="L69" s="163" t="s">
        <v>689</v>
      </c>
      <c r="M69" s="119" t="s">
        <v>347</v>
      </c>
      <c r="N69" s="119" t="s">
        <v>348</v>
      </c>
      <c r="O69" s="119" t="s">
        <v>259</v>
      </c>
      <c r="P69" s="121">
        <v>17277</v>
      </c>
      <c r="Q69" s="122"/>
      <c r="R69" s="119" t="s">
        <v>799</v>
      </c>
      <c r="S69" s="136">
        <v>40608</v>
      </c>
      <c r="T69" s="131"/>
      <c r="U69" s="1">
        <v>63</v>
      </c>
      <c r="V69" s="4"/>
      <c r="W69" s="4"/>
    </row>
    <row r="70" spans="1:23">
      <c r="A70" s="1">
        <v>64</v>
      </c>
      <c r="B70" s="118">
        <v>6.2812499999999993E-2</v>
      </c>
      <c r="C70" s="24">
        <f t="shared" si="1"/>
        <v>90.449999999999989</v>
      </c>
      <c r="D70" s="24">
        <f t="shared" si="7"/>
        <v>86.071558963125227</v>
      </c>
      <c r="E70" s="4">
        <f t="shared" si="10"/>
        <v>0.73040000000000005</v>
      </c>
      <c r="F70" s="24">
        <v>88.042643537968104</v>
      </c>
      <c r="G70" s="24">
        <v>90.449999999999989</v>
      </c>
      <c r="H70" s="145">
        <f t="shared" si="3"/>
        <v>2.2387839524523737E-2</v>
      </c>
      <c r="I70" s="1">
        <v>64</v>
      </c>
      <c r="J70" s="110">
        <f t="shared" si="8"/>
        <v>97.338467150876852</v>
      </c>
      <c r="K70" s="113">
        <f t="shared" si="9"/>
        <v>95.159269168739897</v>
      </c>
      <c r="L70" s="163" t="s">
        <v>690</v>
      </c>
      <c r="M70" s="119" t="s">
        <v>796</v>
      </c>
      <c r="N70" s="119" t="s">
        <v>797</v>
      </c>
      <c r="O70" s="119" t="s">
        <v>496</v>
      </c>
      <c r="P70" s="121">
        <v>17849</v>
      </c>
      <c r="Q70" s="122"/>
      <c r="R70" s="119" t="s">
        <v>610</v>
      </c>
      <c r="S70" s="136">
        <v>41420</v>
      </c>
      <c r="T70" s="131"/>
      <c r="U70" s="1">
        <v>64</v>
      </c>
      <c r="V70" s="4"/>
      <c r="W70" s="4"/>
    </row>
    <row r="71" spans="1:23">
      <c r="A71" s="1">
        <v>65</v>
      </c>
      <c r="B71" s="118">
        <v>6.4537037037037032E-2</v>
      </c>
      <c r="C71" s="24">
        <f t="shared" si="1"/>
        <v>92.933333333333323</v>
      </c>
      <c r="D71" s="24">
        <f t="shared" si="7"/>
        <v>87.314814814814824</v>
      </c>
      <c r="E71" s="4">
        <f t="shared" si="10"/>
        <v>0.72</v>
      </c>
      <c r="F71" s="24">
        <v>89.301260022909503</v>
      </c>
      <c r="G71" s="24">
        <v>92.933333333333351</v>
      </c>
      <c r="H71" s="145">
        <f t="shared" si="3"/>
        <v>2.2244313323071509E-2</v>
      </c>
      <c r="I71" s="1">
        <v>65</v>
      </c>
      <c r="J71" s="110">
        <f t="shared" si="8"/>
        <v>96.091743209730467</v>
      </c>
      <c r="K71" s="113">
        <f t="shared" si="9"/>
        <v>93.95424836601309</v>
      </c>
      <c r="L71" s="163" t="s">
        <v>691</v>
      </c>
      <c r="M71" s="119" t="s">
        <v>800</v>
      </c>
      <c r="N71" s="119" t="s">
        <v>801</v>
      </c>
      <c r="O71" s="119" t="s">
        <v>496</v>
      </c>
      <c r="P71" s="121">
        <v>16132</v>
      </c>
      <c r="Q71" s="122"/>
      <c r="R71" s="119" t="s">
        <v>802</v>
      </c>
      <c r="S71" s="136">
        <v>39964</v>
      </c>
      <c r="T71" s="131"/>
      <c r="U71" s="1">
        <v>65</v>
      </c>
      <c r="V71" s="4"/>
      <c r="W71" s="4"/>
    </row>
    <row r="72" spans="1:23">
      <c r="A72" s="1">
        <v>66</v>
      </c>
      <c r="B72" s="118">
        <v>6.5787037037037033E-2</v>
      </c>
      <c r="C72" s="24">
        <f t="shared" si="1"/>
        <v>94.73333333333332</v>
      </c>
      <c r="D72" s="24">
        <f t="shared" si="7"/>
        <v>88.582029965713218</v>
      </c>
      <c r="E72" s="4">
        <f t="shared" si="10"/>
        <v>0.7097</v>
      </c>
      <c r="F72" s="24">
        <v>90.596383582020181</v>
      </c>
      <c r="G72" s="24">
        <v>94.73333333333332</v>
      </c>
      <c r="H72" s="145">
        <f t="shared" si="3"/>
        <v>2.2234371137820258E-2</v>
      </c>
      <c r="I72" s="1">
        <v>66</v>
      </c>
      <c r="J72" s="110">
        <f t="shared" si="8"/>
        <v>95.633057968353484</v>
      </c>
      <c r="K72" s="113">
        <f t="shared" si="9"/>
        <v>93.506717064440423</v>
      </c>
      <c r="L72" s="163" t="s">
        <v>692</v>
      </c>
      <c r="M72" s="119" t="s">
        <v>347</v>
      </c>
      <c r="N72" s="119" t="s">
        <v>348</v>
      </c>
      <c r="O72" s="119" t="s">
        <v>259</v>
      </c>
      <c r="P72" s="121">
        <v>17277</v>
      </c>
      <c r="Q72" s="122"/>
      <c r="R72" s="119" t="s">
        <v>799</v>
      </c>
      <c r="S72" s="136">
        <v>41700</v>
      </c>
      <c r="T72" s="131"/>
      <c r="U72" s="1">
        <v>66</v>
      </c>
      <c r="V72" s="4"/>
      <c r="W72" s="4"/>
    </row>
    <row r="73" spans="1:23">
      <c r="A73" s="1">
        <v>67</v>
      </c>
      <c r="B73" s="118">
        <v>6.5081018518518524E-2</v>
      </c>
      <c r="C73" s="24">
        <f t="shared" si="1"/>
        <v>93.716666666666669</v>
      </c>
      <c r="D73" s="24">
        <f t="shared" si="7"/>
        <v>89.899423232756561</v>
      </c>
      <c r="E73" s="4">
        <f t="shared" si="10"/>
        <v>0.69930000000000003</v>
      </c>
      <c r="F73" s="24">
        <v>91.929625961039577</v>
      </c>
      <c r="G73" s="24">
        <v>93.716666666666654</v>
      </c>
      <c r="H73" s="145">
        <f t="shared" si="3"/>
        <v>2.208431402890108E-2</v>
      </c>
      <c r="I73" s="1">
        <v>67</v>
      </c>
      <c r="J73" s="110">
        <f t="shared" si="8"/>
        <v>98.093145254532715</v>
      </c>
      <c r="K73" s="113">
        <f t="shared" si="9"/>
        <v>95.926825430649004</v>
      </c>
      <c r="L73" s="163" t="s">
        <v>693</v>
      </c>
      <c r="M73" s="119" t="s">
        <v>803</v>
      </c>
      <c r="N73" s="119" t="s">
        <v>804</v>
      </c>
      <c r="O73" s="119" t="s">
        <v>217</v>
      </c>
      <c r="P73" s="121">
        <v>15914</v>
      </c>
      <c r="Q73" s="122" t="s">
        <v>805</v>
      </c>
      <c r="R73" s="119" t="s">
        <v>806</v>
      </c>
      <c r="S73" s="136">
        <v>40586</v>
      </c>
      <c r="T73" s="131"/>
      <c r="U73" s="1">
        <v>67</v>
      </c>
      <c r="V73" s="4"/>
      <c r="W73" s="4"/>
    </row>
    <row r="74" spans="1:23">
      <c r="A74" s="1">
        <v>68</v>
      </c>
      <c r="B74" s="118">
        <v>6.3634259259259265E-2</v>
      </c>
      <c r="C74" s="24">
        <f t="shared" si="1"/>
        <v>91.63333333333334</v>
      </c>
      <c r="D74" s="24">
        <f t="shared" si="7"/>
        <v>91.243347847121441</v>
      </c>
      <c r="E74" s="4">
        <f t="shared" si="10"/>
        <v>0.68899999999999995</v>
      </c>
      <c r="F74" s="24">
        <v>93.302695198429788</v>
      </c>
      <c r="G74" s="24">
        <v>97.833333333333329</v>
      </c>
      <c r="H74" s="145">
        <f t="shared" ref="H74:H106" si="11">((F74-D74)/F74)</f>
        <v>2.2071681283468474E-2</v>
      </c>
      <c r="I74" s="1">
        <v>68</v>
      </c>
      <c r="J74" s="110">
        <f t="shared" si="8"/>
        <v>101.82178450174221</v>
      </c>
      <c r="K74" s="113">
        <f t="shared" si="9"/>
        <v>99.574406526505754</v>
      </c>
      <c r="L74" s="163" t="s">
        <v>1007</v>
      </c>
      <c r="M74" s="119" t="s">
        <v>326</v>
      </c>
      <c r="N74" s="119" t="s">
        <v>327</v>
      </c>
      <c r="O74" s="119" t="s">
        <v>217</v>
      </c>
      <c r="P74" s="121">
        <v>20087</v>
      </c>
      <c r="Q74" s="122" t="s">
        <v>1035</v>
      </c>
      <c r="R74" s="119" t="s">
        <v>1036</v>
      </c>
      <c r="S74" s="136">
        <v>45017</v>
      </c>
      <c r="T74" s="131"/>
      <c r="U74" s="1">
        <v>68</v>
      </c>
      <c r="V74" s="4"/>
      <c r="W74" s="4"/>
    </row>
    <row r="75" spans="1:23">
      <c r="A75" s="1">
        <v>69</v>
      </c>
      <c r="B75" s="118">
        <v>6.6111111111111107E-2</v>
      </c>
      <c r="C75" s="24">
        <f t="shared" si="1"/>
        <v>95.199999999999989</v>
      </c>
      <c r="D75" s="24">
        <f t="shared" ref="D75:D106" si="12">E$4/E75</f>
        <v>92.641713331368507</v>
      </c>
      <c r="E75" s="4">
        <f t="shared" si="10"/>
        <v>0.67859999999999998</v>
      </c>
      <c r="F75" s="24">
        <v>94.717402925596545</v>
      </c>
      <c r="G75" s="24">
        <v>95.199999999999989</v>
      </c>
      <c r="H75" s="145">
        <f t="shared" si="11"/>
        <v>2.1914553504582008E-2</v>
      </c>
      <c r="I75" s="1">
        <v>69</v>
      </c>
      <c r="J75" s="110">
        <f t="shared" ref="J75:J91" si="13">100*F75/+C75</f>
        <v>99.493070299996376</v>
      </c>
      <c r="K75" s="113">
        <f t="shared" ref="K75:K92" si="14">100*(D75/C75)</f>
        <v>97.312724087571979</v>
      </c>
      <c r="L75" s="163" t="s">
        <v>694</v>
      </c>
      <c r="M75" s="119" t="s">
        <v>347</v>
      </c>
      <c r="N75" s="119" t="s">
        <v>348</v>
      </c>
      <c r="O75" s="119" t="s">
        <v>259</v>
      </c>
      <c r="P75" s="121">
        <v>17277</v>
      </c>
      <c r="Q75" s="122"/>
      <c r="R75" s="119" t="s">
        <v>799</v>
      </c>
      <c r="S75" s="136">
        <v>42806</v>
      </c>
      <c r="T75" s="131"/>
      <c r="U75" s="1">
        <v>69</v>
      </c>
      <c r="V75" s="4"/>
      <c r="W75" s="4"/>
    </row>
    <row r="76" spans="1:23">
      <c r="A76" s="1">
        <v>70</v>
      </c>
      <c r="B76" s="118">
        <v>6.7800925925925931E-2</v>
      </c>
      <c r="C76" s="24">
        <f t="shared" ref="C76:C89" si="15">B76*1440</f>
        <v>97.63333333333334</v>
      </c>
      <c r="D76" s="24">
        <f t="shared" si="12"/>
        <v>94.069529652351733</v>
      </c>
      <c r="E76" s="4">
        <f t="shared" si="10"/>
        <v>0.66830000000000001</v>
      </c>
      <c r="F76" s="24">
        <v>96.175672341475448</v>
      </c>
      <c r="G76" s="24">
        <v>97.633333333333326</v>
      </c>
      <c r="H76" s="145">
        <f t="shared" si="11"/>
        <v>2.1898913081114458E-2</v>
      </c>
      <c r="I76" s="1">
        <v>70</v>
      </c>
      <c r="J76" s="110">
        <f t="shared" si="13"/>
        <v>98.507004788127801</v>
      </c>
      <c r="K76" s="113">
        <f t="shared" si="14"/>
        <v>96.349808452391656</v>
      </c>
      <c r="L76" s="163" t="s">
        <v>695</v>
      </c>
      <c r="M76" s="119" t="s">
        <v>604</v>
      </c>
      <c r="N76" s="119" t="s">
        <v>807</v>
      </c>
      <c r="O76" s="119" t="s">
        <v>606</v>
      </c>
      <c r="P76" s="121">
        <v>15962</v>
      </c>
      <c r="Q76" s="122"/>
      <c r="R76" s="119" t="s">
        <v>808</v>
      </c>
      <c r="S76" s="136">
        <v>41651</v>
      </c>
      <c r="T76" s="131"/>
      <c r="U76" s="1">
        <v>70</v>
      </c>
      <c r="V76" s="4"/>
      <c r="W76" s="4"/>
    </row>
    <row r="77" spans="1:23">
      <c r="A77" s="1">
        <v>71</v>
      </c>
      <c r="B77" s="118">
        <v>6.7372685185185188E-2</v>
      </c>
      <c r="C77" s="24">
        <f t="shared" si="15"/>
        <v>97.016666666666666</v>
      </c>
      <c r="D77" s="24">
        <f t="shared" si="12"/>
        <v>95.55656888078228</v>
      </c>
      <c r="E77" s="4">
        <f t="shared" si="10"/>
        <v>0.65790000000000004</v>
      </c>
      <c r="F77" s="24">
        <v>97.67954693529795</v>
      </c>
      <c r="G77" s="24">
        <v>97.016666666666666</v>
      </c>
      <c r="H77" s="145">
        <f t="shared" si="11"/>
        <v>2.1734110375449544E-2</v>
      </c>
      <c r="I77" s="1">
        <v>71</v>
      </c>
      <c r="J77" s="110">
        <f t="shared" si="13"/>
        <v>100.68326432087059</v>
      </c>
      <c r="K77" s="113">
        <f t="shared" si="14"/>
        <v>98.495003141160225</v>
      </c>
      <c r="L77" s="164" t="s">
        <v>696</v>
      </c>
      <c r="M77" s="119" t="s">
        <v>357</v>
      </c>
      <c r="N77" s="119" t="s">
        <v>358</v>
      </c>
      <c r="O77" s="119" t="s">
        <v>217</v>
      </c>
      <c r="P77" s="121">
        <v>17637</v>
      </c>
      <c r="Q77" s="123" t="s">
        <v>809</v>
      </c>
      <c r="R77" s="123" t="s">
        <v>810</v>
      </c>
      <c r="S77" s="412">
        <v>43687</v>
      </c>
      <c r="T77" s="153"/>
      <c r="U77" s="1">
        <v>71</v>
      </c>
      <c r="V77" s="4"/>
      <c r="W77" s="4"/>
    </row>
    <row r="78" spans="1:23">
      <c r="A78" s="1">
        <v>72</v>
      </c>
      <c r="B78" s="118">
        <v>7.3402777777777775E-2</v>
      </c>
      <c r="C78" s="24">
        <f t="shared" si="15"/>
        <v>105.7</v>
      </c>
      <c r="D78" s="24">
        <f t="shared" si="12"/>
        <v>97.076384599547055</v>
      </c>
      <c r="E78" s="4">
        <f t="shared" si="10"/>
        <v>0.64759999999999995</v>
      </c>
      <c r="F78" s="24">
        <v>99.231200040731139</v>
      </c>
      <c r="G78" s="24">
        <v>105.7</v>
      </c>
      <c r="H78" s="145">
        <f t="shared" si="11"/>
        <v>2.1715100092507229E-2</v>
      </c>
      <c r="I78" s="1">
        <v>72</v>
      </c>
      <c r="J78" s="110">
        <f t="shared" si="13"/>
        <v>93.880037881486416</v>
      </c>
      <c r="K78" s="113">
        <f t="shared" si="14"/>
        <v>91.841423462201561</v>
      </c>
      <c r="L78" s="163" t="s">
        <v>697</v>
      </c>
      <c r="M78" s="119" t="s">
        <v>608</v>
      </c>
      <c r="N78" s="119" t="s">
        <v>811</v>
      </c>
      <c r="O78" s="119" t="s">
        <v>295</v>
      </c>
      <c r="P78" s="121">
        <v>14907</v>
      </c>
      <c r="Q78" s="122"/>
      <c r="R78" s="119" t="s">
        <v>610</v>
      </c>
      <c r="S78" s="136">
        <v>41420</v>
      </c>
      <c r="T78" s="131"/>
      <c r="U78" s="1">
        <v>72</v>
      </c>
      <c r="V78" s="4"/>
      <c r="W78" s="4"/>
    </row>
    <row r="79" spans="1:23">
      <c r="A79" s="1">
        <v>73</v>
      </c>
      <c r="B79" s="118">
        <v>7.013888888888889E-2</v>
      </c>
      <c r="C79" s="24">
        <f t="shared" si="15"/>
        <v>101</v>
      </c>
      <c r="D79" s="24">
        <f t="shared" si="12"/>
        <v>98.660807700355718</v>
      </c>
      <c r="E79" s="4">
        <f t="shared" si="10"/>
        <v>0.63719999999999999</v>
      </c>
      <c r="F79" s="24">
        <v>100.8329453153293</v>
      </c>
      <c r="G79" s="24">
        <v>101</v>
      </c>
      <c r="H79" s="145">
        <f t="shared" si="11"/>
        <v>2.154194354018692E-2</v>
      </c>
      <c r="I79" s="1">
        <v>73</v>
      </c>
      <c r="J79" s="110">
        <f t="shared" si="13"/>
        <v>99.834599322108204</v>
      </c>
      <c r="K79" s="113">
        <f t="shared" si="14"/>
        <v>97.683968020154182</v>
      </c>
      <c r="L79" s="163" t="s">
        <v>650</v>
      </c>
      <c r="M79" s="119" t="s">
        <v>604</v>
      </c>
      <c r="N79" s="119" t="s">
        <v>807</v>
      </c>
      <c r="O79" s="119" t="s">
        <v>606</v>
      </c>
      <c r="P79" s="121">
        <v>15962</v>
      </c>
      <c r="Q79" s="122"/>
      <c r="R79" s="119" t="s">
        <v>812</v>
      </c>
      <c r="S79" s="136">
        <v>42680</v>
      </c>
      <c r="T79" s="131"/>
      <c r="U79" s="1">
        <v>73</v>
      </c>
      <c r="V79" s="4"/>
      <c r="W79" s="4"/>
    </row>
    <row r="80" spans="1:23">
      <c r="A80" s="1">
        <v>74</v>
      </c>
      <c r="B80" s="118">
        <v>7.6365740740740734E-2</v>
      </c>
      <c r="C80" s="24">
        <f t="shared" si="15"/>
        <v>109.96666666666665</v>
      </c>
      <c r="D80" s="24">
        <f t="shared" si="12"/>
        <v>100.28180996437497</v>
      </c>
      <c r="E80" s="4">
        <f t="shared" si="10"/>
        <v>0.62690000000000001</v>
      </c>
      <c r="F80" s="24">
        <v>102.4872482515644</v>
      </c>
      <c r="G80" s="24">
        <v>109.96666666666668</v>
      </c>
      <c r="H80" s="145">
        <f t="shared" si="11"/>
        <v>2.1519148233699981E-2</v>
      </c>
      <c r="I80" s="1">
        <v>74</v>
      </c>
      <c r="J80" s="110">
        <f t="shared" si="13"/>
        <v>93.198467643132233</v>
      </c>
      <c r="K80" s="113">
        <f t="shared" si="14"/>
        <v>91.192916002765983</v>
      </c>
      <c r="L80" s="163" t="s">
        <v>698</v>
      </c>
      <c r="M80" s="119" t="s">
        <v>616</v>
      </c>
      <c r="N80" s="119" t="s">
        <v>813</v>
      </c>
      <c r="O80" s="119" t="s">
        <v>320</v>
      </c>
      <c r="P80" s="121">
        <v>11078</v>
      </c>
      <c r="Q80" s="122"/>
      <c r="R80" s="119" t="s">
        <v>814</v>
      </c>
      <c r="S80" s="136">
        <v>38137</v>
      </c>
      <c r="T80" s="131"/>
      <c r="U80" s="1">
        <v>74</v>
      </c>
      <c r="V80" s="4"/>
      <c r="W80" s="4"/>
    </row>
    <row r="81" spans="1:23">
      <c r="A81" s="1">
        <v>75</v>
      </c>
      <c r="B81" s="118">
        <v>7.1631944444444443E-2</v>
      </c>
      <c r="C81" s="24">
        <f t="shared" si="15"/>
        <v>103.14999999999999</v>
      </c>
      <c r="D81" s="24">
        <f t="shared" si="12"/>
        <v>101.97350635306839</v>
      </c>
      <c r="E81" s="4">
        <f t="shared" si="10"/>
        <v>0.61650000000000005</v>
      </c>
      <c r="F81" s="24">
        <v>104.19673883988237</v>
      </c>
      <c r="G81" s="24">
        <v>110.00000000000001</v>
      </c>
      <c r="H81" s="145">
        <f t="shared" si="11"/>
        <v>2.1336872070731441E-2</v>
      </c>
      <c r="I81" s="1">
        <v>75</v>
      </c>
      <c r="J81" s="110">
        <f t="shared" si="13"/>
        <v>101.01477347540705</v>
      </c>
      <c r="K81" s="113">
        <f t="shared" si="14"/>
        <v>98.859434176508387</v>
      </c>
      <c r="L81" s="163" t="s">
        <v>1008</v>
      </c>
      <c r="M81" s="174" t="s">
        <v>357</v>
      </c>
      <c r="N81" s="174" t="s">
        <v>899</v>
      </c>
      <c r="O81" s="174" t="s">
        <v>217</v>
      </c>
      <c r="P81" s="175">
        <v>17637</v>
      </c>
      <c r="Q81" s="173" t="s">
        <v>1031</v>
      </c>
      <c r="R81" s="173" t="s">
        <v>865</v>
      </c>
      <c r="S81" s="377">
        <v>45207</v>
      </c>
      <c r="T81" s="131"/>
      <c r="U81" s="1">
        <v>75</v>
      </c>
      <c r="V81" s="4"/>
      <c r="W81" s="4"/>
    </row>
    <row r="82" spans="1:23">
      <c r="A82" s="1">
        <v>76</v>
      </c>
      <c r="B82" s="118">
        <v>7.3703703703703702E-2</v>
      </c>
      <c r="C82" s="24">
        <f t="shared" si="15"/>
        <v>106.13333333333333</v>
      </c>
      <c r="D82" s="24">
        <f t="shared" si="12"/>
        <v>103.75749573637015</v>
      </c>
      <c r="E82" s="4">
        <f t="shared" si="10"/>
        <v>0.60589999999999999</v>
      </c>
      <c r="F82" s="24">
        <v>105.96422552057849</v>
      </c>
      <c r="G82" s="24">
        <v>106.13333333333333</v>
      </c>
      <c r="H82" s="145">
        <f t="shared" si="11"/>
        <v>2.0825233925574223E-2</v>
      </c>
      <c r="I82" s="1">
        <v>76</v>
      </c>
      <c r="J82" s="110">
        <f t="shared" si="13"/>
        <v>99.840664749288791</v>
      </c>
      <c r="K82" s="113">
        <f t="shared" si="14"/>
        <v>97.761459550600023</v>
      </c>
      <c r="L82" s="414">
        <v>7.0115740740740742E-2</v>
      </c>
      <c r="M82" s="408" t="s">
        <v>357</v>
      </c>
      <c r="N82" s="408" t="s">
        <v>899</v>
      </c>
      <c r="O82" s="408" t="s">
        <v>217</v>
      </c>
      <c r="P82" s="409">
        <v>17637</v>
      </c>
      <c r="Q82" s="406" t="s">
        <v>2341</v>
      </c>
      <c r="R82" s="406" t="s">
        <v>2342</v>
      </c>
      <c r="S82" s="413">
        <v>45528</v>
      </c>
      <c r="T82" s="131"/>
      <c r="U82" s="1">
        <v>76</v>
      </c>
      <c r="V82" s="4"/>
      <c r="W82" s="4"/>
    </row>
    <row r="83" spans="1:23">
      <c r="A83" s="1">
        <v>77</v>
      </c>
      <c r="B83" s="118">
        <v>8.2013888888888886E-2</v>
      </c>
      <c r="C83" s="24">
        <f t="shared" si="15"/>
        <v>118.1</v>
      </c>
      <c r="D83" s="24">
        <f t="shared" si="12"/>
        <v>105.7471264367816</v>
      </c>
      <c r="E83" s="4">
        <f t="shared" si="10"/>
        <v>0.59450000000000003</v>
      </c>
      <c r="F83" s="24">
        <v>107.8822096756338</v>
      </c>
      <c r="G83" s="24">
        <v>118.1</v>
      </c>
      <c r="H83" s="145">
        <f t="shared" si="11"/>
        <v>1.9790874188355005E-2</v>
      </c>
      <c r="I83" s="1">
        <v>77</v>
      </c>
      <c r="J83" s="110">
        <f t="shared" si="13"/>
        <v>91.348187701637428</v>
      </c>
      <c r="K83" s="113">
        <f t="shared" si="14"/>
        <v>89.540327211500099</v>
      </c>
      <c r="L83" s="163" t="s">
        <v>699</v>
      </c>
      <c r="M83" s="119" t="s">
        <v>816</v>
      </c>
      <c r="N83" s="119" t="s">
        <v>817</v>
      </c>
      <c r="O83" s="119" t="s">
        <v>375</v>
      </c>
      <c r="P83" s="121">
        <v>10173</v>
      </c>
      <c r="Q83" s="122"/>
      <c r="R83" s="119" t="s">
        <v>635</v>
      </c>
      <c r="S83" s="136">
        <v>38634</v>
      </c>
      <c r="T83" s="131"/>
      <c r="U83" s="1">
        <v>77</v>
      </c>
      <c r="V83" s="4"/>
      <c r="W83" s="4"/>
    </row>
    <row r="84" spans="1:23">
      <c r="A84" s="1">
        <v>78</v>
      </c>
      <c r="B84" s="118">
        <v>8.1111111111111106E-2</v>
      </c>
      <c r="C84" s="24">
        <f t="shared" si="15"/>
        <v>116.8</v>
      </c>
      <c r="D84" s="24">
        <f t="shared" si="12"/>
        <v>107.98122065727699</v>
      </c>
      <c r="E84" s="4">
        <f t="shared" si="10"/>
        <v>0.58220000000000005</v>
      </c>
      <c r="F84" s="24">
        <v>110.00112879557513</v>
      </c>
      <c r="G84" s="24">
        <v>116.80000000000001</v>
      </c>
      <c r="H84" s="145">
        <f t="shared" si="11"/>
        <v>1.8362612824200281E-2</v>
      </c>
      <c r="I84" s="1">
        <v>78</v>
      </c>
      <c r="J84" s="110">
        <f t="shared" si="13"/>
        <v>94.179048626348575</v>
      </c>
      <c r="K84" s="113">
        <f t="shared" si="14"/>
        <v>92.449675220271402</v>
      </c>
      <c r="L84" s="163" t="s">
        <v>700</v>
      </c>
      <c r="M84" s="119" t="s">
        <v>816</v>
      </c>
      <c r="N84" s="119" t="s">
        <v>817</v>
      </c>
      <c r="O84" s="119" t="s">
        <v>375</v>
      </c>
      <c r="P84" s="121">
        <v>10173</v>
      </c>
      <c r="Q84" s="122"/>
      <c r="R84" s="119" t="s">
        <v>376</v>
      </c>
      <c r="S84" s="136">
        <v>38767</v>
      </c>
      <c r="T84" s="131"/>
      <c r="U84" s="1">
        <v>78</v>
      </c>
      <c r="V84" s="4"/>
      <c r="W84" s="4"/>
    </row>
    <row r="85" spans="1:23">
      <c r="A85" s="1">
        <v>79</v>
      </c>
      <c r="B85" s="118">
        <v>8.7418981481481486E-2</v>
      </c>
      <c r="C85" s="24">
        <f t="shared" si="15"/>
        <v>125.88333333333334</v>
      </c>
      <c r="D85" s="24">
        <f t="shared" si="12"/>
        <v>110.44741157179666</v>
      </c>
      <c r="E85" s="4">
        <f t="shared" si="10"/>
        <v>0.56920000000000004</v>
      </c>
      <c r="F85" s="24">
        <v>112.37963443464223</v>
      </c>
      <c r="G85" s="24">
        <v>125.89999999999999</v>
      </c>
      <c r="H85" s="145">
        <f t="shared" si="11"/>
        <v>1.7193710164356391E-2</v>
      </c>
      <c r="I85" s="1">
        <v>79</v>
      </c>
      <c r="J85" s="110">
        <f t="shared" si="13"/>
        <v>89.272846101926831</v>
      </c>
      <c r="K85" s="113">
        <f t="shared" si="14"/>
        <v>87.737914660503108</v>
      </c>
      <c r="L85" s="415">
        <v>8.7418981481481486E-2</v>
      </c>
      <c r="M85" s="119" t="s">
        <v>816</v>
      </c>
      <c r="N85" s="119" t="s">
        <v>817</v>
      </c>
      <c r="O85" s="119" t="s">
        <v>375</v>
      </c>
      <c r="P85" s="121">
        <v>10173</v>
      </c>
      <c r="Q85" s="122"/>
      <c r="R85" s="119" t="s">
        <v>376</v>
      </c>
      <c r="S85" s="136">
        <v>39124</v>
      </c>
      <c r="T85" s="131"/>
      <c r="U85" s="1">
        <v>79</v>
      </c>
      <c r="V85" s="4"/>
      <c r="W85" s="4"/>
    </row>
    <row r="86" spans="1:23">
      <c r="A86" s="1">
        <v>80</v>
      </c>
      <c r="B86" s="118">
        <v>8.6331018518518515E-2</v>
      </c>
      <c r="C86" s="24">
        <f t="shared" si="15"/>
        <v>124.31666666666666</v>
      </c>
      <c r="D86" s="24">
        <f t="shared" si="12"/>
        <v>113.19169367422879</v>
      </c>
      <c r="E86" s="4">
        <f t="shared" si="10"/>
        <v>0.5554</v>
      </c>
      <c r="F86" s="24">
        <v>115.02596789423986</v>
      </c>
      <c r="G86" s="24">
        <v>124.31666666666668</v>
      </c>
      <c r="H86" s="145">
        <f t="shared" si="11"/>
        <v>1.5946609740311715E-2</v>
      </c>
      <c r="I86" s="1">
        <v>80</v>
      </c>
      <c r="J86" s="110">
        <f t="shared" si="13"/>
        <v>92.52658632061123</v>
      </c>
      <c r="K86" s="113">
        <f t="shared" si="14"/>
        <v>91.051100957953182</v>
      </c>
      <c r="L86" s="163" t="s">
        <v>701</v>
      </c>
      <c r="M86" s="119" t="s">
        <v>816</v>
      </c>
      <c r="N86" s="119" t="s">
        <v>817</v>
      </c>
      <c r="O86" s="119" t="s">
        <v>375</v>
      </c>
      <c r="P86" s="121">
        <v>10173</v>
      </c>
      <c r="Q86" s="122"/>
      <c r="R86" s="119" t="s">
        <v>376</v>
      </c>
      <c r="S86" s="136">
        <v>39572</v>
      </c>
      <c r="T86" s="131"/>
      <c r="U86" s="1">
        <v>80</v>
      </c>
      <c r="V86" s="4"/>
      <c r="W86" s="4"/>
    </row>
    <row r="87" spans="1:23">
      <c r="A87" s="1">
        <v>81</v>
      </c>
      <c r="B87" s="118">
        <v>8.7037037037037038E-2</v>
      </c>
      <c r="C87" s="24">
        <f t="shared" si="15"/>
        <v>125.33333333333333</v>
      </c>
      <c r="D87" s="24">
        <f t="shared" si="12"/>
        <v>116.2690339683127</v>
      </c>
      <c r="E87" s="4">
        <f t="shared" si="10"/>
        <v>0.54069999999999996</v>
      </c>
      <c r="F87" s="24">
        <v>117.97106712668726</v>
      </c>
      <c r="G87" s="24">
        <v>125.33333333333333</v>
      </c>
      <c r="H87" s="145">
        <f t="shared" si="11"/>
        <v>1.4427547362496731E-2</v>
      </c>
      <c r="I87" s="1">
        <v>81</v>
      </c>
      <c r="J87" s="110">
        <f t="shared" si="13"/>
        <v>94.125851430867499</v>
      </c>
      <c r="K87" s="113">
        <f t="shared" si="14"/>
        <v>92.76784625131333</v>
      </c>
      <c r="L87" s="163" t="s">
        <v>702</v>
      </c>
      <c r="M87" s="119" t="s">
        <v>816</v>
      </c>
      <c r="N87" s="119" t="s">
        <v>817</v>
      </c>
      <c r="O87" s="119" t="s">
        <v>375</v>
      </c>
      <c r="P87" s="121">
        <v>10173</v>
      </c>
      <c r="Q87" s="122"/>
      <c r="R87" s="119" t="s">
        <v>635</v>
      </c>
      <c r="S87" s="136">
        <v>40097</v>
      </c>
      <c r="T87" s="131"/>
      <c r="U87" s="1">
        <v>81</v>
      </c>
      <c r="V87" s="4"/>
      <c r="W87" s="4"/>
    </row>
    <row r="88" spans="1:23">
      <c r="A88" s="1">
        <v>82</v>
      </c>
      <c r="B88" s="118">
        <v>9.4513888888888883E-2</v>
      </c>
      <c r="C88" s="24">
        <f t="shared" si="15"/>
        <v>136.1</v>
      </c>
      <c r="D88" s="24">
        <f t="shared" si="12"/>
        <v>119.67764452059141</v>
      </c>
      <c r="E88" s="4">
        <f t="shared" si="10"/>
        <v>0.52529999999999999</v>
      </c>
      <c r="F88" s="24">
        <v>121.2290850283013</v>
      </c>
      <c r="G88" s="24">
        <v>136.10000000000002</v>
      </c>
      <c r="H88" s="145">
        <f t="shared" si="11"/>
        <v>1.2797593146460652E-2</v>
      </c>
      <c r="I88" s="1">
        <v>82</v>
      </c>
      <c r="J88" s="110">
        <f t="shared" si="13"/>
        <v>89.07353786061816</v>
      </c>
      <c r="K88" s="113">
        <f t="shared" si="14"/>
        <v>87.933610962962106</v>
      </c>
      <c r="L88" s="163" t="s">
        <v>703</v>
      </c>
      <c r="M88" s="119" t="s">
        <v>629</v>
      </c>
      <c r="N88" s="119" t="s">
        <v>818</v>
      </c>
      <c r="O88" s="119" t="s">
        <v>819</v>
      </c>
      <c r="P88" s="121">
        <v>11590</v>
      </c>
      <c r="Q88" s="122"/>
      <c r="R88" s="119" t="s">
        <v>633</v>
      </c>
      <c r="S88" s="136">
        <v>41566</v>
      </c>
      <c r="T88" s="131"/>
      <c r="U88" s="1">
        <v>82</v>
      </c>
      <c r="V88" s="4"/>
      <c r="W88" s="4"/>
    </row>
    <row r="89" spans="1:23">
      <c r="A89" s="1">
        <v>83</v>
      </c>
      <c r="B89" s="118">
        <v>9.4756944444444449E-2</v>
      </c>
      <c r="C89" s="24">
        <f t="shared" si="15"/>
        <v>136.45000000000002</v>
      </c>
      <c r="D89" s="24">
        <f t="shared" si="12"/>
        <v>123.48589013291429</v>
      </c>
      <c r="E89" s="4">
        <f t="shared" si="10"/>
        <v>0.5091</v>
      </c>
      <c r="F89" s="24">
        <v>124.8878636421889</v>
      </c>
      <c r="G89" s="24">
        <v>136.45000000000002</v>
      </c>
      <c r="H89" s="145">
        <f t="shared" si="11"/>
        <v>1.122585868945079E-2</v>
      </c>
      <c r="I89" s="1">
        <v>83</v>
      </c>
      <c r="J89" s="110">
        <f t="shared" si="13"/>
        <v>91.526466575440736</v>
      </c>
      <c r="K89" s="113">
        <f t="shared" si="14"/>
        <v>90.499003395320102</v>
      </c>
      <c r="L89" s="163" t="s">
        <v>704</v>
      </c>
      <c r="M89" s="119" t="s">
        <v>629</v>
      </c>
      <c r="N89" s="119" t="s">
        <v>818</v>
      </c>
      <c r="O89" s="119" t="s">
        <v>819</v>
      </c>
      <c r="P89" s="121">
        <v>11590</v>
      </c>
      <c r="Q89" s="122"/>
      <c r="R89" s="119" t="s">
        <v>633</v>
      </c>
      <c r="S89" s="136">
        <v>42203</v>
      </c>
      <c r="T89" s="131"/>
      <c r="U89" s="1">
        <v>83</v>
      </c>
      <c r="V89" s="4"/>
      <c r="W89" s="4"/>
    </row>
    <row r="90" spans="1:23">
      <c r="A90" s="1">
        <v>84</v>
      </c>
      <c r="B90" s="118">
        <v>9.9722222222222226E-2</v>
      </c>
      <c r="C90" s="24">
        <f>B90*1440</f>
        <v>143.6</v>
      </c>
      <c r="D90" s="24">
        <f t="shared" si="12"/>
        <v>127.75181196233828</v>
      </c>
      <c r="E90" s="4">
        <f t="shared" si="10"/>
        <v>0.49209999999999998</v>
      </c>
      <c r="F90" s="24">
        <v>128.97888955065847</v>
      </c>
      <c r="G90" s="24">
        <v>143.6</v>
      </c>
      <c r="H90" s="145">
        <f t="shared" si="11"/>
        <v>9.5137862683972885E-3</v>
      </c>
      <c r="I90" s="1">
        <v>84</v>
      </c>
      <c r="J90" s="110">
        <f t="shared" si="13"/>
        <v>89.818168210764952</v>
      </c>
      <c r="K90" s="113">
        <f t="shared" si="14"/>
        <v>88.963657355388776</v>
      </c>
      <c r="L90" s="163" t="s">
        <v>705</v>
      </c>
      <c r="M90" s="119" t="s">
        <v>820</v>
      </c>
      <c r="N90" s="119" t="s">
        <v>817</v>
      </c>
      <c r="O90" s="119" t="s">
        <v>375</v>
      </c>
      <c r="P90" s="121">
        <v>10173</v>
      </c>
      <c r="Q90" s="122"/>
      <c r="R90" s="119" t="s">
        <v>635</v>
      </c>
      <c r="S90" s="136">
        <v>41189</v>
      </c>
      <c r="T90" s="131"/>
      <c r="U90" s="1">
        <v>84</v>
      </c>
      <c r="V90" s="4"/>
      <c r="W90" s="4"/>
    </row>
    <row r="91" spans="1:23">
      <c r="A91" s="1">
        <v>85</v>
      </c>
      <c r="B91" s="118">
        <v>9.2094907407407403E-2</v>
      </c>
      <c r="C91" s="24">
        <f>B91*1440</f>
        <v>132.61666666666667</v>
      </c>
      <c r="D91" s="24">
        <f t="shared" si="12"/>
        <v>132.574159988753</v>
      </c>
      <c r="E91" s="4">
        <f t="shared" si="10"/>
        <v>0.47420000000000001</v>
      </c>
      <c r="F91" s="24">
        <v>133.53888317917097</v>
      </c>
      <c r="G91" s="24">
        <v>132.61666666666667</v>
      </c>
      <c r="H91" s="145">
        <f t="shared" si="11"/>
        <v>7.2242867953567352E-3</v>
      </c>
      <c r="I91" s="1">
        <v>85</v>
      </c>
      <c r="J91" s="110">
        <f t="shared" si="13"/>
        <v>100.69540016023952</v>
      </c>
      <c r="K91" s="113">
        <f t="shared" si="14"/>
        <v>99.967947710508724</v>
      </c>
      <c r="L91" s="163" t="s">
        <v>706</v>
      </c>
      <c r="M91" s="119" t="s">
        <v>629</v>
      </c>
      <c r="N91" s="119" t="s">
        <v>818</v>
      </c>
      <c r="O91" s="119" t="s">
        <v>263</v>
      </c>
      <c r="P91" s="121">
        <v>11590</v>
      </c>
      <c r="Q91" s="122"/>
      <c r="R91" s="119" t="s">
        <v>633</v>
      </c>
      <c r="S91" s="136">
        <v>42770</v>
      </c>
      <c r="T91" s="131"/>
      <c r="U91" s="1">
        <v>85</v>
      </c>
      <c r="V91" s="4"/>
      <c r="W91" s="4"/>
    </row>
    <row r="92" spans="1:23">
      <c r="A92" s="1">
        <v>86</v>
      </c>
      <c r="B92" s="118">
        <v>0.11315972222222222</v>
      </c>
      <c r="C92" s="24">
        <f>B92*1440</f>
        <v>162.94999999999999</v>
      </c>
      <c r="D92" s="24">
        <f t="shared" si="12"/>
        <v>137.98653789874157</v>
      </c>
      <c r="E92" s="4">
        <f t="shared" si="10"/>
        <v>0.4556</v>
      </c>
      <c r="F92" s="24">
        <v>138.69911756333619</v>
      </c>
      <c r="G92" s="24"/>
      <c r="H92" s="145">
        <f t="shared" si="11"/>
        <v>5.1375933539679394E-3</v>
      </c>
      <c r="I92" s="1">
        <v>86</v>
      </c>
      <c r="J92" s="110"/>
      <c r="K92" s="113">
        <f t="shared" si="14"/>
        <v>84.680293279375007</v>
      </c>
      <c r="L92" s="379">
        <v>0.11315972222222222</v>
      </c>
      <c r="M92" s="123" t="s">
        <v>821</v>
      </c>
      <c r="N92" s="123" t="s">
        <v>822</v>
      </c>
      <c r="O92" s="119" t="s">
        <v>217</v>
      </c>
      <c r="P92" s="121">
        <v>8261</v>
      </c>
      <c r="Q92" s="123" t="s">
        <v>823</v>
      </c>
      <c r="R92" s="123" t="s">
        <v>824</v>
      </c>
      <c r="S92" s="412">
        <v>39838</v>
      </c>
      <c r="T92" s="153"/>
      <c r="U92" s="1">
        <v>86</v>
      </c>
      <c r="V92" s="4"/>
      <c r="W92" s="4"/>
    </row>
    <row r="93" spans="1:23">
      <c r="A93" s="1">
        <v>87</v>
      </c>
      <c r="B93" s="118">
        <v>0.11354166666666667</v>
      </c>
      <c r="C93" s="24">
        <f>B93*1440</f>
        <v>163.5</v>
      </c>
      <c r="D93" s="24">
        <f t="shared" si="12"/>
        <v>144.123490753477</v>
      </c>
      <c r="E93" s="4">
        <f t="shared" si="10"/>
        <v>0.43619999999999998</v>
      </c>
      <c r="F93" s="24">
        <v>144.49881376037959</v>
      </c>
      <c r="G93" s="24">
        <v>163.5</v>
      </c>
      <c r="H93" s="145">
        <f t="shared" si="11"/>
        <v>2.597412374090374E-3</v>
      </c>
      <c r="I93" s="1">
        <v>87</v>
      </c>
      <c r="J93" s="110">
        <f>100*F93/+C93</f>
        <v>88.378479364146543</v>
      </c>
      <c r="K93" s="113">
        <f>100*(D93/C93)</f>
        <v>88.148924008242815</v>
      </c>
      <c r="L93" s="163" t="s">
        <v>707</v>
      </c>
      <c r="M93" s="119" t="s">
        <v>816</v>
      </c>
      <c r="N93" s="119" t="s">
        <v>817</v>
      </c>
      <c r="O93" s="119" t="s">
        <v>375</v>
      </c>
      <c r="P93" s="121">
        <v>10173</v>
      </c>
      <c r="Q93" s="122"/>
      <c r="R93" s="119" t="s">
        <v>376</v>
      </c>
      <c r="S93" s="136">
        <v>42050</v>
      </c>
      <c r="T93" s="131"/>
      <c r="U93" s="1">
        <v>87</v>
      </c>
      <c r="V93" s="4"/>
      <c r="W93" s="4"/>
    </row>
    <row r="94" spans="1:23">
      <c r="A94" s="1">
        <v>88</v>
      </c>
      <c r="B94" s="8">
        <v>0.11986111111111111</v>
      </c>
      <c r="C94" s="24">
        <f>B94*1440</f>
        <v>172.6</v>
      </c>
      <c r="D94" s="24">
        <f t="shared" si="12"/>
        <v>151.15813096096818</v>
      </c>
      <c r="E94" s="4">
        <f t="shared" si="10"/>
        <v>0.41589999999999999</v>
      </c>
      <c r="F94" s="24">
        <v>151.12041560052725</v>
      </c>
      <c r="G94" s="24"/>
      <c r="H94" s="145">
        <f t="shared" si="11"/>
        <v>-2.4957157701725963E-4</v>
      </c>
      <c r="I94" s="1">
        <v>88</v>
      </c>
      <c r="J94" s="110"/>
      <c r="K94" s="113"/>
      <c r="L94" s="379">
        <v>0.11986111111111113</v>
      </c>
      <c r="M94" s="123" t="s">
        <v>821</v>
      </c>
      <c r="N94" s="123" t="s">
        <v>822</v>
      </c>
      <c r="O94" s="119" t="s">
        <v>217</v>
      </c>
      <c r="P94" s="121">
        <v>8261</v>
      </c>
      <c r="Q94" s="123" t="s">
        <v>825</v>
      </c>
      <c r="R94" s="123" t="s">
        <v>826</v>
      </c>
      <c r="S94" s="412">
        <v>40405</v>
      </c>
      <c r="T94" s="153"/>
      <c r="U94" s="1">
        <v>88</v>
      </c>
      <c r="V94" s="4"/>
      <c r="W94" s="4"/>
    </row>
    <row r="95" spans="1:23">
      <c r="A95" s="1">
        <v>89</v>
      </c>
      <c r="B95" s="38"/>
      <c r="C95" s="24"/>
      <c r="D95" s="24">
        <f t="shared" si="12"/>
        <v>159.19642103486115</v>
      </c>
      <c r="E95" s="4">
        <f t="shared" si="10"/>
        <v>0.39489999999999997</v>
      </c>
      <c r="F95" s="24">
        <v>158.68751017749554</v>
      </c>
      <c r="G95" s="24"/>
      <c r="H95" s="145">
        <f t="shared" si="11"/>
        <v>-3.2070000770468834E-3</v>
      </c>
      <c r="I95" s="1">
        <v>89</v>
      </c>
      <c r="J95" s="110"/>
      <c r="K95" s="113"/>
      <c r="L95" s="166"/>
      <c r="M95" s="119"/>
      <c r="N95" s="119"/>
      <c r="O95" s="119"/>
      <c r="P95" s="121"/>
      <c r="Q95" s="122"/>
      <c r="R95" s="119"/>
      <c r="S95" s="121"/>
      <c r="T95" s="131"/>
      <c r="V95" s="4"/>
      <c r="W95" s="4"/>
    </row>
    <row r="96" spans="1:23">
      <c r="A96" s="1">
        <v>90</v>
      </c>
      <c r="B96" s="12" t="s">
        <v>1038</v>
      </c>
      <c r="C96" s="24"/>
      <c r="D96" s="24">
        <f t="shared" si="12"/>
        <v>168.4981684981685</v>
      </c>
      <c r="E96" s="4">
        <f t="shared" si="10"/>
        <v>0.37309999999999999</v>
      </c>
      <c r="F96" s="24">
        <v>167.35359780182037</v>
      </c>
      <c r="G96" s="24"/>
      <c r="H96" s="145">
        <f t="shared" si="11"/>
        <v>-6.8392356745357987E-3</v>
      </c>
      <c r="I96" s="1">
        <v>90</v>
      </c>
      <c r="J96" s="110"/>
      <c r="K96" s="113"/>
      <c r="M96" s="123"/>
      <c r="N96" s="123"/>
      <c r="O96" s="119"/>
      <c r="P96" s="121"/>
      <c r="Q96" s="123"/>
      <c r="R96" s="123"/>
      <c r="S96" s="137"/>
      <c r="T96" s="24">
        <v>130.47803463571475</v>
      </c>
      <c r="U96" s="1">
        <v>90</v>
      </c>
      <c r="V96" s="4"/>
      <c r="W96" s="4"/>
    </row>
    <row r="97" spans="1:24">
      <c r="A97" s="1">
        <v>91</v>
      </c>
      <c r="B97" s="3" t="s">
        <v>1038</v>
      </c>
      <c r="C97" s="24"/>
      <c r="D97" s="24">
        <f t="shared" si="12"/>
        <v>179.41400304414003</v>
      </c>
      <c r="E97" s="4">
        <f t="shared" si="10"/>
        <v>0.35039999999999999</v>
      </c>
      <c r="F97" s="24">
        <v>177.45606846945282</v>
      </c>
      <c r="G97" s="24"/>
      <c r="H97" s="145">
        <f t="shared" si="11"/>
        <v>-1.1033348093273309E-2</v>
      </c>
      <c r="I97" s="1">
        <v>91</v>
      </c>
      <c r="J97" s="110"/>
      <c r="K97" s="113"/>
      <c r="M97" s="123"/>
      <c r="N97" s="123"/>
      <c r="O97" s="119"/>
      <c r="P97" s="121"/>
      <c r="Q97" s="123"/>
      <c r="R97" s="123"/>
      <c r="S97" s="137"/>
      <c r="T97" s="24">
        <v>137.19221413493625</v>
      </c>
      <c r="U97" s="1">
        <v>91</v>
      </c>
      <c r="V97" s="4"/>
      <c r="W97" s="4"/>
    </row>
    <row r="98" spans="1:24">
      <c r="A98" s="1">
        <v>92</v>
      </c>
      <c r="B98" s="3" t="s">
        <v>1038</v>
      </c>
      <c r="C98" s="24"/>
      <c r="D98" s="24">
        <f t="shared" si="12"/>
        <v>192.25280326197756</v>
      </c>
      <c r="E98" s="4">
        <f t="shared" ref="E98:E106" si="16">ROUND(1-IF(A98&lt;I$3,0,IF(A98&lt;I$4,G$3*(A98-I$3)^2,G$2+G$4*(A98-I$4)+(A98&gt;I$5)*G$5*(A98-I$5)^2)),4)</f>
        <v>0.32700000000000001</v>
      </c>
      <c r="F98" s="24">
        <v>189.24167394892709</v>
      </c>
      <c r="G98" s="24"/>
      <c r="H98" s="145">
        <f t="shared" si="11"/>
        <v>-1.5911555051363182E-2</v>
      </c>
      <c r="I98" s="1">
        <v>92</v>
      </c>
      <c r="J98" s="110"/>
      <c r="K98" s="113"/>
      <c r="M98" s="123"/>
      <c r="N98" s="123"/>
      <c r="O98" s="119"/>
      <c r="P98" s="121"/>
      <c r="Q98" s="123"/>
      <c r="R98" s="123"/>
      <c r="S98" s="137"/>
      <c r="T98" s="24">
        <v>144.88121072578784</v>
      </c>
      <c r="U98" s="1">
        <v>92</v>
      </c>
      <c r="V98" s="4"/>
      <c r="W98" s="4"/>
    </row>
    <row r="99" spans="1:24">
      <c r="A99" s="1">
        <v>93</v>
      </c>
      <c r="B99" s="12">
        <v>0.20098379629629629</v>
      </c>
      <c r="C99" s="24">
        <f>B99*1440</f>
        <v>289.41666666666663</v>
      </c>
      <c r="D99" s="24">
        <f t="shared" si="12"/>
        <v>207.61778952003522</v>
      </c>
      <c r="E99" s="4">
        <f t="shared" si="16"/>
        <v>0.30280000000000001</v>
      </c>
      <c r="F99" s="24">
        <v>203.27492699207343</v>
      </c>
      <c r="G99" s="24">
        <v>289.41666666666663</v>
      </c>
      <c r="H99" s="145">
        <f t="shared" si="11"/>
        <v>-2.1364477125755562E-2</v>
      </c>
      <c r="I99" s="1">
        <v>93</v>
      </c>
      <c r="J99" s="110">
        <f>100*F99/+C99</f>
        <v>70.236081886118086</v>
      </c>
      <c r="K99" s="113">
        <f>100*(D99/C99)</f>
        <v>71.736639050976763</v>
      </c>
      <c r="L99" s="177" t="s">
        <v>708</v>
      </c>
      <c r="M99" s="119" t="s">
        <v>517</v>
      </c>
      <c r="N99" s="119" t="s">
        <v>827</v>
      </c>
      <c r="O99" s="119" t="s">
        <v>375</v>
      </c>
      <c r="P99" s="121">
        <v>6902</v>
      </c>
      <c r="Q99" s="122"/>
      <c r="R99" s="119" t="s">
        <v>828</v>
      </c>
      <c r="S99" s="136">
        <v>40979</v>
      </c>
      <c r="T99" s="24">
        <v>153.76066518604108</v>
      </c>
      <c r="U99" s="1">
        <v>93</v>
      </c>
      <c r="V99" s="4"/>
      <c r="W99" s="4"/>
    </row>
    <row r="100" spans="1:24">
      <c r="A100" s="1">
        <v>94</v>
      </c>
      <c r="B100" s="3" t="s">
        <v>1038</v>
      </c>
      <c r="C100" s="24"/>
      <c r="D100" s="24">
        <f t="shared" si="12"/>
        <v>226.30189584833215</v>
      </c>
      <c r="E100" s="4">
        <f t="shared" si="16"/>
        <v>0.27779999999999999</v>
      </c>
      <c r="F100" s="24">
        <v>220.07678410117433</v>
      </c>
      <c r="G100" s="24"/>
      <c r="H100" s="145">
        <f t="shared" si="11"/>
        <v>-2.8286090114330274E-2</v>
      </c>
      <c r="I100" s="1">
        <v>94</v>
      </c>
      <c r="J100" s="110"/>
      <c r="K100" s="113"/>
      <c r="T100" s="24">
        <v>164.11559093399259</v>
      </c>
      <c r="U100" s="1">
        <v>94</v>
      </c>
      <c r="V100" s="4"/>
      <c r="W100" s="4"/>
    </row>
    <row r="101" spans="1:24">
      <c r="A101" s="1">
        <v>95</v>
      </c>
      <c r="B101" s="3"/>
      <c r="C101" s="24"/>
      <c r="D101" s="24">
        <f t="shared" si="12"/>
        <v>249.56993515945479</v>
      </c>
      <c r="E101" s="4">
        <f t="shared" si="16"/>
        <v>0.25190000000000001</v>
      </c>
      <c r="F101" s="24">
        <v>240.61728395061726</v>
      </c>
      <c r="G101" s="24"/>
      <c r="H101" s="145">
        <f t="shared" si="11"/>
        <v>-3.7207016311741378E-2</v>
      </c>
      <c r="I101" s="1">
        <v>95</v>
      </c>
      <c r="J101" s="110"/>
      <c r="K101" s="113"/>
      <c r="T101" s="24">
        <v>176.33066076635203</v>
      </c>
      <c r="U101" s="1">
        <v>95</v>
      </c>
      <c r="V101" s="4"/>
      <c r="W101" s="4"/>
    </row>
    <row r="102" spans="1:24">
      <c r="A102" s="1">
        <v>96</v>
      </c>
      <c r="B102" s="3"/>
      <c r="C102" s="24"/>
      <c r="D102" s="24">
        <f t="shared" si="12"/>
        <v>279.03536026039353</v>
      </c>
      <c r="E102" s="4">
        <f t="shared" si="16"/>
        <v>0.2253</v>
      </c>
      <c r="F102" s="24">
        <v>266.36599699330327</v>
      </c>
      <c r="G102" s="24"/>
      <c r="H102" s="145">
        <f t="shared" si="11"/>
        <v>-4.7563740905746249E-2</v>
      </c>
      <c r="I102" s="1">
        <v>96</v>
      </c>
      <c r="J102" s="110"/>
      <c r="K102" s="113"/>
      <c r="M102" s="406" t="s">
        <v>2340</v>
      </c>
      <c r="N102" s="406" t="s">
        <v>39</v>
      </c>
      <c r="O102" s="406">
        <v>76</v>
      </c>
      <c r="P102" s="407">
        <v>7.0115740740740742E-2</v>
      </c>
      <c r="Q102" s="406">
        <v>6058</v>
      </c>
      <c r="R102" s="408" t="s">
        <v>357</v>
      </c>
      <c r="S102" s="408" t="s">
        <v>899</v>
      </c>
      <c r="T102" s="408" t="s">
        <v>217</v>
      </c>
      <c r="U102" s="409">
        <v>17637</v>
      </c>
      <c r="V102" s="406" t="s">
        <v>2341</v>
      </c>
      <c r="W102" s="406" t="s">
        <v>2342</v>
      </c>
      <c r="X102" s="410">
        <v>45528</v>
      </c>
    </row>
    <row r="103" spans="1:24">
      <c r="A103" s="1">
        <v>97</v>
      </c>
      <c r="B103" s="3"/>
      <c r="C103" s="24"/>
      <c r="D103" s="24">
        <f t="shared" si="12"/>
        <v>317.66885632474316</v>
      </c>
      <c r="E103" s="4">
        <f t="shared" si="16"/>
        <v>0.19789999999999999</v>
      </c>
      <c r="F103" s="24">
        <v>299.2476585290957</v>
      </c>
      <c r="G103" s="24"/>
      <c r="H103" s="145">
        <f t="shared" si="11"/>
        <v>-6.1558369031837805E-2</v>
      </c>
      <c r="I103" s="1">
        <v>97</v>
      </c>
      <c r="J103" s="110"/>
      <c r="K103" s="113"/>
      <c r="M103" s="411"/>
      <c r="N103"/>
      <c r="O103"/>
      <c r="P103"/>
      <c r="Q103"/>
      <c r="R103"/>
      <c r="S103"/>
      <c r="T103"/>
      <c r="U103"/>
      <c r="V103"/>
      <c r="W103"/>
      <c r="X103"/>
    </row>
    <row r="104" spans="1:24">
      <c r="A104" s="1">
        <v>98</v>
      </c>
      <c r="B104" s="3"/>
      <c r="C104" s="24"/>
      <c r="D104" s="24">
        <f t="shared" si="12"/>
        <v>370.67610062893084</v>
      </c>
      <c r="E104" s="4">
        <f t="shared" si="16"/>
        <v>0.1696</v>
      </c>
      <c r="F104" s="24">
        <v>343.01302358324534</v>
      </c>
      <c r="G104" s="24"/>
      <c r="H104" s="145">
        <f t="shared" si="11"/>
        <v>-8.0647308247093374E-2</v>
      </c>
      <c r="I104" s="1">
        <v>98</v>
      </c>
      <c r="J104" s="110"/>
      <c r="K104" s="113"/>
      <c r="T104" s="24"/>
      <c r="V104" s="4"/>
      <c r="W104" s="4"/>
    </row>
    <row r="105" spans="1:24">
      <c r="A105" s="1">
        <v>99</v>
      </c>
      <c r="B105" s="1" t="s">
        <v>63</v>
      </c>
      <c r="C105" s="24"/>
      <c r="D105" s="24">
        <f t="shared" si="12"/>
        <v>447.13134186818399</v>
      </c>
      <c r="E105" s="4">
        <f t="shared" si="16"/>
        <v>0.1406</v>
      </c>
      <c r="F105" s="24">
        <v>403.51966873706004</v>
      </c>
      <c r="G105" s="24"/>
      <c r="H105" s="145">
        <f t="shared" si="11"/>
        <v>-0.10807818431161041</v>
      </c>
      <c r="I105" s="1">
        <v>99</v>
      </c>
      <c r="J105" s="110"/>
      <c r="K105" s="113"/>
      <c r="T105" s="24"/>
      <c r="V105" s="4"/>
      <c r="W105" s="4"/>
    </row>
    <row r="106" spans="1:24">
      <c r="A106" s="1">
        <v>100</v>
      </c>
      <c r="D106" s="24">
        <f t="shared" si="12"/>
        <v>567.38868832731646</v>
      </c>
      <c r="E106" s="4">
        <f t="shared" si="16"/>
        <v>0.1108</v>
      </c>
      <c r="F106" s="24">
        <v>492.91856348002023</v>
      </c>
      <c r="G106" s="24"/>
      <c r="H106" s="145">
        <f t="shared" si="11"/>
        <v>-0.15107997621662869</v>
      </c>
      <c r="I106" s="1">
        <v>100</v>
      </c>
      <c r="J106" s="110"/>
      <c r="K106" s="113"/>
      <c r="T106" s="24"/>
      <c r="V106" s="4"/>
      <c r="W106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6"/>
  <sheetViews>
    <sheetView zoomScale="87" zoomScaleNormal="87" workbookViewId="0">
      <selection activeCell="K3" sqref="K3"/>
    </sheetView>
  </sheetViews>
  <sheetFormatPr defaultColWidth="9.6640625" defaultRowHeight="15"/>
  <cols>
    <col min="1" max="1" width="9.6640625" style="1" customWidth="1"/>
    <col min="2" max="2" width="10.88671875" style="1" customWidth="1"/>
    <col min="3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3" width="9.6640625" style="1"/>
    <col min="14" max="14" width="24.6640625" style="1" customWidth="1"/>
    <col min="15" max="15" width="18.109375" style="1" customWidth="1"/>
    <col min="16" max="16" width="16.21875" style="1" customWidth="1"/>
    <col min="17" max="16384" width="9.6640625" style="1"/>
  </cols>
  <sheetData>
    <row r="1" spans="1:16" ht="29.1" customHeight="1">
      <c r="A1" s="29" t="s">
        <v>71</v>
      </c>
      <c r="B1" s="30"/>
      <c r="C1" s="31"/>
      <c r="D1" s="32" t="s">
        <v>32</v>
      </c>
      <c r="E1" s="32" t="s">
        <v>54</v>
      </c>
      <c r="F1" s="32"/>
      <c r="G1" s="32"/>
      <c r="H1" s="32"/>
      <c r="I1" s="32"/>
      <c r="K1" s="210" t="s">
        <v>2085</v>
      </c>
    </row>
    <row r="2" spans="1:16" ht="18" customHeight="1">
      <c r="A2" s="29"/>
      <c r="B2" s="30"/>
      <c r="C2" s="31"/>
      <c r="D2" s="32"/>
      <c r="E2" s="32"/>
      <c r="F2" s="81"/>
      <c r="G2" s="82"/>
      <c r="H2" s="83"/>
      <c r="I2" s="83"/>
      <c r="K2" s="215">
        <f>Parameters!M28</f>
        <v>0.24485604151359389</v>
      </c>
    </row>
    <row r="3" spans="1:16" ht="18" customHeight="1">
      <c r="A3" s="29"/>
      <c r="B3" s="30"/>
      <c r="C3" s="31"/>
      <c r="D3" s="32"/>
      <c r="E3" s="32"/>
      <c r="F3" s="81"/>
      <c r="G3" s="82"/>
      <c r="H3" s="212"/>
      <c r="I3" s="86"/>
    </row>
    <row r="4" spans="1:16" ht="15.75">
      <c r="A4" s="30"/>
      <c r="B4" s="30"/>
      <c r="C4" s="30"/>
      <c r="D4" s="34">
        <f>Parameters!G28</f>
        <v>5.2083333333333336E-2</v>
      </c>
      <c r="E4" s="35">
        <f>D4*1440</f>
        <v>75</v>
      </c>
      <c r="F4" s="33"/>
      <c r="G4" s="81"/>
      <c r="H4" s="212"/>
      <c r="I4" s="86"/>
      <c r="J4" s="24"/>
    </row>
    <row r="5" spans="1:16" ht="15.75">
      <c r="A5" s="30"/>
      <c r="B5" s="30"/>
      <c r="C5" s="30"/>
      <c r="D5" s="34"/>
      <c r="E5" s="30">
        <f>E4*60</f>
        <v>4500</v>
      </c>
      <c r="F5" s="33"/>
      <c r="G5" s="81"/>
      <c r="H5" s="212"/>
      <c r="I5" s="86"/>
      <c r="J5" s="24"/>
    </row>
    <row r="6" spans="1:16" ht="57" customHeight="1">
      <c r="A6" s="36" t="s">
        <v>52</v>
      </c>
      <c r="B6" s="36" t="s">
        <v>1611</v>
      </c>
      <c r="C6" s="36" t="s">
        <v>53</v>
      </c>
      <c r="D6" s="36" t="s">
        <v>127</v>
      </c>
      <c r="E6" s="36" t="s">
        <v>131</v>
      </c>
      <c r="F6" s="31" t="s">
        <v>130</v>
      </c>
      <c r="G6" s="36" t="s">
        <v>52</v>
      </c>
      <c r="H6" s="193" t="s">
        <v>709</v>
      </c>
      <c r="I6" s="194" t="s">
        <v>1154</v>
      </c>
      <c r="J6" s="189" t="s">
        <v>403</v>
      </c>
      <c r="K6" s="189" t="s">
        <v>404</v>
      </c>
      <c r="L6" s="195" t="s">
        <v>405</v>
      </c>
      <c r="M6" s="196" t="s">
        <v>406</v>
      </c>
      <c r="N6" s="189" t="s">
        <v>407</v>
      </c>
      <c r="O6" s="195" t="s">
        <v>408</v>
      </c>
      <c r="P6" s="196" t="s">
        <v>409</v>
      </c>
    </row>
    <row r="7" spans="1:16">
      <c r="A7" s="1">
        <v>1</v>
      </c>
      <c r="B7" s="38"/>
      <c r="G7" s="1">
        <v>1</v>
      </c>
    </row>
    <row r="8" spans="1:16">
      <c r="A8" s="1">
        <v>2</v>
      </c>
      <c r="B8" s="38"/>
      <c r="G8" s="1">
        <v>2</v>
      </c>
      <c r="H8" s="158"/>
    </row>
    <row r="9" spans="1:16">
      <c r="A9" s="1">
        <v>3</v>
      </c>
      <c r="B9" s="38"/>
      <c r="C9" s="24"/>
      <c r="D9" s="24"/>
      <c r="E9" s="232">
        <f>H.Marathon!$E9*(1-$K$2)+Marathon!$E9*$K$2</f>
        <v>0.50214032284643639</v>
      </c>
      <c r="G9" s="1">
        <v>3</v>
      </c>
      <c r="H9" s="199"/>
    </row>
    <row r="10" spans="1:16">
      <c r="A10" s="1">
        <v>4</v>
      </c>
      <c r="B10" s="38"/>
      <c r="C10" s="24"/>
      <c r="D10" s="24"/>
      <c r="E10" s="232">
        <f>H.Marathon!$E10*(1-$K$2)+Marathon!$E10*$K$2</f>
        <v>0.5479909408449668</v>
      </c>
      <c r="F10" s="18"/>
      <c r="G10" s="1">
        <v>4</v>
      </c>
      <c r="H10" s="199"/>
    </row>
    <row r="11" spans="1:16">
      <c r="A11" s="1">
        <v>5</v>
      </c>
      <c r="B11" s="38"/>
      <c r="C11" s="24"/>
      <c r="D11" s="24">
        <f t="shared" ref="D11:D42" si="0">E$4/E11</f>
        <v>126.80223655359693</v>
      </c>
      <c r="E11" s="232">
        <f>H.Marathon!$E11*(1-$K$2)+Marathon!$E11*$K$2</f>
        <v>0.59147221719783238</v>
      </c>
      <c r="F11" s="18"/>
      <c r="G11" s="1">
        <v>5</v>
      </c>
      <c r="H11" s="199"/>
    </row>
    <row r="12" spans="1:16">
      <c r="A12" s="1">
        <v>6</v>
      </c>
      <c r="B12" s="38"/>
      <c r="C12" s="24"/>
      <c r="D12" s="24">
        <f t="shared" si="0"/>
        <v>118.53797396421872</v>
      </c>
      <c r="E12" s="232">
        <f>H.Marathon!$E12*(1-$K$2)+Marathon!$E12*$K$2</f>
        <v>0.63270863750918438</v>
      </c>
      <c r="F12" s="18"/>
      <c r="G12" s="1">
        <v>6</v>
      </c>
      <c r="H12" s="199"/>
    </row>
    <row r="13" spans="1:16">
      <c r="A13" s="1">
        <v>7</v>
      </c>
      <c r="B13" s="38"/>
      <c r="C13" s="24"/>
      <c r="D13" s="24">
        <f t="shared" si="0"/>
        <v>111.67765330643785</v>
      </c>
      <c r="E13" s="232">
        <f>H.Marathon!$E13*(1-$K$2)+Marathon!$E13*$K$2</f>
        <v>0.67157571617487144</v>
      </c>
      <c r="F13" s="18"/>
      <c r="G13" s="1">
        <v>7</v>
      </c>
      <c r="H13" s="199"/>
    </row>
    <row r="14" spans="1:16">
      <c r="A14" s="1">
        <v>8</v>
      </c>
      <c r="B14" s="38"/>
      <c r="C14" s="24"/>
      <c r="D14" s="24">
        <f t="shared" si="0"/>
        <v>105.9025957166499</v>
      </c>
      <c r="E14" s="232">
        <f>H.Marathon!$E14*(1-$K$2)+Marathon!$E14*$K$2</f>
        <v>0.70819793879904469</v>
      </c>
      <c r="F14" s="18"/>
      <c r="G14" s="1">
        <v>8</v>
      </c>
      <c r="H14" s="199"/>
    </row>
    <row r="15" spans="1:16" ht="15.75">
      <c r="A15" s="1">
        <v>9</v>
      </c>
      <c r="B15" s="38">
        <v>9.7141203703703702E-2</v>
      </c>
      <c r="C15" s="24">
        <f t="shared" ref="C15:C76" si="1">B15*1440</f>
        <v>139.88333333333333</v>
      </c>
      <c r="D15" s="24">
        <f t="shared" si="0"/>
        <v>101.00651862198504</v>
      </c>
      <c r="E15" s="232">
        <f>H.Marathon!$E15*(1-$K$2)+Marathon!$E15*$K$2</f>
        <v>0.74252633417340186</v>
      </c>
      <c r="F15" s="18">
        <f>100*(D15/C15)</f>
        <v>72.207686373395717</v>
      </c>
      <c r="G15" s="1">
        <v>9</v>
      </c>
      <c r="H15" s="200" t="s">
        <v>1455</v>
      </c>
      <c r="I15" s="154">
        <v>8393</v>
      </c>
      <c r="J15" s="182" t="s">
        <v>1456</v>
      </c>
      <c r="K15" s="182" t="s">
        <v>1457</v>
      </c>
      <c r="L15" s="182" t="s">
        <v>217</v>
      </c>
      <c r="M15" s="183">
        <v>38514</v>
      </c>
      <c r="N15" s="182" t="s">
        <v>1458</v>
      </c>
      <c r="O15" s="182" t="s">
        <v>1459</v>
      </c>
      <c r="P15" s="330">
        <v>42070</v>
      </c>
    </row>
    <row r="16" spans="1:16">
      <c r="A16" s="1">
        <v>10</v>
      </c>
      <c r="B16" s="38"/>
      <c r="C16" s="24"/>
      <c r="D16" s="24">
        <f t="shared" si="0"/>
        <v>96.832373048165849</v>
      </c>
      <c r="E16" s="232">
        <f>H.Marathon!$E16*(1-$K$2)+Marathon!$E16*$K$2</f>
        <v>0.77453435911039681</v>
      </c>
      <c r="F16" s="18"/>
      <c r="G16" s="1">
        <v>10</v>
      </c>
      <c r="H16" s="199"/>
      <c r="P16" s="137"/>
    </row>
    <row r="17" spans="1:16">
      <c r="A17" s="1">
        <v>11</v>
      </c>
      <c r="B17" s="38"/>
      <c r="C17" s="24"/>
      <c r="D17" s="24">
        <f t="shared" si="0"/>
        <v>93.254752359943708</v>
      </c>
      <c r="E17" s="232">
        <f>H.Marathon!$E17*(1-$K$2)+Marathon!$E17*$K$2</f>
        <v>0.80424855679757523</v>
      </c>
      <c r="F17" s="18"/>
      <c r="G17" s="1">
        <v>11</v>
      </c>
      <c r="H17" s="199"/>
      <c r="P17" s="137"/>
    </row>
    <row r="18" spans="1:16" ht="15.75">
      <c r="A18" s="1">
        <v>12</v>
      </c>
      <c r="B18" s="38">
        <v>6.7349537037037041E-2</v>
      </c>
      <c r="C18" s="24">
        <f t="shared" si="1"/>
        <v>96.983333333333334</v>
      </c>
      <c r="D18" s="24">
        <f t="shared" si="0"/>
        <v>90.182993842851189</v>
      </c>
      <c r="E18" s="232">
        <f>H.Marathon!$E18*(1-$K$2)+Marathon!$E18*$K$2</f>
        <v>0.83164238404739155</v>
      </c>
      <c r="F18" s="18">
        <f>100*(D18/C18)</f>
        <v>92.988135943823195</v>
      </c>
      <c r="G18" s="1">
        <v>12</v>
      </c>
      <c r="H18" s="200" t="s">
        <v>1460</v>
      </c>
      <c r="I18" s="154">
        <v>5819</v>
      </c>
      <c r="J18" s="182" t="s">
        <v>1461</v>
      </c>
      <c r="K18" s="182" t="s">
        <v>488</v>
      </c>
      <c r="L18" s="182" t="s">
        <v>217</v>
      </c>
      <c r="M18" s="183">
        <v>24921</v>
      </c>
      <c r="N18" s="182"/>
      <c r="O18" s="182" t="s">
        <v>1462</v>
      </c>
      <c r="P18" s="330">
        <v>29659</v>
      </c>
    </row>
    <row r="19" spans="1:16" ht="15.75">
      <c r="A19" s="1">
        <v>13</v>
      </c>
      <c r="B19" s="38">
        <v>6.7569444444444446E-2</v>
      </c>
      <c r="C19" s="24">
        <f t="shared" si="1"/>
        <v>97.3</v>
      </c>
      <c r="D19" s="24">
        <f t="shared" si="0"/>
        <v>87.54090073808149</v>
      </c>
      <c r="E19" s="232">
        <f>H.Marathon!$E19*(1-$K$2)+Marathon!$E19*$K$2</f>
        <v>0.85674238404739167</v>
      </c>
      <c r="F19" s="18">
        <f>100*(D19/C19)</f>
        <v>89.970093255993305</v>
      </c>
      <c r="G19" s="1">
        <v>13</v>
      </c>
      <c r="H19" s="200" t="s">
        <v>1463</v>
      </c>
      <c r="I19" s="154">
        <v>5838</v>
      </c>
      <c r="J19" s="182" t="s">
        <v>835</v>
      </c>
      <c r="K19" s="182" t="s">
        <v>836</v>
      </c>
      <c r="L19" s="182" t="s">
        <v>320</v>
      </c>
      <c r="M19" s="183">
        <v>27160</v>
      </c>
      <c r="N19" s="182"/>
      <c r="O19" s="182" t="s">
        <v>1464</v>
      </c>
      <c r="P19" s="330">
        <v>31990</v>
      </c>
    </row>
    <row r="20" spans="1:16">
      <c r="A20" s="1">
        <v>14</v>
      </c>
      <c r="B20" s="38"/>
      <c r="C20" s="24"/>
      <c r="D20" s="24">
        <f t="shared" si="0"/>
        <v>85.266269642698219</v>
      </c>
      <c r="E20" s="232">
        <f>H.Marathon!$E20*(1-$K$2)+Marathon!$E20*$K$2</f>
        <v>0.87959752800587809</v>
      </c>
      <c r="F20" s="18"/>
      <c r="G20" s="1">
        <v>14</v>
      </c>
      <c r="H20" s="199"/>
      <c r="P20" s="137"/>
    </row>
    <row r="21" spans="1:16" ht="15.75">
      <c r="A21" s="1">
        <v>15</v>
      </c>
      <c r="B21" s="38">
        <v>7.0509259259259258E-2</v>
      </c>
      <c r="C21" s="24">
        <f t="shared" si="1"/>
        <v>101.53333333333333</v>
      </c>
      <c r="D21" s="24">
        <f t="shared" si="0"/>
        <v>83.325618277414563</v>
      </c>
      <c r="E21" s="232">
        <f>H.Marathon!$E21*(1-$K$2)+Marathon!$E21*$K$2</f>
        <v>0.90008333031869947</v>
      </c>
      <c r="F21" s="18">
        <f t="shared" ref="F21:F52" si="2">100*(D21/C21)</f>
        <v>82.06725372036891</v>
      </c>
      <c r="G21" s="1">
        <v>15</v>
      </c>
      <c r="H21" s="200" t="s">
        <v>1465</v>
      </c>
      <c r="I21" s="154">
        <v>6092</v>
      </c>
      <c r="J21" s="182" t="s">
        <v>835</v>
      </c>
      <c r="K21" s="182" t="s">
        <v>836</v>
      </c>
      <c r="L21" s="182" t="s">
        <v>320</v>
      </c>
      <c r="M21" s="183">
        <v>27160</v>
      </c>
      <c r="N21" s="182"/>
      <c r="O21" s="182" t="s">
        <v>1464</v>
      </c>
      <c r="P21" s="330">
        <v>32725</v>
      </c>
    </row>
    <row r="22" spans="1:16" ht="15.75">
      <c r="A22" s="1">
        <v>16</v>
      </c>
      <c r="B22" s="38">
        <v>6.2962962962962957E-2</v>
      </c>
      <c r="C22" s="24">
        <f t="shared" si="1"/>
        <v>90.666666666666657</v>
      </c>
      <c r="D22" s="24">
        <f t="shared" si="0"/>
        <v>81.570796462585918</v>
      </c>
      <c r="E22" s="232">
        <f>H.Marathon!$E22*(1-$K$2)+Marathon!$E22*$K$2</f>
        <v>0.91944670461076417</v>
      </c>
      <c r="F22" s="18">
        <f t="shared" si="2"/>
        <v>89.967790216087423</v>
      </c>
      <c r="G22" s="1">
        <v>16</v>
      </c>
      <c r="H22" s="200" t="s">
        <v>1466</v>
      </c>
      <c r="I22" s="154">
        <v>5440</v>
      </c>
      <c r="J22" s="182" t="s">
        <v>1467</v>
      </c>
      <c r="K22" s="182" t="s">
        <v>1468</v>
      </c>
      <c r="L22" s="182" t="s">
        <v>1469</v>
      </c>
      <c r="M22" s="183">
        <v>30468</v>
      </c>
      <c r="N22" s="182"/>
      <c r="O22" s="182" t="s">
        <v>519</v>
      </c>
      <c r="P22" s="330">
        <v>36646</v>
      </c>
    </row>
    <row r="23" spans="1:16" ht="15.75">
      <c r="A23" s="1">
        <v>17</v>
      </c>
      <c r="B23" s="38">
        <v>6.8449074074074079E-2</v>
      </c>
      <c r="C23" s="24">
        <f t="shared" si="1"/>
        <v>98.566666666666677</v>
      </c>
      <c r="D23" s="24">
        <f t="shared" si="0"/>
        <v>79.888362604341893</v>
      </c>
      <c r="E23" s="232">
        <f>H.Marathon!$E23*(1-$K$2)+Marathon!$E23*$K$2</f>
        <v>0.93881007890282875</v>
      </c>
      <c r="F23" s="18">
        <f t="shared" si="2"/>
        <v>81.050080423748952</v>
      </c>
      <c r="G23" s="1">
        <v>17</v>
      </c>
      <c r="H23" s="200" t="s">
        <v>1470</v>
      </c>
      <c r="I23" s="154">
        <v>5914</v>
      </c>
      <c r="J23" s="182" t="s">
        <v>1471</v>
      </c>
      <c r="K23" s="182" t="s">
        <v>1472</v>
      </c>
      <c r="L23" s="182" t="s">
        <v>217</v>
      </c>
      <c r="M23" s="183">
        <v>23929</v>
      </c>
      <c r="N23" s="182"/>
      <c r="O23" s="182" t="s">
        <v>1473</v>
      </c>
      <c r="P23" s="330">
        <v>30142</v>
      </c>
    </row>
    <row r="24" spans="1:16" ht="15.75">
      <c r="A24" s="1">
        <v>18</v>
      </c>
      <c r="B24" s="38">
        <v>6.6597222222222224E-2</v>
      </c>
      <c r="C24" s="24">
        <f t="shared" si="1"/>
        <v>95.9</v>
      </c>
      <c r="D24" s="24">
        <f t="shared" si="0"/>
        <v>78.397499477479855</v>
      </c>
      <c r="E24" s="232">
        <f>H.Marathon!$E24*(1-$K$2)+Marathon!$E24*$K$2</f>
        <v>0.9566631652779205</v>
      </c>
      <c r="F24" s="18">
        <f t="shared" si="2"/>
        <v>81.749217390489932</v>
      </c>
      <c r="G24" s="1">
        <v>18</v>
      </c>
      <c r="H24" s="200" t="s">
        <v>1474</v>
      </c>
      <c r="I24" s="154">
        <v>5754</v>
      </c>
      <c r="J24" s="182" t="s">
        <v>1475</v>
      </c>
      <c r="K24" s="182" t="s">
        <v>1476</v>
      </c>
      <c r="L24" s="182" t="s">
        <v>320</v>
      </c>
      <c r="M24" s="183">
        <v>24068</v>
      </c>
      <c r="N24" s="182"/>
      <c r="O24" s="182" t="s">
        <v>1477</v>
      </c>
      <c r="P24" s="330">
        <v>30870</v>
      </c>
    </row>
    <row r="25" spans="1:16" ht="15.75">
      <c r="A25" s="1">
        <v>19</v>
      </c>
      <c r="B25" s="38">
        <v>5.8877314814814813E-2</v>
      </c>
      <c r="C25" s="24">
        <f t="shared" si="1"/>
        <v>84.783333333333331</v>
      </c>
      <c r="D25" s="24">
        <f t="shared" si="0"/>
        <v>77.200549489597663</v>
      </c>
      <c r="E25" s="232">
        <f>H.Marathon!$E25*(1-$K$2)+Marathon!$E25*$K$2</f>
        <v>0.97149567581906682</v>
      </c>
      <c r="F25" s="18">
        <f t="shared" si="2"/>
        <v>91.056280113541575</v>
      </c>
      <c r="G25" s="1">
        <v>19</v>
      </c>
      <c r="H25" s="200" t="s">
        <v>1478</v>
      </c>
      <c r="I25" s="154">
        <v>5087</v>
      </c>
      <c r="J25" s="182" t="s">
        <v>1479</v>
      </c>
      <c r="K25" s="182" t="s">
        <v>1480</v>
      </c>
      <c r="L25" s="182" t="s">
        <v>248</v>
      </c>
      <c r="M25" s="183">
        <v>31217</v>
      </c>
      <c r="N25" s="182"/>
      <c r="O25" s="182" t="s">
        <v>519</v>
      </c>
      <c r="P25" s="330">
        <v>38480</v>
      </c>
    </row>
    <row r="26" spans="1:16" ht="15.75">
      <c r="A26" s="1">
        <v>20</v>
      </c>
      <c r="B26" s="38">
        <v>6.0300925925925924E-2</v>
      </c>
      <c r="C26" s="24">
        <f t="shared" si="1"/>
        <v>86.833333333333329</v>
      </c>
      <c r="D26" s="24">
        <f t="shared" si="0"/>
        <v>76.295980052303989</v>
      </c>
      <c r="E26" s="232">
        <f>H.Marathon!$E26*(1-$K$2)+Marathon!$E26*$K$2</f>
        <v>0.98301378327645117</v>
      </c>
      <c r="F26" s="18">
        <f t="shared" si="2"/>
        <v>87.86485226752859</v>
      </c>
      <c r="G26" s="1">
        <v>20</v>
      </c>
      <c r="H26" s="200" t="s">
        <v>1481</v>
      </c>
      <c r="I26" s="154">
        <v>5210</v>
      </c>
      <c r="J26" s="182" t="s">
        <v>909</v>
      </c>
      <c r="K26" s="182" t="s">
        <v>1482</v>
      </c>
      <c r="L26" s="182" t="s">
        <v>217</v>
      </c>
      <c r="M26" s="183">
        <v>24205</v>
      </c>
      <c r="N26" s="182"/>
      <c r="O26" s="182" t="s">
        <v>1483</v>
      </c>
      <c r="P26" s="330">
        <v>31774</v>
      </c>
    </row>
    <row r="27" spans="1:16" ht="15.75">
      <c r="A27" s="1">
        <v>21</v>
      </c>
      <c r="B27" s="38">
        <v>5.8946759259259261E-2</v>
      </c>
      <c r="C27" s="24">
        <f t="shared" si="1"/>
        <v>84.88333333333334</v>
      </c>
      <c r="D27" s="24">
        <f t="shared" si="0"/>
        <v>75.690701173486971</v>
      </c>
      <c r="E27" s="232">
        <f>H.Marathon!$E27*(1-$K$2)+Marathon!$E27*$K$2</f>
        <v>0.99087468919195443</v>
      </c>
      <c r="F27" s="18">
        <f t="shared" si="2"/>
        <v>89.170274306091073</v>
      </c>
      <c r="G27" s="1">
        <v>21</v>
      </c>
      <c r="H27" s="200" t="s">
        <v>1484</v>
      </c>
      <c r="I27" s="154">
        <v>5093</v>
      </c>
      <c r="J27" s="182" t="s">
        <v>1485</v>
      </c>
      <c r="K27" s="182" t="s">
        <v>1486</v>
      </c>
      <c r="L27" s="182" t="s">
        <v>244</v>
      </c>
      <c r="M27" s="183">
        <v>27570</v>
      </c>
      <c r="N27" s="182"/>
      <c r="O27" s="182" t="s">
        <v>519</v>
      </c>
      <c r="P27" s="330">
        <v>35554</v>
      </c>
    </row>
    <row r="28" spans="1:16" ht="15.75">
      <c r="A28" s="1">
        <v>22</v>
      </c>
      <c r="B28" s="38">
        <v>5.9155092592592592E-2</v>
      </c>
      <c r="C28" s="24">
        <f t="shared" si="1"/>
        <v>85.183333333333337</v>
      </c>
      <c r="D28" s="24">
        <f t="shared" si="0"/>
        <v>75.3672370541655</v>
      </c>
      <c r="E28" s="232">
        <f>H.Marathon!$E28*(1-$K$2)+Marathon!$E28*$K$2</f>
        <v>0.99512736477387953</v>
      </c>
      <c r="F28" s="18">
        <f t="shared" si="2"/>
        <v>88.476506031107988</v>
      </c>
      <c r="G28" s="1">
        <v>22</v>
      </c>
      <c r="H28" s="200" t="s">
        <v>1487</v>
      </c>
      <c r="I28" s="154">
        <v>5111</v>
      </c>
      <c r="J28" s="182" t="s">
        <v>1488</v>
      </c>
      <c r="K28" s="182" t="s">
        <v>1489</v>
      </c>
      <c r="L28" s="182" t="s">
        <v>244</v>
      </c>
      <c r="M28" s="183">
        <v>28806</v>
      </c>
      <c r="N28" s="182"/>
      <c r="O28" s="182" t="s">
        <v>519</v>
      </c>
      <c r="P28" s="330">
        <v>37017</v>
      </c>
    </row>
    <row r="29" spans="1:16" ht="15.75">
      <c r="A29" s="1">
        <v>23</v>
      </c>
      <c r="B29" s="38">
        <v>5.8668981481481482E-2</v>
      </c>
      <c r="C29" s="24">
        <f t="shared" si="1"/>
        <v>84.483333333333334</v>
      </c>
      <c r="D29" s="24">
        <f t="shared" si="0"/>
        <v>75.20624467773159</v>
      </c>
      <c r="E29" s="232">
        <f>H.Marathon!$E29*(1-$K$2)+Marathon!$E29*$K$2</f>
        <v>0.99725761233504784</v>
      </c>
      <c r="F29" s="18">
        <f t="shared" si="2"/>
        <v>89.019030985675585</v>
      </c>
      <c r="G29" s="1">
        <v>23</v>
      </c>
      <c r="H29" s="200" t="s">
        <v>1490</v>
      </c>
      <c r="I29" s="154">
        <v>5069</v>
      </c>
      <c r="J29" s="182" t="s">
        <v>1485</v>
      </c>
      <c r="K29" s="182" t="s">
        <v>1486</v>
      </c>
      <c r="L29" s="182" t="s">
        <v>244</v>
      </c>
      <c r="M29" s="183">
        <v>27570</v>
      </c>
      <c r="N29" s="182"/>
      <c r="O29" s="182" t="s">
        <v>519</v>
      </c>
      <c r="P29" s="330">
        <v>36282</v>
      </c>
    </row>
    <row r="30" spans="1:16" ht="15.75">
      <c r="A30" s="1">
        <v>24</v>
      </c>
      <c r="B30" s="38">
        <v>5.7812500000000003E-2</v>
      </c>
      <c r="C30" s="24">
        <f t="shared" si="1"/>
        <v>83.25</v>
      </c>
      <c r="D30" s="24">
        <f t="shared" si="0"/>
        <v>75.091933568015321</v>
      </c>
      <c r="E30" s="232">
        <f>H.Marathon!$E30*(1-$K$2)+Marathon!$E30*$K$2</f>
        <v>0.99877571979243207</v>
      </c>
      <c r="F30" s="18">
        <f t="shared" si="2"/>
        <v>90.200520802420797</v>
      </c>
      <c r="G30" s="1">
        <v>24</v>
      </c>
      <c r="H30" s="200" t="s">
        <v>1491</v>
      </c>
      <c r="I30" s="154">
        <v>4995</v>
      </c>
      <c r="J30" s="182" t="s">
        <v>748</v>
      </c>
      <c r="K30" s="182" t="s">
        <v>1492</v>
      </c>
      <c r="L30" s="182" t="s">
        <v>244</v>
      </c>
      <c r="M30" s="183">
        <v>32298</v>
      </c>
      <c r="N30" s="182"/>
      <c r="O30" s="182" t="s">
        <v>519</v>
      </c>
      <c r="P30" s="330">
        <v>41399</v>
      </c>
    </row>
    <row r="31" spans="1:16" ht="15.75">
      <c r="A31" s="1">
        <v>25</v>
      </c>
      <c r="B31" s="38">
        <v>5.8761574074074077E-2</v>
      </c>
      <c r="C31" s="24">
        <f t="shared" si="1"/>
        <v>84.616666666666674</v>
      </c>
      <c r="D31" s="24">
        <f t="shared" si="0"/>
        <v>75.022043520723287</v>
      </c>
      <c r="E31" s="232">
        <f>H.Marathon!$E31*(1-$K$2)+Marathon!$E31*$K$2</f>
        <v>0.9997061727501837</v>
      </c>
      <c r="F31" s="18">
        <f t="shared" si="2"/>
        <v>88.661071720374167</v>
      </c>
      <c r="G31" s="1">
        <v>25</v>
      </c>
      <c r="H31" s="200" t="s">
        <v>1493</v>
      </c>
      <c r="I31" s="154">
        <v>5077</v>
      </c>
      <c r="J31" s="182" t="s">
        <v>1363</v>
      </c>
      <c r="K31" s="182" t="s">
        <v>1494</v>
      </c>
      <c r="L31" s="182" t="s">
        <v>244</v>
      </c>
      <c r="M31" s="183">
        <v>32485</v>
      </c>
      <c r="N31" s="182"/>
      <c r="O31" s="182" t="s">
        <v>519</v>
      </c>
      <c r="P31" s="330">
        <v>41763</v>
      </c>
    </row>
    <row r="32" spans="1:16" ht="15.75">
      <c r="A32" s="1">
        <v>26</v>
      </c>
      <c r="B32" s="38">
        <v>5.7708333333333334E-2</v>
      </c>
      <c r="C32" s="24">
        <f t="shared" si="1"/>
        <v>83.1</v>
      </c>
      <c r="D32" s="24">
        <f t="shared" si="0"/>
        <v>75</v>
      </c>
      <c r="E32" s="232">
        <f>H.Marathon!$E32*(1-$K$2)+Marathon!$E32*$K$2</f>
        <v>1</v>
      </c>
      <c r="F32" s="18">
        <f t="shared" si="2"/>
        <v>90.25270758122744</v>
      </c>
      <c r="G32" s="1">
        <v>26</v>
      </c>
      <c r="H32" s="200" t="s">
        <v>1495</v>
      </c>
      <c r="I32" s="154">
        <v>4986</v>
      </c>
      <c r="J32" s="182" t="s">
        <v>946</v>
      </c>
      <c r="K32" s="182" t="s">
        <v>1496</v>
      </c>
      <c r="L32" s="182" t="s">
        <v>244</v>
      </c>
      <c r="M32" s="183">
        <v>31589</v>
      </c>
      <c r="N32" s="182"/>
      <c r="O32" s="182" t="s">
        <v>519</v>
      </c>
      <c r="P32" s="330">
        <v>41399</v>
      </c>
    </row>
    <row r="33" spans="1:16" ht="15.75">
      <c r="A33" s="1">
        <v>27</v>
      </c>
      <c r="B33" s="38">
        <v>5.8773148148148151E-2</v>
      </c>
      <c r="C33" s="24">
        <f t="shared" si="1"/>
        <v>84.63333333333334</v>
      </c>
      <c r="D33" s="24">
        <f t="shared" si="0"/>
        <v>75</v>
      </c>
      <c r="E33" s="232">
        <f>H.Marathon!$E33*(1-$K$2)+Marathon!$E33*$K$2</f>
        <v>1</v>
      </c>
      <c r="F33" s="18">
        <f t="shared" si="2"/>
        <v>88.617565970854656</v>
      </c>
      <c r="G33" s="1">
        <v>27</v>
      </c>
      <c r="H33" s="200" t="s">
        <v>1497</v>
      </c>
      <c r="I33" s="154">
        <v>5078</v>
      </c>
      <c r="J33" s="182" t="s">
        <v>1498</v>
      </c>
      <c r="K33" s="182" t="s">
        <v>1499</v>
      </c>
      <c r="L33" s="182" t="s">
        <v>244</v>
      </c>
      <c r="M33" s="183">
        <v>30348</v>
      </c>
      <c r="N33" s="182"/>
      <c r="O33" s="182" t="s">
        <v>519</v>
      </c>
      <c r="P33" s="330">
        <v>40307</v>
      </c>
    </row>
    <row r="34" spans="1:16" ht="15.75">
      <c r="A34" s="1">
        <v>28</v>
      </c>
      <c r="B34" s="38">
        <v>5.5474537037037037E-2</v>
      </c>
      <c r="C34" s="24">
        <f t="shared" si="1"/>
        <v>79.88333333333334</v>
      </c>
      <c r="D34" s="24">
        <f t="shared" si="0"/>
        <v>75.015003000600117</v>
      </c>
      <c r="E34" s="232">
        <f>H.Marathon!$E34*(1-$K$2)+Marathon!$E34*$K$2</f>
        <v>0.99980000000000002</v>
      </c>
      <c r="F34" s="18">
        <f t="shared" si="2"/>
        <v>93.905699562612284</v>
      </c>
      <c r="G34" s="1">
        <v>28</v>
      </c>
      <c r="H34" s="200" t="s">
        <v>1500</v>
      </c>
      <c r="I34" s="154">
        <v>4793</v>
      </c>
      <c r="J34" s="182" t="s">
        <v>281</v>
      </c>
      <c r="K34" s="182" t="s">
        <v>758</v>
      </c>
      <c r="L34" s="182" t="s">
        <v>244</v>
      </c>
      <c r="M34" s="183">
        <v>29969</v>
      </c>
      <c r="N34" s="182"/>
      <c r="O34" s="182" t="s">
        <v>519</v>
      </c>
      <c r="P34" s="330">
        <v>40307</v>
      </c>
    </row>
    <row r="35" spans="1:16" ht="15.75">
      <c r="A35" s="1">
        <v>29</v>
      </c>
      <c r="B35" s="38">
        <v>5.4710648148148147E-2</v>
      </c>
      <c r="C35" s="24">
        <f t="shared" si="1"/>
        <v>78.783333333333331</v>
      </c>
      <c r="D35" s="24">
        <f t="shared" si="0"/>
        <v>75.065721119474858</v>
      </c>
      <c r="E35" s="232">
        <f>H.Marathon!$E35*(1-$K$2)+Marathon!$E35*$K$2</f>
        <v>0.99912448560415135</v>
      </c>
      <c r="F35" s="18">
        <f t="shared" si="2"/>
        <v>95.281219952792298</v>
      </c>
      <c r="G35" s="1">
        <v>29</v>
      </c>
      <c r="H35" s="201" t="s">
        <v>1501</v>
      </c>
      <c r="I35" s="181">
        <v>4727</v>
      </c>
      <c r="J35" s="197" t="s">
        <v>1502</v>
      </c>
      <c r="K35" s="197" t="s">
        <v>1503</v>
      </c>
      <c r="L35" s="197" t="s">
        <v>248</v>
      </c>
      <c r="M35" s="198">
        <v>34679</v>
      </c>
      <c r="N35" s="197" t="s">
        <v>1504</v>
      </c>
      <c r="O35" s="197" t="s">
        <v>1505</v>
      </c>
      <c r="P35" s="365">
        <v>45277</v>
      </c>
    </row>
    <row r="36" spans="1:16" ht="15.75">
      <c r="A36" s="1">
        <v>30</v>
      </c>
      <c r="B36" s="38">
        <v>5.7303240740740738E-2</v>
      </c>
      <c r="C36" s="24">
        <f t="shared" si="1"/>
        <v>82.516666666666666</v>
      </c>
      <c r="D36" s="24">
        <f t="shared" si="0"/>
        <v>75.150455539408227</v>
      </c>
      <c r="E36" s="232">
        <f>H.Marathon!$E36*(1-$K$2)+Marathon!$E36*$K$2</f>
        <v>0.99799794241660544</v>
      </c>
      <c r="F36" s="18">
        <f t="shared" si="2"/>
        <v>91.073062661371324</v>
      </c>
      <c r="G36" s="1">
        <v>30</v>
      </c>
      <c r="H36" s="200" t="s">
        <v>1506</v>
      </c>
      <c r="I36" s="154">
        <v>4951</v>
      </c>
      <c r="J36" s="182" t="s">
        <v>1507</v>
      </c>
      <c r="K36" s="182" t="s">
        <v>1508</v>
      </c>
      <c r="L36" s="182" t="s">
        <v>244</v>
      </c>
      <c r="M36" s="183">
        <v>28909</v>
      </c>
      <c r="N36" s="182"/>
      <c r="O36" s="182" t="s">
        <v>519</v>
      </c>
      <c r="P36" s="330">
        <v>39943</v>
      </c>
    </row>
    <row r="37" spans="1:16" ht="15.75">
      <c r="A37" s="1">
        <v>31</v>
      </c>
      <c r="B37" s="38">
        <v>6.0127314814814814E-2</v>
      </c>
      <c r="C37" s="24">
        <f t="shared" si="1"/>
        <v>86.583333333333329</v>
      </c>
      <c r="D37" s="24">
        <f t="shared" si="0"/>
        <v>75.271286384883496</v>
      </c>
      <c r="E37" s="232">
        <f>H.Marathon!$E37*(1-$K$2)+Marathon!$E37*$K$2</f>
        <v>0.99639588483321084</v>
      </c>
      <c r="F37" s="18">
        <f t="shared" si="2"/>
        <v>86.935075709201342</v>
      </c>
      <c r="G37" s="1">
        <v>31</v>
      </c>
      <c r="H37" s="200" t="s">
        <v>1509</v>
      </c>
      <c r="I37" s="154">
        <v>5195</v>
      </c>
      <c r="J37" s="182" t="s">
        <v>1510</v>
      </c>
      <c r="K37" s="182" t="s">
        <v>1511</v>
      </c>
      <c r="L37" s="182" t="s">
        <v>217</v>
      </c>
      <c r="M37" s="183">
        <v>30056</v>
      </c>
      <c r="N37" s="161" t="s">
        <v>1512</v>
      </c>
      <c r="O37" s="182" t="s">
        <v>1513</v>
      </c>
      <c r="P37" s="330">
        <v>41405</v>
      </c>
    </row>
    <row r="38" spans="1:16" ht="15.75">
      <c r="A38" s="1">
        <v>32</v>
      </c>
      <c r="B38" s="38">
        <v>5.7268518518518517E-2</v>
      </c>
      <c r="C38" s="24">
        <f t="shared" si="1"/>
        <v>82.466666666666669</v>
      </c>
      <c r="D38" s="24">
        <f t="shared" si="0"/>
        <v>75.422833433536738</v>
      </c>
      <c r="E38" s="232">
        <f>H.Marathon!$E38*(1-$K$2)+Marathon!$E38*$K$2</f>
        <v>0.99439382724981629</v>
      </c>
      <c r="F38" s="18">
        <f t="shared" si="2"/>
        <v>91.45856924034365</v>
      </c>
      <c r="G38" s="1">
        <v>32</v>
      </c>
      <c r="H38" s="200" t="s">
        <v>1514</v>
      </c>
      <c r="I38" s="154">
        <v>4948</v>
      </c>
      <c r="J38" s="182" t="s">
        <v>1515</v>
      </c>
      <c r="K38" s="182" t="s">
        <v>1516</v>
      </c>
      <c r="L38" s="182" t="s">
        <v>509</v>
      </c>
      <c r="M38" s="183">
        <v>19633</v>
      </c>
      <c r="N38" s="182"/>
      <c r="O38" s="182" t="s">
        <v>549</v>
      </c>
      <c r="P38" s="330">
        <v>31500</v>
      </c>
    </row>
    <row r="39" spans="1:16" ht="15.75">
      <c r="A39" s="1">
        <v>33</v>
      </c>
      <c r="B39" s="38">
        <v>5.8749999999999997E-2</v>
      </c>
      <c r="C39" s="24">
        <f t="shared" si="1"/>
        <v>84.6</v>
      </c>
      <c r="D39" s="24">
        <f t="shared" si="0"/>
        <v>75.611221815839301</v>
      </c>
      <c r="E39" s="232">
        <f>H.Marathon!$E39*(1-$K$2)+Marathon!$E39*$K$2</f>
        <v>0.99191625527057325</v>
      </c>
      <c r="F39" s="18">
        <f t="shared" si="2"/>
        <v>89.374966685389239</v>
      </c>
      <c r="G39" s="1">
        <v>33</v>
      </c>
      <c r="H39" s="200" t="s">
        <v>1517</v>
      </c>
      <c r="I39" s="154">
        <v>5076</v>
      </c>
      <c r="J39" s="182" t="s">
        <v>1363</v>
      </c>
      <c r="K39" s="182" t="s">
        <v>1518</v>
      </c>
      <c r="L39" s="182" t="s">
        <v>217</v>
      </c>
      <c r="M39" s="183">
        <v>28724</v>
      </c>
      <c r="N39" s="161" t="s">
        <v>1512</v>
      </c>
      <c r="O39" s="182" t="s">
        <v>1513</v>
      </c>
      <c r="P39" s="330">
        <v>41041</v>
      </c>
    </row>
    <row r="40" spans="1:16" ht="15.75">
      <c r="A40" s="1">
        <v>34</v>
      </c>
      <c r="B40" s="38">
        <v>5.9293981481481482E-2</v>
      </c>
      <c r="C40" s="24">
        <f t="shared" si="1"/>
        <v>85.38333333333334</v>
      </c>
      <c r="D40" s="24">
        <f t="shared" si="0"/>
        <v>75.837000162264275</v>
      </c>
      <c r="E40" s="232">
        <f>H.Marathon!$E40*(1-$K$2)+Marathon!$E40*$K$2</f>
        <v>0.9889631688954813</v>
      </c>
      <c r="F40" s="18">
        <f t="shared" si="2"/>
        <v>88.819441923401442</v>
      </c>
      <c r="G40" s="1">
        <v>34</v>
      </c>
      <c r="H40" s="200" t="s">
        <v>1519</v>
      </c>
      <c r="I40" s="154">
        <v>5123</v>
      </c>
      <c r="J40" s="182" t="s">
        <v>1380</v>
      </c>
      <c r="K40" s="182" t="s">
        <v>1520</v>
      </c>
      <c r="L40" s="182" t="s">
        <v>266</v>
      </c>
      <c r="M40" s="183">
        <v>19039</v>
      </c>
      <c r="N40" s="182"/>
      <c r="O40" s="182" t="s">
        <v>1521</v>
      </c>
      <c r="P40" s="330">
        <v>31735</v>
      </c>
    </row>
    <row r="41" spans="1:16" ht="15.75">
      <c r="A41" s="1">
        <v>35</v>
      </c>
      <c r="B41" s="38">
        <v>5.9733796296296299E-2</v>
      </c>
      <c r="C41" s="24">
        <f t="shared" si="1"/>
        <v>86.016666666666666</v>
      </c>
      <c r="D41" s="24">
        <f t="shared" si="0"/>
        <v>76.093110393550333</v>
      </c>
      <c r="E41" s="232">
        <f>H.Marathon!$E41*(1-$K$2)+Marathon!$E41*$K$2</f>
        <v>0.98563456812454087</v>
      </c>
      <c r="F41" s="18">
        <f t="shared" si="2"/>
        <v>88.463216888452237</v>
      </c>
      <c r="G41" s="1">
        <v>35</v>
      </c>
      <c r="H41" s="200" t="s">
        <v>1522</v>
      </c>
      <c r="I41" s="154">
        <v>5161</v>
      </c>
      <c r="J41" s="182" t="s">
        <v>1523</v>
      </c>
      <c r="K41" s="182" t="s">
        <v>1524</v>
      </c>
      <c r="L41" s="182" t="s">
        <v>295</v>
      </c>
      <c r="M41" s="183">
        <v>23640</v>
      </c>
      <c r="N41" s="182"/>
      <c r="O41" s="182" t="s">
        <v>519</v>
      </c>
      <c r="P41" s="330">
        <v>36646</v>
      </c>
    </row>
    <row r="42" spans="1:16" ht="15.75">
      <c r="A42" s="1">
        <v>36</v>
      </c>
      <c r="B42" s="38">
        <v>5.962962962962963E-2</v>
      </c>
      <c r="C42" s="24">
        <f t="shared" si="1"/>
        <v>85.86666666666666</v>
      </c>
      <c r="D42" s="24">
        <f t="shared" si="0"/>
        <v>76.387934163239152</v>
      </c>
      <c r="E42" s="232">
        <f>H.Marathon!$E42*(1-$K$2)+Marathon!$E42*$K$2</f>
        <v>0.98183045295775162</v>
      </c>
      <c r="F42" s="18">
        <f t="shared" si="2"/>
        <v>88.961103450977276</v>
      </c>
      <c r="G42" s="1">
        <v>36</v>
      </c>
      <c r="H42" s="200" t="s">
        <v>653</v>
      </c>
      <c r="I42" s="154">
        <v>5152</v>
      </c>
      <c r="J42" s="182" t="s">
        <v>1525</v>
      </c>
      <c r="K42" s="182" t="s">
        <v>1526</v>
      </c>
      <c r="L42" s="182" t="s">
        <v>217</v>
      </c>
      <c r="M42" s="183">
        <v>28070</v>
      </c>
      <c r="N42" s="161" t="s">
        <v>1512</v>
      </c>
      <c r="O42" s="182" t="s">
        <v>1513</v>
      </c>
      <c r="P42" s="330">
        <v>41405</v>
      </c>
    </row>
    <row r="43" spans="1:16" ht="15.75">
      <c r="A43" s="1">
        <v>37</v>
      </c>
      <c r="B43" s="177" t="s">
        <v>1527</v>
      </c>
      <c r="C43" s="24">
        <f t="shared" si="1"/>
        <v>85.45</v>
      </c>
      <c r="D43" s="24">
        <f t="shared" ref="D43:D74" si="3">E$4/E43</f>
        <v>76.722353667013309</v>
      </c>
      <c r="E43" s="232">
        <f>H.Marathon!$E43*(1-$K$2)+Marathon!$E43*$K$2</f>
        <v>0.97755082339511401</v>
      </c>
      <c r="F43" s="18">
        <f t="shared" si="2"/>
        <v>89.786253559992161</v>
      </c>
      <c r="G43" s="1">
        <v>37</v>
      </c>
      <c r="H43" s="200" t="s">
        <v>1527</v>
      </c>
      <c r="I43" s="154">
        <v>5127</v>
      </c>
      <c r="J43" s="182" t="s">
        <v>550</v>
      </c>
      <c r="K43" s="182" t="s">
        <v>551</v>
      </c>
      <c r="L43" s="182" t="s">
        <v>552</v>
      </c>
      <c r="M43" s="183">
        <v>27368</v>
      </c>
      <c r="N43" s="182"/>
      <c r="O43" s="182" t="s">
        <v>519</v>
      </c>
      <c r="P43" s="330">
        <v>41035</v>
      </c>
    </row>
    <row r="44" spans="1:16" ht="15.75">
      <c r="A44" s="1">
        <v>38</v>
      </c>
      <c r="B44" s="177" t="s">
        <v>1528</v>
      </c>
      <c r="C44" s="24">
        <f t="shared" si="1"/>
        <v>88.533333333333331</v>
      </c>
      <c r="D44" s="24">
        <f t="shared" si="3"/>
        <v>77.097381891575168</v>
      </c>
      <c r="E44" s="232">
        <f>H.Marathon!$E44*(1-$K$2)+Marathon!$E44*$K$2</f>
        <v>0.97279567943662748</v>
      </c>
      <c r="F44" s="18">
        <f t="shared" si="2"/>
        <v>87.082886172712918</v>
      </c>
      <c r="G44" s="1">
        <v>38</v>
      </c>
      <c r="H44" s="200" t="s">
        <v>1528</v>
      </c>
      <c r="I44" s="154">
        <v>5312</v>
      </c>
      <c r="J44" s="182" t="s">
        <v>1529</v>
      </c>
      <c r="K44" s="182" t="s">
        <v>1530</v>
      </c>
      <c r="L44" s="182" t="s">
        <v>1531</v>
      </c>
      <c r="M44" s="183">
        <v>19067</v>
      </c>
      <c r="N44" s="182"/>
      <c r="O44" s="182" t="s">
        <v>582</v>
      </c>
      <c r="P44" s="330">
        <v>33146</v>
      </c>
    </row>
    <row r="45" spans="1:16" ht="15.75">
      <c r="A45" s="1">
        <v>39</v>
      </c>
      <c r="B45" s="177" t="s">
        <v>1532</v>
      </c>
      <c r="C45" s="24">
        <f t="shared" si="1"/>
        <v>86.899999999999991</v>
      </c>
      <c r="D45" s="24">
        <f t="shared" si="3"/>
        <v>77.508121301408877</v>
      </c>
      <c r="E45" s="232">
        <f>H.Marathon!$E45*(1-$K$2)+Marathon!$E45*$K$2</f>
        <v>0.96764053547814111</v>
      </c>
      <c r="F45" s="18">
        <f t="shared" si="2"/>
        <v>89.1923145010459</v>
      </c>
      <c r="G45" s="1">
        <v>39</v>
      </c>
      <c r="H45" s="200" t="s">
        <v>1532</v>
      </c>
      <c r="I45" s="154">
        <v>5214</v>
      </c>
      <c r="J45" s="182" t="s">
        <v>1533</v>
      </c>
      <c r="K45" s="182" t="s">
        <v>488</v>
      </c>
      <c r="L45" s="182" t="s">
        <v>217</v>
      </c>
      <c r="M45" s="183">
        <v>21307</v>
      </c>
      <c r="N45" s="161" t="s">
        <v>1512</v>
      </c>
      <c r="O45" s="182" t="s">
        <v>1513</v>
      </c>
      <c r="P45" s="330">
        <v>35560</v>
      </c>
    </row>
    <row r="46" spans="1:16" ht="15.75">
      <c r="A46" s="1">
        <v>40</v>
      </c>
      <c r="B46" s="38">
        <v>6.008101851851852E-2</v>
      </c>
      <c r="C46" s="24">
        <f t="shared" si="1"/>
        <v>86.516666666666666</v>
      </c>
      <c r="D46" s="24">
        <f t="shared" si="3"/>
        <v>77.959793231635729</v>
      </c>
      <c r="E46" s="232">
        <f>H.Marathon!$E46*(1-$K$2)+Marathon!$E46*$K$2</f>
        <v>0.96203436272795739</v>
      </c>
      <c r="F46" s="18">
        <f t="shared" si="2"/>
        <v>90.109566439956538</v>
      </c>
      <c r="G46" s="1">
        <v>40</v>
      </c>
      <c r="H46" s="200" t="s">
        <v>1534</v>
      </c>
      <c r="I46" s="154">
        <v>5191</v>
      </c>
      <c r="J46" s="182" t="s">
        <v>557</v>
      </c>
      <c r="K46" s="182" t="s">
        <v>558</v>
      </c>
      <c r="L46" s="182" t="s">
        <v>217</v>
      </c>
      <c r="M46" s="183">
        <v>16398</v>
      </c>
      <c r="N46" s="182"/>
      <c r="O46" s="182" t="s">
        <v>1535</v>
      </c>
      <c r="P46" s="330">
        <v>31060</v>
      </c>
    </row>
    <row r="47" spans="1:16" ht="15.75">
      <c r="A47" s="1">
        <v>41</v>
      </c>
      <c r="B47" s="38">
        <v>5.9201388888888887E-2</v>
      </c>
      <c r="C47" s="24">
        <f t="shared" si="1"/>
        <v>85.25</v>
      </c>
      <c r="D47" s="24">
        <f t="shared" si="3"/>
        <v>78.455766604078633</v>
      </c>
      <c r="E47" s="232">
        <f>H.Marathon!$E47*(1-$K$2)+Marathon!$E47*$K$2</f>
        <v>0.95595267558192498</v>
      </c>
      <c r="F47" s="18">
        <f t="shared" si="2"/>
        <v>92.030224755517452</v>
      </c>
      <c r="G47" s="1">
        <v>41</v>
      </c>
      <c r="H47" s="200" t="s">
        <v>1536</v>
      </c>
      <c r="I47" s="154">
        <v>5115</v>
      </c>
      <c r="J47" s="182" t="s">
        <v>279</v>
      </c>
      <c r="K47" s="182" t="s">
        <v>280</v>
      </c>
      <c r="L47" s="182" t="s">
        <v>217</v>
      </c>
      <c r="M47" s="183">
        <v>23483</v>
      </c>
      <c r="N47" s="161" t="s">
        <v>1512</v>
      </c>
      <c r="O47" s="182" t="s">
        <v>1513</v>
      </c>
      <c r="P47" s="330">
        <v>38486</v>
      </c>
    </row>
    <row r="48" spans="1:16" ht="15.75">
      <c r="A48" s="1">
        <v>42</v>
      </c>
      <c r="B48" s="177" t="s">
        <v>1537</v>
      </c>
      <c r="C48" s="24">
        <f t="shared" si="1"/>
        <v>88.3</v>
      </c>
      <c r="D48" s="24">
        <f t="shared" si="3"/>
        <v>78.997638024169277</v>
      </c>
      <c r="E48" s="232">
        <f>H.Marathon!$E48*(1-$K$2)+Marathon!$E48*$K$2</f>
        <v>0.9493954740400441</v>
      </c>
      <c r="F48" s="18">
        <f t="shared" si="2"/>
        <v>89.465048724993522</v>
      </c>
      <c r="G48" s="1">
        <v>42</v>
      </c>
      <c r="H48" s="200" t="s">
        <v>1537</v>
      </c>
      <c r="I48" s="154">
        <v>5298</v>
      </c>
      <c r="J48" s="182" t="s">
        <v>309</v>
      </c>
      <c r="K48" s="182" t="s">
        <v>878</v>
      </c>
      <c r="L48" s="182" t="s">
        <v>259</v>
      </c>
      <c r="M48" s="183">
        <v>13814</v>
      </c>
      <c r="N48" s="182"/>
      <c r="O48" s="182" t="s">
        <v>1538</v>
      </c>
      <c r="P48" s="330">
        <v>29401</v>
      </c>
    </row>
    <row r="49" spans="1:16" ht="15.75">
      <c r="A49" s="1">
        <v>43</v>
      </c>
      <c r="B49" s="177" t="s">
        <v>1539</v>
      </c>
      <c r="C49" s="24">
        <f t="shared" si="1"/>
        <v>87.016666666666666</v>
      </c>
      <c r="D49" s="24">
        <f t="shared" si="3"/>
        <v>79.580808832385543</v>
      </c>
      <c r="E49" s="232">
        <f>H.Marathon!$E49*(1-$K$2)+Marathon!$E49*$K$2</f>
        <v>0.94243827249816314</v>
      </c>
      <c r="F49" s="18">
        <f t="shared" si="2"/>
        <v>91.454674007721366</v>
      </c>
      <c r="G49" s="1">
        <v>43</v>
      </c>
      <c r="H49" s="200" t="s">
        <v>1539</v>
      </c>
      <c r="I49" s="154">
        <v>5221</v>
      </c>
      <c r="J49" s="182" t="s">
        <v>293</v>
      </c>
      <c r="K49" s="182" t="s">
        <v>1540</v>
      </c>
      <c r="L49" s="182" t="s">
        <v>295</v>
      </c>
      <c r="M49" s="183">
        <v>22400</v>
      </c>
      <c r="N49" s="161" t="s">
        <v>1512</v>
      </c>
      <c r="O49" s="182" t="s">
        <v>1513</v>
      </c>
      <c r="P49" s="330">
        <v>38115</v>
      </c>
    </row>
    <row r="50" spans="1:16" ht="15.75">
      <c r="A50" s="1">
        <v>44</v>
      </c>
      <c r="B50" s="177" t="s">
        <v>1541</v>
      </c>
      <c r="C50" s="24">
        <f t="shared" si="1"/>
        <v>89.833333333333329</v>
      </c>
      <c r="D50" s="24">
        <f t="shared" si="3"/>
        <v>80.211326500671333</v>
      </c>
      <c r="E50" s="232">
        <f>H.Marathon!$E50*(1-$K$2)+Marathon!$E50*$K$2</f>
        <v>0.93503004216458485</v>
      </c>
      <c r="F50" s="18">
        <f t="shared" si="2"/>
        <v>89.289046197407799</v>
      </c>
      <c r="G50" s="1">
        <v>44</v>
      </c>
      <c r="H50" s="200" t="s">
        <v>1541</v>
      </c>
      <c r="I50" s="154">
        <v>5390</v>
      </c>
      <c r="J50" s="182" t="s">
        <v>293</v>
      </c>
      <c r="K50" s="182" t="s">
        <v>1540</v>
      </c>
      <c r="L50" s="182" t="s">
        <v>295</v>
      </c>
      <c r="M50" s="183">
        <v>22400</v>
      </c>
      <c r="N50" s="161" t="s">
        <v>1512</v>
      </c>
      <c r="O50" s="182" t="s">
        <v>1513</v>
      </c>
      <c r="P50" s="330">
        <v>38486</v>
      </c>
    </row>
    <row r="51" spans="1:16" ht="15.75">
      <c r="A51" s="1">
        <v>45</v>
      </c>
      <c r="B51" s="177" t="s">
        <v>1542</v>
      </c>
      <c r="C51" s="24">
        <f t="shared" si="1"/>
        <v>94</v>
      </c>
      <c r="D51" s="24">
        <f t="shared" si="3"/>
        <v>80.895518844368212</v>
      </c>
      <c r="E51" s="232">
        <f>H.Marathon!$E51*(1-$K$2)+Marathon!$E51*$K$2</f>
        <v>0.92712181183100673</v>
      </c>
      <c r="F51" s="18">
        <f t="shared" si="2"/>
        <v>86.059062600391712</v>
      </c>
      <c r="G51" s="1">
        <v>45</v>
      </c>
      <c r="H51" s="200" t="s">
        <v>1542</v>
      </c>
      <c r="I51" s="154">
        <v>5640</v>
      </c>
      <c r="J51" s="182" t="s">
        <v>536</v>
      </c>
      <c r="K51" s="182" t="s">
        <v>1543</v>
      </c>
      <c r="L51" s="182" t="s">
        <v>266</v>
      </c>
      <c r="M51" s="183">
        <v>23319</v>
      </c>
      <c r="N51" s="182"/>
      <c r="O51" s="182" t="s">
        <v>1544</v>
      </c>
      <c r="P51" s="330">
        <v>39908</v>
      </c>
    </row>
    <row r="52" spans="1:16" ht="15.75">
      <c r="A52" s="1">
        <v>46</v>
      </c>
      <c r="B52" s="177" t="s">
        <v>1545</v>
      </c>
      <c r="C52" s="24">
        <f t="shared" si="1"/>
        <v>94.083333333333329</v>
      </c>
      <c r="D52" s="24">
        <f t="shared" si="3"/>
        <v>81.624828884792578</v>
      </c>
      <c r="E52" s="232">
        <f>H.Marathon!$E52*(1-$K$2)+Marathon!$E52*$K$2</f>
        <v>0.91883806710157967</v>
      </c>
      <c r="F52" s="18">
        <f t="shared" si="2"/>
        <v>86.758011215014264</v>
      </c>
      <c r="G52" s="1">
        <v>46</v>
      </c>
      <c r="H52" s="200" t="s">
        <v>1545</v>
      </c>
      <c r="I52" s="154">
        <v>5645</v>
      </c>
      <c r="J52" s="182" t="s">
        <v>293</v>
      </c>
      <c r="K52" s="182" t="s">
        <v>1540</v>
      </c>
      <c r="L52" s="182" t="s">
        <v>295</v>
      </c>
      <c r="M52" s="183">
        <v>22400</v>
      </c>
      <c r="N52" s="161" t="s">
        <v>1512</v>
      </c>
      <c r="O52" s="182" t="s">
        <v>1513</v>
      </c>
      <c r="P52" s="330">
        <v>39214</v>
      </c>
    </row>
    <row r="53" spans="1:16" ht="15.75">
      <c r="A53" s="1">
        <v>47</v>
      </c>
      <c r="B53" s="177" t="s">
        <v>1546</v>
      </c>
      <c r="C53" s="24">
        <f t="shared" si="1"/>
        <v>91.1</v>
      </c>
      <c r="D53" s="24">
        <f t="shared" si="3"/>
        <v>82.410445494026689</v>
      </c>
      <c r="E53" s="232">
        <f>H.Marathon!$E53*(1-$K$2)+Marathon!$E53*$K$2</f>
        <v>0.91007880797630425</v>
      </c>
      <c r="F53" s="18">
        <f t="shared" ref="F53:F81" si="4">100*(D53/C53)</f>
        <v>90.461520849645112</v>
      </c>
      <c r="G53" s="1">
        <v>47</v>
      </c>
      <c r="H53" s="200" t="s">
        <v>1546</v>
      </c>
      <c r="I53" s="154">
        <v>5466</v>
      </c>
      <c r="J53" s="182" t="s">
        <v>279</v>
      </c>
      <c r="K53" s="182" t="s">
        <v>280</v>
      </c>
      <c r="L53" s="182" t="s">
        <v>217</v>
      </c>
      <c r="M53" s="183">
        <v>23483</v>
      </c>
      <c r="N53" s="161" t="s">
        <v>1512</v>
      </c>
      <c r="O53" s="182" t="s">
        <v>1513</v>
      </c>
      <c r="P53" s="330">
        <v>40677</v>
      </c>
    </row>
    <row r="54" spans="1:16" ht="15.75">
      <c r="A54" s="1">
        <v>48</v>
      </c>
      <c r="B54" s="177" t="s">
        <v>1547</v>
      </c>
      <c r="C54" s="24">
        <f t="shared" si="1"/>
        <v>97.483333333333334</v>
      </c>
      <c r="D54" s="24">
        <f t="shared" si="3"/>
        <v>83.252992340170223</v>
      </c>
      <c r="E54" s="232">
        <f>H.Marathon!$E54*(1-$K$2)+Marathon!$E54*$K$2</f>
        <v>0.90086852005933138</v>
      </c>
      <c r="F54" s="18">
        <f t="shared" si="4"/>
        <v>85.402283132333963</v>
      </c>
      <c r="G54" s="1">
        <v>48</v>
      </c>
      <c r="H54" s="200" t="s">
        <v>1547</v>
      </c>
      <c r="I54" s="154">
        <v>5849</v>
      </c>
      <c r="J54" s="182" t="s">
        <v>897</v>
      </c>
      <c r="K54" s="182" t="s">
        <v>1548</v>
      </c>
      <c r="L54" s="182" t="s">
        <v>217</v>
      </c>
      <c r="M54" s="183">
        <v>20203</v>
      </c>
      <c r="N54" s="161" t="s">
        <v>1512</v>
      </c>
      <c r="O54" s="182" t="s">
        <v>1513</v>
      </c>
      <c r="P54" s="330">
        <v>37751</v>
      </c>
    </row>
    <row r="55" spans="1:16" ht="15.75">
      <c r="A55" s="1">
        <v>49</v>
      </c>
      <c r="B55" s="177" t="s">
        <v>1549</v>
      </c>
      <c r="C55" s="24">
        <f t="shared" si="1"/>
        <v>97.999999999999986</v>
      </c>
      <c r="D55" s="24">
        <f t="shared" si="3"/>
        <v>84.160138227864209</v>
      </c>
      <c r="E55" s="232">
        <f>H.Marathon!$E55*(1-$K$2)+Marathon!$E55*$K$2</f>
        <v>0.89115823214235856</v>
      </c>
      <c r="F55" s="18">
        <f t="shared" si="4"/>
        <v>85.877692069249207</v>
      </c>
      <c r="G55" s="1">
        <v>49</v>
      </c>
      <c r="H55" s="200" t="s">
        <v>1549</v>
      </c>
      <c r="I55" s="154">
        <v>5880</v>
      </c>
      <c r="J55" s="182" t="s">
        <v>536</v>
      </c>
      <c r="K55" s="182" t="s">
        <v>1543</v>
      </c>
      <c r="L55" s="182" t="s">
        <v>266</v>
      </c>
      <c r="M55" s="183">
        <v>23319</v>
      </c>
      <c r="N55" s="182"/>
      <c r="O55" s="182" t="s">
        <v>1544</v>
      </c>
      <c r="P55" s="330">
        <v>41365</v>
      </c>
    </row>
    <row r="56" spans="1:16" ht="15.75">
      <c r="A56" s="1">
        <v>50</v>
      </c>
      <c r="B56" s="177" t="s">
        <v>1550</v>
      </c>
      <c r="C56" s="24">
        <f t="shared" si="1"/>
        <v>104.91666666666667</v>
      </c>
      <c r="D56" s="24">
        <f t="shared" si="3"/>
        <v>85.101653691075171</v>
      </c>
      <c r="E56" s="232">
        <f>H.Marathon!$E56*(1-$K$2)+Marathon!$E56*$K$2</f>
        <v>0.88129897301708304</v>
      </c>
      <c r="F56" s="18">
        <f t="shared" si="4"/>
        <v>81.113569840579984</v>
      </c>
      <c r="G56" s="1">
        <v>50</v>
      </c>
      <c r="H56" s="200" t="s">
        <v>1550</v>
      </c>
      <c r="I56" s="154">
        <v>6295</v>
      </c>
      <c r="J56" s="182" t="s">
        <v>1298</v>
      </c>
      <c r="K56" s="182" t="s">
        <v>1551</v>
      </c>
      <c r="L56" s="182" t="s">
        <v>217</v>
      </c>
      <c r="M56" s="183">
        <v>19118</v>
      </c>
      <c r="N56" s="182" t="s">
        <v>1552</v>
      </c>
      <c r="O56" s="182" t="s">
        <v>1553</v>
      </c>
      <c r="P56" s="330">
        <v>37507</v>
      </c>
    </row>
    <row r="57" spans="1:16" ht="15.75">
      <c r="A57" s="1">
        <v>51</v>
      </c>
      <c r="B57" s="177" t="s">
        <v>1554</v>
      </c>
      <c r="C57" s="24">
        <f t="shared" si="1"/>
        <v>96.633333333333326</v>
      </c>
      <c r="D57" s="24">
        <f t="shared" si="3"/>
        <v>86.081607534548567</v>
      </c>
      <c r="E57" s="232">
        <f>H.Marathon!$E57*(1-$K$2)+Marathon!$E57*$K$2</f>
        <v>0.87126625707935346</v>
      </c>
      <c r="F57" s="18">
        <f t="shared" si="4"/>
        <v>89.080656296531814</v>
      </c>
      <c r="G57" s="1">
        <v>51</v>
      </c>
      <c r="H57" s="200" t="s">
        <v>1554</v>
      </c>
      <c r="I57" s="154">
        <v>5798</v>
      </c>
      <c r="J57" s="182" t="s">
        <v>279</v>
      </c>
      <c r="K57" s="182" t="s">
        <v>280</v>
      </c>
      <c r="L57" s="182" t="s">
        <v>217</v>
      </c>
      <c r="M57" s="183">
        <v>23483</v>
      </c>
      <c r="N57" s="182"/>
      <c r="O57" s="182" t="s">
        <v>782</v>
      </c>
      <c r="P57" s="330">
        <v>42413</v>
      </c>
    </row>
    <row r="58" spans="1:16" ht="15.75">
      <c r="A58" s="1">
        <v>52</v>
      </c>
      <c r="B58" s="177" t="s">
        <v>1555</v>
      </c>
      <c r="C58" s="24">
        <f t="shared" si="1"/>
        <v>101.65</v>
      </c>
      <c r="D58" s="24">
        <f t="shared" si="3"/>
        <v>87.086660700666187</v>
      </c>
      <c r="E58" s="232">
        <f>H.Marathon!$E58*(1-$K$2)+Marathon!$E58*$K$2</f>
        <v>0.86121111312086707</v>
      </c>
      <c r="F58" s="18">
        <f t="shared" si="4"/>
        <v>85.673055288407468</v>
      </c>
      <c r="G58" s="1">
        <v>52</v>
      </c>
      <c r="H58" s="200" t="s">
        <v>1555</v>
      </c>
      <c r="I58" s="154">
        <v>6099</v>
      </c>
      <c r="J58" s="182" t="s">
        <v>803</v>
      </c>
      <c r="K58" s="182" t="s">
        <v>888</v>
      </c>
      <c r="L58" s="182" t="s">
        <v>217</v>
      </c>
      <c r="M58" s="183">
        <v>15914</v>
      </c>
      <c r="N58" s="182"/>
      <c r="O58" s="182" t="s">
        <v>529</v>
      </c>
      <c r="P58" s="330">
        <v>35050</v>
      </c>
    </row>
    <row r="59" spans="1:16" ht="15.75">
      <c r="A59" s="1">
        <v>53</v>
      </c>
      <c r="B59" s="177" t="s">
        <v>1556</v>
      </c>
      <c r="C59" s="24">
        <f t="shared" si="1"/>
        <v>96.75</v>
      </c>
      <c r="D59" s="24">
        <f t="shared" si="3"/>
        <v>88.130885151718999</v>
      </c>
      <c r="E59" s="232">
        <f>H.Marathon!$E59*(1-$K$2)+Marathon!$E59*$K$2</f>
        <v>0.85100699795407786</v>
      </c>
      <c r="F59" s="18">
        <f t="shared" si="4"/>
        <v>91.09135416198346</v>
      </c>
      <c r="G59" s="1">
        <v>53</v>
      </c>
      <c r="H59" s="200" t="s">
        <v>1556</v>
      </c>
      <c r="I59" s="154">
        <v>5805</v>
      </c>
      <c r="J59" s="182" t="s">
        <v>316</v>
      </c>
      <c r="K59" s="182" t="s">
        <v>317</v>
      </c>
      <c r="L59" s="182" t="s">
        <v>217</v>
      </c>
      <c r="M59" s="183">
        <v>20956</v>
      </c>
      <c r="N59" s="182" t="s">
        <v>1557</v>
      </c>
      <c r="O59" s="182" t="s">
        <v>865</v>
      </c>
      <c r="P59" s="330">
        <v>40461</v>
      </c>
    </row>
    <row r="60" spans="1:16" ht="15.75">
      <c r="A60" s="1">
        <v>54</v>
      </c>
      <c r="B60" s="177" t="s">
        <v>1558</v>
      </c>
      <c r="C60" s="24">
        <f t="shared" si="1"/>
        <v>105.23333333333333</v>
      </c>
      <c r="D60" s="24">
        <f t="shared" si="3"/>
        <v>89.205432671171167</v>
      </c>
      <c r="E60" s="232">
        <f>H.Marathon!$E60*(1-$K$2)+Marathon!$E60*$K$2</f>
        <v>0.8407559691623806</v>
      </c>
      <c r="F60" s="18">
        <f t="shared" si="4"/>
        <v>84.769178971654583</v>
      </c>
      <c r="G60" s="1">
        <v>54</v>
      </c>
      <c r="H60" s="200" t="s">
        <v>1558</v>
      </c>
      <c r="I60" s="154">
        <v>6314</v>
      </c>
      <c r="J60" s="182" t="s">
        <v>821</v>
      </c>
      <c r="K60" s="182" t="s">
        <v>1559</v>
      </c>
      <c r="L60" s="182" t="s">
        <v>217</v>
      </c>
      <c r="M60" s="183">
        <v>9478</v>
      </c>
      <c r="N60" s="182"/>
      <c r="O60" s="182" t="s">
        <v>1560</v>
      </c>
      <c r="P60" s="330">
        <v>29282</v>
      </c>
    </row>
    <row r="61" spans="1:16" ht="15.75">
      <c r="A61" s="1">
        <v>55</v>
      </c>
      <c r="B61" s="177" t="s">
        <v>1561</v>
      </c>
      <c r="C61" s="24">
        <f t="shared" si="1"/>
        <v>109.11666666666666</v>
      </c>
      <c r="D61" s="24">
        <f t="shared" si="3"/>
        <v>90.322708314671402</v>
      </c>
      <c r="E61" s="232">
        <f>H.Marathon!$E61*(1-$K$2)+Marathon!$E61*$K$2</f>
        <v>0.83035596916238075</v>
      </c>
      <c r="F61" s="18">
        <f t="shared" si="4"/>
        <v>82.776271557664344</v>
      </c>
      <c r="G61" s="1">
        <v>55</v>
      </c>
      <c r="H61" s="200" t="s">
        <v>1561</v>
      </c>
      <c r="I61" s="154">
        <v>6547</v>
      </c>
      <c r="J61" s="182" t="s">
        <v>309</v>
      </c>
      <c r="K61" s="182" t="s">
        <v>1562</v>
      </c>
      <c r="L61" s="182" t="s">
        <v>217</v>
      </c>
      <c r="M61" s="183">
        <v>13563</v>
      </c>
      <c r="N61" s="182"/>
      <c r="O61" s="182" t="s">
        <v>343</v>
      </c>
      <c r="P61" s="330">
        <v>33930</v>
      </c>
    </row>
    <row r="62" spans="1:16" ht="15.75">
      <c r="A62" s="1">
        <v>56</v>
      </c>
      <c r="B62" s="177" t="s">
        <v>1563</v>
      </c>
      <c r="C62" s="24">
        <f t="shared" si="1"/>
        <v>101.01666666666665</v>
      </c>
      <c r="D62" s="24">
        <f t="shared" si="3"/>
        <v>91.47082810586663</v>
      </c>
      <c r="E62" s="232">
        <f>H.Marathon!$E62*(1-$K$2)+Marathon!$E62*$K$2</f>
        <v>0.81993354114162387</v>
      </c>
      <c r="F62" s="18">
        <f t="shared" si="4"/>
        <v>90.550234059594104</v>
      </c>
      <c r="G62" s="1">
        <v>56</v>
      </c>
      <c r="H62" s="200" t="s">
        <v>1563</v>
      </c>
      <c r="I62" s="154">
        <v>6061</v>
      </c>
      <c r="J62" s="182" t="s">
        <v>1234</v>
      </c>
      <c r="K62" s="182" t="s">
        <v>1564</v>
      </c>
      <c r="L62" s="182" t="s">
        <v>217</v>
      </c>
      <c r="M62" s="183">
        <v>14922</v>
      </c>
      <c r="N62" s="182"/>
      <c r="O62" s="182" t="s">
        <v>1483</v>
      </c>
      <c r="P62" s="330">
        <v>35385</v>
      </c>
    </row>
    <row r="63" spans="1:16" ht="15.75">
      <c r="A63" s="1">
        <v>57</v>
      </c>
      <c r="B63" s="177" t="s">
        <v>1565</v>
      </c>
      <c r="C63" s="24">
        <f t="shared" si="1"/>
        <v>110.9</v>
      </c>
      <c r="D63" s="24">
        <f t="shared" si="3"/>
        <v>92.662761466801086</v>
      </c>
      <c r="E63" s="232">
        <f>H.Marathon!$E63*(1-$K$2)+Marathon!$E63*$K$2</f>
        <v>0.80938662751671564</v>
      </c>
      <c r="F63" s="18">
        <f t="shared" si="4"/>
        <v>83.5552402766466</v>
      </c>
      <c r="G63" s="1">
        <v>57</v>
      </c>
      <c r="H63" s="200" t="s">
        <v>1565</v>
      </c>
      <c r="I63" s="154">
        <v>6654</v>
      </c>
      <c r="J63" s="182" t="s">
        <v>1566</v>
      </c>
      <c r="K63" s="182" t="s">
        <v>1567</v>
      </c>
      <c r="L63" s="182" t="s">
        <v>217</v>
      </c>
      <c r="M63" s="183">
        <v>19156</v>
      </c>
      <c r="N63" s="161" t="s">
        <v>1512</v>
      </c>
      <c r="O63" s="182" t="s">
        <v>1513</v>
      </c>
      <c r="P63" s="330">
        <v>40306</v>
      </c>
    </row>
    <row r="64" spans="1:16" ht="15.75">
      <c r="A64" s="1">
        <v>58</v>
      </c>
      <c r="B64" s="177" t="s">
        <v>1568</v>
      </c>
      <c r="C64" s="24">
        <f t="shared" si="1"/>
        <v>106.61666666666667</v>
      </c>
      <c r="D64" s="24">
        <f t="shared" si="3"/>
        <v>93.880171584004231</v>
      </c>
      <c r="E64" s="232">
        <f>H.Marathon!$E64*(1-$K$2)+Marathon!$E64*$K$2</f>
        <v>0.7988907426835048</v>
      </c>
      <c r="F64" s="18">
        <f t="shared" si="4"/>
        <v>88.053936142570791</v>
      </c>
      <c r="G64" s="1">
        <v>58</v>
      </c>
      <c r="H64" s="200" t="s">
        <v>1568</v>
      </c>
      <c r="I64" s="154">
        <v>6397</v>
      </c>
      <c r="J64" s="182" t="s">
        <v>821</v>
      </c>
      <c r="K64" s="182" t="s">
        <v>1559</v>
      </c>
      <c r="L64" s="182" t="s">
        <v>217</v>
      </c>
      <c r="M64" s="183">
        <v>9478</v>
      </c>
      <c r="N64" s="182" t="s">
        <v>1569</v>
      </c>
      <c r="O64" s="182" t="s">
        <v>1570</v>
      </c>
      <c r="P64" s="330">
        <v>30948</v>
      </c>
    </row>
    <row r="65" spans="1:16" ht="15.75">
      <c r="A65" s="1">
        <v>59</v>
      </c>
      <c r="B65" s="177" t="s">
        <v>1571</v>
      </c>
      <c r="C65" s="24">
        <f t="shared" si="1"/>
        <v>121.55</v>
      </c>
      <c r="D65" s="24">
        <f t="shared" si="3"/>
        <v>95.136154093527296</v>
      </c>
      <c r="E65" s="232">
        <f>H.Marathon!$E65*(1-$K$2)+Marathon!$E65*$K$2</f>
        <v>0.78834382905859668</v>
      </c>
      <c r="F65" s="18">
        <f t="shared" si="4"/>
        <v>78.269151866332621</v>
      </c>
      <c r="G65" s="1">
        <v>59</v>
      </c>
      <c r="H65" s="200" t="s">
        <v>1571</v>
      </c>
      <c r="I65" s="154">
        <v>7293</v>
      </c>
      <c r="J65" s="182" t="s">
        <v>1572</v>
      </c>
      <c r="K65" s="182" t="s">
        <v>1573</v>
      </c>
      <c r="L65" s="182" t="s">
        <v>217</v>
      </c>
      <c r="M65" s="183">
        <v>11677</v>
      </c>
      <c r="N65" s="161" t="s">
        <v>1512</v>
      </c>
      <c r="O65" s="182" t="s">
        <v>1513</v>
      </c>
      <c r="P65" s="330">
        <v>33369</v>
      </c>
    </row>
    <row r="66" spans="1:16" ht="15.75">
      <c r="A66" s="1">
        <v>60</v>
      </c>
      <c r="B66" s="177" t="s">
        <v>1574</v>
      </c>
      <c r="C66" s="24">
        <f t="shared" si="1"/>
        <v>99.399999999999991</v>
      </c>
      <c r="D66" s="24">
        <f t="shared" si="3"/>
        <v>96.419873005755903</v>
      </c>
      <c r="E66" s="232">
        <f>H.Marathon!$E66*(1-$K$2)+Marathon!$E66*$K$2</f>
        <v>0.77784794422538583</v>
      </c>
      <c r="F66" s="18">
        <f t="shared" si="4"/>
        <v>97.001884311625659</v>
      </c>
      <c r="G66" s="1">
        <v>60</v>
      </c>
      <c r="H66" s="200" t="s">
        <v>1574</v>
      </c>
      <c r="I66" s="154">
        <v>5964</v>
      </c>
      <c r="J66" s="182" t="s">
        <v>1026</v>
      </c>
      <c r="K66" s="182" t="s">
        <v>1027</v>
      </c>
      <c r="L66" s="182" t="s">
        <v>217</v>
      </c>
      <c r="M66" s="156">
        <v>23193</v>
      </c>
      <c r="N66" s="182" t="s">
        <v>1575</v>
      </c>
      <c r="O66" s="182" t="s">
        <v>865</v>
      </c>
      <c r="P66" s="330">
        <v>45207</v>
      </c>
    </row>
    <row r="67" spans="1:16" ht="15.75">
      <c r="A67" s="1">
        <v>61</v>
      </c>
      <c r="B67" s="177" t="s">
        <v>1576</v>
      </c>
      <c r="C67" s="24">
        <f t="shared" si="1"/>
        <v>110.83333333333333</v>
      </c>
      <c r="D67" s="24">
        <f t="shared" si="3"/>
        <v>97.748328798919701</v>
      </c>
      <c r="E67" s="232">
        <f>H.Marathon!$E67*(1-$K$2)+Marathon!$E67*$K$2</f>
        <v>0.76727654499632625</v>
      </c>
      <c r="F67" s="18">
        <f t="shared" si="4"/>
        <v>88.193980871205753</v>
      </c>
      <c r="G67" s="1">
        <v>61</v>
      </c>
      <c r="H67" s="200" t="s">
        <v>1576</v>
      </c>
      <c r="I67" s="154">
        <v>6650</v>
      </c>
      <c r="J67" s="182" t="s">
        <v>1577</v>
      </c>
      <c r="K67" s="182" t="s">
        <v>1578</v>
      </c>
      <c r="L67" s="182" t="s">
        <v>217</v>
      </c>
      <c r="M67" s="183">
        <v>18106</v>
      </c>
      <c r="N67" s="161" t="s">
        <v>1512</v>
      </c>
      <c r="O67" s="182" t="s">
        <v>1513</v>
      </c>
      <c r="P67" s="330">
        <v>40677</v>
      </c>
    </row>
    <row r="68" spans="1:16" ht="15.75">
      <c r="A68" s="1">
        <v>62</v>
      </c>
      <c r="B68" s="177" t="s">
        <v>1579</v>
      </c>
      <c r="C68" s="24">
        <f t="shared" si="1"/>
        <v>118.4</v>
      </c>
      <c r="D68" s="24">
        <f t="shared" si="3"/>
        <v>99.100806091855048</v>
      </c>
      <c r="E68" s="232">
        <f>H.Marathon!$E68*(1-$K$2)+Marathon!$E68*$K$2</f>
        <v>0.75680514576726676</v>
      </c>
      <c r="F68" s="18">
        <f t="shared" si="4"/>
        <v>83.700005145147841</v>
      </c>
      <c r="G68" s="1">
        <v>62</v>
      </c>
      <c r="H68" s="200" t="s">
        <v>1579</v>
      </c>
      <c r="I68" s="154">
        <v>7104</v>
      </c>
      <c r="J68" s="182" t="s">
        <v>1572</v>
      </c>
      <c r="K68" s="182" t="s">
        <v>1573</v>
      </c>
      <c r="L68" s="182" t="s">
        <v>217</v>
      </c>
      <c r="M68" s="183">
        <v>11677</v>
      </c>
      <c r="N68" s="161" t="s">
        <v>1512</v>
      </c>
      <c r="O68" s="182" t="s">
        <v>1513</v>
      </c>
      <c r="P68" s="330">
        <v>34468</v>
      </c>
    </row>
    <row r="69" spans="1:16" ht="15.75">
      <c r="A69" s="1">
        <v>63</v>
      </c>
      <c r="B69" s="177" t="s">
        <v>1580</v>
      </c>
      <c r="C69" s="24">
        <f t="shared" si="1"/>
        <v>122.53333333333333</v>
      </c>
      <c r="D69" s="24">
        <f t="shared" si="3"/>
        <v>100.50470157363755</v>
      </c>
      <c r="E69" s="232">
        <f>H.Marathon!$E69*(1-$K$2)+Marathon!$E69*$K$2</f>
        <v>0.74623374653820729</v>
      </c>
      <c r="F69" s="18">
        <f t="shared" si="4"/>
        <v>82.022335343012145</v>
      </c>
      <c r="G69" s="1">
        <v>63</v>
      </c>
      <c r="H69" s="200" t="s">
        <v>1580</v>
      </c>
      <c r="I69" s="154">
        <v>7352</v>
      </c>
      <c r="J69" s="182" t="s">
        <v>872</v>
      </c>
      <c r="K69" s="182" t="s">
        <v>1581</v>
      </c>
      <c r="L69" s="182" t="s">
        <v>217</v>
      </c>
      <c r="M69" s="183">
        <v>16687</v>
      </c>
      <c r="N69" s="182" t="s">
        <v>1582</v>
      </c>
      <c r="O69" s="182" t="s">
        <v>343</v>
      </c>
      <c r="P69" s="330">
        <v>39733</v>
      </c>
    </row>
    <row r="70" spans="1:16" ht="15.75">
      <c r="A70" s="1">
        <v>64</v>
      </c>
      <c r="B70" s="177" t="s">
        <v>1583</v>
      </c>
      <c r="C70" s="24">
        <f t="shared" si="1"/>
        <v>122.73333333333333</v>
      </c>
      <c r="D70" s="24">
        <f t="shared" si="3"/>
        <v>101.93508851641059</v>
      </c>
      <c r="E70" s="232">
        <f>H.Marathon!$E70*(1-$K$2)+Marathon!$E70*$K$2</f>
        <v>0.73576234730914769</v>
      </c>
      <c r="F70" s="18">
        <f t="shared" si="4"/>
        <v>83.054118834663697</v>
      </c>
      <c r="G70" s="1">
        <v>64</v>
      </c>
      <c r="H70" s="200" t="s">
        <v>1583</v>
      </c>
      <c r="I70" s="154">
        <v>7364</v>
      </c>
      <c r="J70" s="182" t="s">
        <v>1417</v>
      </c>
      <c r="K70" s="182" t="s">
        <v>1584</v>
      </c>
      <c r="L70" s="182" t="s">
        <v>217</v>
      </c>
      <c r="M70" s="183">
        <v>15383</v>
      </c>
      <c r="N70" s="161" t="s">
        <v>1512</v>
      </c>
      <c r="O70" s="182" t="s">
        <v>1513</v>
      </c>
      <c r="P70" s="330">
        <v>38850</v>
      </c>
    </row>
    <row r="71" spans="1:16" ht="15.75">
      <c r="A71" s="1">
        <v>65</v>
      </c>
      <c r="B71" s="177" t="s">
        <v>1585</v>
      </c>
      <c r="C71" s="24">
        <f t="shared" si="1"/>
        <v>123.88333333333333</v>
      </c>
      <c r="D71" s="24">
        <f t="shared" si="3"/>
        <v>103.42103717449766</v>
      </c>
      <c r="E71" s="232">
        <f>H.Marathon!$E71*(1-$K$2)+Marathon!$E71*$K$2</f>
        <v>0.72519094808008822</v>
      </c>
      <c r="F71" s="18">
        <f t="shared" si="4"/>
        <v>83.482607701733613</v>
      </c>
      <c r="G71" s="1">
        <v>65</v>
      </c>
      <c r="H71" s="200" t="s">
        <v>1585</v>
      </c>
      <c r="I71" s="154">
        <v>7433</v>
      </c>
      <c r="J71" s="182" t="s">
        <v>1566</v>
      </c>
      <c r="K71" s="182" t="s">
        <v>1567</v>
      </c>
      <c r="L71" s="182" t="s">
        <v>217</v>
      </c>
      <c r="M71" s="183">
        <v>19156</v>
      </c>
      <c r="N71" s="161" t="s">
        <v>1512</v>
      </c>
      <c r="O71" s="182" t="s">
        <v>1513</v>
      </c>
      <c r="P71" s="330">
        <v>43232</v>
      </c>
    </row>
    <row r="72" spans="1:16" ht="15.75">
      <c r="A72" s="1">
        <v>66</v>
      </c>
      <c r="B72" s="177" t="s">
        <v>1586</v>
      </c>
      <c r="C72" s="24">
        <f t="shared" si="1"/>
        <v>127.00000000000001</v>
      </c>
      <c r="D72" s="24">
        <f t="shared" si="3"/>
        <v>104.93986016815779</v>
      </c>
      <c r="E72" s="232">
        <f>H.Marathon!$E72*(1-$K$2)+Marathon!$E72*$K$2</f>
        <v>0.71469506324687737</v>
      </c>
      <c r="F72" s="18">
        <f t="shared" si="4"/>
        <v>82.62981115602976</v>
      </c>
      <c r="G72" s="1">
        <v>66</v>
      </c>
      <c r="H72" s="200" t="s">
        <v>1586</v>
      </c>
      <c r="I72" s="154">
        <v>7620</v>
      </c>
      <c r="J72" s="182" t="s">
        <v>1417</v>
      </c>
      <c r="K72" s="182" t="s">
        <v>1584</v>
      </c>
      <c r="L72" s="182" t="s">
        <v>217</v>
      </c>
      <c r="M72" s="183">
        <v>15383</v>
      </c>
      <c r="N72" s="161" t="s">
        <v>1512</v>
      </c>
      <c r="O72" s="182" t="s">
        <v>1513</v>
      </c>
      <c r="P72" s="330">
        <v>39578</v>
      </c>
    </row>
    <row r="73" spans="1:16" ht="15.75">
      <c r="A73" s="1">
        <v>67</v>
      </c>
      <c r="B73" s="177" t="s">
        <v>1587</v>
      </c>
      <c r="C73" s="24">
        <f t="shared" si="1"/>
        <v>132.75</v>
      </c>
      <c r="D73" s="24">
        <f t="shared" si="3"/>
        <v>106.51167661274788</v>
      </c>
      <c r="E73" s="232">
        <f>H.Marathon!$E73*(1-$K$2)+Marathon!$E73*$K$2</f>
        <v>0.70414814962196925</v>
      </c>
      <c r="F73" s="18">
        <f t="shared" si="4"/>
        <v>80.234784642371281</v>
      </c>
      <c r="G73" s="1">
        <v>67</v>
      </c>
      <c r="H73" s="200" t="s">
        <v>1587</v>
      </c>
      <c r="I73" s="154">
        <v>7965</v>
      </c>
      <c r="J73" s="182" t="s">
        <v>1417</v>
      </c>
      <c r="K73" s="182" t="s">
        <v>1584</v>
      </c>
      <c r="L73" s="182" t="s">
        <v>217</v>
      </c>
      <c r="M73" s="183">
        <v>15383</v>
      </c>
      <c r="N73" s="161" t="s">
        <v>1512</v>
      </c>
      <c r="O73" s="182" t="s">
        <v>1513</v>
      </c>
      <c r="P73" s="330">
        <v>39942</v>
      </c>
    </row>
    <row r="74" spans="1:16" ht="15.75">
      <c r="A74" s="1">
        <v>68</v>
      </c>
      <c r="B74" s="177" t="s">
        <v>1588</v>
      </c>
      <c r="C74" s="24">
        <f t="shared" si="1"/>
        <v>130.88333333333335</v>
      </c>
      <c r="D74" s="24">
        <f t="shared" si="3"/>
        <v>108.12334047931085</v>
      </c>
      <c r="E74" s="232">
        <f>H.Marathon!$E74*(1-$K$2)+Marathon!$E74*$K$2</f>
        <v>0.6936522647887583</v>
      </c>
      <c r="F74" s="18">
        <f t="shared" si="4"/>
        <v>82.610472797130399</v>
      </c>
      <c r="G74" s="1">
        <v>68</v>
      </c>
      <c r="H74" s="200" t="s">
        <v>1588</v>
      </c>
      <c r="I74" s="154">
        <v>7853</v>
      </c>
      <c r="J74" s="182" t="s">
        <v>1417</v>
      </c>
      <c r="K74" s="182" t="s">
        <v>1584</v>
      </c>
      <c r="L74" s="182" t="s">
        <v>217</v>
      </c>
      <c r="M74" s="183">
        <v>15383</v>
      </c>
      <c r="N74" s="161" t="s">
        <v>1512</v>
      </c>
      <c r="O74" s="182" t="s">
        <v>1513</v>
      </c>
      <c r="P74" s="330">
        <v>40306</v>
      </c>
    </row>
    <row r="75" spans="1:16" ht="15.75">
      <c r="A75" s="1">
        <v>69</v>
      </c>
      <c r="B75" s="177" t="s">
        <v>1589</v>
      </c>
      <c r="C75" s="24">
        <f t="shared" si="1"/>
        <v>140.35</v>
      </c>
      <c r="D75" s="24">
        <f t="shared" ref="D75:D106" si="5">E$4/E75</f>
        <v>109.79272797705028</v>
      </c>
      <c r="E75" s="232">
        <f>H.Marathon!$E75*(1-$K$2)+Marathon!$E75*$K$2</f>
        <v>0.68310535116385007</v>
      </c>
      <c r="F75" s="18">
        <f t="shared" si="4"/>
        <v>78.227807607445882</v>
      </c>
      <c r="G75" s="1">
        <v>69</v>
      </c>
      <c r="H75" s="200" t="s">
        <v>1589</v>
      </c>
      <c r="I75" s="154">
        <v>8421</v>
      </c>
      <c r="J75" s="182" t="s">
        <v>1590</v>
      </c>
      <c r="K75" s="182" t="s">
        <v>1591</v>
      </c>
      <c r="L75" s="182" t="s">
        <v>217</v>
      </c>
      <c r="M75" s="183">
        <v>7742</v>
      </c>
      <c r="N75" s="182"/>
      <c r="O75" s="182" t="s">
        <v>1483</v>
      </c>
      <c r="P75" s="330">
        <v>33194</v>
      </c>
    </row>
    <row r="76" spans="1:16" ht="15.75">
      <c r="A76" s="1">
        <v>70</v>
      </c>
      <c r="B76" s="177" t="s">
        <v>1592</v>
      </c>
      <c r="C76" s="24">
        <f t="shared" si="1"/>
        <v>118.86666666666667</v>
      </c>
      <c r="D76" s="24">
        <f t="shared" si="5"/>
        <v>111.50601315374847</v>
      </c>
      <c r="E76" s="232">
        <f>H.Marathon!$E76*(1-$K$2)+Marathon!$E76*$K$2</f>
        <v>0.67260946633063923</v>
      </c>
      <c r="F76" s="18">
        <f t="shared" si="4"/>
        <v>93.807638659911774</v>
      </c>
      <c r="G76" s="1">
        <v>70</v>
      </c>
      <c r="H76" s="200" t="s">
        <v>1592</v>
      </c>
      <c r="I76" s="154">
        <v>7132</v>
      </c>
      <c r="J76" s="182" t="s">
        <v>357</v>
      </c>
      <c r="K76" s="182" t="s">
        <v>358</v>
      </c>
      <c r="L76" s="182" t="s">
        <v>217</v>
      </c>
      <c r="M76" s="183">
        <v>17637</v>
      </c>
      <c r="N76" s="182" t="s">
        <v>1593</v>
      </c>
      <c r="O76" s="182" t="s">
        <v>865</v>
      </c>
      <c r="P76" s="330">
        <v>43380</v>
      </c>
    </row>
    <row r="77" spans="1:16" ht="15.75">
      <c r="A77" s="1">
        <v>71</v>
      </c>
      <c r="B77" s="177" t="s">
        <v>1594</v>
      </c>
      <c r="C77" s="24">
        <f t="shared" ref="C77:C85" si="6">B77*1440</f>
        <v>151.91666666666666</v>
      </c>
      <c r="D77" s="24">
        <f t="shared" si="5"/>
        <v>113.28653702399923</v>
      </c>
      <c r="E77" s="232">
        <f>H.Marathon!$E77*(1-$K$2)+Marathon!$E77*$K$2</f>
        <v>0.66203806710157975</v>
      </c>
      <c r="F77" s="18">
        <f t="shared" si="4"/>
        <v>74.571499960943001</v>
      </c>
      <c r="G77" s="1">
        <v>71</v>
      </c>
      <c r="H77" s="200" t="s">
        <v>1594</v>
      </c>
      <c r="I77" s="154">
        <v>9115</v>
      </c>
      <c r="J77" s="182" t="s">
        <v>1590</v>
      </c>
      <c r="K77" s="182" t="s">
        <v>1591</v>
      </c>
      <c r="L77" s="182" t="s">
        <v>217</v>
      </c>
      <c r="M77" s="183">
        <v>7742</v>
      </c>
      <c r="N77" s="182"/>
      <c r="O77" s="182" t="s">
        <v>1483</v>
      </c>
      <c r="P77" s="330">
        <v>33922</v>
      </c>
    </row>
    <row r="78" spans="1:16" ht="15.75">
      <c r="A78" s="1">
        <v>72</v>
      </c>
      <c r="B78" s="177" t="s">
        <v>1595</v>
      </c>
      <c r="C78" s="24">
        <f t="shared" si="6"/>
        <v>146.21666666666667</v>
      </c>
      <c r="D78" s="24">
        <f t="shared" si="5"/>
        <v>115.10717735897725</v>
      </c>
      <c r="E78" s="232">
        <f>H.Marathon!$E78*(1-$K$2)+Marathon!$E78*$K$2</f>
        <v>0.65156666787252016</v>
      </c>
      <c r="F78" s="18">
        <f t="shared" si="4"/>
        <v>78.723705021527806</v>
      </c>
      <c r="G78" s="1">
        <v>72</v>
      </c>
      <c r="H78" s="200" t="s">
        <v>1595</v>
      </c>
      <c r="I78" s="154">
        <v>8773</v>
      </c>
      <c r="J78" s="182" t="s">
        <v>1596</v>
      </c>
      <c r="K78" s="182" t="s">
        <v>1597</v>
      </c>
      <c r="L78" s="182" t="s">
        <v>217</v>
      </c>
      <c r="M78" s="183">
        <v>14489</v>
      </c>
      <c r="N78" s="161" t="s">
        <v>1512</v>
      </c>
      <c r="O78" s="182" t="s">
        <v>1513</v>
      </c>
      <c r="P78" s="330">
        <v>41042</v>
      </c>
    </row>
    <row r="79" spans="1:16" ht="15.75">
      <c r="A79" s="1">
        <v>73</v>
      </c>
      <c r="B79" s="177" t="s">
        <v>1598</v>
      </c>
      <c r="C79" s="24">
        <f t="shared" si="6"/>
        <v>148.48333333333335</v>
      </c>
      <c r="D79" s="24">
        <f t="shared" si="5"/>
        <v>117.00554382986729</v>
      </c>
      <c r="E79" s="232">
        <f>H.Marathon!$E79*(1-$K$2)+Marathon!$E79*$K$2</f>
        <v>0.64099526864346068</v>
      </c>
      <c r="F79" s="18">
        <f t="shared" si="4"/>
        <v>78.80045605333973</v>
      </c>
      <c r="G79" s="1">
        <v>73</v>
      </c>
      <c r="H79" s="200" t="s">
        <v>1598</v>
      </c>
      <c r="I79" s="154">
        <v>8909</v>
      </c>
      <c r="J79" s="182" t="s">
        <v>377</v>
      </c>
      <c r="K79" s="182" t="s">
        <v>1599</v>
      </c>
      <c r="L79" s="182" t="s">
        <v>217</v>
      </c>
      <c r="M79" s="183">
        <v>3552</v>
      </c>
      <c r="N79" s="182"/>
      <c r="O79" s="182" t="s">
        <v>1600</v>
      </c>
      <c r="P79" s="330">
        <v>30556</v>
      </c>
    </row>
    <row r="80" spans="1:16" ht="15.75">
      <c r="A80" s="1">
        <v>74</v>
      </c>
      <c r="B80" s="177" t="s">
        <v>1601</v>
      </c>
      <c r="C80" s="24">
        <f t="shared" si="6"/>
        <v>150.18333333333334</v>
      </c>
      <c r="D80" s="24">
        <f t="shared" si="5"/>
        <v>118.96718835337848</v>
      </c>
      <c r="E80" s="232">
        <f>H.Marathon!$E80*(1-$K$2)+Marathon!$E80*$K$2</f>
        <v>0.63042592699779576</v>
      </c>
      <c r="F80" s="18">
        <f t="shared" si="4"/>
        <v>79.214641007687362</v>
      </c>
      <c r="G80" s="1">
        <v>74</v>
      </c>
      <c r="H80" s="200" t="s">
        <v>1601</v>
      </c>
      <c r="I80" s="154">
        <v>9011</v>
      </c>
      <c r="J80" s="182" t="s">
        <v>1596</v>
      </c>
      <c r="K80" s="182" t="s">
        <v>1597</v>
      </c>
      <c r="L80" s="182" t="s">
        <v>217</v>
      </c>
      <c r="M80" s="183">
        <v>14489</v>
      </c>
      <c r="N80" s="161" t="s">
        <v>1512</v>
      </c>
      <c r="O80" s="182" t="s">
        <v>1513</v>
      </c>
      <c r="P80" s="330">
        <v>41769</v>
      </c>
    </row>
    <row r="81" spans="1:16" ht="15.75">
      <c r="A81" s="1">
        <v>75</v>
      </c>
      <c r="B81" s="177" t="s">
        <v>1602</v>
      </c>
      <c r="C81" s="24">
        <f t="shared" si="6"/>
        <v>122.2</v>
      </c>
      <c r="D81" s="24">
        <f t="shared" si="5"/>
        <v>121.05351410633843</v>
      </c>
      <c r="E81" s="232">
        <f>H.Marathon!$E81*(1-$K$2)+Marathon!$E81*$K$2</f>
        <v>0.61956070051891998</v>
      </c>
      <c r="F81" s="18">
        <f t="shared" si="4"/>
        <v>99.061795504368604</v>
      </c>
      <c r="G81" s="1">
        <v>75</v>
      </c>
      <c r="H81" s="200" t="s">
        <v>1602</v>
      </c>
      <c r="I81" s="154">
        <v>7332</v>
      </c>
      <c r="J81" s="184" t="s">
        <v>357</v>
      </c>
      <c r="K81" s="184" t="s">
        <v>899</v>
      </c>
      <c r="L81" s="184" t="s">
        <v>217</v>
      </c>
      <c r="M81" s="185">
        <v>17637</v>
      </c>
      <c r="N81" s="182" t="s">
        <v>1575</v>
      </c>
      <c r="O81" s="182" t="s">
        <v>865</v>
      </c>
      <c r="P81" s="330">
        <v>45207</v>
      </c>
    </row>
    <row r="82" spans="1:16" ht="15.75">
      <c r="A82" s="1">
        <v>76</v>
      </c>
      <c r="B82" s="177" t="s">
        <v>1603</v>
      </c>
      <c r="C82" s="24">
        <f t="shared" si="6"/>
        <v>149.56666666666666</v>
      </c>
      <c r="D82" s="24">
        <f t="shared" si="5"/>
        <v>123.2845853186866</v>
      </c>
      <c r="E82" s="232">
        <f>H.Marathon!$E82*(1-$K$2)+Marathon!$E82*$K$2</f>
        <v>0.60834856041513596</v>
      </c>
      <c r="F82" s="18"/>
      <c r="G82" s="1">
        <v>76</v>
      </c>
      <c r="H82" s="200" t="s">
        <v>1603</v>
      </c>
      <c r="I82" s="154">
        <v>8974</v>
      </c>
      <c r="J82" s="182" t="s">
        <v>1604</v>
      </c>
      <c r="K82" s="182" t="s">
        <v>1605</v>
      </c>
      <c r="L82" s="182" t="s">
        <v>217</v>
      </c>
      <c r="M82" s="183">
        <v>10960</v>
      </c>
      <c r="N82" s="161" t="s">
        <v>1512</v>
      </c>
      <c r="O82" s="182" t="s">
        <v>1513</v>
      </c>
      <c r="P82" s="330">
        <v>38850</v>
      </c>
    </row>
    <row r="83" spans="1:16" ht="15.75">
      <c r="A83" s="1">
        <v>77</v>
      </c>
      <c r="B83" s="177" t="s">
        <v>1606</v>
      </c>
      <c r="C83" s="24">
        <f t="shared" si="6"/>
        <v>162.41666666666666</v>
      </c>
      <c r="D83" s="24">
        <f t="shared" si="5"/>
        <v>125.7627709262125</v>
      </c>
      <c r="E83" s="232">
        <f>H.Marathon!$E83*(1-$K$2)+Marathon!$E83*$K$2</f>
        <v>0.59636090591550328</v>
      </c>
      <c r="F83" s="18">
        <f>100*(D83/C83)</f>
        <v>77.432183228042589</v>
      </c>
      <c r="G83" s="1">
        <v>77</v>
      </c>
      <c r="H83" s="200" t="s">
        <v>1606</v>
      </c>
      <c r="I83" s="154">
        <v>9745</v>
      </c>
      <c r="J83" s="182" t="s">
        <v>1590</v>
      </c>
      <c r="K83" s="182" t="s">
        <v>1591</v>
      </c>
      <c r="L83" s="182" t="s">
        <v>217</v>
      </c>
      <c r="M83" s="183">
        <v>7742</v>
      </c>
      <c r="N83" s="182" t="s">
        <v>1607</v>
      </c>
      <c r="O83" s="182" t="s">
        <v>826</v>
      </c>
      <c r="P83" s="330">
        <v>36113</v>
      </c>
    </row>
    <row r="84" spans="1:16" ht="15.75">
      <c r="A84" s="1">
        <v>78</v>
      </c>
      <c r="B84" s="177" t="s">
        <v>1608</v>
      </c>
      <c r="C84" s="24">
        <f t="shared" si="6"/>
        <v>169.8</v>
      </c>
      <c r="D84" s="24">
        <f t="shared" si="5"/>
        <v>128.54059687912536</v>
      </c>
      <c r="E84" s="232">
        <f>H.Marathon!$E84*(1-$K$2)+Marathon!$E84*$K$2</f>
        <v>0.5834732514158707</v>
      </c>
      <c r="F84" s="18"/>
      <c r="G84" s="1">
        <v>78</v>
      </c>
      <c r="H84" s="200" t="s">
        <v>1608</v>
      </c>
      <c r="I84" s="154">
        <v>10188</v>
      </c>
      <c r="J84" s="182" t="s">
        <v>382</v>
      </c>
      <c r="K84" s="182" t="s">
        <v>1609</v>
      </c>
      <c r="L84" s="182" t="s">
        <v>217</v>
      </c>
      <c r="M84" s="183">
        <v>2522</v>
      </c>
      <c r="N84" s="161" t="s">
        <v>1512</v>
      </c>
      <c r="O84" s="182" t="s">
        <v>1513</v>
      </c>
      <c r="P84" s="330">
        <v>31542</v>
      </c>
    </row>
    <row r="85" spans="1:16" ht="15.75">
      <c r="A85" s="1">
        <v>79</v>
      </c>
      <c r="B85" s="177" t="s">
        <v>1610</v>
      </c>
      <c r="C85" s="24">
        <f t="shared" si="6"/>
        <v>187.68333333333334</v>
      </c>
      <c r="D85" s="24">
        <f t="shared" si="5"/>
        <v>131.60536150736149</v>
      </c>
      <c r="E85" s="232">
        <f>H.Marathon!$E85*(1-$K$2)+Marathon!$E85*$K$2</f>
        <v>0.56988559691623808</v>
      </c>
      <c r="F85" s="18">
        <f>100*(D85/C85)</f>
        <v>70.12096341747349</v>
      </c>
      <c r="G85" s="1">
        <v>79</v>
      </c>
      <c r="H85" s="200" t="s">
        <v>1610</v>
      </c>
      <c r="I85" s="154">
        <v>11261</v>
      </c>
      <c r="J85" s="182" t="s">
        <v>1590</v>
      </c>
      <c r="K85" s="182" t="s">
        <v>1591</v>
      </c>
      <c r="L85" s="182" t="s">
        <v>217</v>
      </c>
      <c r="M85" s="183">
        <v>7742</v>
      </c>
      <c r="N85" s="182" t="s">
        <v>1607</v>
      </c>
      <c r="O85" s="182" t="s">
        <v>826</v>
      </c>
      <c r="P85" s="330">
        <v>37205</v>
      </c>
    </row>
    <row r="86" spans="1:16">
      <c r="A86" s="1">
        <v>80</v>
      </c>
      <c r="C86" s="24"/>
      <c r="D86" s="24">
        <f t="shared" si="5"/>
        <v>135.01995294317445</v>
      </c>
      <c r="E86" s="232">
        <f>H.Marathon!$E86*(1-$K$2)+Marathon!$E86*$K$2</f>
        <v>0.55547345681245408</v>
      </c>
      <c r="F86" s="18"/>
      <c r="G86" s="1">
        <v>80</v>
      </c>
      <c r="H86" s="158"/>
    </row>
    <row r="87" spans="1:16">
      <c r="A87" s="1">
        <v>81</v>
      </c>
      <c r="C87" s="24"/>
      <c r="D87" s="24">
        <f t="shared" si="5"/>
        <v>138.84111666557189</v>
      </c>
      <c r="E87" s="232">
        <f>H.Marathon!$E87*(1-$K$2)+Marathon!$E87*$K$2</f>
        <v>0.54018580231282143</v>
      </c>
      <c r="F87" s="18"/>
      <c r="G87" s="1">
        <v>81</v>
      </c>
      <c r="H87" s="158"/>
    </row>
    <row r="88" spans="1:16">
      <c r="A88" s="1">
        <v>82</v>
      </c>
      <c r="B88" s="24"/>
      <c r="C88" s="24"/>
      <c r="D88" s="24">
        <f t="shared" si="5"/>
        <v>143.07566768955493</v>
      </c>
      <c r="E88" s="232">
        <f>H.Marathon!$E88*(1-$K$2)+Marathon!$E88*$K$2</f>
        <v>0.52419814781318885</v>
      </c>
      <c r="F88" s="18"/>
      <c r="G88" s="1">
        <v>82</v>
      </c>
      <c r="H88" s="158"/>
    </row>
    <row r="89" spans="1:16">
      <c r="A89" s="1">
        <v>83</v>
      </c>
      <c r="B89" s="24"/>
      <c r="C89" s="24"/>
      <c r="D89" s="24">
        <f t="shared" si="5"/>
        <v>147.81645307600743</v>
      </c>
      <c r="E89" s="232">
        <f>H.Marathon!$E89*(1-$K$2)+Marathon!$E89*$K$2</f>
        <v>0.5073860077094049</v>
      </c>
      <c r="F89" s="18"/>
      <c r="G89" s="1">
        <v>83</v>
      </c>
      <c r="H89" s="158"/>
    </row>
    <row r="90" spans="1:16">
      <c r="A90" s="1">
        <v>84</v>
      </c>
      <c r="B90" s="24"/>
      <c r="C90" s="24"/>
      <c r="D90" s="24">
        <f t="shared" si="5"/>
        <v>153.12423879848936</v>
      </c>
      <c r="E90" s="232">
        <f>H.Marathon!$E90*(1-$K$2)+Marathon!$E90*$K$2</f>
        <v>0.48979835320977222</v>
      </c>
      <c r="F90" s="18"/>
      <c r="G90" s="1">
        <v>84</v>
      </c>
      <c r="H90" s="158"/>
    </row>
    <row r="91" spans="1:16">
      <c r="A91" s="1">
        <v>85</v>
      </c>
      <c r="C91" s="24"/>
      <c r="D91" s="24">
        <f t="shared" si="5"/>
        <v>159.13069702269942</v>
      </c>
      <c r="E91" s="232">
        <f>H.Marathon!$E91*(1-$K$2)+Marathon!$E91*$K$2</f>
        <v>0.47131069871013964</v>
      </c>
      <c r="F91" s="18"/>
      <c r="G91" s="1">
        <v>85</v>
      </c>
    </row>
    <row r="92" spans="1:16">
      <c r="A92" s="1">
        <v>86</v>
      </c>
      <c r="C92" s="24"/>
      <c r="D92" s="24">
        <f t="shared" si="5"/>
        <v>165.89303056217628</v>
      </c>
      <c r="E92" s="232">
        <f>H.Marathon!$E92*(1-$K$2)+Marathon!$E92*$K$2</f>
        <v>0.45209855860635562</v>
      </c>
      <c r="F92" s="18"/>
      <c r="G92" s="1">
        <v>86</v>
      </c>
    </row>
    <row r="93" spans="1:16">
      <c r="A93" s="1">
        <v>87</v>
      </c>
      <c r="B93" s="24"/>
      <c r="C93" s="24"/>
      <c r="D93" s="24">
        <f t="shared" si="5"/>
        <v>173.56655267712586</v>
      </c>
      <c r="E93" s="232">
        <f>H.Marathon!$E93*(1-$K$2)+Marathon!$E93*$K$2</f>
        <v>0.43211090410672293</v>
      </c>
      <c r="F93" s="18"/>
      <c r="G93" s="1">
        <v>87</v>
      </c>
    </row>
    <row r="94" spans="1:16">
      <c r="A94" s="1">
        <v>88</v>
      </c>
      <c r="B94" s="24"/>
      <c r="C94" s="24"/>
      <c r="D94" s="24">
        <f t="shared" si="5"/>
        <v>182.38268403272411</v>
      </c>
      <c r="E94" s="232">
        <f>H.Marathon!$E94*(1-$K$2)+Marathon!$E94*$K$2</f>
        <v>0.41122324960709034</v>
      </c>
      <c r="F94" s="18"/>
      <c r="G94" s="1">
        <v>88</v>
      </c>
    </row>
    <row r="95" spans="1:16">
      <c r="A95" s="1">
        <v>89</v>
      </c>
      <c r="B95" s="24"/>
      <c r="C95" s="24"/>
      <c r="D95" s="24">
        <f t="shared" si="5"/>
        <v>192.48754718961374</v>
      </c>
      <c r="E95" s="232">
        <f>H.Marathon!$E95*(1-$K$2)+Marathon!$E95*$K$2</f>
        <v>0.38963559510745771</v>
      </c>
      <c r="F95" s="18"/>
      <c r="G95" s="1">
        <v>89</v>
      </c>
    </row>
    <row r="96" spans="1:16">
      <c r="A96" s="1">
        <v>90</v>
      </c>
      <c r="C96" s="24"/>
      <c r="D96" s="24">
        <f t="shared" si="5"/>
        <v>204.23532042431685</v>
      </c>
      <c r="E96" s="232">
        <f>H.Marathon!$E96*(1-$K$2)+Marathon!$E96*$K$2</f>
        <v>0.3672234550036737</v>
      </c>
      <c r="F96" s="18"/>
      <c r="G96" s="1">
        <v>90</v>
      </c>
    </row>
    <row r="97" spans="1:7">
      <c r="A97" s="1">
        <v>91</v>
      </c>
      <c r="C97" s="24"/>
      <c r="D97" s="24">
        <f t="shared" si="5"/>
        <v>218.0639523134457</v>
      </c>
      <c r="E97" s="232">
        <f>H.Marathon!$E97*(1-$K$2)+Marathon!$E97*$K$2</f>
        <v>0.34393580050404116</v>
      </c>
      <c r="F97" s="18"/>
      <c r="G97" s="1">
        <v>91</v>
      </c>
    </row>
    <row r="98" spans="1:7">
      <c r="A98" s="1">
        <v>92</v>
      </c>
      <c r="B98" s="24"/>
      <c r="C98" s="24"/>
      <c r="D98" s="24">
        <f t="shared" si="5"/>
        <v>234.41298515593394</v>
      </c>
      <c r="E98" s="232">
        <f>H.Marathon!$E98*(1-$K$2)+Marathon!$E98*$K$2</f>
        <v>0.31994814600440852</v>
      </c>
      <c r="F98" s="18"/>
      <c r="G98" s="1">
        <v>92</v>
      </c>
    </row>
    <row r="99" spans="1:7">
      <c r="A99" s="1">
        <v>93</v>
      </c>
      <c r="B99" s="24"/>
      <c r="C99" s="24"/>
      <c r="D99" s="24">
        <f t="shared" si="5"/>
        <v>254.12012936589412</v>
      </c>
      <c r="E99" s="232">
        <f>H.Marathon!$E99*(1-$K$2)+Marathon!$E99*$K$2</f>
        <v>0.29513600590062455</v>
      </c>
      <c r="F99" s="18"/>
      <c r="G99" s="1">
        <v>93</v>
      </c>
    </row>
    <row r="100" spans="1:7">
      <c r="A100" s="1">
        <v>94</v>
      </c>
      <c r="B100" s="24"/>
      <c r="C100" s="24"/>
      <c r="D100" s="24">
        <f t="shared" si="5"/>
        <v>278.24321540155421</v>
      </c>
      <c r="E100" s="232">
        <f>H.Marathon!$E100*(1-$K$2)+Marathon!$E100*$K$2</f>
        <v>0.26954835140099187</v>
      </c>
      <c r="F100" s="18"/>
      <c r="G100" s="1">
        <v>94</v>
      </c>
    </row>
    <row r="101" spans="1:7">
      <c r="A101" s="1">
        <v>95</v>
      </c>
      <c r="C101" s="24"/>
      <c r="D101" s="24">
        <f t="shared" si="5"/>
        <v>308.56490150868393</v>
      </c>
      <c r="E101" s="232">
        <f>H.Marathon!$E101*(1-$K$2)+Marathon!$E101*$K$2</f>
        <v>0.24306069690135926</v>
      </c>
      <c r="F101" s="18"/>
      <c r="G101" s="1">
        <v>95</v>
      </c>
    </row>
    <row r="102" spans="1:7">
      <c r="A102" s="1">
        <v>96</v>
      </c>
      <c r="C102" s="24"/>
      <c r="D102" s="24">
        <f t="shared" si="5"/>
        <v>347.46583953459407</v>
      </c>
      <c r="E102" s="232">
        <f>H.Marathon!$E102*(1-$K$2)+Marathon!$E102*$K$2</f>
        <v>0.21584855679757528</v>
      </c>
      <c r="F102" s="18"/>
      <c r="G102" s="1">
        <v>96</v>
      </c>
    </row>
    <row r="103" spans="1:7">
      <c r="A103" s="1">
        <v>97</v>
      </c>
      <c r="B103" s="24"/>
      <c r="C103" s="24"/>
      <c r="D103" s="24">
        <f t="shared" si="5"/>
        <v>399.23155421159368</v>
      </c>
      <c r="E103" s="232">
        <f>H.Marathon!$E103*(1-$K$2)+Marathon!$E103*$K$2</f>
        <v>0.18786090229794267</v>
      </c>
      <c r="G103" s="1">
        <v>97</v>
      </c>
    </row>
    <row r="104" spans="1:7">
      <c r="A104" s="1">
        <v>98</v>
      </c>
      <c r="B104" s="24"/>
      <c r="C104" s="24"/>
      <c r="D104" s="24">
        <f t="shared" si="5"/>
        <v>471.77749111066032</v>
      </c>
      <c r="E104" s="232">
        <f>H.Marathon!$E104*(1-$K$2)+Marathon!$E104*$K$2</f>
        <v>0.15897324779831001</v>
      </c>
      <c r="G104" s="1">
        <v>98</v>
      </c>
    </row>
    <row r="105" spans="1:7">
      <c r="A105" s="1">
        <v>99</v>
      </c>
      <c r="B105" s="24"/>
      <c r="C105" s="24"/>
      <c r="D105" s="24">
        <f t="shared" si="5"/>
        <v>579.66268181703856</v>
      </c>
      <c r="E105" s="232">
        <f>H.Marathon!$E105*(1-$K$2)+Marathon!$E105*$K$2</f>
        <v>0.12938559329867741</v>
      </c>
      <c r="G105" s="1">
        <v>99</v>
      </c>
    </row>
    <row r="106" spans="1:7">
      <c r="A106" s="1">
        <v>100</v>
      </c>
      <c r="B106" s="202"/>
      <c r="D106" s="24">
        <f t="shared" si="5"/>
        <v>757.77895565908841</v>
      </c>
      <c r="E106" s="232">
        <f>H.Marathon!$E106*(1-$K$2)+Marathon!$E106*$K$2</f>
        <v>9.897345319489341E-2</v>
      </c>
      <c r="G106" s="1">
        <v>100</v>
      </c>
    </row>
  </sheetData>
  <conditionalFormatting sqref="B85">
    <cfRule type="expression" dxfId="5" priority="1" stopIfTrue="1">
      <formula>#REF!="unvalidatable"</formula>
    </cfRule>
    <cfRule type="expression" dxfId="4" priority="2" stopIfTrue="1">
      <formula>$AJ85="record"</formula>
    </cfRule>
    <cfRule type="expression" dxfId="3" priority="3" stopIfTrue="1">
      <formula>$AJ85="best"</formula>
    </cfRule>
  </conditionalFormatting>
  <conditionalFormatting sqref="H85">
    <cfRule type="expression" dxfId="2" priority="4" stopIfTrue="1">
      <formula>#REF!="unvalidatable"</formula>
    </cfRule>
    <cfRule type="expression" dxfId="1" priority="5" stopIfTrue="1">
      <formula>$AJ85="record"</formula>
    </cfRule>
    <cfRule type="expression" dxfId="0" priority="6" stopIfTrue="1">
      <formula>$AJ85="best"</formula>
    </cfRule>
  </conditionalFormatting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0" width="13.88671875" style="1" customWidth="1"/>
    <col min="11" max="11" width="13.21875" style="1" customWidth="1"/>
    <col min="12" max="12" width="6.33203125" style="1" customWidth="1"/>
    <col min="13" max="13" width="18" style="1" bestFit="1" customWidth="1"/>
    <col min="14" max="14" width="19.21875" style="1" customWidth="1"/>
    <col min="15" max="15" width="16.5546875" style="1" customWidth="1"/>
    <col min="16" max="16" width="18" style="1" bestFit="1" customWidth="1"/>
    <col min="17" max="16384" width="9.6640625" style="1"/>
  </cols>
  <sheetData>
    <row r="1" spans="1:17" ht="29.1" customHeight="1">
      <c r="A1" s="29" t="s">
        <v>72</v>
      </c>
      <c r="B1" s="30"/>
      <c r="C1" s="31"/>
      <c r="D1" s="32" t="s">
        <v>32</v>
      </c>
      <c r="E1" s="32" t="s">
        <v>54</v>
      </c>
      <c r="F1" s="32"/>
      <c r="G1" s="32"/>
      <c r="H1" s="32"/>
      <c r="I1" s="32"/>
      <c r="K1" s="210" t="s">
        <v>2086</v>
      </c>
    </row>
    <row r="2" spans="1:17" ht="15.95" customHeight="1">
      <c r="A2" s="29"/>
      <c r="B2" s="30"/>
      <c r="C2" s="31"/>
      <c r="D2" s="32"/>
      <c r="E2" s="32"/>
      <c r="F2" s="81"/>
      <c r="G2" s="82"/>
      <c r="H2" s="83"/>
      <c r="I2" s="83"/>
      <c r="K2" s="215">
        <f>Parameters!M29</f>
        <v>0.50789044734738709</v>
      </c>
    </row>
    <row r="3" spans="1:17" ht="15.95" customHeight="1">
      <c r="A3" s="29"/>
      <c r="B3" s="30"/>
      <c r="C3" s="31"/>
      <c r="D3" s="32"/>
      <c r="E3" s="32"/>
      <c r="F3" s="81"/>
      <c r="G3" s="82"/>
      <c r="H3" s="212"/>
      <c r="I3" s="86"/>
    </row>
    <row r="4" spans="1:17" ht="15.75">
      <c r="A4" s="30"/>
      <c r="B4" s="30"/>
      <c r="C4" s="30"/>
      <c r="D4" s="34">
        <f>Parameters!G29</f>
        <v>6.3078703703703706E-2</v>
      </c>
      <c r="E4" s="35">
        <f>D4*1440</f>
        <v>90.833333333333343</v>
      </c>
      <c r="F4" s="33"/>
      <c r="G4" s="81"/>
      <c r="H4" s="212"/>
      <c r="I4" s="86"/>
      <c r="J4" s="24"/>
    </row>
    <row r="5" spans="1:17" ht="15.75">
      <c r="A5" s="30"/>
      <c r="B5" s="30"/>
      <c r="C5" s="30"/>
      <c r="D5" s="34"/>
      <c r="E5" s="30">
        <f>E4*60</f>
        <v>5450.0000000000009</v>
      </c>
      <c r="F5" s="33"/>
      <c r="G5" s="81"/>
      <c r="H5" s="212"/>
      <c r="I5" s="86"/>
      <c r="J5" s="24"/>
    </row>
    <row r="6" spans="1:17" ht="48" customHeight="1">
      <c r="A6" s="36" t="s">
        <v>52</v>
      </c>
      <c r="B6" s="36" t="s">
        <v>1613</v>
      </c>
      <c r="C6" s="36" t="s">
        <v>53</v>
      </c>
      <c r="D6" s="36" t="s">
        <v>1612</v>
      </c>
      <c r="E6" s="36" t="s">
        <v>131</v>
      </c>
      <c r="F6" s="31" t="s">
        <v>130</v>
      </c>
      <c r="G6" s="36" t="s">
        <v>52</v>
      </c>
      <c r="H6" s="193" t="s">
        <v>709</v>
      </c>
      <c r="I6" s="194" t="s">
        <v>1154</v>
      </c>
      <c r="J6" s="189" t="s">
        <v>403</v>
      </c>
      <c r="K6" s="189" t="s">
        <v>404</v>
      </c>
      <c r="L6" s="195" t="s">
        <v>405</v>
      </c>
      <c r="M6" s="196" t="s">
        <v>406</v>
      </c>
      <c r="N6" s="189" t="s">
        <v>407</v>
      </c>
      <c r="O6" s="195" t="s">
        <v>408</v>
      </c>
      <c r="P6" s="196" t="s">
        <v>409</v>
      </c>
      <c r="Q6" s="203" t="s">
        <v>1150</v>
      </c>
    </row>
    <row r="7" spans="1:17">
      <c r="A7" s="1">
        <v>1</v>
      </c>
      <c r="B7" s="202"/>
      <c r="G7" s="1">
        <v>1</v>
      </c>
    </row>
    <row r="8" spans="1:17">
      <c r="A8" s="1">
        <v>2</v>
      </c>
      <c r="B8" s="202"/>
      <c r="G8" s="1">
        <v>2</v>
      </c>
    </row>
    <row r="9" spans="1:17">
      <c r="A9" s="1">
        <v>3</v>
      </c>
      <c r="B9" s="202"/>
      <c r="C9" s="24"/>
      <c r="D9" s="24"/>
      <c r="E9" s="232">
        <f>H.Marathon!$E9*(1-$K$2)+Marathon!$E9*$K$2</f>
        <v>0.47962457770706368</v>
      </c>
      <c r="G9" s="1">
        <v>3</v>
      </c>
      <c r="H9" s="199"/>
    </row>
    <row r="10" spans="1:17">
      <c r="A10" s="1">
        <v>4</v>
      </c>
      <c r="B10" s="202"/>
      <c r="C10" s="24"/>
      <c r="D10" s="24"/>
      <c r="E10" s="232">
        <f>H.Marathon!$E10*(1-$K$2)+Marathon!$E10*$K$2</f>
        <v>0.52800032600159852</v>
      </c>
      <c r="F10" s="18"/>
      <c r="G10" s="1">
        <v>4</v>
      </c>
      <c r="H10" s="199"/>
    </row>
    <row r="11" spans="1:17">
      <c r="A11" s="1">
        <v>5</v>
      </c>
      <c r="B11" s="202"/>
      <c r="C11" s="24"/>
      <c r="D11" s="24">
        <f t="shared" ref="D11:D42" si="0">E$4/E11</f>
        <v>158.32417520538442</v>
      </c>
      <c r="E11" s="232">
        <f>H.Marathon!$E11*(1-$K$2)+Marathon!$E11*$K$2</f>
        <v>0.57371739480405137</v>
      </c>
      <c r="F11" s="18"/>
      <c r="G11" s="1">
        <v>5</v>
      </c>
      <c r="H11" s="199"/>
    </row>
    <row r="12" spans="1:17">
      <c r="A12" s="1">
        <v>6</v>
      </c>
      <c r="B12" s="202"/>
      <c r="C12" s="24"/>
      <c r="D12" s="24">
        <f t="shared" si="0"/>
        <v>147.23524206161866</v>
      </c>
      <c r="E12" s="232">
        <f>H.Marathon!$E12*(1-$K$2)+Marathon!$E12*$K$2</f>
        <v>0.61692657315915678</v>
      </c>
      <c r="F12" s="18"/>
      <c r="G12" s="1">
        <v>6</v>
      </c>
      <c r="H12" s="199"/>
    </row>
    <row r="13" spans="1:17">
      <c r="A13" s="1">
        <v>7</v>
      </c>
      <c r="B13" s="202"/>
      <c r="C13" s="24"/>
      <c r="D13" s="24">
        <f t="shared" si="0"/>
        <v>138.15437404373711</v>
      </c>
      <c r="E13" s="232">
        <f>H.Marathon!$E13*(1-$K$2)+Marathon!$E13*$K$2</f>
        <v>0.65747707202218009</v>
      </c>
      <c r="F13" s="18"/>
      <c r="G13" s="1">
        <v>7</v>
      </c>
      <c r="H13" s="199"/>
    </row>
    <row r="14" spans="1:17">
      <c r="A14" s="1">
        <v>8</v>
      </c>
      <c r="B14" s="177" t="s">
        <v>1614</v>
      </c>
      <c r="C14" s="24">
        <f t="shared" ref="C14:C76" si="1">B14*1440</f>
        <v>206.28333333333333</v>
      </c>
      <c r="D14" s="24">
        <f t="shared" si="0"/>
        <v>130.59779023959516</v>
      </c>
      <c r="E14" s="232">
        <f>H.Marathon!$E14*(1-$K$2)+Marathon!$E14*$K$2</f>
        <v>0.69551968043785584</v>
      </c>
      <c r="F14" s="18">
        <f t="shared" ref="F14:F43" si="2">100*(D14/C14)</f>
        <v>63.309908817772552</v>
      </c>
      <c r="G14" s="1">
        <v>8</v>
      </c>
      <c r="H14" s="177" t="s">
        <v>1614</v>
      </c>
      <c r="I14" s="157">
        <v>12377</v>
      </c>
      <c r="J14" s="114" t="s">
        <v>1151</v>
      </c>
      <c r="K14" s="114" t="s">
        <v>1152</v>
      </c>
      <c r="L14" s="114" t="s">
        <v>217</v>
      </c>
      <c r="M14" s="116">
        <v>39841</v>
      </c>
      <c r="N14" s="115"/>
      <c r="O14" s="124" t="s">
        <v>1615</v>
      </c>
      <c r="P14" s="116">
        <v>42792</v>
      </c>
    </row>
    <row r="15" spans="1:17">
      <c r="A15" s="1">
        <v>9</v>
      </c>
      <c r="B15" s="204"/>
      <c r="C15" s="24"/>
      <c r="D15" s="24">
        <f t="shared" si="0"/>
        <v>124.26702628218345</v>
      </c>
      <c r="E15" s="232">
        <f>H.Marathon!$E15*(1-$K$2)+Marathon!$E15*$K$2</f>
        <v>0.73095282031671505</v>
      </c>
      <c r="F15" s="18"/>
      <c r="G15" s="1">
        <v>9</v>
      </c>
      <c r="H15" s="199"/>
    </row>
    <row r="16" spans="1:17">
      <c r="A16" s="1">
        <v>10</v>
      </c>
      <c r="B16" s="204"/>
      <c r="C16" s="24"/>
      <c r="D16" s="24">
        <f t="shared" si="0"/>
        <v>118.91843609689282</v>
      </c>
      <c r="E16" s="232">
        <f>H.Marathon!$E16*(1-$K$2)+Marathon!$E16*$K$2</f>
        <v>0.76382885879296136</v>
      </c>
      <c r="F16" s="18"/>
      <c r="G16" s="1">
        <v>10</v>
      </c>
      <c r="H16" s="199"/>
    </row>
    <row r="17" spans="1:17">
      <c r="A17" s="1">
        <v>11</v>
      </c>
      <c r="B17" s="204"/>
      <c r="C17" s="24"/>
      <c r="D17" s="24">
        <f t="shared" si="0"/>
        <v>114.38591641099102</v>
      </c>
      <c r="E17" s="232">
        <f>H.Marathon!$E17*(1-$K$2)+Marathon!$E17*$K$2</f>
        <v>0.79409542873239092</v>
      </c>
      <c r="F17" s="18"/>
      <c r="G17" s="1">
        <v>11</v>
      </c>
      <c r="H17" s="199"/>
    </row>
    <row r="18" spans="1:17">
      <c r="A18" s="1">
        <v>12</v>
      </c>
      <c r="B18" s="204"/>
      <c r="C18" s="24"/>
      <c r="D18" s="24">
        <f t="shared" si="0"/>
        <v>110.52907281906604</v>
      </c>
      <c r="E18" s="232">
        <f>H.Marathon!$E18*(1-$K$2)+Marathon!$E18*$K$2</f>
        <v>0.82180489726920769</v>
      </c>
      <c r="F18" s="18"/>
      <c r="G18" s="1">
        <v>12</v>
      </c>
      <c r="H18" s="199"/>
    </row>
    <row r="19" spans="1:17">
      <c r="A19" s="1">
        <v>13</v>
      </c>
      <c r="B19" s="204"/>
      <c r="C19" s="24"/>
      <c r="D19" s="24">
        <f t="shared" si="0"/>
        <v>107.25328620275994</v>
      </c>
      <c r="E19" s="232">
        <f>H.Marathon!$E19*(1-$K$2)+Marathon!$E19*$K$2</f>
        <v>0.8469048972692077</v>
      </c>
      <c r="F19" s="18"/>
      <c r="G19" s="1">
        <v>13</v>
      </c>
      <c r="H19" s="199"/>
    </row>
    <row r="20" spans="1:17">
      <c r="A20" s="1">
        <v>14</v>
      </c>
      <c r="B20" s="204"/>
      <c r="C20" s="24"/>
      <c r="D20" s="24">
        <f t="shared" si="0"/>
        <v>104.46652791289364</v>
      </c>
      <c r="E20" s="232">
        <f>H.Marathon!$E20*(1-$K$2)+Marathon!$E20*$K$2</f>
        <v>0.86949700682186037</v>
      </c>
      <c r="F20" s="18"/>
      <c r="G20" s="1">
        <v>14</v>
      </c>
      <c r="H20" s="199"/>
    </row>
    <row r="21" spans="1:17">
      <c r="A21" s="1">
        <v>15</v>
      </c>
      <c r="B21" s="204"/>
      <c r="C21" s="24"/>
      <c r="D21" s="24">
        <f t="shared" si="0"/>
        <v>102.12528104133244</v>
      </c>
      <c r="E21" s="232">
        <f>H.Marathon!$E21*(1-$K$2)+Marathon!$E21*$K$2</f>
        <v>0.88943043688243084</v>
      </c>
      <c r="F21" s="18"/>
      <c r="G21" s="1">
        <v>15</v>
      </c>
      <c r="H21" s="199"/>
    </row>
    <row r="22" spans="1:17">
      <c r="A22" s="1">
        <v>16</v>
      </c>
      <c r="B22" s="204"/>
      <c r="C22" s="24"/>
      <c r="D22" s="24">
        <f t="shared" si="0"/>
        <v>100.02460182502828</v>
      </c>
      <c r="E22" s="232">
        <f>H.Marathon!$E22*(1-$K$2)+Marathon!$E22*$K$2</f>
        <v>0.90810992171932758</v>
      </c>
      <c r="F22" s="18"/>
      <c r="G22" s="1">
        <v>16</v>
      </c>
      <c r="H22" s="199"/>
    </row>
    <row r="23" spans="1:17">
      <c r="A23" s="1">
        <v>17</v>
      </c>
      <c r="B23" s="177" t="s">
        <v>1616</v>
      </c>
      <c r="C23" s="24">
        <f t="shared" si="1"/>
        <v>124.56666666666666</v>
      </c>
      <c r="D23" s="24">
        <f t="shared" si="0"/>
        <v>98.008601188972349</v>
      </c>
      <c r="E23" s="232">
        <f>H.Marathon!$E23*(1-$K$2)+Marathon!$E23*$K$2</f>
        <v>0.92678940655622433</v>
      </c>
      <c r="F23" s="18">
        <f t="shared" si="2"/>
        <v>78.679637026202059</v>
      </c>
      <c r="G23" s="1">
        <v>17</v>
      </c>
      <c r="H23" s="177" t="s">
        <v>1616</v>
      </c>
      <c r="I23" s="157">
        <v>7474</v>
      </c>
      <c r="J23" s="114" t="s">
        <v>1617</v>
      </c>
      <c r="K23" s="114" t="s">
        <v>1618</v>
      </c>
      <c r="L23" s="114" t="s">
        <v>552</v>
      </c>
      <c r="M23" s="116">
        <v>21198</v>
      </c>
      <c r="N23" s="115"/>
      <c r="O23" s="124" t="s">
        <v>1619</v>
      </c>
      <c r="P23" s="116">
        <v>27511</v>
      </c>
      <c r="Q23" s="115"/>
    </row>
    <row r="24" spans="1:17">
      <c r="A24" s="1">
        <v>18</v>
      </c>
      <c r="B24" s="177" t="s">
        <v>1620</v>
      </c>
      <c r="C24" s="24">
        <f t="shared" si="1"/>
        <v>112.18333333333334</v>
      </c>
      <c r="D24" s="24">
        <f t="shared" si="0"/>
        <v>96.17237420413467</v>
      </c>
      <c r="E24" s="232">
        <f>H.Marathon!$E24*(1-$K$2)+Marathon!$E24*$K$2</f>
        <v>0.94448467228781596</v>
      </c>
      <c r="F24" s="18">
        <f t="shared" si="2"/>
        <v>85.727862906671817</v>
      </c>
      <c r="G24" s="1">
        <v>18</v>
      </c>
      <c r="H24" s="177" t="s">
        <v>1620</v>
      </c>
      <c r="I24" s="157">
        <v>6731</v>
      </c>
      <c r="J24" s="114" t="s">
        <v>1621</v>
      </c>
      <c r="K24" s="114" t="s">
        <v>1622</v>
      </c>
      <c r="L24" s="114" t="s">
        <v>240</v>
      </c>
      <c r="M24" s="116">
        <v>23764</v>
      </c>
      <c r="N24" s="115"/>
      <c r="O24" s="124" t="s">
        <v>1623</v>
      </c>
      <c r="P24" s="116">
        <v>30367</v>
      </c>
      <c r="Q24" s="115"/>
    </row>
    <row r="25" spans="1:17">
      <c r="A25" s="1">
        <v>19</v>
      </c>
      <c r="B25" s="177" t="s">
        <v>1624</v>
      </c>
      <c r="C25" s="24">
        <f t="shared" si="1"/>
        <v>106.5</v>
      </c>
      <c r="D25" s="24">
        <f t="shared" si="0"/>
        <v>94.59721462554927</v>
      </c>
      <c r="E25" s="232">
        <f>H.Marathon!$E25*(1-$K$2)+Marathon!$E25*$K$2</f>
        <v>0.96021149980879716</v>
      </c>
      <c r="F25" s="18">
        <f t="shared" si="2"/>
        <v>88.823675704741106</v>
      </c>
      <c r="G25" s="1">
        <v>19</v>
      </c>
      <c r="H25" s="177" t="s">
        <v>1624</v>
      </c>
      <c r="I25" s="157">
        <v>6390</v>
      </c>
      <c r="J25" s="114" t="s">
        <v>1625</v>
      </c>
      <c r="K25" s="114" t="s">
        <v>1626</v>
      </c>
      <c r="L25" s="114" t="s">
        <v>240</v>
      </c>
      <c r="M25" s="116">
        <v>27446</v>
      </c>
      <c r="N25" s="115"/>
      <c r="O25" s="124" t="s">
        <v>1623</v>
      </c>
      <c r="P25" s="116">
        <v>34749</v>
      </c>
      <c r="Q25" s="115"/>
    </row>
    <row r="26" spans="1:17">
      <c r="A26" s="1">
        <v>20</v>
      </c>
      <c r="B26" s="177" t="s">
        <v>1627</v>
      </c>
      <c r="C26" s="24">
        <f t="shared" si="1"/>
        <v>103.95</v>
      </c>
      <c r="D26" s="24">
        <f t="shared" si="0"/>
        <v>93.319320790739312</v>
      </c>
      <c r="E26" s="232">
        <f>H.Marathon!$E26*(1-$K$2)+Marathon!$E26*$K$2</f>
        <v>0.97336042058235095</v>
      </c>
      <c r="F26" s="18">
        <f t="shared" si="2"/>
        <v>89.77327637396759</v>
      </c>
      <c r="G26" s="1">
        <v>20</v>
      </c>
      <c r="H26" s="177" t="s">
        <v>1627</v>
      </c>
      <c r="I26" s="157">
        <v>6237</v>
      </c>
      <c r="J26" s="114" t="s">
        <v>1628</v>
      </c>
      <c r="K26" s="114" t="s">
        <v>1629</v>
      </c>
      <c r="L26" s="114" t="s">
        <v>240</v>
      </c>
      <c r="M26" s="116">
        <v>34881</v>
      </c>
      <c r="N26" s="115"/>
      <c r="O26" s="124" t="s">
        <v>1623</v>
      </c>
      <c r="P26" s="116">
        <v>42421</v>
      </c>
      <c r="Q26" s="115"/>
    </row>
    <row r="27" spans="1:17">
      <c r="A27" s="1">
        <v>21</v>
      </c>
      <c r="B27" s="177" t="s">
        <v>1630</v>
      </c>
      <c r="C27" s="24">
        <f t="shared" si="1"/>
        <v>103.43333333333332</v>
      </c>
      <c r="D27" s="24">
        <f t="shared" si="0"/>
        <v>92.383492494236805</v>
      </c>
      <c r="E27" s="232">
        <f>H.Marathon!$E27*(1-$K$2)+Marathon!$E27*$K$2</f>
        <v>0.98322038798219102</v>
      </c>
      <c r="F27" s="18">
        <f t="shared" si="2"/>
        <v>89.316944080796148</v>
      </c>
      <c r="G27" s="1">
        <v>21</v>
      </c>
      <c r="H27" s="177" t="s">
        <v>1630</v>
      </c>
      <c r="I27" s="157">
        <v>6206</v>
      </c>
      <c r="J27" s="114" t="s">
        <v>1631</v>
      </c>
      <c r="K27" s="114" t="s">
        <v>1632</v>
      </c>
      <c r="L27" s="114" t="s">
        <v>240</v>
      </c>
      <c r="M27" s="116">
        <v>32941</v>
      </c>
      <c r="N27" s="115"/>
      <c r="O27" s="124" t="s">
        <v>1633</v>
      </c>
      <c r="P27" s="116">
        <v>40958</v>
      </c>
      <c r="Q27" s="115"/>
    </row>
    <row r="28" spans="1:17">
      <c r="A28" s="1">
        <v>22</v>
      </c>
      <c r="B28" s="177" t="s">
        <v>1634</v>
      </c>
      <c r="C28" s="24">
        <f t="shared" si="1"/>
        <v>99.95</v>
      </c>
      <c r="D28" s="24">
        <f t="shared" si="0"/>
        <v>91.760761172748531</v>
      </c>
      <c r="E28" s="232">
        <f>H.Marathon!$E28*(1-$K$2)+Marathon!$E28*$K$2</f>
        <v>0.98989298009778692</v>
      </c>
      <c r="F28" s="18">
        <f t="shared" si="2"/>
        <v>91.806664505001024</v>
      </c>
      <c r="G28" s="1">
        <v>22</v>
      </c>
      <c r="H28" s="177" t="s">
        <v>1634</v>
      </c>
      <c r="I28" s="157">
        <v>5997</v>
      </c>
      <c r="J28" s="114" t="s">
        <v>1635</v>
      </c>
      <c r="K28" s="114" t="s">
        <v>1636</v>
      </c>
      <c r="L28" s="115" t="s">
        <v>248</v>
      </c>
      <c r="M28" s="116">
        <v>34350</v>
      </c>
      <c r="N28" s="115"/>
      <c r="O28" s="124" t="s">
        <v>519</v>
      </c>
      <c r="P28" s="116">
        <v>42638</v>
      </c>
      <c r="Q28" s="115"/>
    </row>
    <row r="29" spans="1:17">
      <c r="A29" s="1">
        <v>23</v>
      </c>
      <c r="B29" s="177" t="s">
        <v>1637</v>
      </c>
      <c r="C29" s="24">
        <f t="shared" si="1"/>
        <v>99.100000000000009</v>
      </c>
      <c r="D29" s="24">
        <f t="shared" si="0"/>
        <v>91.352983177248348</v>
      </c>
      <c r="E29" s="232">
        <f>H.Marathon!$E29*(1-$K$2)+Marathon!$E29*$K$2</f>
        <v>0.99431162698970932</v>
      </c>
      <c r="F29" s="18">
        <f t="shared" si="2"/>
        <v>92.182626818615887</v>
      </c>
      <c r="G29" s="1">
        <v>23</v>
      </c>
      <c r="H29" s="177" t="s">
        <v>1637</v>
      </c>
      <c r="I29" s="157">
        <v>5946</v>
      </c>
      <c r="J29" s="114" t="s">
        <v>1638</v>
      </c>
      <c r="K29" s="114" t="s">
        <v>1639</v>
      </c>
      <c r="L29" s="115" t="s">
        <v>248</v>
      </c>
      <c r="M29" s="116">
        <v>34223</v>
      </c>
      <c r="N29" s="115"/>
      <c r="O29" s="124" t="s">
        <v>519</v>
      </c>
      <c r="P29" s="116">
        <v>42638</v>
      </c>
      <c r="Q29" s="115"/>
    </row>
    <row r="30" spans="1:17">
      <c r="A30" s="1">
        <v>24</v>
      </c>
      <c r="B30" s="177" t="s">
        <v>1640</v>
      </c>
      <c r="C30" s="24">
        <f t="shared" si="1"/>
        <v>103.08333333333333</v>
      </c>
      <c r="D30" s="24">
        <f t="shared" si="0"/>
        <v>91.064587503757281</v>
      </c>
      <c r="E30" s="232">
        <f>H.Marathon!$E30*(1-$K$2)+Marathon!$E30*$K$2</f>
        <v>0.99746054776326309</v>
      </c>
      <c r="F30" s="18">
        <f t="shared" si="2"/>
        <v>88.340747780524438</v>
      </c>
      <c r="G30" s="1">
        <v>24</v>
      </c>
      <c r="H30" s="177" t="s">
        <v>1640</v>
      </c>
      <c r="I30" s="157">
        <v>6185</v>
      </c>
      <c r="J30" s="114" t="s">
        <v>1641</v>
      </c>
      <c r="K30" s="114" t="s">
        <v>1642</v>
      </c>
      <c r="L30" s="114" t="s">
        <v>240</v>
      </c>
      <c r="M30" s="116">
        <v>27976</v>
      </c>
      <c r="N30" s="115"/>
      <c r="O30" s="124" t="s">
        <v>1623</v>
      </c>
      <c r="P30" s="116">
        <v>36940</v>
      </c>
      <c r="Q30" s="115"/>
    </row>
    <row r="31" spans="1:17">
      <c r="A31" s="1">
        <v>25</v>
      </c>
      <c r="B31" s="177" t="s">
        <v>1643</v>
      </c>
      <c r="C31" s="24">
        <f t="shared" si="1"/>
        <v>99.149999999999991</v>
      </c>
      <c r="D31" s="24">
        <f t="shared" si="0"/>
        <v>90.888727152884357</v>
      </c>
      <c r="E31" s="232">
        <f>H.Marathon!$E31*(1-$K$2)+Marathon!$E31*$K$2</f>
        <v>0.99939053146318313</v>
      </c>
      <c r="F31" s="18">
        <f t="shared" si="2"/>
        <v>91.667904339772434</v>
      </c>
      <c r="G31" s="1">
        <v>25</v>
      </c>
      <c r="H31" s="177" t="s">
        <v>1643</v>
      </c>
      <c r="I31" s="157">
        <v>5949</v>
      </c>
      <c r="J31" s="114" t="s">
        <v>867</v>
      </c>
      <c r="K31" s="114" t="s">
        <v>1644</v>
      </c>
      <c r="L31" s="114" t="s">
        <v>240</v>
      </c>
      <c r="M31" s="116">
        <v>28674</v>
      </c>
      <c r="N31" s="115"/>
      <c r="O31" s="124" t="s">
        <v>1623</v>
      </c>
      <c r="P31" s="116">
        <v>38032</v>
      </c>
      <c r="Q31" s="115"/>
    </row>
    <row r="32" spans="1:17">
      <c r="A32" s="1">
        <v>26</v>
      </c>
      <c r="B32" s="177" t="s">
        <v>1645</v>
      </c>
      <c r="C32" s="24">
        <f t="shared" si="1"/>
        <v>104.60000000000001</v>
      </c>
      <c r="D32" s="24">
        <f t="shared" si="0"/>
        <v>90.833333333333343</v>
      </c>
      <c r="E32" s="232">
        <f>H.Marathon!$E32*(1-$K$2)+Marathon!$E32*$K$2</f>
        <v>1</v>
      </c>
      <c r="F32" s="18">
        <f t="shared" si="2"/>
        <v>86.838750796685787</v>
      </c>
      <c r="G32" s="1">
        <v>26</v>
      </c>
      <c r="H32" s="177" t="s">
        <v>1645</v>
      </c>
      <c r="I32" s="157">
        <v>6276</v>
      </c>
      <c r="J32" s="114" t="s">
        <v>1646</v>
      </c>
      <c r="K32" s="114" t="s">
        <v>1647</v>
      </c>
      <c r="L32" s="114" t="s">
        <v>240</v>
      </c>
      <c r="M32" s="116">
        <v>27981</v>
      </c>
      <c r="N32" s="115"/>
      <c r="O32" s="124" t="s">
        <v>1623</v>
      </c>
      <c r="P32" s="116">
        <v>37668</v>
      </c>
      <c r="Q32" s="115"/>
    </row>
    <row r="33" spans="1:17">
      <c r="A33" s="1">
        <v>27</v>
      </c>
      <c r="B33" s="177" t="s">
        <v>1648</v>
      </c>
      <c r="C33" s="24">
        <f t="shared" si="1"/>
        <v>103.74999999999999</v>
      </c>
      <c r="D33" s="24">
        <f t="shared" si="0"/>
        <v>90.833333333333343</v>
      </c>
      <c r="E33" s="232">
        <f>H.Marathon!$E33*(1-$K$2)+Marathon!$E33*$K$2</f>
        <v>1</v>
      </c>
      <c r="F33" s="18">
        <f t="shared" si="2"/>
        <v>87.550200803212874</v>
      </c>
      <c r="G33" s="1">
        <v>27</v>
      </c>
      <c r="H33" s="177" t="s">
        <v>1648</v>
      </c>
      <c r="I33" s="157">
        <v>6225</v>
      </c>
      <c r="J33" s="114" t="s">
        <v>1363</v>
      </c>
      <c r="K33" s="114" t="s">
        <v>1494</v>
      </c>
      <c r="L33" s="115" t="s">
        <v>244</v>
      </c>
      <c r="M33" s="116">
        <v>32485</v>
      </c>
      <c r="N33" s="115"/>
      <c r="O33" s="124" t="s">
        <v>519</v>
      </c>
      <c r="P33" s="116">
        <v>42638</v>
      </c>
      <c r="Q33" s="115"/>
    </row>
    <row r="34" spans="1:17">
      <c r="A34" s="1">
        <v>28</v>
      </c>
      <c r="B34" s="177" t="s">
        <v>1649</v>
      </c>
      <c r="C34" s="24">
        <f t="shared" si="1"/>
        <v>101.95</v>
      </c>
      <c r="D34" s="24">
        <f t="shared" si="0"/>
        <v>90.851503634060151</v>
      </c>
      <c r="E34" s="232">
        <f>H.Marathon!$E34*(1-$K$2)+Marathon!$E34*$K$2</f>
        <v>0.99980000000000002</v>
      </c>
      <c r="F34" s="18">
        <f t="shared" si="2"/>
        <v>89.113784829877545</v>
      </c>
      <c r="G34" s="1">
        <v>28</v>
      </c>
      <c r="H34" s="177" t="s">
        <v>1649</v>
      </c>
      <c r="I34" s="157">
        <v>6117</v>
      </c>
      <c r="J34" s="114" t="s">
        <v>1650</v>
      </c>
      <c r="K34" s="114" t="s">
        <v>1651</v>
      </c>
      <c r="L34" s="114" t="s">
        <v>240</v>
      </c>
      <c r="M34" s="116">
        <v>26425</v>
      </c>
      <c r="N34" s="115"/>
      <c r="O34" s="124" t="s">
        <v>1623</v>
      </c>
      <c r="P34" s="116">
        <v>36940</v>
      </c>
      <c r="Q34" s="115"/>
    </row>
    <row r="35" spans="1:17">
      <c r="A35" s="1">
        <v>29</v>
      </c>
      <c r="B35" s="177" t="s">
        <v>1652</v>
      </c>
      <c r="C35" s="24">
        <f t="shared" si="1"/>
        <v>106.48333333333332</v>
      </c>
      <c r="D35" s="24">
        <f t="shared" si="0"/>
        <v>90.910535556076596</v>
      </c>
      <c r="E35" s="232">
        <f>H.Marathon!$E35*(1-$K$2)+Marathon!$E35*$K$2</f>
        <v>0.99915078904473476</v>
      </c>
      <c r="F35" s="18">
        <f t="shared" si="2"/>
        <v>85.375365994124223</v>
      </c>
      <c r="G35" s="1">
        <v>29</v>
      </c>
      <c r="H35" s="177" t="s">
        <v>1652</v>
      </c>
      <c r="I35" s="157">
        <v>6389</v>
      </c>
      <c r="J35" s="114" t="s">
        <v>1653</v>
      </c>
      <c r="K35" s="114" t="s">
        <v>1654</v>
      </c>
      <c r="L35" s="114" t="s">
        <v>240</v>
      </c>
      <c r="M35" s="116">
        <v>30251</v>
      </c>
      <c r="N35" s="115"/>
      <c r="O35" s="124" t="s">
        <v>1633</v>
      </c>
      <c r="P35" s="116">
        <v>40958</v>
      </c>
      <c r="Q35" s="115"/>
    </row>
    <row r="36" spans="1:17" ht="15.75">
      <c r="A36" s="1">
        <v>30</v>
      </c>
      <c r="B36" s="177" t="s">
        <v>1542</v>
      </c>
      <c r="C36" s="24">
        <f t="shared" si="1"/>
        <v>94</v>
      </c>
      <c r="D36" s="24">
        <f t="shared" si="0"/>
        <v>91.005957421347773</v>
      </c>
      <c r="E36" s="232">
        <f>H.Marathon!$E36*(1-$K$2)+Marathon!$E36*$K$2</f>
        <v>0.99810315617893886</v>
      </c>
      <c r="F36" s="18">
        <f t="shared" si="2"/>
        <v>96.81484832058274</v>
      </c>
      <c r="G36" s="1">
        <v>30</v>
      </c>
      <c r="H36" s="177" t="s">
        <v>1542</v>
      </c>
      <c r="I36" s="157">
        <v>5640</v>
      </c>
      <c r="J36" s="114" t="s">
        <v>1124</v>
      </c>
      <c r="K36" s="114" t="s">
        <v>1125</v>
      </c>
      <c r="L36" s="114" t="s">
        <v>266</v>
      </c>
      <c r="M36" s="116">
        <v>33970</v>
      </c>
      <c r="N36" s="182" t="s">
        <v>1655</v>
      </c>
      <c r="O36" s="182" t="s">
        <v>865</v>
      </c>
      <c r="P36" s="183">
        <v>45207</v>
      </c>
      <c r="Q36" s="115"/>
    </row>
    <row r="37" spans="1:17">
      <c r="A37" s="1">
        <v>31</v>
      </c>
      <c r="B37" s="177" t="s">
        <v>1656</v>
      </c>
      <c r="C37" s="24">
        <f t="shared" si="1"/>
        <v>106.43333333333334</v>
      </c>
      <c r="D37" s="24">
        <f t="shared" si="0"/>
        <v>91.142642994534242</v>
      </c>
      <c r="E37" s="232">
        <f>H.Marathon!$E37*(1-$K$2)+Marathon!$E37*$K$2</f>
        <v>0.99660631235787789</v>
      </c>
      <c r="F37" s="18">
        <f t="shared" si="2"/>
        <v>85.633551200627224</v>
      </c>
      <c r="G37" s="1">
        <v>31</v>
      </c>
      <c r="H37" s="177" t="s">
        <v>1656</v>
      </c>
      <c r="I37" s="157">
        <v>6386</v>
      </c>
      <c r="J37" s="114" t="s">
        <v>1657</v>
      </c>
      <c r="K37" s="114" t="s">
        <v>1658</v>
      </c>
      <c r="L37" s="114" t="s">
        <v>266</v>
      </c>
      <c r="M37" s="116">
        <v>24578</v>
      </c>
      <c r="N37" s="115"/>
      <c r="O37" s="124" t="s">
        <v>1659</v>
      </c>
      <c r="P37" s="116">
        <v>36212</v>
      </c>
      <c r="Q37" s="115"/>
    </row>
    <row r="38" spans="1:17">
      <c r="A38" s="1">
        <v>32</v>
      </c>
      <c r="B38" s="177" t="s">
        <v>1630</v>
      </c>
      <c r="C38" s="24">
        <f t="shared" si="1"/>
        <v>103.43333333333332</v>
      </c>
      <c r="D38" s="24">
        <f t="shared" si="0"/>
        <v>91.316445863279085</v>
      </c>
      <c r="E38" s="232">
        <f>H.Marathon!$E38*(1-$K$2)+Marathon!$E38*$K$2</f>
        <v>0.99470946853681685</v>
      </c>
      <c r="F38" s="18">
        <f t="shared" si="2"/>
        <v>88.285316658020392</v>
      </c>
      <c r="G38" s="1">
        <v>32</v>
      </c>
      <c r="H38" s="177" t="s">
        <v>1630</v>
      </c>
      <c r="I38" s="157">
        <v>6206</v>
      </c>
      <c r="J38" s="114" t="s">
        <v>1660</v>
      </c>
      <c r="K38" s="114" t="s">
        <v>1661</v>
      </c>
      <c r="L38" s="114" t="s">
        <v>240</v>
      </c>
      <c r="M38" s="116">
        <v>21843</v>
      </c>
      <c r="N38" s="115"/>
      <c r="O38" s="124" t="s">
        <v>1662</v>
      </c>
      <c r="P38" s="116">
        <v>33580</v>
      </c>
      <c r="Q38" s="115"/>
    </row>
    <row r="39" spans="1:17">
      <c r="A39" s="1">
        <v>33</v>
      </c>
      <c r="B39" s="177" t="s">
        <v>1663</v>
      </c>
      <c r="C39" s="24">
        <f t="shared" si="1"/>
        <v>104.14999999999999</v>
      </c>
      <c r="D39" s="24">
        <f t="shared" si="0"/>
        <v>91.532327848652628</v>
      </c>
      <c r="E39" s="232">
        <f>H.Marathon!$E39*(1-$K$2)+Marathon!$E39*$K$2</f>
        <v>0.99236341376049053</v>
      </c>
      <c r="F39" s="18">
        <f t="shared" si="2"/>
        <v>87.885096350122552</v>
      </c>
      <c r="G39" s="1">
        <v>33</v>
      </c>
      <c r="H39" s="177" t="s">
        <v>1663</v>
      </c>
      <c r="I39" s="157">
        <v>6249</v>
      </c>
      <c r="J39" s="114" t="s">
        <v>1664</v>
      </c>
      <c r="K39" s="114" t="s">
        <v>1665</v>
      </c>
      <c r="L39" s="114" t="s">
        <v>1361</v>
      </c>
      <c r="M39" s="116">
        <v>25615</v>
      </c>
      <c r="N39" s="115"/>
      <c r="O39" s="124" t="s">
        <v>1666</v>
      </c>
      <c r="P39" s="116">
        <v>37836</v>
      </c>
      <c r="Q39" s="115"/>
    </row>
    <row r="40" spans="1:17">
      <c r="A40" s="1">
        <v>34</v>
      </c>
      <c r="B40" s="177" t="s">
        <v>1667</v>
      </c>
      <c r="C40" s="24">
        <f t="shared" si="1"/>
        <v>103.81666666666668</v>
      </c>
      <c r="D40" s="24">
        <f t="shared" si="0"/>
        <v>91.790882229043504</v>
      </c>
      <c r="E40" s="232">
        <f>H.Marathon!$E40*(1-$K$2)+Marathon!$E40*$K$2</f>
        <v>0.98956814802889892</v>
      </c>
      <c r="F40" s="18">
        <f t="shared" si="2"/>
        <v>88.41632579455144</v>
      </c>
      <c r="G40" s="1">
        <v>34</v>
      </c>
      <c r="H40" s="177" t="s">
        <v>1667</v>
      </c>
      <c r="I40" s="157">
        <v>6229</v>
      </c>
      <c r="J40" s="114" t="s">
        <v>1668</v>
      </c>
      <c r="K40" s="114" t="s">
        <v>1669</v>
      </c>
      <c r="L40" s="114" t="s">
        <v>240</v>
      </c>
      <c r="M40" s="116">
        <v>27713</v>
      </c>
      <c r="N40" s="115"/>
      <c r="O40" s="124" t="s">
        <v>1623</v>
      </c>
      <c r="P40" s="116">
        <v>40230</v>
      </c>
      <c r="Q40" s="115"/>
    </row>
    <row r="41" spans="1:17" ht="15.75">
      <c r="A41" s="1">
        <v>35</v>
      </c>
      <c r="B41" s="187" t="s">
        <v>1670</v>
      </c>
      <c r="C41" s="24">
        <f t="shared" si="1"/>
        <v>96.083333333333343</v>
      </c>
      <c r="D41" s="24">
        <f t="shared" si="0"/>
        <v>92.083489044573938</v>
      </c>
      <c r="E41" s="232">
        <f>H.Marathon!$E41*(1-$K$2)+Marathon!$E41*$K$2</f>
        <v>0.98642367134204223</v>
      </c>
      <c r="F41" s="18">
        <f t="shared" si="2"/>
        <v>95.837109153069136</v>
      </c>
      <c r="G41" s="1">
        <v>35</v>
      </c>
      <c r="H41" s="187" t="s">
        <v>1670</v>
      </c>
      <c r="I41" s="160">
        <v>5365</v>
      </c>
      <c r="J41" s="159" t="s">
        <v>281</v>
      </c>
      <c r="K41" s="159" t="s">
        <v>1671</v>
      </c>
      <c r="L41" s="159" t="s">
        <v>244</v>
      </c>
      <c r="M41" s="190">
        <v>29969</v>
      </c>
      <c r="N41" s="197" t="s">
        <v>1672</v>
      </c>
      <c r="O41" s="179" t="s">
        <v>1673</v>
      </c>
      <c r="P41" s="190">
        <v>42848</v>
      </c>
      <c r="Q41" s="191" t="s">
        <v>1328</v>
      </c>
    </row>
    <row r="42" spans="1:17">
      <c r="A42" s="1">
        <v>36</v>
      </c>
      <c r="B42" s="177" t="s">
        <v>1674</v>
      </c>
      <c r="C42" s="24">
        <f t="shared" si="1"/>
        <v>103.39999999999999</v>
      </c>
      <c r="D42" s="24">
        <f t="shared" si="0"/>
        <v>92.420189493391348</v>
      </c>
      <c r="E42" s="232">
        <f>H.Marathon!$E42*(1-$K$2)+Marathon!$E42*$K$2</f>
        <v>0.98282998369992014</v>
      </c>
      <c r="F42" s="18">
        <f t="shared" si="2"/>
        <v>89.381227749894933</v>
      </c>
      <c r="G42" s="1">
        <v>36</v>
      </c>
      <c r="H42" s="177" t="s">
        <v>1674</v>
      </c>
      <c r="I42" s="157">
        <v>6204</v>
      </c>
      <c r="J42" s="114" t="s">
        <v>1675</v>
      </c>
      <c r="K42" s="114" t="s">
        <v>1676</v>
      </c>
      <c r="L42" s="114" t="s">
        <v>259</v>
      </c>
      <c r="M42" s="116">
        <v>26889</v>
      </c>
      <c r="N42" s="115"/>
      <c r="O42" s="124" t="s">
        <v>1623</v>
      </c>
      <c r="P42" s="116">
        <v>40230</v>
      </c>
      <c r="Q42" s="115"/>
    </row>
    <row r="43" spans="1:17">
      <c r="A43" s="1">
        <v>37</v>
      </c>
      <c r="B43" s="177" t="s">
        <v>1677</v>
      </c>
      <c r="C43" s="24">
        <f t="shared" si="1"/>
        <v>106.11666666666667</v>
      </c>
      <c r="D43" s="24">
        <f t="shared" ref="D43:D74" si="3">E$4/E43</f>
        <v>92.801932836923484</v>
      </c>
      <c r="E43" s="232">
        <f>H.Marathon!$E43*(1-$K$2)+Marathon!$E43*$K$2</f>
        <v>0.97878708510253265</v>
      </c>
      <c r="F43" s="18">
        <f t="shared" si="2"/>
        <v>87.452740226408181</v>
      </c>
      <c r="G43" s="1">
        <v>37</v>
      </c>
      <c r="H43" s="177" t="s">
        <v>1677</v>
      </c>
      <c r="I43" s="157">
        <v>6367</v>
      </c>
      <c r="J43" s="114" t="s">
        <v>1678</v>
      </c>
      <c r="K43" s="114" t="s">
        <v>1679</v>
      </c>
      <c r="L43" s="114" t="s">
        <v>217</v>
      </c>
      <c r="M43" s="116">
        <v>28680</v>
      </c>
      <c r="N43" s="115"/>
      <c r="O43" s="124" t="s">
        <v>782</v>
      </c>
      <c r="P43" s="116">
        <v>42413</v>
      </c>
      <c r="Q43" s="115"/>
    </row>
    <row r="44" spans="1:17">
      <c r="A44" s="1">
        <v>38</v>
      </c>
      <c r="B44" s="177" t="s">
        <v>1680</v>
      </c>
      <c r="C44" s="24">
        <f t="shared" si="1"/>
        <v>107.05000000000001</v>
      </c>
      <c r="D44" s="24">
        <f t="shared" si="3"/>
        <v>93.229807822900995</v>
      </c>
      <c r="E44" s="232">
        <f>H.Marathon!$E44*(1-$K$2)+Marathon!$E44*$K$2</f>
        <v>0.97429497554988009</v>
      </c>
      <c r="F44" s="18">
        <f t="shared" ref="F44:F75" si="4">100*(D44/C44)</f>
        <v>87.089965271276029</v>
      </c>
      <c r="G44" s="1">
        <v>38</v>
      </c>
      <c r="H44" s="177" t="s">
        <v>1680</v>
      </c>
      <c r="I44" s="157">
        <v>6423</v>
      </c>
      <c r="J44" s="114" t="s">
        <v>1681</v>
      </c>
      <c r="K44" s="114" t="s">
        <v>1682</v>
      </c>
      <c r="L44" s="114" t="s">
        <v>240</v>
      </c>
      <c r="M44" s="116">
        <v>24275</v>
      </c>
      <c r="N44" s="115"/>
      <c r="O44" s="124" t="s">
        <v>1623</v>
      </c>
      <c r="P44" s="116">
        <v>38403</v>
      </c>
      <c r="Q44" s="115"/>
    </row>
    <row r="45" spans="1:17">
      <c r="A45" s="1">
        <v>39</v>
      </c>
      <c r="B45" s="177" t="s">
        <v>1683</v>
      </c>
      <c r="C45" s="24">
        <f t="shared" si="1"/>
        <v>107.25</v>
      </c>
      <c r="D45" s="24">
        <f t="shared" si="3"/>
        <v>93.700293778162944</v>
      </c>
      <c r="E45" s="232">
        <f>H.Marathon!$E45*(1-$K$2)+Marathon!$E45*$K$2</f>
        <v>0.96940286599722747</v>
      </c>
      <c r="F45" s="18">
        <f t="shared" si="4"/>
        <v>87.366241285000413</v>
      </c>
      <c r="G45" s="1">
        <v>39</v>
      </c>
      <c r="H45" s="177" t="s">
        <v>1683</v>
      </c>
      <c r="I45" s="157">
        <v>6435</v>
      </c>
      <c r="J45" s="114" t="s">
        <v>1681</v>
      </c>
      <c r="K45" s="114" t="s">
        <v>1682</v>
      </c>
      <c r="L45" s="114" t="s">
        <v>240</v>
      </c>
      <c r="M45" s="116">
        <v>24275</v>
      </c>
      <c r="N45" s="115"/>
      <c r="O45" s="124" t="s">
        <v>1623</v>
      </c>
      <c r="P45" s="116">
        <v>38767</v>
      </c>
      <c r="Q45" s="115"/>
    </row>
    <row r="46" spans="1:17" ht="15.75">
      <c r="A46" s="1">
        <v>40</v>
      </c>
      <c r="B46" s="177" t="s">
        <v>1684</v>
      </c>
      <c r="C46" s="24">
        <f t="shared" si="1"/>
        <v>103.78333333333335</v>
      </c>
      <c r="D46" s="24">
        <f t="shared" si="3"/>
        <v>94.214470741351022</v>
      </c>
      <c r="E46" s="232">
        <f>H.Marathon!$E46*(1-$K$2)+Marathon!$E46*$K$2</f>
        <v>0.96411233453404432</v>
      </c>
      <c r="F46" s="18">
        <f t="shared" si="4"/>
        <v>90.779962172491736</v>
      </c>
      <c r="G46" s="1">
        <v>40</v>
      </c>
      <c r="H46" s="177" t="s">
        <v>1684</v>
      </c>
      <c r="I46" s="157">
        <v>6227</v>
      </c>
      <c r="J46" s="114" t="s">
        <v>1685</v>
      </c>
      <c r="K46" s="114" t="s">
        <v>1686</v>
      </c>
      <c r="L46" s="114"/>
      <c r="M46" s="116">
        <v>30585</v>
      </c>
      <c r="N46" s="182" t="s">
        <v>1655</v>
      </c>
      <c r="O46" s="182" t="s">
        <v>865</v>
      </c>
      <c r="P46" s="183">
        <v>45207</v>
      </c>
      <c r="Q46" s="115"/>
    </row>
    <row r="47" spans="1:17">
      <c r="A47" s="1">
        <v>41</v>
      </c>
      <c r="B47" s="177" t="s">
        <v>1687</v>
      </c>
      <c r="C47" s="24">
        <f t="shared" si="1"/>
        <v>113.21666666666667</v>
      </c>
      <c r="D47" s="24">
        <f t="shared" si="3"/>
        <v>94.77872602013781</v>
      </c>
      <c r="E47" s="232">
        <f>H.Marathon!$E47*(1-$K$2)+Marathon!$E47*$K$2</f>
        <v>0.95837259211559589</v>
      </c>
      <c r="F47" s="18">
        <f t="shared" si="4"/>
        <v>83.714464319273787</v>
      </c>
      <c r="G47" s="1">
        <v>41</v>
      </c>
      <c r="H47" s="177" t="s">
        <v>1687</v>
      </c>
      <c r="I47" s="157">
        <v>6793</v>
      </c>
      <c r="J47" s="114" t="s">
        <v>1688</v>
      </c>
      <c r="K47" s="114" t="s">
        <v>1689</v>
      </c>
      <c r="L47" s="114" t="s">
        <v>240</v>
      </c>
      <c r="M47" s="116">
        <v>23187</v>
      </c>
      <c r="N47" s="115"/>
      <c r="O47" s="124" t="s">
        <v>1623</v>
      </c>
      <c r="P47" s="116">
        <v>38403</v>
      </c>
      <c r="Q47" s="115"/>
    </row>
    <row r="48" spans="1:17">
      <c r="A48" s="1">
        <v>42</v>
      </c>
      <c r="B48" s="177" t="s">
        <v>1690</v>
      </c>
      <c r="C48" s="24">
        <f t="shared" si="1"/>
        <v>105.06666666666668</v>
      </c>
      <c r="D48" s="24">
        <f t="shared" si="3"/>
        <v>95.394763822397948</v>
      </c>
      <c r="E48" s="232">
        <f>H.Marathon!$E48*(1-$K$2)+Marathon!$E48*$K$2</f>
        <v>0.95218363874188228</v>
      </c>
      <c r="F48" s="18">
        <f t="shared" si="4"/>
        <v>90.794508714211233</v>
      </c>
      <c r="G48" s="1">
        <v>42</v>
      </c>
      <c r="H48" s="177" t="s">
        <v>1690</v>
      </c>
      <c r="I48" s="157">
        <v>6304</v>
      </c>
      <c r="J48" s="114" t="s">
        <v>291</v>
      </c>
      <c r="K48" s="114" t="s">
        <v>292</v>
      </c>
      <c r="L48" s="114" t="s">
        <v>217</v>
      </c>
      <c r="M48" s="116">
        <v>26709</v>
      </c>
      <c r="N48" s="115" t="s">
        <v>1691</v>
      </c>
      <c r="O48" s="124" t="s">
        <v>865</v>
      </c>
      <c r="P48" s="116">
        <v>42288</v>
      </c>
      <c r="Q48" s="115"/>
    </row>
    <row r="49" spans="1:17">
      <c r="A49" s="1">
        <v>43</v>
      </c>
      <c r="B49" s="177" t="s">
        <v>1692</v>
      </c>
      <c r="C49" s="24">
        <f t="shared" si="1"/>
        <v>111.61666666666667</v>
      </c>
      <c r="D49" s="24">
        <f t="shared" si="3"/>
        <v>96.05947954113897</v>
      </c>
      <c r="E49" s="232">
        <f>H.Marathon!$E49*(1-$K$2)+Marathon!$E49*$K$2</f>
        <v>0.94559468536816871</v>
      </c>
      <c r="F49" s="18">
        <f t="shared" si="4"/>
        <v>86.061949715818102</v>
      </c>
      <c r="G49" s="1">
        <v>43</v>
      </c>
      <c r="H49" s="177" t="s">
        <v>1692</v>
      </c>
      <c r="I49" s="157">
        <v>6697</v>
      </c>
      <c r="J49" s="114" t="s">
        <v>1693</v>
      </c>
      <c r="K49" s="114" t="s">
        <v>1694</v>
      </c>
      <c r="L49" s="114" t="s">
        <v>266</v>
      </c>
      <c r="M49" s="116">
        <v>21015</v>
      </c>
      <c r="N49" s="115"/>
      <c r="O49" s="124" t="s">
        <v>1659</v>
      </c>
      <c r="P49" s="116">
        <v>36940</v>
      </c>
      <c r="Q49" s="115"/>
    </row>
    <row r="50" spans="1:17">
      <c r="A50" s="1">
        <v>44</v>
      </c>
      <c r="B50" s="177" t="s">
        <v>1695</v>
      </c>
      <c r="C50" s="24">
        <f t="shared" si="1"/>
        <v>113.33333333333334</v>
      </c>
      <c r="D50" s="24">
        <f t="shared" si="3"/>
        <v>96.774585449597211</v>
      </c>
      <c r="E50" s="232">
        <f>H.Marathon!$E50*(1-$K$2)+Marathon!$E50*$K$2</f>
        <v>0.93860731008392451</v>
      </c>
      <c r="F50" s="18">
        <f t="shared" si="4"/>
        <v>85.389340102585763</v>
      </c>
      <c r="G50" s="1">
        <v>44</v>
      </c>
      <c r="H50" s="177" t="s">
        <v>1695</v>
      </c>
      <c r="I50" s="157">
        <v>6800</v>
      </c>
      <c r="J50" s="114" t="s">
        <v>1693</v>
      </c>
      <c r="K50" s="114" t="s">
        <v>1694</v>
      </c>
      <c r="L50" s="114" t="s">
        <v>266</v>
      </c>
      <c r="M50" s="116">
        <v>21015</v>
      </c>
      <c r="N50" s="115"/>
      <c r="O50" s="124" t="s">
        <v>1659</v>
      </c>
      <c r="P50" s="116">
        <v>37304</v>
      </c>
      <c r="Q50" s="115"/>
    </row>
    <row r="51" spans="1:17">
      <c r="A51" s="1">
        <v>45</v>
      </c>
      <c r="B51" s="177" t="s">
        <v>1696</v>
      </c>
      <c r="C51" s="24">
        <f t="shared" si="1"/>
        <v>113.4</v>
      </c>
      <c r="D51" s="24">
        <f t="shared" si="3"/>
        <v>97.552774823659078</v>
      </c>
      <c r="E51" s="232">
        <f>H.Marathon!$E51*(1-$K$2)+Marathon!$E51*$K$2</f>
        <v>0.93111993479968036</v>
      </c>
      <c r="F51" s="18">
        <f t="shared" si="4"/>
        <v>86.025374624037994</v>
      </c>
      <c r="G51" s="1">
        <v>45</v>
      </c>
      <c r="H51" s="177" t="s">
        <v>1696</v>
      </c>
      <c r="I51" s="157">
        <v>6804</v>
      </c>
      <c r="J51" s="114" t="s">
        <v>1681</v>
      </c>
      <c r="K51" s="114" t="s">
        <v>1682</v>
      </c>
      <c r="L51" s="114" t="s">
        <v>240</v>
      </c>
      <c r="M51" s="116">
        <v>24275</v>
      </c>
      <c r="N51" s="115"/>
      <c r="O51" s="124" t="s">
        <v>1623</v>
      </c>
      <c r="P51" s="116">
        <v>40958</v>
      </c>
      <c r="Q51" s="115"/>
    </row>
    <row r="52" spans="1:17">
      <c r="A52" s="1">
        <v>46</v>
      </c>
      <c r="B52" s="177" t="s">
        <v>1697</v>
      </c>
      <c r="C52" s="24">
        <f t="shared" si="1"/>
        <v>113.08333333333334</v>
      </c>
      <c r="D52" s="24">
        <f t="shared" si="3"/>
        <v>98.380777120030231</v>
      </c>
      <c r="E52" s="232">
        <f>H.Marathon!$E52*(1-$K$2)+Marathon!$E52*$K$2</f>
        <v>0.9232833485601708</v>
      </c>
      <c r="F52" s="18">
        <f t="shared" si="4"/>
        <v>86.99847645102156</v>
      </c>
      <c r="G52" s="1">
        <v>46</v>
      </c>
      <c r="H52" s="177" t="s">
        <v>1697</v>
      </c>
      <c r="I52" s="157">
        <v>6785</v>
      </c>
      <c r="J52" s="114" t="s">
        <v>1681</v>
      </c>
      <c r="K52" s="114" t="s">
        <v>1682</v>
      </c>
      <c r="L52" s="114" t="s">
        <v>240</v>
      </c>
      <c r="M52" s="116">
        <v>24275</v>
      </c>
      <c r="N52" s="115"/>
      <c r="O52" s="124" t="s">
        <v>1623</v>
      </c>
      <c r="P52" s="116">
        <v>41322</v>
      </c>
      <c r="Q52" s="115"/>
    </row>
    <row r="53" spans="1:17">
      <c r="A53" s="1">
        <v>47</v>
      </c>
      <c r="B53" s="177" t="s">
        <v>1698</v>
      </c>
      <c r="C53" s="24">
        <f t="shared" si="1"/>
        <v>120.38333333333334</v>
      </c>
      <c r="D53" s="24">
        <f t="shared" si="3"/>
        <v>99.271668211339147</v>
      </c>
      <c r="E53" s="232">
        <f>H.Marathon!$E53*(1-$K$2)+Marathon!$E53*$K$2</f>
        <v>0.91499755136539607</v>
      </c>
      <c r="F53" s="18">
        <f t="shared" si="4"/>
        <v>82.462966809917603</v>
      </c>
      <c r="G53" s="1">
        <v>47</v>
      </c>
      <c r="H53" s="177" t="s">
        <v>1698</v>
      </c>
      <c r="I53" s="157">
        <v>7223</v>
      </c>
      <c r="J53" s="114" t="s">
        <v>1699</v>
      </c>
      <c r="K53" s="114" t="s">
        <v>1700</v>
      </c>
      <c r="L53" s="114" t="s">
        <v>765</v>
      </c>
      <c r="M53" s="116">
        <v>25449</v>
      </c>
      <c r="N53" s="115"/>
      <c r="O53" s="124" t="s">
        <v>1701</v>
      </c>
      <c r="P53" s="116">
        <v>42624</v>
      </c>
      <c r="Q53" s="115"/>
    </row>
    <row r="54" spans="1:17">
      <c r="A54" s="1">
        <v>48</v>
      </c>
      <c r="B54" s="177" t="s">
        <v>1702</v>
      </c>
      <c r="C54" s="24">
        <f t="shared" si="1"/>
        <v>119.41666666666667</v>
      </c>
      <c r="D54" s="24">
        <f t="shared" si="3"/>
        <v>100.22288109435677</v>
      </c>
      <c r="E54" s="232">
        <f>H.Marathon!$E54*(1-$K$2)+Marathon!$E54*$K$2</f>
        <v>0.90631333226009092</v>
      </c>
      <c r="F54" s="18">
        <f t="shared" si="4"/>
        <v>83.927046275804685</v>
      </c>
      <c r="G54" s="1">
        <v>48</v>
      </c>
      <c r="H54" s="177" t="s">
        <v>1702</v>
      </c>
      <c r="I54" s="157">
        <v>7165</v>
      </c>
      <c r="J54" s="114" t="s">
        <v>1234</v>
      </c>
      <c r="K54" s="114" t="s">
        <v>1235</v>
      </c>
      <c r="L54" s="114" t="s">
        <v>217</v>
      </c>
      <c r="M54" s="116">
        <v>14922</v>
      </c>
      <c r="N54" s="115" t="s">
        <v>1703</v>
      </c>
      <c r="O54" s="124" t="s">
        <v>1704</v>
      </c>
      <c r="P54" s="116">
        <v>32460</v>
      </c>
      <c r="Q54" s="115"/>
    </row>
    <row r="55" spans="1:17">
      <c r="A55" s="1">
        <v>49</v>
      </c>
      <c r="B55" s="177" t="s">
        <v>1705</v>
      </c>
      <c r="C55" s="24">
        <f t="shared" si="1"/>
        <v>123.91666666666666</v>
      </c>
      <c r="D55" s="24">
        <f t="shared" si="3"/>
        <v>101.24889717814949</v>
      </c>
      <c r="E55" s="232">
        <f>H.Marathon!$E55*(1-$K$2)+Marathon!$E55*$K$2</f>
        <v>0.89712911315478572</v>
      </c>
      <c r="F55" s="18">
        <f t="shared" si="4"/>
        <v>81.707247218412505</v>
      </c>
      <c r="G55" s="1">
        <v>49</v>
      </c>
      <c r="H55" s="177" t="s">
        <v>1705</v>
      </c>
      <c r="I55" s="157">
        <v>7435</v>
      </c>
      <c r="J55" s="114" t="s">
        <v>1706</v>
      </c>
      <c r="K55" s="114" t="s">
        <v>1707</v>
      </c>
      <c r="L55" s="114" t="s">
        <v>765</v>
      </c>
      <c r="M55" s="116">
        <v>24030</v>
      </c>
      <c r="N55" s="115"/>
      <c r="O55" s="124" t="s">
        <v>1708</v>
      </c>
      <c r="P55" s="116">
        <v>42274</v>
      </c>
      <c r="Q55" s="115"/>
    </row>
    <row r="56" spans="1:17">
      <c r="A56" s="1">
        <v>50</v>
      </c>
      <c r="B56" s="177" t="s">
        <v>1709</v>
      </c>
      <c r="C56" s="24">
        <f t="shared" si="1"/>
        <v>120.68333333333332</v>
      </c>
      <c r="D56" s="24">
        <f t="shared" si="3"/>
        <v>102.31936608287005</v>
      </c>
      <c r="E56" s="232">
        <f>H.Marathon!$E56*(1-$K$2)+Marathon!$E56*$K$2</f>
        <v>0.88774331596001099</v>
      </c>
      <c r="F56" s="18">
        <f t="shared" si="4"/>
        <v>84.783344358130137</v>
      </c>
      <c r="G56" s="1">
        <v>50</v>
      </c>
      <c r="H56" s="177" t="s">
        <v>1709</v>
      </c>
      <c r="I56" s="157">
        <v>7241</v>
      </c>
      <c r="J56" s="114" t="s">
        <v>1234</v>
      </c>
      <c r="K56" s="114" t="s">
        <v>1235</v>
      </c>
      <c r="L56" s="114" t="s">
        <v>217</v>
      </c>
      <c r="M56" s="116">
        <v>14922</v>
      </c>
      <c r="N56" s="115" t="s">
        <v>1703</v>
      </c>
      <c r="O56" s="124" t="s">
        <v>1704</v>
      </c>
      <c r="P56" s="116">
        <v>33188</v>
      </c>
      <c r="Q56" s="115"/>
    </row>
    <row r="57" spans="1:17">
      <c r="A57" s="1">
        <v>51</v>
      </c>
      <c r="B57" s="177" t="s">
        <v>1710</v>
      </c>
      <c r="C57" s="24">
        <f t="shared" si="1"/>
        <v>116.71666666666667</v>
      </c>
      <c r="D57" s="24">
        <f t="shared" si="3"/>
        <v>103.44243302139319</v>
      </c>
      <c r="E57" s="232">
        <f>H.Marathon!$E57*(1-$K$2)+Marathon!$E57*$K$2</f>
        <v>0.87810515163103209</v>
      </c>
      <c r="F57" s="18">
        <f t="shared" si="4"/>
        <v>88.626959607076842</v>
      </c>
      <c r="G57" s="1">
        <v>51</v>
      </c>
      <c r="H57" s="177" t="s">
        <v>1710</v>
      </c>
      <c r="I57" s="157">
        <v>7003</v>
      </c>
      <c r="J57" s="114" t="s">
        <v>279</v>
      </c>
      <c r="K57" s="114" t="s">
        <v>280</v>
      </c>
      <c r="L57" s="115" t="s">
        <v>217</v>
      </c>
      <c r="M57" s="116">
        <v>23483</v>
      </c>
      <c r="N57" s="115"/>
      <c r="O57" s="124" t="s">
        <v>782</v>
      </c>
      <c r="P57" s="116">
        <v>42413</v>
      </c>
      <c r="Q57" s="115"/>
    </row>
    <row r="58" spans="1:17">
      <c r="A58" s="1">
        <v>52</v>
      </c>
      <c r="B58" s="177" t="s">
        <v>1711</v>
      </c>
      <c r="C58" s="24">
        <f t="shared" si="1"/>
        <v>122.11666666666666</v>
      </c>
      <c r="D58" s="24">
        <f t="shared" si="3"/>
        <v>104.60897041914309</v>
      </c>
      <c r="E58" s="232">
        <f>H.Marathon!$E58*(1-$K$2)+Marathon!$E58*$K$2</f>
        <v>0.86831304207837945</v>
      </c>
      <c r="F58" s="18">
        <f t="shared" si="4"/>
        <v>85.663139417887066</v>
      </c>
      <c r="G58" s="1">
        <v>52</v>
      </c>
      <c r="H58" s="177" t="s">
        <v>1711</v>
      </c>
      <c r="I58" s="157">
        <v>7327</v>
      </c>
      <c r="J58" s="114" t="s">
        <v>1712</v>
      </c>
      <c r="K58" s="114" t="s">
        <v>1713</v>
      </c>
      <c r="L58" s="114" t="s">
        <v>266</v>
      </c>
      <c r="M58" s="116">
        <v>23195</v>
      </c>
      <c r="N58" s="115"/>
      <c r="O58" s="124" t="s">
        <v>1659</v>
      </c>
      <c r="P58" s="116">
        <v>42414</v>
      </c>
      <c r="Q58" s="115"/>
    </row>
    <row r="59" spans="1:17">
      <c r="A59" s="1">
        <v>53</v>
      </c>
      <c r="B59" s="177" t="s">
        <v>1714</v>
      </c>
      <c r="C59" s="24">
        <f t="shared" si="1"/>
        <v>117.01666666666667</v>
      </c>
      <c r="D59" s="24">
        <f t="shared" si="3"/>
        <v>105.82696622633253</v>
      </c>
      <c r="E59" s="232">
        <f>H.Marathon!$E59*(1-$K$2)+Marathon!$E59*$K$2</f>
        <v>0.85831935443625729</v>
      </c>
      <c r="F59" s="18">
        <f t="shared" si="4"/>
        <v>90.437515647058149</v>
      </c>
      <c r="G59" s="1">
        <v>53</v>
      </c>
      <c r="H59" s="177" t="s">
        <v>1714</v>
      </c>
      <c r="I59" s="157">
        <v>7021</v>
      </c>
      <c r="J59" s="114" t="s">
        <v>316</v>
      </c>
      <c r="K59" s="114" t="s">
        <v>317</v>
      </c>
      <c r="L59" s="114" t="s">
        <v>217</v>
      </c>
      <c r="M59" s="116">
        <v>20956</v>
      </c>
      <c r="N59" s="115" t="s">
        <v>1715</v>
      </c>
      <c r="O59" s="124" t="s">
        <v>1716</v>
      </c>
      <c r="P59" s="116">
        <v>40461</v>
      </c>
      <c r="Q59" s="115"/>
    </row>
    <row r="60" spans="1:17">
      <c r="A60" s="1">
        <v>54</v>
      </c>
      <c r="B60" s="177" t="s">
        <v>1717</v>
      </c>
      <c r="C60" s="24">
        <f t="shared" si="1"/>
        <v>122.18333333333334</v>
      </c>
      <c r="D60" s="24">
        <f t="shared" si="3"/>
        <v>107.09950650885274</v>
      </c>
      <c r="E60" s="232">
        <f>H.Marathon!$E60*(1-$K$2)+Marathon!$E60*$K$2</f>
        <v>0.84812093252572684</v>
      </c>
      <c r="F60" s="18">
        <f t="shared" si="4"/>
        <v>87.654759112415277</v>
      </c>
      <c r="G60" s="1">
        <v>54</v>
      </c>
      <c r="H60" s="177" t="s">
        <v>1717</v>
      </c>
      <c r="I60" s="157">
        <v>7331</v>
      </c>
      <c r="J60" s="114" t="s">
        <v>1718</v>
      </c>
      <c r="K60" s="114" t="s">
        <v>1719</v>
      </c>
      <c r="L60" s="114" t="s">
        <v>266</v>
      </c>
      <c r="M60" s="116">
        <v>16420</v>
      </c>
      <c r="N60" s="115"/>
      <c r="O60" s="124" t="s">
        <v>1659</v>
      </c>
      <c r="P60" s="116">
        <v>36212</v>
      </c>
      <c r="Q60" s="115"/>
    </row>
    <row r="61" spans="1:17">
      <c r="A61" s="1">
        <v>55</v>
      </c>
      <c r="B61" s="177" t="s">
        <v>1720</v>
      </c>
      <c r="C61" s="24">
        <f t="shared" si="1"/>
        <v>134.81666666666666</v>
      </c>
      <c r="D61" s="24">
        <f t="shared" si="3"/>
        <v>108.42910784080688</v>
      </c>
      <c r="E61" s="232">
        <f>H.Marathon!$E61*(1-$K$2)+Marathon!$E61*$K$2</f>
        <v>0.83772093252572688</v>
      </c>
      <c r="F61" s="18">
        <f t="shared" si="4"/>
        <v>80.427079619834501</v>
      </c>
      <c r="G61" s="1">
        <v>55</v>
      </c>
      <c r="H61" s="177" t="s">
        <v>1720</v>
      </c>
      <c r="I61" s="157">
        <v>8089</v>
      </c>
      <c r="J61" s="115" t="s">
        <v>1250</v>
      </c>
      <c r="K61" s="115" t="s">
        <v>1251</v>
      </c>
      <c r="L61" s="115" t="s">
        <v>217</v>
      </c>
      <c r="M61" s="116">
        <v>14464</v>
      </c>
      <c r="N61" s="115" t="s">
        <v>1703</v>
      </c>
      <c r="O61" s="157" t="s">
        <v>1704</v>
      </c>
      <c r="P61" s="116">
        <v>34651</v>
      </c>
      <c r="Q61" s="115"/>
    </row>
    <row r="62" spans="1:17">
      <c r="A62" s="1">
        <v>56</v>
      </c>
      <c r="B62" s="177" t="s">
        <v>1721</v>
      </c>
      <c r="C62" s="24">
        <f t="shared" si="1"/>
        <v>133.46666666666667</v>
      </c>
      <c r="D62" s="24">
        <f t="shared" si="3"/>
        <v>109.81257077195721</v>
      </c>
      <c r="E62" s="232">
        <f>H.Marathon!$E62*(1-$K$2)+Marathon!$E62*$K$2</f>
        <v>0.82716698730205318</v>
      </c>
      <c r="F62" s="18">
        <f t="shared" si="4"/>
        <v>82.277150928039873</v>
      </c>
      <c r="G62" s="1">
        <v>56</v>
      </c>
      <c r="H62" s="177" t="s">
        <v>1721</v>
      </c>
      <c r="I62" s="157">
        <v>8008</v>
      </c>
      <c r="J62" s="114" t="s">
        <v>1250</v>
      </c>
      <c r="K62" s="114" t="s">
        <v>1251</v>
      </c>
      <c r="L62" s="114" t="s">
        <v>217</v>
      </c>
      <c r="M62" s="116">
        <v>14464</v>
      </c>
      <c r="N62" s="115" t="s">
        <v>1703</v>
      </c>
      <c r="O62" s="124" t="s">
        <v>1704</v>
      </c>
      <c r="P62" s="116">
        <v>35015</v>
      </c>
      <c r="Q62" s="115"/>
    </row>
    <row r="63" spans="1:17">
      <c r="A63" s="1">
        <v>57</v>
      </c>
      <c r="B63" s="177" t="s">
        <v>1722</v>
      </c>
      <c r="C63" s="24">
        <f t="shared" si="1"/>
        <v>131.94999999999999</v>
      </c>
      <c r="D63" s="24">
        <f t="shared" si="3"/>
        <v>111.25233652362161</v>
      </c>
      <c r="E63" s="232">
        <f>H.Marathon!$E63*(1-$K$2)+Marathon!$E63*$K$2</f>
        <v>0.81646225303364472</v>
      </c>
      <c r="F63" s="18">
        <f t="shared" si="4"/>
        <v>84.314010249050114</v>
      </c>
      <c r="G63" s="1">
        <v>57</v>
      </c>
      <c r="H63" s="177" t="s">
        <v>1722</v>
      </c>
      <c r="I63" s="157">
        <v>7917</v>
      </c>
      <c r="J63" s="114" t="s">
        <v>1298</v>
      </c>
      <c r="K63" s="114" t="s">
        <v>1723</v>
      </c>
      <c r="L63" s="114" t="s">
        <v>217</v>
      </c>
      <c r="M63" s="116">
        <v>19118</v>
      </c>
      <c r="N63" s="115" t="s">
        <v>1703</v>
      </c>
      <c r="O63" s="124" t="s">
        <v>1704</v>
      </c>
      <c r="P63" s="116">
        <v>40125</v>
      </c>
      <c r="Q63" s="115"/>
    </row>
    <row r="64" spans="1:17">
      <c r="A64" s="1">
        <v>58</v>
      </c>
      <c r="B64" s="177" t="s">
        <v>1724</v>
      </c>
      <c r="C64" s="24">
        <f t="shared" si="1"/>
        <v>133.63333333333333</v>
      </c>
      <c r="D64" s="24">
        <f t="shared" si="3"/>
        <v>112.73057851382859</v>
      </c>
      <c r="E64" s="232">
        <f>H.Marathon!$E64*(1-$K$2)+Marathon!$E64*$K$2</f>
        <v>0.80575594067576684</v>
      </c>
      <c r="F64" s="18">
        <f t="shared" si="4"/>
        <v>84.358128097152857</v>
      </c>
      <c r="G64" s="1">
        <v>58</v>
      </c>
      <c r="H64" s="177" t="s">
        <v>1724</v>
      </c>
      <c r="I64" s="157">
        <v>8018</v>
      </c>
      <c r="J64" s="114" t="s">
        <v>1250</v>
      </c>
      <c r="K64" s="114" t="s">
        <v>1251</v>
      </c>
      <c r="L64" s="114" t="s">
        <v>217</v>
      </c>
      <c r="M64" s="116">
        <v>14464</v>
      </c>
      <c r="N64" s="115" t="s">
        <v>1703</v>
      </c>
      <c r="O64" s="124" t="s">
        <v>1704</v>
      </c>
      <c r="P64" s="116">
        <v>35750</v>
      </c>
      <c r="Q64" s="115"/>
    </row>
    <row r="65" spans="1:17">
      <c r="A65" s="1">
        <v>59</v>
      </c>
      <c r="B65" s="177" t="s">
        <v>1725</v>
      </c>
      <c r="C65" s="24">
        <f t="shared" si="1"/>
        <v>136.13333333333333</v>
      </c>
      <c r="D65" s="24">
        <f t="shared" si="3"/>
        <v>114.24840639357926</v>
      </c>
      <c r="E65" s="232">
        <f>H.Marathon!$E65*(1-$K$2)+Marathon!$E65*$K$2</f>
        <v>0.79505120640735838</v>
      </c>
      <c r="F65" s="18">
        <f t="shared" si="4"/>
        <v>83.923902835636085</v>
      </c>
      <c r="G65" s="1">
        <v>59</v>
      </c>
      <c r="H65" s="177" t="s">
        <v>1725</v>
      </c>
      <c r="I65" s="157">
        <v>8168</v>
      </c>
      <c r="J65" s="115" t="s">
        <v>1250</v>
      </c>
      <c r="K65" s="115" t="s">
        <v>1251</v>
      </c>
      <c r="L65" s="115" t="s">
        <v>217</v>
      </c>
      <c r="M65" s="116">
        <v>14464</v>
      </c>
      <c r="N65" s="115" t="s">
        <v>1703</v>
      </c>
      <c r="O65" s="157" t="s">
        <v>1704</v>
      </c>
      <c r="P65" s="116">
        <v>36114</v>
      </c>
      <c r="Q65" s="115"/>
    </row>
    <row r="66" spans="1:17" ht="15.75">
      <c r="A66" s="1">
        <v>60</v>
      </c>
      <c r="B66" s="177" t="s">
        <v>1726</v>
      </c>
      <c r="C66" s="24">
        <f t="shared" si="1"/>
        <v>119.51666666666667</v>
      </c>
      <c r="D66" s="24">
        <f t="shared" si="3"/>
        <v>115.80789780420642</v>
      </c>
      <c r="E66" s="232">
        <f>H.Marathon!$E66*(1-$K$2)+Marathon!$E66*$K$2</f>
        <v>0.78434489404948049</v>
      </c>
      <c r="F66" s="18">
        <f t="shared" si="4"/>
        <v>96.896860525064639</v>
      </c>
      <c r="G66" s="1">
        <v>60</v>
      </c>
      <c r="H66" s="177" t="s">
        <v>1726</v>
      </c>
      <c r="I66" s="157">
        <v>7171</v>
      </c>
      <c r="J66" s="124" t="s">
        <v>1026</v>
      </c>
      <c r="K66" s="124" t="s">
        <v>1027</v>
      </c>
      <c r="L66" s="124" t="s">
        <v>217</v>
      </c>
      <c r="M66" s="156">
        <v>23193</v>
      </c>
      <c r="N66" s="182" t="s">
        <v>1655</v>
      </c>
      <c r="O66" s="182" t="s">
        <v>865</v>
      </c>
      <c r="P66" s="183">
        <v>45207</v>
      </c>
      <c r="Q66" s="115"/>
    </row>
    <row r="67" spans="1:17">
      <c r="A67" s="1">
        <v>61</v>
      </c>
      <c r="B67" s="177" t="s">
        <v>1727</v>
      </c>
      <c r="C67" s="24">
        <f t="shared" si="1"/>
        <v>144.69999999999999</v>
      </c>
      <c r="D67" s="24">
        <f t="shared" si="3"/>
        <v>117.41802145868948</v>
      </c>
      <c r="E67" s="232">
        <f>H.Marathon!$E67*(1-$K$2)+Marathon!$E67*$K$2</f>
        <v>0.77358937073633727</v>
      </c>
      <c r="F67" s="18">
        <f t="shared" si="4"/>
        <v>81.145833765507589</v>
      </c>
      <c r="G67" s="1">
        <v>61</v>
      </c>
      <c r="H67" s="177" t="s">
        <v>1727</v>
      </c>
      <c r="I67" s="157">
        <v>8682</v>
      </c>
      <c r="J67" s="114" t="s">
        <v>821</v>
      </c>
      <c r="K67" s="114" t="s">
        <v>1748</v>
      </c>
      <c r="L67" s="114" t="s">
        <v>263</v>
      </c>
      <c r="M67" s="116">
        <v>19618</v>
      </c>
      <c r="N67" s="115"/>
      <c r="O67" s="124" t="s">
        <v>1749</v>
      </c>
      <c r="P67" s="116">
        <v>42085</v>
      </c>
      <c r="Q67" s="115"/>
    </row>
    <row r="68" spans="1:17">
      <c r="A68" s="1">
        <v>62</v>
      </c>
      <c r="B68" s="177" t="s">
        <v>1728</v>
      </c>
      <c r="C68" s="24">
        <f t="shared" si="1"/>
        <v>140.33333333333334</v>
      </c>
      <c r="D68" s="24">
        <f t="shared" si="3"/>
        <v>119.05794144554281</v>
      </c>
      <c r="E68" s="232">
        <f>H.Marathon!$E68*(1-$K$2)+Marathon!$E68*$K$2</f>
        <v>0.76293384742319414</v>
      </c>
      <c r="F68" s="18">
        <f t="shared" si="4"/>
        <v>84.83938820347467</v>
      </c>
      <c r="G68" s="1">
        <v>62</v>
      </c>
      <c r="H68" s="177" t="s">
        <v>1728</v>
      </c>
      <c r="I68" s="157">
        <v>8420</v>
      </c>
      <c r="J68" s="114" t="s">
        <v>821</v>
      </c>
      <c r="K68" s="114" t="s">
        <v>1748</v>
      </c>
      <c r="L68" s="114" t="s">
        <v>263</v>
      </c>
      <c r="M68" s="116">
        <v>19618</v>
      </c>
      <c r="N68" s="115"/>
      <c r="O68" s="124" t="s">
        <v>1749</v>
      </c>
      <c r="P68" s="116">
        <v>42434</v>
      </c>
      <c r="Q68" s="115"/>
    </row>
    <row r="69" spans="1:17">
      <c r="A69" s="1">
        <v>63</v>
      </c>
      <c r="B69" s="177" t="s">
        <v>1729</v>
      </c>
      <c r="C69" s="24">
        <f t="shared" si="1"/>
        <v>143.5</v>
      </c>
      <c r="D69" s="24">
        <f t="shared" si="3"/>
        <v>120.76037080808453</v>
      </c>
      <c r="E69" s="232">
        <f>H.Marathon!$E69*(1-$K$2)+Marathon!$E69*$K$2</f>
        <v>0.75217832411005092</v>
      </c>
      <c r="F69" s="18">
        <f t="shared" si="4"/>
        <v>84.153568507375979</v>
      </c>
      <c r="G69" s="1">
        <v>63</v>
      </c>
      <c r="H69" s="177" t="s">
        <v>1729</v>
      </c>
      <c r="I69" s="157">
        <v>8610</v>
      </c>
      <c r="J69" s="114" t="s">
        <v>872</v>
      </c>
      <c r="K69" s="114" t="s">
        <v>1750</v>
      </c>
      <c r="L69" s="114" t="s">
        <v>263</v>
      </c>
      <c r="M69" s="116">
        <v>19269</v>
      </c>
      <c r="N69" s="115"/>
      <c r="O69" s="124" t="s">
        <v>1751</v>
      </c>
      <c r="P69" s="116">
        <v>42379</v>
      </c>
      <c r="Q69" s="115"/>
    </row>
    <row r="70" spans="1:17">
      <c r="A70" s="1">
        <v>64</v>
      </c>
      <c r="B70" s="177" t="s">
        <v>1730</v>
      </c>
      <c r="C70" s="24">
        <f t="shared" si="1"/>
        <v>166.16666666666666</v>
      </c>
      <c r="D70" s="24">
        <f t="shared" si="3"/>
        <v>122.49567138827773</v>
      </c>
      <c r="E70" s="232">
        <f>H.Marathon!$E70*(1-$K$2)+Marathon!$E70*$K$2</f>
        <v>0.7415228007969078</v>
      </c>
      <c r="F70" s="18">
        <f t="shared" si="4"/>
        <v>73.718558508492123</v>
      </c>
      <c r="G70" s="1">
        <v>64</v>
      </c>
      <c r="H70" s="177" t="s">
        <v>1730</v>
      </c>
      <c r="I70" s="157">
        <v>9970</v>
      </c>
      <c r="J70" s="115" t="s">
        <v>281</v>
      </c>
      <c r="K70" s="115" t="s">
        <v>1752</v>
      </c>
      <c r="L70" s="115" t="s">
        <v>217</v>
      </c>
      <c r="M70" s="116">
        <v>8891</v>
      </c>
      <c r="N70" s="115" t="s">
        <v>1703</v>
      </c>
      <c r="O70" s="124" t="s">
        <v>1704</v>
      </c>
      <c r="P70" s="116">
        <v>32460</v>
      </c>
      <c r="Q70" s="115"/>
    </row>
    <row r="71" spans="1:17">
      <c r="A71" s="1">
        <v>65</v>
      </c>
      <c r="B71" s="177" t="s">
        <v>1731</v>
      </c>
      <c r="C71" s="24">
        <f t="shared" si="1"/>
        <v>147.9</v>
      </c>
      <c r="D71" s="24">
        <f t="shared" si="3"/>
        <v>124.29857785381117</v>
      </c>
      <c r="E71" s="232">
        <f>H.Marathon!$E71*(1-$K$2)+Marathon!$E71*$K$2</f>
        <v>0.73076727748376458</v>
      </c>
      <c r="F71" s="18">
        <f t="shared" si="4"/>
        <v>84.042310922117082</v>
      </c>
      <c r="G71" s="1">
        <v>65</v>
      </c>
      <c r="H71" s="177" t="s">
        <v>1731</v>
      </c>
      <c r="I71" s="157">
        <v>8874</v>
      </c>
      <c r="J71" s="114" t="s">
        <v>1250</v>
      </c>
      <c r="K71" s="114" t="s">
        <v>1251</v>
      </c>
      <c r="L71" s="114" t="s">
        <v>217</v>
      </c>
      <c r="M71" s="116">
        <v>14464</v>
      </c>
      <c r="N71" s="115" t="s">
        <v>1703</v>
      </c>
      <c r="O71" s="124" t="s">
        <v>1704</v>
      </c>
      <c r="P71" s="116">
        <v>38305</v>
      </c>
      <c r="Q71" s="115"/>
    </row>
    <row r="72" spans="1:17">
      <c r="A72" s="1">
        <v>66</v>
      </c>
      <c r="B72" s="177" t="s">
        <v>1732</v>
      </c>
      <c r="C72" s="24">
        <f t="shared" si="1"/>
        <v>152.53333333333333</v>
      </c>
      <c r="D72" s="24">
        <f t="shared" si="3"/>
        <v>126.14672608652401</v>
      </c>
      <c r="E72" s="232">
        <f>H.Marathon!$E72*(1-$K$2)+Marathon!$E72*$K$2</f>
        <v>0.72006096512588669</v>
      </c>
      <c r="F72" s="18">
        <f t="shared" si="4"/>
        <v>82.701087906375008</v>
      </c>
      <c r="G72" s="1">
        <v>66</v>
      </c>
      <c r="H72" s="177" t="s">
        <v>1732</v>
      </c>
      <c r="I72" s="157">
        <v>9152</v>
      </c>
      <c r="J72" s="114" t="s">
        <v>1250</v>
      </c>
      <c r="K72" s="114" t="s">
        <v>1251</v>
      </c>
      <c r="L72" s="114" t="s">
        <v>217</v>
      </c>
      <c r="M72" s="116">
        <v>14464</v>
      </c>
      <c r="N72" s="115" t="s">
        <v>1703</v>
      </c>
      <c r="O72" s="124" t="s">
        <v>1704</v>
      </c>
      <c r="P72" s="116">
        <v>38669</v>
      </c>
      <c r="Q72" s="115"/>
    </row>
    <row r="73" spans="1:17">
      <c r="A73" s="1">
        <v>67</v>
      </c>
      <c r="B73" s="177" t="s">
        <v>1733</v>
      </c>
      <c r="C73" s="24">
        <f t="shared" si="1"/>
        <v>178.1</v>
      </c>
      <c r="D73" s="24">
        <f t="shared" si="3"/>
        <v>128.05037776792759</v>
      </c>
      <c r="E73" s="232">
        <f>H.Marathon!$E73*(1-$K$2)+Marathon!$E73*$K$2</f>
        <v>0.70935623085747834</v>
      </c>
      <c r="F73" s="18">
        <f t="shared" si="4"/>
        <v>71.898022328987977</v>
      </c>
      <c r="G73" s="1">
        <v>67</v>
      </c>
      <c r="H73" s="177" t="s">
        <v>1733</v>
      </c>
      <c r="I73" s="157">
        <v>10686</v>
      </c>
      <c r="J73" s="115" t="s">
        <v>1428</v>
      </c>
      <c r="K73" s="115" t="s">
        <v>1753</v>
      </c>
      <c r="L73" s="115" t="s">
        <v>217</v>
      </c>
      <c r="M73" s="116">
        <v>7758</v>
      </c>
      <c r="N73" s="115" t="s">
        <v>1703</v>
      </c>
      <c r="O73" s="124" t="s">
        <v>1704</v>
      </c>
      <c r="P73" s="116">
        <v>32460</v>
      </c>
      <c r="Q73" s="115"/>
    </row>
    <row r="74" spans="1:17">
      <c r="A74" s="1">
        <v>68</v>
      </c>
      <c r="B74" s="177" t="s">
        <v>1734</v>
      </c>
      <c r="C74" s="24">
        <f t="shared" si="1"/>
        <v>158.76666666666668</v>
      </c>
      <c r="D74" s="24">
        <f t="shared" si="3"/>
        <v>130.01265859789163</v>
      </c>
      <c r="E74" s="232">
        <f>H.Marathon!$E74*(1-$K$2)+Marathon!$E74*$K$2</f>
        <v>0.69864991849960034</v>
      </c>
      <c r="F74" s="18">
        <f t="shared" si="4"/>
        <v>81.889140414376413</v>
      </c>
      <c r="G74" s="1">
        <v>68</v>
      </c>
      <c r="H74" s="177" t="s">
        <v>1734</v>
      </c>
      <c r="I74" s="157">
        <v>9526</v>
      </c>
      <c r="J74" s="114" t="s">
        <v>1754</v>
      </c>
      <c r="K74" s="114" t="s">
        <v>1755</v>
      </c>
      <c r="L74" s="114" t="s">
        <v>217</v>
      </c>
      <c r="M74" s="116">
        <v>11886</v>
      </c>
      <c r="N74" s="115" t="s">
        <v>1703</v>
      </c>
      <c r="O74" s="124" t="s">
        <v>1704</v>
      </c>
      <c r="P74" s="116">
        <v>36842</v>
      </c>
      <c r="Q74" s="115"/>
    </row>
    <row r="75" spans="1:17">
      <c r="A75" s="1">
        <v>69</v>
      </c>
      <c r="B75" s="177" t="s">
        <v>1735</v>
      </c>
      <c r="C75" s="24">
        <f t="shared" si="1"/>
        <v>165.63333333333333</v>
      </c>
      <c r="D75" s="24">
        <f t="shared" ref="D75:D106" si="5">E$4/E75</f>
        <v>132.03571362279899</v>
      </c>
      <c r="E75" s="232">
        <f>H.Marathon!$E75*(1-$K$2)+Marathon!$E75*$K$2</f>
        <v>0.68794518423119189</v>
      </c>
      <c r="F75" s="18">
        <f t="shared" si="4"/>
        <v>79.715665298530297</v>
      </c>
      <c r="G75" s="1">
        <v>69</v>
      </c>
      <c r="H75" s="177" t="s">
        <v>1735</v>
      </c>
      <c r="I75" s="157">
        <v>9938</v>
      </c>
      <c r="J75" s="114" t="s">
        <v>1754</v>
      </c>
      <c r="K75" s="114" t="s">
        <v>1755</v>
      </c>
      <c r="L75" s="114" t="s">
        <v>217</v>
      </c>
      <c r="M75" s="116">
        <v>11886</v>
      </c>
      <c r="N75" s="115" t="s">
        <v>1703</v>
      </c>
      <c r="O75" s="124" t="s">
        <v>1704</v>
      </c>
      <c r="P75" s="116">
        <v>37206</v>
      </c>
      <c r="Q75" s="115"/>
    </row>
    <row r="76" spans="1:17">
      <c r="A76" s="1">
        <v>70</v>
      </c>
      <c r="B76" s="177" t="s">
        <v>1736</v>
      </c>
      <c r="C76" s="24">
        <f t="shared" si="1"/>
        <v>142.48333333333335</v>
      </c>
      <c r="D76" s="24">
        <f t="shared" si="5"/>
        <v>134.12303561678138</v>
      </c>
      <c r="E76" s="232">
        <f>H.Marathon!$E76*(1-$K$2)+Marathon!$E76*$K$2</f>
        <v>0.677238871873314</v>
      </c>
      <c r="F76" s="18">
        <f t="shared" ref="F76:F81" si="6">100*(D76/C76)</f>
        <v>94.13243814489276</v>
      </c>
      <c r="G76" s="1">
        <v>70</v>
      </c>
      <c r="H76" s="177" t="s">
        <v>1736</v>
      </c>
      <c r="I76" s="157">
        <v>8549</v>
      </c>
      <c r="J76" s="114" t="s">
        <v>357</v>
      </c>
      <c r="K76" s="114" t="s">
        <v>358</v>
      </c>
      <c r="L76" s="114" t="s">
        <v>217</v>
      </c>
      <c r="M76" s="116">
        <v>17637</v>
      </c>
      <c r="N76" s="115" t="s">
        <v>1756</v>
      </c>
      <c r="O76" s="124" t="s">
        <v>865</v>
      </c>
      <c r="P76" s="116">
        <v>43380</v>
      </c>
      <c r="Q76" s="115"/>
    </row>
    <row r="77" spans="1:17">
      <c r="A77" s="1">
        <v>71</v>
      </c>
      <c r="B77" s="177" t="s">
        <v>1737</v>
      </c>
      <c r="C77" s="24">
        <f t="shared" ref="C77:C89" si="7">B77*1440</f>
        <v>194.79999999999998</v>
      </c>
      <c r="D77" s="24">
        <f t="shared" si="5"/>
        <v>136.28747594304346</v>
      </c>
      <c r="E77" s="232">
        <f>H.Marathon!$E77*(1-$K$2)+Marathon!$E77*$K$2</f>
        <v>0.66648334856017089</v>
      </c>
      <c r="F77" s="18">
        <f t="shared" si="6"/>
        <v>69.962769991295417</v>
      </c>
      <c r="G77" s="1">
        <v>71</v>
      </c>
      <c r="H77" s="177" t="s">
        <v>1737</v>
      </c>
      <c r="I77" s="157">
        <v>11688</v>
      </c>
      <c r="J77" s="114" t="s">
        <v>1439</v>
      </c>
      <c r="K77" s="114" t="s">
        <v>1440</v>
      </c>
      <c r="L77" s="114" t="s">
        <v>217</v>
      </c>
      <c r="M77" s="116">
        <v>8453</v>
      </c>
      <c r="N77" s="115" t="s">
        <v>1757</v>
      </c>
      <c r="O77" s="124" t="s">
        <v>1758</v>
      </c>
      <c r="P77" s="116">
        <v>34420</v>
      </c>
      <c r="Q77" s="115"/>
    </row>
    <row r="78" spans="1:17">
      <c r="A78" s="1">
        <v>72</v>
      </c>
      <c r="B78" s="177" t="s">
        <v>1738</v>
      </c>
      <c r="C78" s="24">
        <f t="shared" si="7"/>
        <v>171.41666666666666</v>
      </c>
      <c r="D78" s="24">
        <f t="shared" si="5"/>
        <v>138.50179854616505</v>
      </c>
      <c r="E78" s="232">
        <f>H.Marathon!$E78*(1-$K$2)+Marathon!$E78*$K$2</f>
        <v>0.65582782524702754</v>
      </c>
      <c r="F78" s="18">
        <f t="shared" si="6"/>
        <v>80.798326813513881</v>
      </c>
      <c r="G78" s="1">
        <v>72</v>
      </c>
      <c r="H78" s="177" t="s">
        <v>1738</v>
      </c>
      <c r="I78" s="157">
        <v>10285</v>
      </c>
      <c r="J78" s="114" t="s">
        <v>1754</v>
      </c>
      <c r="K78" s="114" t="s">
        <v>1755</v>
      </c>
      <c r="L78" s="114" t="s">
        <v>217</v>
      </c>
      <c r="M78" s="116">
        <v>11886</v>
      </c>
      <c r="N78" s="115" t="s">
        <v>1703</v>
      </c>
      <c r="O78" s="124" t="s">
        <v>1704</v>
      </c>
      <c r="P78" s="116">
        <v>38305</v>
      </c>
      <c r="Q78" s="115"/>
    </row>
    <row r="79" spans="1:17">
      <c r="A79" s="1">
        <v>73</v>
      </c>
      <c r="B79" s="177" t="s">
        <v>1739</v>
      </c>
      <c r="C79" s="24">
        <f t="shared" si="7"/>
        <v>273.28333333333336</v>
      </c>
      <c r="D79" s="24">
        <f t="shared" si="5"/>
        <v>140.81108902214677</v>
      </c>
      <c r="E79" s="232">
        <f>H.Marathon!$E79*(1-$K$2)+Marathon!$E79*$K$2</f>
        <v>0.64507230193388443</v>
      </c>
      <c r="F79" s="18">
        <f t="shared" si="6"/>
        <v>51.52567751008602</v>
      </c>
      <c r="G79" s="1">
        <v>73</v>
      </c>
      <c r="H79" s="177" t="s">
        <v>1739</v>
      </c>
      <c r="I79" s="157">
        <v>16397</v>
      </c>
      <c r="J79" s="114" t="s">
        <v>1759</v>
      </c>
      <c r="K79" s="114" t="s">
        <v>1760</v>
      </c>
      <c r="L79" s="114" t="s">
        <v>217</v>
      </c>
      <c r="M79" s="116"/>
      <c r="N79" s="115" t="s">
        <v>1703</v>
      </c>
      <c r="O79" s="124" t="s">
        <v>1704</v>
      </c>
      <c r="P79" s="116">
        <v>33923</v>
      </c>
      <c r="Q79" s="115"/>
    </row>
    <row r="80" spans="1:17">
      <c r="A80" s="1">
        <v>74</v>
      </c>
      <c r="B80" s="177" t="s">
        <v>1740</v>
      </c>
      <c r="C80" s="24">
        <f t="shared" si="7"/>
        <v>212.23333333333335</v>
      </c>
      <c r="D80" s="24">
        <f t="shared" si="5"/>
        <v>143.22198407472479</v>
      </c>
      <c r="E80" s="232">
        <f>H.Marathon!$E80*(1-$K$2)+Marathon!$E80*$K$2</f>
        <v>0.63421362244180235</v>
      </c>
      <c r="F80" s="18">
        <f t="shared" si="6"/>
        <v>67.483265623397884</v>
      </c>
      <c r="G80" s="1">
        <v>74</v>
      </c>
      <c r="H80" s="177" t="s">
        <v>1740</v>
      </c>
      <c r="I80" s="157">
        <v>12734</v>
      </c>
      <c r="J80" s="114" t="s">
        <v>284</v>
      </c>
      <c r="K80" s="114" t="s">
        <v>1761</v>
      </c>
      <c r="L80" s="114" t="s">
        <v>217</v>
      </c>
      <c r="M80" s="116">
        <v>8805</v>
      </c>
      <c r="N80" s="115" t="s">
        <v>1762</v>
      </c>
      <c r="O80" s="124" t="s">
        <v>774</v>
      </c>
      <c r="P80" s="116">
        <v>36037</v>
      </c>
      <c r="Q80" s="115"/>
    </row>
    <row r="81" spans="1:17" ht="15.75">
      <c r="A81" s="1">
        <v>75</v>
      </c>
      <c r="B81" s="177" t="s">
        <v>1741</v>
      </c>
      <c r="C81" s="24">
        <f t="shared" si="7"/>
        <v>146.85</v>
      </c>
      <c r="D81" s="24">
        <f t="shared" si="5"/>
        <v>145.83532638904867</v>
      </c>
      <c r="E81" s="232">
        <f>H.Marathon!$E81*(1-$K$2)+Marathon!$E81*$K$2</f>
        <v>0.62284863059184237</v>
      </c>
      <c r="F81" s="18">
        <f t="shared" si="6"/>
        <v>99.309040782464194</v>
      </c>
      <c r="G81" s="1">
        <v>75</v>
      </c>
      <c r="H81" s="177" t="s">
        <v>1741</v>
      </c>
      <c r="I81" s="157">
        <v>8811</v>
      </c>
      <c r="J81" s="184" t="s">
        <v>357</v>
      </c>
      <c r="K81" s="184" t="s">
        <v>899</v>
      </c>
      <c r="L81" s="184" t="s">
        <v>217</v>
      </c>
      <c r="M81" s="185">
        <v>17637</v>
      </c>
      <c r="N81" s="182" t="s">
        <v>1655</v>
      </c>
      <c r="O81" s="182" t="s">
        <v>865</v>
      </c>
      <c r="P81" s="183">
        <v>45207</v>
      </c>
      <c r="Q81" s="115"/>
    </row>
    <row r="82" spans="1:17" ht="15.75">
      <c r="A82" s="1">
        <v>76</v>
      </c>
      <c r="B82" s="177"/>
      <c r="C82" s="24"/>
      <c r="D82" s="24">
        <f t="shared" si="5"/>
        <v>148.66852630797655</v>
      </c>
      <c r="E82" s="232">
        <f>H.Marathon!$E82*(1-$K$2)+Marathon!$E82*$K$2</f>
        <v>0.61097890447347392</v>
      </c>
      <c r="F82" s="18"/>
      <c r="G82" s="1">
        <v>76</v>
      </c>
      <c r="H82" s="177"/>
      <c r="I82" s="157"/>
      <c r="J82" s="184"/>
      <c r="K82" s="184"/>
      <c r="L82" s="184"/>
      <c r="M82" s="185"/>
      <c r="N82" s="182"/>
      <c r="O82" s="182"/>
      <c r="P82" s="183"/>
      <c r="Q82" s="115"/>
    </row>
    <row r="83" spans="1:17">
      <c r="A83" s="1">
        <v>77</v>
      </c>
      <c r="B83" s="177" t="s">
        <v>1742</v>
      </c>
      <c r="C83" s="24">
        <f t="shared" si="7"/>
        <v>217.86666666666665</v>
      </c>
      <c r="D83" s="24">
        <f t="shared" si="5"/>
        <v>151.80382759904137</v>
      </c>
      <c r="E83" s="232">
        <f>H.Marathon!$E83*(1-$K$2)+Marathon!$E83*$K$2</f>
        <v>0.5983599673998401</v>
      </c>
      <c r="F83" s="18">
        <f>100*(D83/C83)</f>
        <v>69.677399448764405</v>
      </c>
      <c r="G83" s="1">
        <v>77</v>
      </c>
      <c r="H83" s="177" t="s">
        <v>1742</v>
      </c>
      <c r="I83" s="157">
        <v>13072</v>
      </c>
      <c r="J83" s="114" t="s">
        <v>1590</v>
      </c>
      <c r="K83" s="114" t="s">
        <v>1763</v>
      </c>
      <c r="L83" s="114" t="s">
        <v>217</v>
      </c>
      <c r="M83" s="116">
        <v>7742</v>
      </c>
      <c r="N83" s="115" t="s">
        <v>1764</v>
      </c>
      <c r="O83" s="124" t="s">
        <v>1483</v>
      </c>
      <c r="P83" s="116">
        <v>35938</v>
      </c>
      <c r="Q83" s="115"/>
    </row>
    <row r="84" spans="1:17">
      <c r="A84" s="1">
        <v>78</v>
      </c>
      <c r="B84" s="177" t="s">
        <v>1743</v>
      </c>
      <c r="C84" s="24">
        <f t="shared" si="7"/>
        <v>234.7</v>
      </c>
      <c r="D84" s="24">
        <f t="shared" si="5"/>
        <v>155.31286045828435</v>
      </c>
      <c r="E84" s="232">
        <f>H.Marathon!$E84*(1-$K$2)+Marathon!$E84*$K$2</f>
        <v>0.58484103032620638</v>
      </c>
      <c r="F84" s="18"/>
      <c r="G84" s="1">
        <v>78</v>
      </c>
      <c r="H84" s="177" t="s">
        <v>1743</v>
      </c>
      <c r="I84" s="157">
        <v>14082</v>
      </c>
      <c r="J84" s="114" t="s">
        <v>1590</v>
      </c>
      <c r="K84" s="114" t="s">
        <v>1763</v>
      </c>
      <c r="L84" s="114" t="s">
        <v>217</v>
      </c>
      <c r="M84" s="116">
        <v>7742</v>
      </c>
      <c r="N84" s="115" t="s">
        <v>1764</v>
      </c>
      <c r="O84" s="124" t="s">
        <v>1483</v>
      </c>
      <c r="P84" s="116">
        <v>36267</v>
      </c>
      <c r="Q84" s="115"/>
    </row>
    <row r="85" spans="1:17">
      <c r="A85" s="1">
        <v>79</v>
      </c>
      <c r="B85" s="177" t="s">
        <v>1744</v>
      </c>
      <c r="C85" s="24">
        <f t="shared" si="7"/>
        <v>244.4</v>
      </c>
      <c r="D85" s="24">
        <f t="shared" si="5"/>
        <v>159.1829941521876</v>
      </c>
      <c r="E85" s="232">
        <f>H.Marathon!$E85*(1-$K$2)+Marathon!$E85*$K$2</f>
        <v>0.57062209325257274</v>
      </c>
      <c r="F85" s="18"/>
      <c r="G85" s="1">
        <v>79</v>
      </c>
      <c r="H85" s="177" t="s">
        <v>1744</v>
      </c>
      <c r="I85" s="157">
        <v>14664</v>
      </c>
      <c r="J85" s="114" t="s">
        <v>1765</v>
      </c>
      <c r="K85" s="114" t="s">
        <v>366</v>
      </c>
      <c r="L85" s="114" t="s">
        <v>217</v>
      </c>
      <c r="M85" s="116">
        <v>3536</v>
      </c>
      <c r="N85" s="116" t="s">
        <v>1766</v>
      </c>
      <c r="O85" s="157" t="s">
        <v>1570</v>
      </c>
      <c r="P85" s="116">
        <v>32551</v>
      </c>
      <c r="Q85" s="115"/>
    </row>
    <row r="86" spans="1:17">
      <c r="A86" s="1">
        <v>80</v>
      </c>
      <c r="B86" s="177"/>
      <c r="C86" s="24"/>
      <c r="D86" s="24">
        <f t="shared" si="5"/>
        <v>163.5009383577891</v>
      </c>
      <c r="E86" s="232">
        <f>H.Marathon!$E86*(1-$K$2)+Marathon!$E86*$K$2</f>
        <v>0.55555236713420419</v>
      </c>
      <c r="F86" s="18"/>
      <c r="G86" s="1">
        <v>80</v>
      </c>
      <c r="H86" s="177"/>
      <c r="I86" s="157"/>
      <c r="J86" s="114"/>
      <c r="K86" s="114"/>
      <c r="L86" s="114"/>
      <c r="M86" s="116"/>
      <c r="N86" s="116"/>
      <c r="O86" s="157"/>
      <c r="P86" s="116"/>
      <c r="Q86" s="115"/>
    </row>
    <row r="87" spans="1:17">
      <c r="A87" s="1">
        <v>81</v>
      </c>
      <c r="B87" s="177" t="s">
        <v>1745</v>
      </c>
      <c r="C87" s="24">
        <f t="shared" si="7"/>
        <v>253.53333333333333</v>
      </c>
      <c r="D87" s="24">
        <f t="shared" si="5"/>
        <v>168.32414056174738</v>
      </c>
      <c r="E87" s="232">
        <f>H.Marathon!$E87*(1-$K$2)+Marathon!$E87*$K$2</f>
        <v>0.53963343006057052</v>
      </c>
      <c r="F87" s="18"/>
      <c r="G87" s="1">
        <v>81</v>
      </c>
      <c r="H87" s="177" t="s">
        <v>1745</v>
      </c>
      <c r="I87" s="157">
        <v>15212</v>
      </c>
      <c r="J87" s="114" t="s">
        <v>921</v>
      </c>
      <c r="K87" s="114" t="s">
        <v>1767</v>
      </c>
      <c r="L87" s="114" t="s">
        <v>217</v>
      </c>
      <c r="M87" s="116">
        <v>2649</v>
      </c>
      <c r="N87" s="115" t="s">
        <v>1768</v>
      </c>
      <c r="O87" s="124" t="s">
        <v>1704</v>
      </c>
      <c r="P87" s="116">
        <v>32460</v>
      </c>
      <c r="Q87" s="115"/>
    </row>
    <row r="88" spans="1:17">
      <c r="A88" s="1">
        <v>82</v>
      </c>
      <c r="B88" s="178" t="s">
        <v>1746</v>
      </c>
      <c r="C88" s="24">
        <f t="shared" si="7"/>
        <v>257.88333333333333</v>
      </c>
      <c r="D88" s="24">
        <f t="shared" si="5"/>
        <v>173.67268890501296</v>
      </c>
      <c r="E88" s="232">
        <f>H.Marathon!$E88*(1-$K$2)+Marathon!$E88*$K$2</f>
        <v>0.5230144929869367</v>
      </c>
      <c r="F88" s="18"/>
      <c r="G88" s="1">
        <v>82</v>
      </c>
      <c r="H88" s="178" t="s">
        <v>1746</v>
      </c>
      <c r="I88" s="157">
        <v>15473</v>
      </c>
      <c r="J88" s="114" t="s">
        <v>921</v>
      </c>
      <c r="K88" s="114" t="s">
        <v>1767</v>
      </c>
      <c r="L88" s="114" t="s">
        <v>217</v>
      </c>
      <c r="M88" s="116">
        <v>2649</v>
      </c>
      <c r="N88" s="115" t="s">
        <v>1768</v>
      </c>
      <c r="O88" s="124" t="s">
        <v>1704</v>
      </c>
      <c r="P88" s="116">
        <v>32824</v>
      </c>
      <c r="Q88" s="115"/>
    </row>
    <row r="89" spans="1:17">
      <c r="A89" s="1">
        <v>83</v>
      </c>
      <c r="B89" s="178" t="s">
        <v>1747</v>
      </c>
      <c r="C89" s="24">
        <f t="shared" si="7"/>
        <v>273.40000000000003</v>
      </c>
      <c r="D89" s="24">
        <f t="shared" si="5"/>
        <v>179.67416396369947</v>
      </c>
      <c r="E89" s="232">
        <f>H.Marathon!$E89*(1-$K$2)+Marathon!$E89*$K$2</f>
        <v>0.5055447668685682</v>
      </c>
      <c r="F89" s="18"/>
      <c r="G89" s="1">
        <v>83</v>
      </c>
      <c r="H89" s="178" t="s">
        <v>1747</v>
      </c>
      <c r="I89" s="157">
        <v>16404</v>
      </c>
      <c r="J89" s="114" t="s">
        <v>1769</v>
      </c>
      <c r="K89" s="114" t="s">
        <v>1770</v>
      </c>
      <c r="L89" s="114" t="s">
        <v>217</v>
      </c>
      <c r="M89" s="116">
        <v>8952</v>
      </c>
      <c r="N89" s="115" t="s">
        <v>1768</v>
      </c>
      <c r="O89" s="124" t="s">
        <v>1704</v>
      </c>
      <c r="P89" s="116">
        <v>39397</v>
      </c>
      <c r="Q89" s="115"/>
    </row>
    <row r="90" spans="1:17">
      <c r="A90" s="1">
        <v>84</v>
      </c>
      <c r="B90" s="202"/>
      <c r="C90" s="24"/>
      <c r="D90" s="24">
        <f t="shared" si="5"/>
        <v>186.39137878563869</v>
      </c>
      <c r="E90" s="232">
        <f>H.Marathon!$E90*(1-$K$2)+Marathon!$E90*$K$2</f>
        <v>0.48732582979493455</v>
      </c>
      <c r="F90" s="18"/>
      <c r="G90" s="1">
        <v>84</v>
      </c>
      <c r="H90" s="158"/>
    </row>
    <row r="91" spans="1:17">
      <c r="A91" s="1">
        <v>85</v>
      </c>
      <c r="B91" s="202"/>
      <c r="C91" s="24"/>
      <c r="D91" s="24">
        <f t="shared" si="5"/>
        <v>194.00255473684726</v>
      </c>
      <c r="E91" s="232">
        <f>H.Marathon!$E91*(1-$K$2)+Marathon!$E91*$K$2</f>
        <v>0.46820689272130084</v>
      </c>
      <c r="F91" s="18"/>
      <c r="G91" s="1">
        <v>85</v>
      </c>
      <c r="H91" s="158"/>
    </row>
    <row r="92" spans="1:17">
      <c r="A92" s="1">
        <v>86</v>
      </c>
      <c r="B92" s="202"/>
      <c r="C92" s="24"/>
      <c r="D92" s="24">
        <f t="shared" si="5"/>
        <v>202.60049824015468</v>
      </c>
      <c r="E92" s="232">
        <f>H.Marathon!$E92*(1-$K$2)+Marathon!$E92*$K$2</f>
        <v>0.44833716660293238</v>
      </c>
      <c r="F92" s="18"/>
      <c r="G92" s="1">
        <v>86</v>
      </c>
      <c r="H92" s="158"/>
    </row>
    <row r="93" spans="1:17">
      <c r="A93" s="1">
        <v>87</v>
      </c>
      <c r="B93" s="202"/>
      <c r="C93" s="24"/>
      <c r="D93" s="24">
        <f t="shared" si="5"/>
        <v>212.36722464061185</v>
      </c>
      <c r="E93" s="232">
        <f>H.Marathon!$E93*(1-$K$2)+Marathon!$E93*$K$2</f>
        <v>0.42771822952929861</v>
      </c>
      <c r="F93" s="18"/>
      <c r="G93" s="1">
        <v>87</v>
      </c>
      <c r="H93" s="158"/>
    </row>
    <row r="94" spans="1:17">
      <c r="A94" s="1">
        <v>88</v>
      </c>
      <c r="B94" s="202"/>
      <c r="C94" s="24"/>
      <c r="D94" s="24">
        <f t="shared" si="5"/>
        <v>223.61765522584571</v>
      </c>
      <c r="E94" s="232">
        <f>H.Marathon!$E94*(1-$K$2)+Marathon!$E94*$K$2</f>
        <v>0.40619929245566488</v>
      </c>
      <c r="F94" s="18"/>
      <c r="G94" s="1">
        <v>88</v>
      </c>
      <c r="H94" s="158"/>
    </row>
    <row r="95" spans="1:17">
      <c r="A95" s="1">
        <v>89</v>
      </c>
      <c r="B95" s="202"/>
      <c r="C95" s="24"/>
      <c r="D95" s="24">
        <f t="shared" si="5"/>
        <v>236.5572406509211</v>
      </c>
      <c r="E95" s="232">
        <f>H.Marathon!$E95*(1-$K$2)+Marathon!$E95*$K$2</f>
        <v>0.38398035538203112</v>
      </c>
      <c r="F95" s="18"/>
      <c r="G95" s="1">
        <v>89</v>
      </c>
      <c r="H95" s="158"/>
    </row>
    <row r="96" spans="1:17">
      <c r="A96" s="1">
        <v>90</v>
      </c>
      <c r="B96" s="202"/>
      <c r="C96" s="24"/>
      <c r="D96" s="24">
        <f t="shared" si="5"/>
        <v>251.67818836107261</v>
      </c>
      <c r="E96" s="232">
        <f>H.Marathon!$E96*(1-$K$2)+Marathon!$E96*$K$2</f>
        <v>0.36091062926366269</v>
      </c>
      <c r="F96" s="18"/>
      <c r="G96" s="1">
        <v>90</v>
      </c>
      <c r="H96" s="158"/>
    </row>
    <row r="97" spans="1:8">
      <c r="A97" s="1">
        <v>91</v>
      </c>
      <c r="B97" s="202"/>
      <c r="C97" s="24"/>
      <c r="D97" s="24">
        <f t="shared" si="5"/>
        <v>269.54175856095759</v>
      </c>
      <c r="E97" s="232">
        <f>H.Marathon!$E97*(1-$K$2)+Marathon!$E97*$K$2</f>
        <v>0.336991692190029</v>
      </c>
      <c r="F97" s="18"/>
      <c r="G97" s="1">
        <v>91</v>
      </c>
      <c r="H97" s="158"/>
    </row>
    <row r="98" spans="1:8">
      <c r="A98" s="1">
        <v>92</v>
      </c>
      <c r="B98" s="202"/>
      <c r="C98" s="24"/>
      <c r="D98" s="24">
        <f t="shared" si="5"/>
        <v>290.78506958613383</v>
      </c>
      <c r="E98" s="232">
        <f>H.Marathon!$E98*(1-$K$2)+Marathon!$E98*$K$2</f>
        <v>0.31237275511639528</v>
      </c>
      <c r="F98" s="18"/>
      <c r="G98" s="1">
        <v>92</v>
      </c>
      <c r="H98" s="158"/>
    </row>
    <row r="99" spans="1:8">
      <c r="A99" s="1">
        <v>93</v>
      </c>
      <c r="B99" s="202"/>
      <c r="C99" s="24"/>
      <c r="D99" s="24">
        <f t="shared" si="5"/>
        <v>316.59942263613419</v>
      </c>
      <c r="E99" s="232">
        <f>H.Marathon!$E99*(1-$K$2)+Marathon!$E99*$K$2</f>
        <v>0.28690302899802678</v>
      </c>
      <c r="F99" s="18"/>
      <c r="G99" s="1">
        <v>93</v>
      </c>
      <c r="H99" s="158"/>
    </row>
    <row r="100" spans="1:8">
      <c r="A100" s="1">
        <v>94</v>
      </c>
      <c r="B100" s="202"/>
      <c r="C100" s="24"/>
      <c r="D100" s="24">
        <f t="shared" si="5"/>
        <v>348.44218019900495</v>
      </c>
      <c r="E100" s="232">
        <f>H.Marathon!$E100*(1-$K$2)+Marathon!$E100*$K$2</f>
        <v>0.26068409192439307</v>
      </c>
      <c r="F100" s="18"/>
      <c r="G100" s="1">
        <v>94</v>
      </c>
      <c r="H100" s="158"/>
    </row>
    <row r="101" spans="1:8">
      <c r="A101" s="1">
        <v>95</v>
      </c>
      <c r="B101" s="202"/>
      <c r="C101" s="24"/>
      <c r="D101" s="24">
        <f t="shared" si="5"/>
        <v>388.89933471186208</v>
      </c>
      <c r="E101" s="232">
        <f>H.Marathon!$E101*(1-$K$2)+Marathon!$E101*$K$2</f>
        <v>0.23356515485075932</v>
      </c>
      <c r="F101" s="18"/>
      <c r="G101" s="1">
        <v>95</v>
      </c>
    </row>
    <row r="102" spans="1:8">
      <c r="A102" s="1">
        <v>96</v>
      </c>
      <c r="B102" s="202"/>
      <c r="C102" s="24"/>
      <c r="D102" s="24">
        <f t="shared" si="5"/>
        <v>441.5914047925063</v>
      </c>
      <c r="E102" s="232">
        <f>H.Marathon!$E102*(1-$K$2)+Marathon!$E102*$K$2</f>
        <v>0.20569542873239086</v>
      </c>
      <c r="F102" s="18"/>
      <c r="G102" s="1">
        <v>96</v>
      </c>
    </row>
    <row r="103" spans="1:8">
      <c r="A103" s="1">
        <v>97</v>
      </c>
      <c r="B103" s="202"/>
      <c r="C103" s="24"/>
      <c r="D103" s="24">
        <f t="shared" si="5"/>
        <v>512.96099489240851</v>
      </c>
      <c r="E103" s="232">
        <f>H.Marathon!$E103*(1-$K$2)+Marathon!$E103*$K$2</f>
        <v>0.17707649165875713</v>
      </c>
      <c r="G103" s="1">
        <v>97</v>
      </c>
    </row>
    <row r="104" spans="1:8">
      <c r="A104" s="1">
        <v>98</v>
      </c>
      <c r="B104" s="202"/>
      <c r="C104" s="24"/>
      <c r="D104" s="24">
        <f t="shared" si="5"/>
        <v>615.57900975468635</v>
      </c>
      <c r="E104" s="232">
        <f>H.Marathon!$E104*(1-$K$2)+Marathon!$E104*$K$2</f>
        <v>0.1475575545851234</v>
      </c>
      <c r="G104" s="1">
        <v>98</v>
      </c>
    </row>
    <row r="105" spans="1:8">
      <c r="A105" s="1">
        <v>99</v>
      </c>
      <c r="B105" s="202"/>
      <c r="C105" s="24"/>
      <c r="D105" s="24">
        <f t="shared" si="5"/>
        <v>774.11286462821192</v>
      </c>
      <c r="E105" s="232">
        <f>H.Marathon!$E105*(1-$K$2)+Marathon!$E105*$K$2</f>
        <v>0.11733861751148968</v>
      </c>
      <c r="G105" s="1">
        <v>99</v>
      </c>
    </row>
    <row r="106" spans="1:8">
      <c r="A106" s="1">
        <v>100</v>
      </c>
      <c r="B106" s="202"/>
      <c r="D106" s="24">
        <f t="shared" si="5"/>
        <v>1052.9094771765676</v>
      </c>
      <c r="E106" s="232">
        <f>H.Marathon!$E106*(1-$K$2)+Marathon!$E106*$K$2</f>
        <v>8.6268891393121203E-2</v>
      </c>
      <c r="G106" s="1">
        <v>100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zoomScale="87" zoomScaleNormal="87" workbookViewId="0">
      <selection activeCell="D49" sqref="D49"/>
    </sheetView>
  </sheetViews>
  <sheetFormatPr defaultColWidth="9.6640625" defaultRowHeight="15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21875" style="1" customWidth="1"/>
    <col min="11" max="11" width="12.6640625" style="1" customWidth="1"/>
    <col min="12" max="12" width="12.44140625" style="1" customWidth="1"/>
    <col min="13" max="13" width="13.88671875" style="1" customWidth="1"/>
    <col min="14" max="14" width="16.77734375" style="1" customWidth="1"/>
    <col min="15" max="15" width="7.21875" style="1" customWidth="1"/>
    <col min="16" max="16" width="12.21875" style="1" customWidth="1"/>
    <col min="17" max="17" width="19" style="1" customWidth="1"/>
    <col min="18" max="18" width="21.6640625" style="1" customWidth="1"/>
    <col min="19" max="19" width="10.33203125" style="1" bestFit="1" customWidth="1"/>
    <col min="20" max="16384" width="9.6640625" style="1"/>
  </cols>
  <sheetData>
    <row r="1" spans="1:21" ht="29.1" customHeight="1">
      <c r="A1" s="29" t="s">
        <v>73</v>
      </c>
      <c r="B1" s="30"/>
      <c r="C1" s="31"/>
      <c r="D1" s="32" t="s">
        <v>32</v>
      </c>
      <c r="E1" s="32" t="s">
        <v>54</v>
      </c>
      <c r="F1" s="32" t="s">
        <v>55</v>
      </c>
      <c r="G1" s="32" t="s">
        <v>56</v>
      </c>
      <c r="H1" s="32" t="s">
        <v>57</v>
      </c>
      <c r="I1" s="32" t="s">
        <v>58</v>
      </c>
    </row>
    <row r="2" spans="1:21" ht="15.95" customHeight="1">
      <c r="A2" s="29"/>
      <c r="B2" s="30"/>
      <c r="C2" s="31"/>
      <c r="D2" s="32"/>
      <c r="E2" s="32"/>
      <c r="F2" s="81">
        <f>(+H$3-H$4)*F$4/2</f>
        <v>6.0899999999999996E-2</v>
      </c>
      <c r="G2" s="82">
        <f>(+I$4-I$3)*G$4/2</f>
        <v>0.16147600000000001</v>
      </c>
      <c r="H2" s="83"/>
      <c r="I2" s="83"/>
    </row>
    <row r="3" spans="1:21" ht="15.95" customHeight="1">
      <c r="A3" s="29"/>
      <c r="B3" s="30"/>
      <c r="C3" s="31"/>
      <c r="D3" s="32"/>
      <c r="E3" s="32"/>
      <c r="F3" s="81">
        <f>F4/(2*(+H3-H4))</f>
        <v>1.2428571428571428E-3</v>
      </c>
      <c r="G3" s="82">
        <f>G4/(2*(+I4-I3))</f>
        <v>1.8938356164383561E-4</v>
      </c>
      <c r="H3" s="84">
        <v>26</v>
      </c>
      <c r="I3" s="30">
        <v>27</v>
      </c>
      <c r="J3" s="7"/>
    </row>
    <row r="4" spans="1:21" ht="15.75">
      <c r="A4" s="30"/>
      <c r="B4" s="30"/>
      <c r="C4" s="30"/>
      <c r="D4" s="34">
        <f>Parameters!G30</f>
        <v>9.0231481481481482E-2</v>
      </c>
      <c r="E4" s="35">
        <f>D4*1440</f>
        <v>129.93333333333334</v>
      </c>
      <c r="F4" s="33">
        <v>1.7399999999999999E-2</v>
      </c>
      <c r="G4" s="33">
        <v>1.106E-2</v>
      </c>
      <c r="H4" s="84">
        <v>19</v>
      </c>
      <c r="I4" s="30">
        <v>56.2</v>
      </c>
    </row>
    <row r="5" spans="1:21" ht="15.75">
      <c r="A5" s="30"/>
      <c r="B5" s="30"/>
      <c r="C5" s="30"/>
      <c r="D5" s="34"/>
      <c r="E5" s="30">
        <f>E4*60</f>
        <v>7796</v>
      </c>
      <c r="F5" s="33">
        <v>1.5499999999999999E-3</v>
      </c>
      <c r="G5" s="33">
        <v>4.0000000000000002E-4</v>
      </c>
      <c r="H5" s="84">
        <v>15</v>
      </c>
      <c r="I5" s="30">
        <v>73</v>
      </c>
    </row>
    <row r="6" spans="1:21" ht="63">
      <c r="A6" s="36" t="s">
        <v>52</v>
      </c>
      <c r="B6" s="36" t="s">
        <v>963</v>
      </c>
      <c r="C6" s="36" t="s">
        <v>963</v>
      </c>
      <c r="D6" s="36" t="s">
        <v>2365</v>
      </c>
      <c r="E6" s="36" t="s">
        <v>2364</v>
      </c>
      <c r="F6" s="36" t="s">
        <v>933</v>
      </c>
      <c r="G6" s="36" t="s">
        <v>1039</v>
      </c>
      <c r="H6" s="36" t="s">
        <v>932</v>
      </c>
      <c r="I6" s="386" t="s">
        <v>52</v>
      </c>
      <c r="J6" s="109" t="s">
        <v>1037</v>
      </c>
      <c r="K6" s="111" t="s">
        <v>965</v>
      </c>
      <c r="L6" s="36" t="s">
        <v>926</v>
      </c>
      <c r="M6" s="133" t="s">
        <v>403</v>
      </c>
      <c r="N6" s="133" t="s">
        <v>404</v>
      </c>
      <c r="O6" s="133" t="s">
        <v>405</v>
      </c>
      <c r="P6" s="134" t="s">
        <v>406</v>
      </c>
      <c r="Q6" s="125" t="s">
        <v>407</v>
      </c>
      <c r="R6" s="135" t="s">
        <v>408</v>
      </c>
      <c r="S6" s="134" t="s">
        <v>409</v>
      </c>
      <c r="T6" s="132" t="s">
        <v>410</v>
      </c>
    </row>
    <row r="7" spans="1:21">
      <c r="A7" s="1">
        <v>1</v>
      </c>
      <c r="B7" s="3"/>
      <c r="F7" s="24"/>
      <c r="G7" s="24"/>
      <c r="I7" s="1">
        <v>1</v>
      </c>
      <c r="J7" s="128"/>
      <c r="K7" s="112"/>
      <c r="L7" s="3"/>
      <c r="S7" s="137"/>
    </row>
    <row r="8" spans="1:21">
      <c r="A8" s="1">
        <v>2</v>
      </c>
      <c r="B8" s="3"/>
      <c r="F8" s="24"/>
      <c r="G8" s="24"/>
      <c r="I8" s="1">
        <v>2</v>
      </c>
      <c r="J8" s="128"/>
      <c r="K8" s="112"/>
      <c r="L8" s="3"/>
      <c r="S8" s="137"/>
    </row>
    <row r="9" spans="1:21">
      <c r="A9" s="1">
        <v>3</v>
      </c>
      <c r="B9" s="3"/>
      <c r="C9" s="24"/>
      <c r="D9" s="24"/>
      <c r="E9" s="4">
        <f t="shared" ref="E9:E31" si="0">ROUND(1-IF(A9&gt;=H$3,0,IF(A9&gt;=H$4,F$3*(A9-H$3)^2,F$2+F$4*(H$4-A9)+(A9&lt;H$5)*F$5*(H$5-A9)^2)),4)</f>
        <v>0.4375</v>
      </c>
      <c r="F9" s="24"/>
      <c r="G9" s="24"/>
      <c r="H9" s="145"/>
      <c r="I9" s="1">
        <v>3</v>
      </c>
      <c r="J9" s="129"/>
      <c r="K9" s="112"/>
      <c r="L9" s="3"/>
      <c r="P9" s="38"/>
      <c r="S9" s="137"/>
    </row>
    <row r="10" spans="1:21">
      <c r="A10" s="1">
        <v>4</v>
      </c>
      <c r="B10" s="41"/>
      <c r="C10" s="24"/>
      <c r="D10" s="24">
        <f t="shared" ref="D10:D41" si="1">E$4/E10</f>
        <v>264.84576708791957</v>
      </c>
      <c r="E10" s="4">
        <f t="shared" si="0"/>
        <v>0.49059999999999998</v>
      </c>
      <c r="F10" s="24">
        <v>208.85911616555012</v>
      </c>
      <c r="G10" s="24"/>
      <c r="H10" s="145"/>
      <c r="I10" s="1">
        <v>4</v>
      </c>
      <c r="J10" s="129"/>
      <c r="K10" s="113"/>
      <c r="L10" s="41"/>
      <c r="P10" s="38"/>
      <c r="S10" s="137"/>
    </row>
    <row r="11" spans="1:21">
      <c r="A11" s="1">
        <v>5</v>
      </c>
      <c r="B11" s="85"/>
      <c r="C11" s="24"/>
      <c r="D11" s="24">
        <f t="shared" si="1"/>
        <v>240.39469626888686</v>
      </c>
      <c r="E11" s="4">
        <f t="shared" si="0"/>
        <v>0.54049999999999998</v>
      </c>
      <c r="F11" s="24">
        <v>198.03052683407182</v>
      </c>
      <c r="G11" s="24"/>
      <c r="H11" s="145">
        <f t="shared" ref="H11:H74" si="2">((F11-D11)/F11)</f>
        <v>-0.21392746922453848</v>
      </c>
      <c r="I11" s="1">
        <v>5</v>
      </c>
      <c r="J11" s="129"/>
      <c r="K11" s="113"/>
      <c r="L11" s="85"/>
      <c r="M11" s="22"/>
      <c r="N11" s="22"/>
      <c r="O11" s="22"/>
      <c r="P11" s="38"/>
      <c r="S11" s="137"/>
    </row>
    <row r="12" spans="1:21" ht="15.75">
      <c r="A12" s="1">
        <v>6</v>
      </c>
      <c r="B12" s="85">
        <v>0.18578703703703703</v>
      </c>
      <c r="C12" s="24">
        <f t="shared" ref="C12:C43" si="3">B12*1440</f>
        <v>267.5333333333333</v>
      </c>
      <c r="D12" s="24">
        <f t="shared" si="1"/>
        <v>221.2007717625695</v>
      </c>
      <c r="E12" s="4">
        <f t="shared" si="0"/>
        <v>0.58740000000000003</v>
      </c>
      <c r="F12" s="24">
        <v>188.74653902107084</v>
      </c>
      <c r="G12" s="24">
        <v>267.5333333333333</v>
      </c>
      <c r="H12" s="145">
        <f t="shared" si="2"/>
        <v>-0.17194610777936228</v>
      </c>
      <c r="I12" s="1">
        <v>6</v>
      </c>
      <c r="J12" s="129">
        <f t="shared" ref="J12:J43" si="4">100*(F12/C12)</f>
        <v>70.550662479842089</v>
      </c>
      <c r="K12" s="113">
        <f t="shared" ref="K12:K43" si="5">100*(D12/C12)</f>
        <v>82.681574294506419</v>
      </c>
      <c r="L12" s="177" t="s">
        <v>1040</v>
      </c>
      <c r="M12" s="124" t="s">
        <v>281</v>
      </c>
      <c r="N12" s="124" t="s">
        <v>829</v>
      </c>
      <c r="O12" s="124" t="s">
        <v>217</v>
      </c>
      <c r="P12" s="156">
        <v>23074</v>
      </c>
      <c r="Q12" s="157"/>
      <c r="R12" s="124" t="s">
        <v>830</v>
      </c>
      <c r="S12" s="186">
        <v>25551</v>
      </c>
      <c r="T12" s="154"/>
      <c r="U12" s="115"/>
    </row>
    <row r="13" spans="1:21" ht="15.75">
      <c r="A13" s="1">
        <v>7</v>
      </c>
      <c r="B13" s="85">
        <v>0.16506944444444444</v>
      </c>
      <c r="C13" s="24">
        <f t="shared" si="3"/>
        <v>237.7</v>
      </c>
      <c r="D13" s="24">
        <f t="shared" si="1"/>
        <v>205.88390640680294</v>
      </c>
      <c r="E13" s="4">
        <f t="shared" si="0"/>
        <v>0.63109999999999999</v>
      </c>
      <c r="F13" s="24">
        <v>180.73155387795447</v>
      </c>
      <c r="G13" s="24">
        <v>237.70000000000002</v>
      </c>
      <c r="H13" s="145">
        <f t="shared" si="2"/>
        <v>-0.13916968005395175</v>
      </c>
      <c r="I13" s="1">
        <v>7</v>
      </c>
      <c r="J13" s="129">
        <f t="shared" si="4"/>
        <v>76.033468185929522</v>
      </c>
      <c r="K13" s="113">
        <f t="shared" si="5"/>
        <v>86.615021626757667</v>
      </c>
      <c r="L13" s="177" t="s">
        <v>1041</v>
      </c>
      <c r="M13" s="124" t="s">
        <v>281</v>
      </c>
      <c r="N13" s="124" t="s">
        <v>829</v>
      </c>
      <c r="O13" s="124" t="s">
        <v>217</v>
      </c>
      <c r="P13" s="156">
        <v>23074</v>
      </c>
      <c r="Q13" s="157"/>
      <c r="R13" s="124" t="s">
        <v>830</v>
      </c>
      <c r="S13" s="186">
        <v>25915</v>
      </c>
      <c r="T13" s="154"/>
      <c r="U13" s="115"/>
    </row>
    <row r="14" spans="1:21" ht="15.75">
      <c r="A14" s="1">
        <v>8</v>
      </c>
      <c r="B14" s="85">
        <v>0.13430555555555557</v>
      </c>
      <c r="C14" s="24">
        <f t="shared" si="3"/>
        <v>193.4</v>
      </c>
      <c r="D14" s="24">
        <f t="shared" si="1"/>
        <v>193.41073732261589</v>
      </c>
      <c r="E14" s="4">
        <f t="shared" si="0"/>
        <v>0.67179999999999995</v>
      </c>
      <c r="F14" s="24">
        <v>173.79656036643328</v>
      </c>
      <c r="G14" s="24">
        <v>193.39999999999998</v>
      </c>
      <c r="H14" s="145">
        <f t="shared" si="2"/>
        <v>-0.11285710669318198</v>
      </c>
      <c r="I14" s="1">
        <v>8</v>
      </c>
      <c r="J14" s="129">
        <f t="shared" si="4"/>
        <v>89.863785091227129</v>
      </c>
      <c r="K14" s="113">
        <f t="shared" si="5"/>
        <v>100.00555187312092</v>
      </c>
      <c r="L14" s="177" t="s">
        <v>1042</v>
      </c>
      <c r="M14" s="124" t="s">
        <v>717</v>
      </c>
      <c r="N14" s="124" t="s">
        <v>718</v>
      </c>
      <c r="O14" s="124" t="s">
        <v>217</v>
      </c>
      <c r="P14" s="156">
        <v>27357</v>
      </c>
      <c r="Q14" s="157"/>
      <c r="R14" s="124" t="s">
        <v>221</v>
      </c>
      <c r="S14" s="186">
        <v>30633</v>
      </c>
      <c r="T14" s="154"/>
      <c r="U14" s="115"/>
    </row>
    <row r="15" spans="1:21" ht="15.75">
      <c r="A15" s="1">
        <v>9</v>
      </c>
      <c r="B15" s="85">
        <v>0.13265046296296296</v>
      </c>
      <c r="C15" s="24">
        <f t="shared" si="3"/>
        <v>191.01666666666665</v>
      </c>
      <c r="D15" s="24">
        <f t="shared" si="1"/>
        <v>183.1853000610931</v>
      </c>
      <c r="E15" s="4">
        <f t="shared" si="0"/>
        <v>0.70930000000000004</v>
      </c>
      <c r="F15" s="24">
        <v>167.75108441775103</v>
      </c>
      <c r="G15" s="24">
        <v>191.01666666666665</v>
      </c>
      <c r="H15" s="145">
        <f t="shared" si="2"/>
        <v>-9.2006651980300752E-2</v>
      </c>
      <c r="I15" s="1">
        <v>9</v>
      </c>
      <c r="J15" s="129">
        <f t="shared" si="4"/>
        <v>87.820129701291876</v>
      </c>
      <c r="K15" s="113">
        <f t="shared" si="5"/>
        <v>95.90016581158352</v>
      </c>
      <c r="L15" s="177" t="s">
        <v>1108</v>
      </c>
      <c r="M15" s="124" t="s">
        <v>322</v>
      </c>
      <c r="N15" s="124" t="s">
        <v>831</v>
      </c>
      <c r="O15" s="124" t="s">
        <v>217</v>
      </c>
      <c r="P15" s="156">
        <v>24349</v>
      </c>
      <c r="Q15" s="157"/>
      <c r="R15" s="124" t="s">
        <v>832</v>
      </c>
      <c r="S15" s="186">
        <v>27818</v>
      </c>
      <c r="T15" s="154"/>
      <c r="U15" s="115"/>
    </row>
    <row r="16" spans="1:21" ht="15.75">
      <c r="A16" s="1">
        <v>10</v>
      </c>
      <c r="B16" s="85">
        <v>0.12362268518518518</v>
      </c>
      <c r="C16" s="24">
        <f t="shared" si="3"/>
        <v>178.01666666666665</v>
      </c>
      <c r="D16" s="24">
        <f t="shared" si="1"/>
        <v>174.6885363448956</v>
      </c>
      <c r="E16" s="4">
        <f t="shared" si="0"/>
        <v>0.74380000000000002</v>
      </c>
      <c r="F16" s="24">
        <v>162.44597923987232</v>
      </c>
      <c r="G16" s="24">
        <v>178.01666666666668</v>
      </c>
      <c r="H16" s="145">
        <f t="shared" si="2"/>
        <v>-7.5363866574657254E-2</v>
      </c>
      <c r="I16" s="1">
        <v>10</v>
      </c>
      <c r="J16" s="129">
        <f t="shared" si="4"/>
        <v>91.253241778787938</v>
      </c>
      <c r="K16" s="113">
        <f t="shared" si="5"/>
        <v>98.130438916709451</v>
      </c>
      <c r="L16" s="177" t="s">
        <v>1109</v>
      </c>
      <c r="M16" s="124" t="s">
        <v>322</v>
      </c>
      <c r="N16" s="124" t="s">
        <v>831</v>
      </c>
      <c r="O16" s="124" t="s">
        <v>217</v>
      </c>
      <c r="P16" s="156">
        <v>24349</v>
      </c>
      <c r="Q16" s="157"/>
      <c r="R16" s="124" t="s">
        <v>832</v>
      </c>
      <c r="S16" s="186">
        <v>28182</v>
      </c>
      <c r="T16" s="154"/>
      <c r="U16" s="115"/>
    </row>
    <row r="17" spans="1:21" ht="15.75">
      <c r="A17" s="1">
        <v>11</v>
      </c>
      <c r="B17" s="85">
        <v>0.11760416666666666</v>
      </c>
      <c r="C17" s="24">
        <f t="shared" si="3"/>
        <v>169.35</v>
      </c>
      <c r="D17" s="24">
        <f t="shared" si="1"/>
        <v>167.63428374833356</v>
      </c>
      <c r="E17" s="4">
        <f t="shared" si="0"/>
        <v>0.77510000000000001</v>
      </c>
      <c r="F17" s="24">
        <v>157.83690448159481</v>
      </c>
      <c r="G17" s="24">
        <v>169.35</v>
      </c>
      <c r="H17" s="145">
        <f t="shared" si="2"/>
        <v>-6.207280419568293E-2</v>
      </c>
      <c r="I17" s="1">
        <v>11</v>
      </c>
      <c r="J17" s="129">
        <f t="shared" si="4"/>
        <v>93.201596977617257</v>
      </c>
      <c r="K17" s="113">
        <f t="shared" si="5"/>
        <v>98.986881457533855</v>
      </c>
      <c r="L17" s="177" t="s">
        <v>1043</v>
      </c>
      <c r="M17" s="124" t="s">
        <v>490</v>
      </c>
      <c r="N17" s="124" t="s">
        <v>491</v>
      </c>
      <c r="O17" s="124" t="s">
        <v>217</v>
      </c>
      <c r="P17" s="156">
        <v>28075</v>
      </c>
      <c r="Q17" s="157" t="s">
        <v>833</v>
      </c>
      <c r="R17" s="124" t="s">
        <v>782</v>
      </c>
      <c r="S17" s="186">
        <v>32208</v>
      </c>
      <c r="T17" s="154"/>
      <c r="U17" s="115" t="s">
        <v>834</v>
      </c>
    </row>
    <row r="18" spans="1:21" ht="15.75">
      <c r="A18" s="1">
        <v>12</v>
      </c>
      <c r="B18" s="85">
        <v>0.12086805555555556</v>
      </c>
      <c r="C18" s="24">
        <f t="shared" si="3"/>
        <v>174.05</v>
      </c>
      <c r="D18" s="24">
        <f t="shared" si="1"/>
        <v>161.72931706912289</v>
      </c>
      <c r="E18" s="4">
        <f t="shared" si="0"/>
        <v>0.8034</v>
      </c>
      <c r="F18" s="24">
        <v>153.78144834442145</v>
      </c>
      <c r="G18" s="24">
        <v>174.05</v>
      </c>
      <c r="H18" s="145">
        <f t="shared" si="2"/>
        <v>-5.1682883795584646E-2</v>
      </c>
      <c r="I18" s="1">
        <v>12</v>
      </c>
      <c r="J18" s="129">
        <f t="shared" si="4"/>
        <v>88.354753429716425</v>
      </c>
      <c r="K18" s="113">
        <f t="shared" si="5"/>
        <v>92.921181884012</v>
      </c>
      <c r="L18" s="177" t="s">
        <v>1110</v>
      </c>
      <c r="M18" s="124" t="s">
        <v>835</v>
      </c>
      <c r="N18" s="124" t="s">
        <v>836</v>
      </c>
      <c r="O18" s="124" t="s">
        <v>320</v>
      </c>
      <c r="P18" s="156">
        <v>27160</v>
      </c>
      <c r="Q18" s="157"/>
      <c r="R18" s="124" t="s">
        <v>837</v>
      </c>
      <c r="S18" s="186">
        <v>31704</v>
      </c>
      <c r="T18" s="154"/>
      <c r="U18" s="115"/>
    </row>
    <row r="19" spans="1:21" ht="15.75">
      <c r="A19" s="1">
        <v>13</v>
      </c>
      <c r="B19" s="85">
        <v>0.11392361111111111</v>
      </c>
      <c r="C19" s="24">
        <f t="shared" si="3"/>
        <v>164.05</v>
      </c>
      <c r="D19" s="24">
        <f t="shared" si="1"/>
        <v>156.8296117481392</v>
      </c>
      <c r="E19" s="4">
        <f t="shared" si="0"/>
        <v>0.82850000000000001</v>
      </c>
      <c r="F19" s="24">
        <v>150.23158523830864</v>
      </c>
      <c r="G19" s="24">
        <v>164.05</v>
      </c>
      <c r="H19" s="145">
        <f t="shared" si="2"/>
        <v>-4.391903672829036E-2</v>
      </c>
      <c r="I19" s="1">
        <v>13</v>
      </c>
      <c r="J19" s="129">
        <f t="shared" si="4"/>
        <v>91.576705418048547</v>
      </c>
      <c r="K19" s="113">
        <f t="shared" si="5"/>
        <v>95.598666106759651</v>
      </c>
      <c r="L19" s="177" t="s">
        <v>1111</v>
      </c>
      <c r="M19" s="124" t="s">
        <v>838</v>
      </c>
      <c r="N19" s="124" t="s">
        <v>839</v>
      </c>
      <c r="O19" s="124" t="s">
        <v>840</v>
      </c>
      <c r="P19" s="156">
        <v>26799</v>
      </c>
      <c r="Q19" s="157"/>
      <c r="R19" s="124" t="s">
        <v>841</v>
      </c>
      <c r="S19" s="186">
        <v>31851</v>
      </c>
      <c r="T19" s="154"/>
      <c r="U19" s="115"/>
    </row>
    <row r="20" spans="1:21" ht="15.75">
      <c r="A20" s="1">
        <v>14</v>
      </c>
      <c r="B20" s="85">
        <v>0.10634259259259259</v>
      </c>
      <c r="C20" s="24">
        <f t="shared" si="3"/>
        <v>153.13333333333333</v>
      </c>
      <c r="D20" s="24">
        <f t="shared" si="1"/>
        <v>152.75491809702956</v>
      </c>
      <c r="E20" s="4">
        <f t="shared" si="0"/>
        <v>0.85060000000000002</v>
      </c>
      <c r="F20" s="24">
        <v>147.14813595287742</v>
      </c>
      <c r="G20" s="24">
        <v>153.13333333333335</v>
      </c>
      <c r="H20" s="145">
        <f t="shared" si="2"/>
        <v>-3.8102977709127385E-2</v>
      </c>
      <c r="I20" s="1">
        <v>14</v>
      </c>
      <c r="J20" s="129">
        <f t="shared" si="4"/>
        <v>96.091512376715784</v>
      </c>
      <c r="K20" s="113">
        <f t="shared" si="5"/>
        <v>99.752885130842117</v>
      </c>
      <c r="L20" s="177" t="s">
        <v>1112</v>
      </c>
      <c r="M20" s="124" t="s">
        <v>842</v>
      </c>
      <c r="N20" s="124" t="s">
        <v>843</v>
      </c>
      <c r="O20" s="124" t="s">
        <v>502</v>
      </c>
      <c r="P20" s="156">
        <v>32331</v>
      </c>
      <c r="Q20" s="157"/>
      <c r="R20" s="124" t="s">
        <v>503</v>
      </c>
      <c r="S20" s="186">
        <v>37549</v>
      </c>
      <c r="T20" s="154"/>
      <c r="U20" s="115"/>
    </row>
    <row r="21" spans="1:21" ht="15.75">
      <c r="A21" s="1">
        <v>15</v>
      </c>
      <c r="B21" s="85">
        <v>0.10394675925925925</v>
      </c>
      <c r="C21" s="24">
        <f t="shared" si="3"/>
        <v>149.68333333333334</v>
      </c>
      <c r="D21" s="24">
        <f t="shared" si="1"/>
        <v>149.43454092390263</v>
      </c>
      <c r="E21" s="4">
        <f t="shared" si="0"/>
        <v>0.86950000000000005</v>
      </c>
      <c r="F21" s="24">
        <v>144.46839080459765</v>
      </c>
      <c r="G21" s="24">
        <v>149.68333333333334</v>
      </c>
      <c r="H21" s="145">
        <f t="shared" si="2"/>
        <v>-3.4375340457844558E-2</v>
      </c>
      <c r="I21" s="1">
        <v>15</v>
      </c>
      <c r="J21" s="129">
        <f t="shared" si="4"/>
        <v>96.516016571382451</v>
      </c>
      <c r="K21" s="113">
        <f t="shared" si="5"/>
        <v>99.833787500658701</v>
      </c>
      <c r="L21" s="177" t="s">
        <v>1044</v>
      </c>
      <c r="M21" s="124" t="s">
        <v>844</v>
      </c>
      <c r="N21" s="124" t="s">
        <v>845</v>
      </c>
      <c r="O21" s="124" t="s">
        <v>502</v>
      </c>
      <c r="P21" s="156">
        <v>31857</v>
      </c>
      <c r="Q21" s="157"/>
      <c r="R21" s="124" t="s">
        <v>503</v>
      </c>
      <c r="S21" s="186">
        <v>37549</v>
      </c>
      <c r="T21" s="154"/>
      <c r="U21" s="115"/>
    </row>
    <row r="22" spans="1:21" ht="15.75">
      <c r="A22" s="1">
        <v>16</v>
      </c>
      <c r="B22" s="85">
        <v>0.10545138888888889</v>
      </c>
      <c r="C22" s="24">
        <f t="shared" si="3"/>
        <v>151.85</v>
      </c>
      <c r="D22" s="24">
        <f t="shared" si="1"/>
        <v>146.50280001503364</v>
      </c>
      <c r="E22" s="4">
        <f t="shared" si="0"/>
        <v>0.88690000000000002</v>
      </c>
      <c r="F22" s="24">
        <v>142.0197740112994</v>
      </c>
      <c r="G22" s="24">
        <v>151.85</v>
      </c>
      <c r="H22" s="145">
        <f t="shared" si="2"/>
        <v>-3.156620995170404E-2</v>
      </c>
      <c r="I22" s="1">
        <v>16</v>
      </c>
      <c r="J22" s="129">
        <f t="shared" si="4"/>
        <v>93.526357597167859</v>
      </c>
      <c r="K22" s="113">
        <f t="shared" si="5"/>
        <v>96.478630237098216</v>
      </c>
      <c r="L22" s="177" t="s">
        <v>1045</v>
      </c>
      <c r="M22" s="124" t="s">
        <v>846</v>
      </c>
      <c r="N22" s="124" t="s">
        <v>847</v>
      </c>
      <c r="O22" s="124" t="s">
        <v>502</v>
      </c>
      <c r="P22" s="156">
        <v>31377</v>
      </c>
      <c r="Q22" s="157"/>
      <c r="R22" s="124" t="s">
        <v>503</v>
      </c>
      <c r="S22" s="186">
        <v>37549</v>
      </c>
      <c r="T22" s="154"/>
      <c r="U22" s="115"/>
    </row>
    <row r="23" spans="1:21" ht="15.75">
      <c r="A23" s="1">
        <v>17</v>
      </c>
      <c r="B23" s="85">
        <v>9.9733796296296293E-2</v>
      </c>
      <c r="C23" s="24">
        <f t="shared" si="3"/>
        <v>143.61666666666667</v>
      </c>
      <c r="D23" s="24">
        <f t="shared" si="1"/>
        <v>143.6838807180508</v>
      </c>
      <c r="E23" s="4">
        <f t="shared" si="0"/>
        <v>0.90429999999999999</v>
      </c>
      <c r="F23" s="24">
        <v>139.65277777777774</v>
      </c>
      <c r="G23" s="24">
        <v>143.61666666666667</v>
      </c>
      <c r="H23" s="145">
        <f t="shared" si="2"/>
        <v>-2.8865182665306841E-2</v>
      </c>
      <c r="I23" s="1">
        <v>17</v>
      </c>
      <c r="J23" s="129">
        <f t="shared" si="4"/>
        <v>97.239952032803345</v>
      </c>
      <c r="K23" s="113">
        <f t="shared" si="5"/>
        <v>100.04680101059589</v>
      </c>
      <c r="L23" s="177" t="s">
        <v>1046</v>
      </c>
      <c r="M23" s="124" t="s">
        <v>848</v>
      </c>
      <c r="N23" s="124" t="s">
        <v>735</v>
      </c>
      <c r="O23" s="124" t="s">
        <v>502</v>
      </c>
      <c r="P23" s="156">
        <v>30649</v>
      </c>
      <c r="Q23" s="157"/>
      <c r="R23" s="124" t="s">
        <v>503</v>
      </c>
      <c r="S23" s="186">
        <v>37178</v>
      </c>
      <c r="T23" s="154"/>
      <c r="U23" s="115"/>
    </row>
    <row r="24" spans="1:21" ht="15.75">
      <c r="A24" s="1">
        <v>18</v>
      </c>
      <c r="B24" s="85">
        <v>9.9050925925925931E-2</v>
      </c>
      <c r="C24" s="24">
        <f t="shared" si="3"/>
        <v>142.63333333333335</v>
      </c>
      <c r="D24" s="24">
        <f t="shared" si="1"/>
        <v>140.97139343965861</v>
      </c>
      <c r="E24" s="4">
        <f t="shared" si="0"/>
        <v>0.92169999999999996</v>
      </c>
      <c r="F24" s="24">
        <v>137.58894362342633</v>
      </c>
      <c r="G24" s="24">
        <v>142.63333333333333</v>
      </c>
      <c r="H24" s="145">
        <f t="shared" si="2"/>
        <v>-2.4583732727026873E-2</v>
      </c>
      <c r="I24" s="1">
        <v>18</v>
      </c>
      <c r="J24" s="129">
        <f t="shared" si="4"/>
        <v>96.463386508595221</v>
      </c>
      <c r="K24" s="113">
        <f t="shared" si="5"/>
        <v>98.834816620466412</v>
      </c>
      <c r="L24" s="177" t="s">
        <v>1047</v>
      </c>
      <c r="M24" s="124" t="s">
        <v>849</v>
      </c>
      <c r="N24" s="124" t="s">
        <v>850</v>
      </c>
      <c r="O24" s="124" t="s">
        <v>502</v>
      </c>
      <c r="P24" s="156">
        <v>32877</v>
      </c>
      <c r="Q24" s="157"/>
      <c r="R24" s="124" t="s">
        <v>851</v>
      </c>
      <c r="S24" s="186">
        <v>39452</v>
      </c>
      <c r="T24" s="154"/>
      <c r="U24" s="115"/>
    </row>
    <row r="25" spans="1:21" ht="15.75">
      <c r="A25" s="1">
        <v>19</v>
      </c>
      <c r="B25" s="85">
        <v>9.7905092592592599E-2</v>
      </c>
      <c r="C25" s="24">
        <f t="shared" si="3"/>
        <v>140.98333333333335</v>
      </c>
      <c r="D25" s="24">
        <f t="shared" si="1"/>
        <v>138.35942214176694</v>
      </c>
      <c r="E25" s="4">
        <f t="shared" si="0"/>
        <v>0.93910000000000005</v>
      </c>
      <c r="F25" s="24">
        <v>136.02543290043286</v>
      </c>
      <c r="G25" s="24">
        <v>140.98333333333335</v>
      </c>
      <c r="H25" s="145">
        <f t="shared" si="2"/>
        <v>-1.7158476849270542E-2</v>
      </c>
      <c r="I25" s="1">
        <v>19</v>
      </c>
      <c r="J25" s="129">
        <f t="shared" si="4"/>
        <v>96.4833428777157</v>
      </c>
      <c r="K25" s="113">
        <f t="shared" si="5"/>
        <v>98.138850082823211</v>
      </c>
      <c r="L25" s="177" t="s">
        <v>1048</v>
      </c>
      <c r="M25" s="124" t="s">
        <v>852</v>
      </c>
      <c r="N25" s="124" t="s">
        <v>853</v>
      </c>
      <c r="O25" s="124" t="s">
        <v>248</v>
      </c>
      <c r="P25" s="156">
        <v>35085</v>
      </c>
      <c r="Q25" s="157" t="s">
        <v>854</v>
      </c>
      <c r="R25" s="124" t="s">
        <v>855</v>
      </c>
      <c r="S25" s="186">
        <v>42027</v>
      </c>
      <c r="T25" s="154"/>
      <c r="U25" s="115"/>
    </row>
    <row r="26" spans="1:21" ht="15.75">
      <c r="A26" s="1">
        <v>20</v>
      </c>
      <c r="B26" s="85">
        <v>9.6724537037037039E-2</v>
      </c>
      <c r="C26" s="24">
        <f t="shared" si="3"/>
        <v>139.28333333333333</v>
      </c>
      <c r="D26" s="24">
        <f t="shared" si="1"/>
        <v>136.01311978785023</v>
      </c>
      <c r="E26" s="4">
        <f t="shared" si="0"/>
        <v>0.95530000000000004</v>
      </c>
      <c r="F26" s="24">
        <v>134.93022007514756</v>
      </c>
      <c r="G26" s="24">
        <v>139.28333333333333</v>
      </c>
      <c r="H26" s="145">
        <f t="shared" si="2"/>
        <v>-8.0256277066735916E-3</v>
      </c>
      <c r="I26" s="1">
        <v>20</v>
      </c>
      <c r="J26" s="129">
        <f t="shared" si="4"/>
        <v>96.87463449214853</v>
      </c>
      <c r="K26" s="113">
        <f t="shared" si="5"/>
        <v>97.652114242802611</v>
      </c>
      <c r="L26" s="177" t="s">
        <v>1049</v>
      </c>
      <c r="M26" s="124" t="s">
        <v>856</v>
      </c>
      <c r="N26" s="124" t="s">
        <v>857</v>
      </c>
      <c r="O26" s="124" t="s">
        <v>248</v>
      </c>
      <c r="P26" s="156">
        <v>35556</v>
      </c>
      <c r="Q26" s="157" t="s">
        <v>854</v>
      </c>
      <c r="R26" s="124" t="s">
        <v>855</v>
      </c>
      <c r="S26" s="186">
        <v>43126</v>
      </c>
      <c r="T26" s="154"/>
      <c r="U26" s="115"/>
    </row>
    <row r="27" spans="1:21" ht="15.75">
      <c r="A27" s="1">
        <v>21</v>
      </c>
      <c r="B27" s="85">
        <v>9.7812499999999997E-2</v>
      </c>
      <c r="C27" s="24">
        <f t="shared" si="3"/>
        <v>140.85</v>
      </c>
      <c r="D27" s="24">
        <f t="shared" si="1"/>
        <v>134.10396669762963</v>
      </c>
      <c r="E27" s="4">
        <f t="shared" si="0"/>
        <v>0.96889999999999998</v>
      </c>
      <c r="F27" s="24">
        <v>134.28151709401706</v>
      </c>
      <c r="G27" s="24">
        <v>140.85000000000002</v>
      </c>
      <c r="H27" s="145">
        <f t="shared" si="2"/>
        <v>1.3222251299344473E-3</v>
      </c>
      <c r="I27" s="1">
        <v>21</v>
      </c>
      <c r="J27" s="129">
        <f t="shared" si="4"/>
        <v>95.336540357839596</v>
      </c>
      <c r="K27" s="113">
        <f t="shared" si="5"/>
        <v>95.210483988377447</v>
      </c>
      <c r="L27" s="177" t="s">
        <v>1050</v>
      </c>
      <c r="M27" s="124" t="s">
        <v>856</v>
      </c>
      <c r="N27" s="124" t="s">
        <v>857</v>
      </c>
      <c r="O27" s="124" t="s">
        <v>248</v>
      </c>
      <c r="P27" s="156">
        <v>35556</v>
      </c>
      <c r="Q27" s="157" t="s">
        <v>858</v>
      </c>
      <c r="R27" s="124" t="s">
        <v>260</v>
      </c>
      <c r="S27" s="186">
        <v>43583</v>
      </c>
      <c r="T27" s="154"/>
      <c r="U27" s="115"/>
    </row>
    <row r="28" spans="1:21" ht="15.75">
      <c r="A28" s="1">
        <v>22</v>
      </c>
      <c r="B28" s="85">
        <v>9.7129629629629635E-2</v>
      </c>
      <c r="C28" s="24">
        <f t="shared" si="3"/>
        <v>139.86666666666667</v>
      </c>
      <c r="D28" s="24">
        <f t="shared" si="1"/>
        <v>132.57150630888006</v>
      </c>
      <c r="E28" s="4">
        <f t="shared" si="0"/>
        <v>0.98009999999999997</v>
      </c>
      <c r="F28" s="24">
        <v>134.06666666666663</v>
      </c>
      <c r="G28" s="24">
        <v>139.86666666666667</v>
      </c>
      <c r="H28" s="145">
        <f t="shared" si="2"/>
        <v>1.1152364677672111E-2</v>
      </c>
      <c r="I28" s="1">
        <v>22</v>
      </c>
      <c r="J28" s="129">
        <f t="shared" si="4"/>
        <v>95.853193517635816</v>
      </c>
      <c r="K28" s="113">
        <f t="shared" si="5"/>
        <v>94.78420374800767</v>
      </c>
      <c r="L28" s="177" t="s">
        <v>1051</v>
      </c>
      <c r="M28" s="124" t="s">
        <v>746</v>
      </c>
      <c r="N28" s="124" t="s">
        <v>747</v>
      </c>
      <c r="O28" s="124" t="s">
        <v>248</v>
      </c>
      <c r="P28" s="156">
        <v>32801</v>
      </c>
      <c r="Q28" s="157" t="s">
        <v>854</v>
      </c>
      <c r="R28" s="124" t="s">
        <v>855</v>
      </c>
      <c r="S28" s="186">
        <v>40935</v>
      </c>
      <c r="T28" s="154"/>
      <c r="U28" s="115"/>
    </row>
    <row r="29" spans="1:21" ht="15.75">
      <c r="A29" s="1">
        <v>23</v>
      </c>
      <c r="B29" s="85">
        <v>9.7372685185185187E-2</v>
      </c>
      <c r="C29" s="24">
        <f t="shared" si="3"/>
        <v>140.21666666666667</v>
      </c>
      <c r="D29" s="24">
        <f t="shared" si="1"/>
        <v>131.40507011866237</v>
      </c>
      <c r="E29" s="4">
        <f t="shared" si="0"/>
        <v>0.98880000000000001</v>
      </c>
      <c r="F29" s="24">
        <v>134.06666666666663</v>
      </c>
      <c r="G29" s="24">
        <v>140.21666666666664</v>
      </c>
      <c r="H29" s="145">
        <f t="shared" si="2"/>
        <v>1.9852783799136769E-2</v>
      </c>
      <c r="I29" s="1">
        <v>23</v>
      </c>
      <c r="J29" s="129">
        <f t="shared" si="4"/>
        <v>95.613930821347893</v>
      </c>
      <c r="K29" s="113">
        <f t="shared" si="5"/>
        <v>93.715728124566056</v>
      </c>
      <c r="L29" s="177" t="s">
        <v>1052</v>
      </c>
      <c r="M29" s="124" t="s">
        <v>859</v>
      </c>
      <c r="N29" s="124" t="s">
        <v>860</v>
      </c>
      <c r="O29" s="124" t="s">
        <v>248</v>
      </c>
      <c r="P29" s="156">
        <v>34452</v>
      </c>
      <c r="Q29" s="157" t="s">
        <v>854</v>
      </c>
      <c r="R29" s="124" t="s">
        <v>855</v>
      </c>
      <c r="S29" s="186">
        <v>43126</v>
      </c>
      <c r="T29" s="154"/>
      <c r="U29" s="115"/>
    </row>
    <row r="30" spans="1:21" ht="15.75">
      <c r="A30" s="1">
        <v>24</v>
      </c>
      <c r="B30" s="85">
        <v>9.5231481481481486E-2</v>
      </c>
      <c r="C30" s="24">
        <f t="shared" si="3"/>
        <v>137.13333333333335</v>
      </c>
      <c r="D30" s="24">
        <f t="shared" si="1"/>
        <v>130.58626465661641</v>
      </c>
      <c r="E30" s="4">
        <f t="shared" si="0"/>
        <v>0.995</v>
      </c>
      <c r="F30" s="24">
        <v>134.06666666666663</v>
      </c>
      <c r="G30" s="24">
        <v>137.13333333333335</v>
      </c>
      <c r="H30" s="145">
        <f t="shared" si="2"/>
        <v>2.5960233789534271E-2</v>
      </c>
      <c r="I30" s="1">
        <v>24</v>
      </c>
      <c r="J30" s="129">
        <f t="shared" si="4"/>
        <v>97.763733592610564</v>
      </c>
      <c r="K30" s="113">
        <f t="shared" si="5"/>
        <v>95.225764212408649</v>
      </c>
      <c r="L30" s="177" t="s">
        <v>1113</v>
      </c>
      <c r="M30" s="124" t="s">
        <v>639</v>
      </c>
      <c r="N30" s="124" t="s">
        <v>861</v>
      </c>
      <c r="O30" s="124" t="s">
        <v>244</v>
      </c>
      <c r="P30" s="156">
        <v>34554</v>
      </c>
      <c r="Q30" s="157" t="s">
        <v>854</v>
      </c>
      <c r="R30" s="124" t="s">
        <v>855</v>
      </c>
      <c r="S30" s="186">
        <v>43490</v>
      </c>
      <c r="T30" s="154"/>
      <c r="U30" s="115"/>
    </row>
    <row r="31" spans="1:21" ht="15.75">
      <c r="A31" s="1">
        <v>25</v>
      </c>
      <c r="B31" s="85">
        <v>9.3101851851851852E-2</v>
      </c>
      <c r="C31" s="24">
        <f t="shared" si="3"/>
        <v>134.06666666666666</v>
      </c>
      <c r="D31" s="24">
        <f t="shared" si="1"/>
        <v>130.08944066212788</v>
      </c>
      <c r="E31" s="4">
        <f t="shared" si="0"/>
        <v>0.99880000000000002</v>
      </c>
      <c r="F31" s="24">
        <v>134.06666666666663</v>
      </c>
      <c r="G31" s="24">
        <v>134.06666666666663</v>
      </c>
      <c r="H31" s="145">
        <f t="shared" si="2"/>
        <v>2.9666031858817134E-2</v>
      </c>
      <c r="I31" s="1">
        <v>25</v>
      </c>
      <c r="J31" s="129">
        <f t="shared" si="4"/>
        <v>99.999999999999972</v>
      </c>
      <c r="K31" s="113">
        <f t="shared" si="5"/>
        <v>97.033396814118262</v>
      </c>
      <c r="L31" s="177" t="s">
        <v>1053</v>
      </c>
      <c r="M31" s="124" t="s">
        <v>862</v>
      </c>
      <c r="N31" s="124" t="s">
        <v>863</v>
      </c>
      <c r="O31" s="124" t="s">
        <v>244</v>
      </c>
      <c r="P31" s="156">
        <v>34385</v>
      </c>
      <c r="Q31" s="157" t="s">
        <v>864</v>
      </c>
      <c r="R31" s="124" t="s">
        <v>865</v>
      </c>
      <c r="S31" s="186">
        <v>43751</v>
      </c>
      <c r="T31" s="154"/>
      <c r="U31" s="115"/>
    </row>
    <row r="32" spans="1:21" ht="15.75">
      <c r="A32" s="1">
        <v>26</v>
      </c>
      <c r="B32" s="85">
        <v>9.0231481481481482E-2</v>
      </c>
      <c r="C32" s="24">
        <f t="shared" si="3"/>
        <v>129.93333333333334</v>
      </c>
      <c r="D32" s="24">
        <f t="shared" si="1"/>
        <v>129.93333333333334</v>
      </c>
      <c r="E32" s="4">
        <f>1-IF(A32&gt;=H$3,0,IF(A32&gt;=H$4,F$3*(A32-H$3)^2,F$2+F$4*(H$4-A32)+(A32&lt;H$5)*F$5*(H$5-A32)^2))</f>
        <v>1</v>
      </c>
      <c r="F32" s="24">
        <v>134.06666666666663</v>
      </c>
      <c r="G32" s="24">
        <v>140.71666666666664</v>
      </c>
      <c r="H32" s="145">
        <f t="shared" si="2"/>
        <v>3.0830432620586511E-2</v>
      </c>
      <c r="I32" s="1">
        <v>26</v>
      </c>
      <c r="J32" s="129">
        <f t="shared" si="4"/>
        <v>103.18111852231911</v>
      </c>
      <c r="K32" s="113">
        <f t="shared" si="5"/>
        <v>100</v>
      </c>
      <c r="L32" s="187" t="s">
        <v>1143</v>
      </c>
      <c r="M32" s="179" t="s">
        <v>639</v>
      </c>
      <c r="N32" s="179" t="s">
        <v>1144</v>
      </c>
      <c r="O32" s="179" t="s">
        <v>244</v>
      </c>
      <c r="P32" s="180">
        <v>34550</v>
      </c>
      <c r="Q32" s="160" t="s">
        <v>864</v>
      </c>
      <c r="R32" s="179" t="s">
        <v>865</v>
      </c>
      <c r="S32" s="328">
        <v>45577</v>
      </c>
      <c r="T32" s="181" t="s">
        <v>950</v>
      </c>
      <c r="U32" s="115"/>
    </row>
    <row r="33" spans="1:21" ht="15.75">
      <c r="A33" s="1">
        <v>27</v>
      </c>
      <c r="B33" s="85">
        <v>9.6666666666666665E-2</v>
      </c>
      <c r="C33" s="24">
        <f t="shared" si="3"/>
        <v>139.19999999999999</v>
      </c>
      <c r="D33" s="24">
        <f t="shared" si="1"/>
        <v>129.93333333333334</v>
      </c>
      <c r="E33" s="4">
        <f>1-IF(A33&gt;=H$3,0,IF(A33&gt;=H$4,F$3*(A33-H$3)^2,F$2+F$4*(H$4-A33)+(A33&lt;H$5)*F$5*(H$5-A33)^2))</f>
        <v>1</v>
      </c>
      <c r="F33" s="24">
        <v>134.06666666666663</v>
      </c>
      <c r="G33" s="24">
        <v>139.19999999999999</v>
      </c>
      <c r="H33" s="145">
        <f t="shared" si="2"/>
        <v>3.0830432620586511E-2</v>
      </c>
      <c r="I33" s="1">
        <v>27</v>
      </c>
      <c r="J33" s="129">
        <f t="shared" si="4"/>
        <v>96.312260536398455</v>
      </c>
      <c r="K33" s="113">
        <f t="shared" si="5"/>
        <v>93.342911877394641</v>
      </c>
      <c r="L33" s="177" t="s">
        <v>1054</v>
      </c>
      <c r="M33" s="124" t="s">
        <v>867</v>
      </c>
      <c r="N33" s="124" t="s">
        <v>868</v>
      </c>
      <c r="O33" s="124" t="s">
        <v>240</v>
      </c>
      <c r="P33" s="156">
        <v>28674</v>
      </c>
      <c r="Q33" s="157" t="s">
        <v>866</v>
      </c>
      <c r="R33" s="124" t="s">
        <v>519</v>
      </c>
      <c r="S33" s="186">
        <v>38620</v>
      </c>
      <c r="T33" s="154"/>
      <c r="U33" s="115"/>
    </row>
    <row r="34" spans="1:21" ht="15.75">
      <c r="A34" s="1">
        <v>28</v>
      </c>
      <c r="B34" s="85">
        <v>9.5347222222222222E-2</v>
      </c>
      <c r="C34" s="24">
        <f t="shared" si="3"/>
        <v>137.30000000000001</v>
      </c>
      <c r="D34" s="24">
        <f t="shared" si="1"/>
        <v>129.95932519837302</v>
      </c>
      <c r="E34" s="4">
        <f t="shared" ref="E34:E65" si="6">ROUND(1-IF(A34&lt;I$3,0,IF(A34&lt;I$4,G$3*(A34-I$3)^2,G$2+G$4*(A34-I$4)+(A34&gt;I$5)*G$5*(A34-I$5)^2)),4)</f>
        <v>0.99980000000000002</v>
      </c>
      <c r="F34" s="24">
        <v>134.06666666666663</v>
      </c>
      <c r="G34" s="24">
        <v>137.29999999999998</v>
      </c>
      <c r="H34" s="145">
        <f t="shared" si="2"/>
        <v>3.0636559932572943E-2</v>
      </c>
      <c r="I34" s="1">
        <v>28</v>
      </c>
      <c r="J34" s="129">
        <f t="shared" si="4"/>
        <v>97.645059480456382</v>
      </c>
      <c r="K34" s="113">
        <f t="shared" si="5"/>
        <v>94.653550763563743</v>
      </c>
      <c r="L34" s="177" t="s">
        <v>1055</v>
      </c>
      <c r="M34" s="124" t="s">
        <v>257</v>
      </c>
      <c r="N34" s="124" t="s">
        <v>528</v>
      </c>
      <c r="O34" s="124" t="s">
        <v>259</v>
      </c>
      <c r="P34" s="156">
        <v>27015</v>
      </c>
      <c r="Q34" s="157" t="s">
        <v>864</v>
      </c>
      <c r="R34" s="124" t="s">
        <v>869</v>
      </c>
      <c r="S34" s="186">
        <v>37542</v>
      </c>
      <c r="T34" s="154"/>
      <c r="U34" s="115"/>
    </row>
    <row r="35" spans="1:21" ht="15.75">
      <c r="A35" s="1">
        <v>29</v>
      </c>
      <c r="B35" s="85">
        <v>9.4039351851851846E-2</v>
      </c>
      <c r="C35" s="24">
        <f t="shared" si="3"/>
        <v>135.41666666666666</v>
      </c>
      <c r="D35" s="24">
        <f t="shared" si="1"/>
        <v>130.03736322391248</v>
      </c>
      <c r="E35" s="4">
        <f t="shared" si="6"/>
        <v>0.99919999999999998</v>
      </c>
      <c r="F35" s="24">
        <v>134.06666666666663</v>
      </c>
      <c r="G35" s="24">
        <v>135.41666666666669</v>
      </c>
      <c r="H35" s="145">
        <f t="shared" si="2"/>
        <v>3.0054476201547664E-2</v>
      </c>
      <c r="I35" s="1">
        <v>29</v>
      </c>
      <c r="J35" s="129">
        <f t="shared" si="4"/>
        <v>99.003076923076904</v>
      </c>
      <c r="K35" s="113">
        <f t="shared" si="5"/>
        <v>96.027591303812301</v>
      </c>
      <c r="L35" s="177" t="s">
        <v>1056</v>
      </c>
      <c r="M35" s="124" t="s">
        <v>257</v>
      </c>
      <c r="N35" s="124" t="s">
        <v>528</v>
      </c>
      <c r="O35" s="124" t="s">
        <v>259</v>
      </c>
      <c r="P35" s="156">
        <v>27015</v>
      </c>
      <c r="Q35" s="157" t="s">
        <v>858</v>
      </c>
      <c r="R35" s="124" t="s">
        <v>260</v>
      </c>
      <c r="S35" s="186">
        <v>37724</v>
      </c>
      <c r="T35" s="154"/>
      <c r="U35" s="115"/>
    </row>
    <row r="36" spans="1:21" ht="15.75">
      <c r="A36" s="1">
        <v>30</v>
      </c>
      <c r="B36" s="85">
        <v>9.2870370370370367E-2</v>
      </c>
      <c r="C36" s="24">
        <f t="shared" si="3"/>
        <v>133.73333333333332</v>
      </c>
      <c r="D36" s="24">
        <f t="shared" si="1"/>
        <v>130.15459614678286</v>
      </c>
      <c r="E36" s="4">
        <f t="shared" si="6"/>
        <v>0.99829999999999997</v>
      </c>
      <c r="F36" s="24">
        <v>134.06666666666663</v>
      </c>
      <c r="G36" s="24">
        <v>138.61666666666667</v>
      </c>
      <c r="H36" s="145">
        <f t="shared" si="2"/>
        <v>2.9180038686353337E-2</v>
      </c>
      <c r="I36" s="1">
        <v>30</v>
      </c>
      <c r="J36" s="129">
        <f t="shared" si="4"/>
        <v>100.24925224327018</v>
      </c>
      <c r="K36" s="113">
        <f t="shared" si="5"/>
        <v>97.323975184533566</v>
      </c>
      <c r="L36" s="177" t="s">
        <v>1057</v>
      </c>
      <c r="M36" s="114" t="s">
        <v>1124</v>
      </c>
      <c r="N36" s="114" t="s">
        <v>1125</v>
      </c>
      <c r="O36" s="114" t="s">
        <v>266</v>
      </c>
      <c r="P36" s="116">
        <v>33970</v>
      </c>
      <c r="Q36" s="182" t="s">
        <v>864</v>
      </c>
      <c r="R36" s="182" t="s">
        <v>865</v>
      </c>
      <c r="S36" s="330">
        <v>45207</v>
      </c>
      <c r="T36" s="154"/>
      <c r="U36" s="115"/>
    </row>
    <row r="37" spans="1:21" ht="15.75">
      <c r="A37" s="1">
        <v>31</v>
      </c>
      <c r="B37" s="85">
        <v>9.5625000000000002E-2</v>
      </c>
      <c r="C37" s="24">
        <f t="shared" si="3"/>
        <v>137.69999999999999</v>
      </c>
      <c r="D37" s="24">
        <f t="shared" si="1"/>
        <v>130.3243062520896</v>
      </c>
      <c r="E37" s="4">
        <f t="shared" si="6"/>
        <v>0.997</v>
      </c>
      <c r="F37" s="24">
        <v>134.06666666666663</v>
      </c>
      <c r="G37" s="24">
        <v>137.69999999999999</v>
      </c>
      <c r="H37" s="145">
        <f t="shared" si="2"/>
        <v>2.7914175146024636E-2</v>
      </c>
      <c r="I37" s="1">
        <v>31</v>
      </c>
      <c r="J37" s="129">
        <f t="shared" si="4"/>
        <v>97.361413701282956</v>
      </c>
      <c r="K37" s="113">
        <f t="shared" si="5"/>
        <v>94.643650146760791</v>
      </c>
      <c r="L37" s="177" t="s">
        <v>1058</v>
      </c>
      <c r="M37" s="124" t="s">
        <v>257</v>
      </c>
      <c r="N37" s="124" t="s">
        <v>528</v>
      </c>
      <c r="O37" s="124" t="s">
        <v>259</v>
      </c>
      <c r="P37" s="156">
        <v>27015</v>
      </c>
      <c r="Q37" s="157" t="s">
        <v>858</v>
      </c>
      <c r="R37" s="124" t="s">
        <v>260</v>
      </c>
      <c r="S37" s="186">
        <v>38459</v>
      </c>
      <c r="T37" s="154"/>
      <c r="U37" s="115"/>
    </row>
    <row r="38" spans="1:21" ht="15.75">
      <c r="A38" s="1">
        <v>32</v>
      </c>
      <c r="B38" s="85">
        <v>9.6192129629629627E-2</v>
      </c>
      <c r="C38" s="24">
        <f t="shared" si="3"/>
        <v>138.51666666666665</v>
      </c>
      <c r="D38" s="24">
        <f t="shared" si="1"/>
        <v>130.54690378110453</v>
      </c>
      <c r="E38" s="4">
        <f t="shared" si="6"/>
        <v>0.99529999999999996</v>
      </c>
      <c r="F38" s="24">
        <v>134.08007467413404</v>
      </c>
      <c r="G38" s="24">
        <v>138.51666666666665</v>
      </c>
      <c r="H38" s="145">
        <f t="shared" si="2"/>
        <v>2.6351200218350607E-2</v>
      </c>
      <c r="I38" s="1">
        <v>32</v>
      </c>
      <c r="J38" s="129">
        <f t="shared" si="4"/>
        <v>96.797069912742671</v>
      </c>
      <c r="K38" s="113">
        <f t="shared" si="5"/>
        <v>94.246350942922305</v>
      </c>
      <c r="L38" s="177" t="s">
        <v>1059</v>
      </c>
      <c r="M38" s="124" t="s">
        <v>246</v>
      </c>
      <c r="N38" s="124" t="s">
        <v>530</v>
      </c>
      <c r="O38" s="124" t="s">
        <v>248</v>
      </c>
      <c r="P38" s="156">
        <v>31199</v>
      </c>
      <c r="Q38" s="157" t="s">
        <v>864</v>
      </c>
      <c r="R38" s="124" t="s">
        <v>869</v>
      </c>
      <c r="S38" s="186">
        <v>43016</v>
      </c>
      <c r="T38" s="154"/>
      <c r="U38" s="115"/>
    </row>
    <row r="39" spans="1:21" ht="15.75">
      <c r="A39" s="1">
        <v>33</v>
      </c>
      <c r="B39" s="85">
        <v>9.6238425925925922E-2</v>
      </c>
      <c r="C39" s="24">
        <f t="shared" si="3"/>
        <v>138.58333333333331</v>
      </c>
      <c r="D39" s="24">
        <f t="shared" si="1"/>
        <v>130.82292925224863</v>
      </c>
      <c r="E39" s="4">
        <f t="shared" si="6"/>
        <v>0.99319999999999997</v>
      </c>
      <c r="F39" s="24">
        <v>134.16057907201704</v>
      </c>
      <c r="G39" s="24">
        <v>138.58333333333331</v>
      </c>
      <c r="H39" s="145">
        <f t="shared" si="2"/>
        <v>2.4878021866443899E-2</v>
      </c>
      <c r="I39" s="1">
        <v>33</v>
      </c>
      <c r="J39" s="129">
        <f t="shared" si="4"/>
        <v>96.808595842706239</v>
      </c>
      <c r="K39" s="113">
        <f t="shared" si="5"/>
        <v>94.40018947847166</v>
      </c>
      <c r="L39" s="177" t="s">
        <v>1060</v>
      </c>
      <c r="M39" s="124" t="s">
        <v>246</v>
      </c>
      <c r="N39" s="124" t="s">
        <v>530</v>
      </c>
      <c r="O39" s="124" t="s">
        <v>248</v>
      </c>
      <c r="P39" s="156">
        <v>31199</v>
      </c>
      <c r="Q39" s="157" t="s">
        <v>866</v>
      </c>
      <c r="R39" s="124" t="s">
        <v>519</v>
      </c>
      <c r="S39" s="186">
        <v>43359</v>
      </c>
      <c r="T39" s="154"/>
      <c r="U39" s="115"/>
    </row>
    <row r="40" spans="1:21" ht="15.75">
      <c r="A40" s="1">
        <v>34</v>
      </c>
      <c r="B40" s="85">
        <v>9.6192129629629627E-2</v>
      </c>
      <c r="C40" s="24">
        <f t="shared" si="3"/>
        <v>138.51666666666665</v>
      </c>
      <c r="D40" s="24">
        <f t="shared" si="1"/>
        <v>131.15305676121261</v>
      </c>
      <c r="E40" s="4">
        <f t="shared" si="6"/>
        <v>0.99070000000000003</v>
      </c>
      <c r="F40" s="24">
        <v>134.32187823531373</v>
      </c>
      <c r="G40" s="24">
        <v>138.51666666666665</v>
      </c>
      <c r="H40" s="145">
        <f t="shared" si="2"/>
        <v>2.3591253455745878E-2</v>
      </c>
      <c r="I40" s="1">
        <v>34</v>
      </c>
      <c r="J40" s="129">
        <f t="shared" si="4"/>
        <v>96.971636314749432</v>
      </c>
      <c r="K40" s="113">
        <f t="shared" si="5"/>
        <v>94.683953864429753</v>
      </c>
      <c r="L40" s="177" t="s">
        <v>1059</v>
      </c>
      <c r="M40" s="124" t="s">
        <v>870</v>
      </c>
      <c r="N40" s="124" t="s">
        <v>871</v>
      </c>
      <c r="O40" s="124" t="s">
        <v>244</v>
      </c>
      <c r="P40" s="156">
        <v>30570</v>
      </c>
      <c r="Q40" s="157" t="s">
        <v>858</v>
      </c>
      <c r="R40" s="124" t="s">
        <v>260</v>
      </c>
      <c r="S40" s="186">
        <v>43212</v>
      </c>
      <c r="T40" s="154"/>
      <c r="U40" s="115"/>
    </row>
    <row r="41" spans="1:21" ht="15.75">
      <c r="A41" s="1">
        <v>35</v>
      </c>
      <c r="B41" s="85">
        <v>9.5150462962962964E-2</v>
      </c>
      <c r="C41" s="24">
        <f t="shared" si="3"/>
        <v>137.01666666666668</v>
      </c>
      <c r="D41" s="24">
        <f t="shared" si="1"/>
        <v>131.52478321017648</v>
      </c>
      <c r="E41" s="4">
        <f t="shared" si="6"/>
        <v>0.9879</v>
      </c>
      <c r="F41" s="24">
        <v>134.59157380450421</v>
      </c>
      <c r="G41" s="24">
        <v>137.01666666666668</v>
      </c>
      <c r="H41" s="145">
        <f t="shared" si="2"/>
        <v>2.2785903364071481E-2</v>
      </c>
      <c r="I41" s="1">
        <v>35</v>
      </c>
      <c r="J41" s="129">
        <f t="shared" si="4"/>
        <v>98.230074544097462</v>
      </c>
      <c r="K41" s="113">
        <f t="shared" si="5"/>
        <v>95.991813558090115</v>
      </c>
      <c r="L41" s="177" t="s">
        <v>1114</v>
      </c>
      <c r="M41" s="124" t="s">
        <v>281</v>
      </c>
      <c r="N41" s="124" t="s">
        <v>758</v>
      </c>
      <c r="O41" s="124" t="s">
        <v>244</v>
      </c>
      <c r="P41" s="156">
        <v>29969</v>
      </c>
      <c r="Q41" s="157" t="s">
        <v>858</v>
      </c>
      <c r="R41" s="124" t="s">
        <v>260</v>
      </c>
      <c r="S41" s="186">
        <v>42848</v>
      </c>
      <c r="T41" s="154"/>
      <c r="U41" s="115"/>
    </row>
    <row r="42" spans="1:21" ht="15.75">
      <c r="A42" s="1">
        <v>36</v>
      </c>
      <c r="B42" s="85">
        <v>9.6747685185185187E-2</v>
      </c>
      <c r="C42" s="24">
        <f t="shared" si="3"/>
        <v>139.31666666666666</v>
      </c>
      <c r="D42" s="24">
        <f t="shared" ref="D42:D73" si="7">E$4/E42</f>
        <v>131.95220202430519</v>
      </c>
      <c r="E42" s="4">
        <f t="shared" si="6"/>
        <v>0.98470000000000002</v>
      </c>
      <c r="F42" s="24">
        <v>134.94380137560807</v>
      </c>
      <c r="G42" s="24">
        <v>139.31666666666666</v>
      </c>
      <c r="H42" s="145">
        <f t="shared" si="2"/>
        <v>2.2169223934754449E-2</v>
      </c>
      <c r="I42" s="1">
        <v>36</v>
      </c>
      <c r="J42" s="129">
        <f t="shared" si="4"/>
        <v>96.861204480637454</v>
      </c>
      <c r="K42" s="113">
        <f t="shared" si="5"/>
        <v>94.713866747916171</v>
      </c>
      <c r="L42" s="177" t="s">
        <v>1061</v>
      </c>
      <c r="M42" s="124" t="s">
        <v>542</v>
      </c>
      <c r="N42" s="124" t="s">
        <v>543</v>
      </c>
      <c r="O42" s="124" t="s">
        <v>320</v>
      </c>
      <c r="P42" s="156">
        <v>26534</v>
      </c>
      <c r="Q42" s="157" t="s">
        <v>866</v>
      </c>
      <c r="R42" s="124" t="s">
        <v>519</v>
      </c>
      <c r="S42" s="186">
        <v>39719</v>
      </c>
      <c r="T42" s="154"/>
      <c r="U42" s="115"/>
    </row>
    <row r="43" spans="1:21" ht="15.75">
      <c r="A43" s="1">
        <v>37</v>
      </c>
      <c r="B43" s="85">
        <v>9.6666666666666665E-2</v>
      </c>
      <c r="C43" s="24">
        <f t="shared" si="3"/>
        <v>139.19999999999999</v>
      </c>
      <c r="D43" s="24">
        <f t="shared" si="7"/>
        <v>132.43638093296642</v>
      </c>
      <c r="E43" s="4">
        <f t="shared" si="6"/>
        <v>0.98109999999999997</v>
      </c>
      <c r="F43" s="24">
        <v>135.39352319396752</v>
      </c>
      <c r="G43" s="24">
        <v>141.48333333333335</v>
      </c>
      <c r="H43" s="145">
        <f t="shared" si="2"/>
        <v>2.1841091000820233E-2</v>
      </c>
      <c r="I43" s="1">
        <v>37</v>
      </c>
      <c r="J43" s="129">
        <f t="shared" si="4"/>
        <v>97.265462064631848</v>
      </c>
      <c r="K43" s="113">
        <f t="shared" si="5"/>
        <v>95.141078256441403</v>
      </c>
      <c r="L43" s="177" t="s">
        <v>1054</v>
      </c>
      <c r="M43" s="124" t="s">
        <v>1126</v>
      </c>
      <c r="N43" s="124" t="s">
        <v>1127</v>
      </c>
      <c r="O43" s="124" t="s">
        <v>217</v>
      </c>
      <c r="P43" s="156">
        <v>30976</v>
      </c>
      <c r="Q43" s="162" t="s">
        <v>1128</v>
      </c>
      <c r="R43" s="114" t="s">
        <v>353</v>
      </c>
      <c r="S43" s="186">
        <v>44577</v>
      </c>
      <c r="T43" s="154"/>
      <c r="U43" s="115"/>
    </row>
    <row r="44" spans="1:21" ht="15.75">
      <c r="A44" s="1">
        <v>38</v>
      </c>
      <c r="B44" s="85">
        <v>9.8125000000000004E-2</v>
      </c>
      <c r="C44" s="24">
        <f t="shared" ref="C44:C75" si="8">B44*1440</f>
        <v>141.30000000000001</v>
      </c>
      <c r="D44" s="24">
        <f t="shared" si="7"/>
        <v>132.97854194384746</v>
      </c>
      <c r="E44" s="4">
        <f t="shared" si="6"/>
        <v>0.97709999999999997</v>
      </c>
      <c r="F44" s="24">
        <v>135.94267558980596</v>
      </c>
      <c r="G44" s="24">
        <v>141.30000000000001</v>
      </c>
      <c r="H44" s="145">
        <f t="shared" si="2"/>
        <v>2.1804290912314304E-2</v>
      </c>
      <c r="I44" s="1">
        <v>38</v>
      </c>
      <c r="J44" s="129">
        <f t="shared" ref="J44:J75" si="9">100*(F44/C44)</f>
        <v>96.208546064972367</v>
      </c>
      <c r="K44" s="113">
        <f t="shared" ref="K44:K75" si="10">100*(D44/C44)</f>
        <v>94.110786938320913</v>
      </c>
      <c r="L44" s="177" t="s">
        <v>1062</v>
      </c>
      <c r="M44" s="124" t="s">
        <v>761</v>
      </c>
      <c r="N44" s="124" t="s">
        <v>762</v>
      </c>
      <c r="O44" s="124" t="s">
        <v>244</v>
      </c>
      <c r="P44" s="156">
        <v>29174</v>
      </c>
      <c r="Q44" s="157" t="s">
        <v>866</v>
      </c>
      <c r="R44" s="124" t="s">
        <v>519</v>
      </c>
      <c r="S44" s="186">
        <v>43359</v>
      </c>
      <c r="T44" s="154"/>
      <c r="U44" s="115"/>
    </row>
    <row r="45" spans="1:21" ht="15.75">
      <c r="A45" s="1">
        <v>39</v>
      </c>
      <c r="B45" s="85">
        <v>9.8750000000000004E-2</v>
      </c>
      <c r="C45" s="24">
        <f t="shared" si="8"/>
        <v>142.20000000000002</v>
      </c>
      <c r="D45" s="24">
        <f t="shared" si="7"/>
        <v>133.58006922312464</v>
      </c>
      <c r="E45" s="4">
        <f t="shared" si="6"/>
        <v>0.97270000000000001</v>
      </c>
      <c r="F45" s="24">
        <v>136.5936491764306</v>
      </c>
      <c r="G45" s="24">
        <v>142.20000000000002</v>
      </c>
      <c r="H45" s="145">
        <f t="shared" si="2"/>
        <v>2.2062372383166117E-2</v>
      </c>
      <c r="I45" s="1">
        <v>39</v>
      </c>
      <c r="J45" s="129">
        <f t="shared" si="9"/>
        <v>96.057418548826007</v>
      </c>
      <c r="K45" s="113">
        <f t="shared" si="10"/>
        <v>93.938164010636157</v>
      </c>
      <c r="L45" s="177" t="s">
        <v>1063</v>
      </c>
      <c r="M45" s="124" t="s">
        <v>872</v>
      </c>
      <c r="N45" s="124" t="s">
        <v>873</v>
      </c>
      <c r="O45" s="124" t="s">
        <v>244</v>
      </c>
      <c r="P45" s="156">
        <v>29043</v>
      </c>
      <c r="Q45" s="157"/>
      <c r="R45" s="124" t="s">
        <v>874</v>
      </c>
      <c r="S45" s="186">
        <v>43562</v>
      </c>
      <c r="T45" s="154"/>
      <c r="U45" s="115"/>
    </row>
    <row r="46" spans="1:21" ht="15.75">
      <c r="A46" s="1">
        <v>40</v>
      </c>
      <c r="B46" s="85">
        <v>9.9664351851851851E-2</v>
      </c>
      <c r="C46" s="24">
        <f t="shared" si="8"/>
        <v>143.51666666666665</v>
      </c>
      <c r="D46" s="24">
        <f t="shared" si="7"/>
        <v>134.22865013774106</v>
      </c>
      <c r="E46" s="4">
        <f t="shared" si="6"/>
        <v>0.96799999999999997</v>
      </c>
      <c r="F46" s="24">
        <v>137.33524550979988</v>
      </c>
      <c r="G46" s="24">
        <v>143.51666666666665</v>
      </c>
      <c r="H46" s="145">
        <f t="shared" si="2"/>
        <v>2.2620525128322879E-2</v>
      </c>
      <c r="I46" s="1">
        <v>40</v>
      </c>
      <c r="J46" s="129">
        <f t="shared" si="9"/>
        <v>95.692889682824216</v>
      </c>
      <c r="K46" s="113">
        <f t="shared" si="10"/>
        <v>93.528266267152063</v>
      </c>
      <c r="L46" s="177" t="s">
        <v>1064</v>
      </c>
      <c r="M46" s="124" t="s">
        <v>252</v>
      </c>
      <c r="N46" s="124" t="s">
        <v>253</v>
      </c>
      <c r="O46" s="124" t="s">
        <v>244</v>
      </c>
      <c r="P46" s="156">
        <v>28256</v>
      </c>
      <c r="Q46" s="157"/>
      <c r="R46" s="124" t="s">
        <v>875</v>
      </c>
      <c r="S46" s="186">
        <v>43051</v>
      </c>
      <c r="T46" s="154"/>
      <c r="U46" s="115"/>
    </row>
    <row r="47" spans="1:21" ht="15.75">
      <c r="A47" s="1">
        <v>41</v>
      </c>
      <c r="B47" s="85">
        <v>9.8738425925925924E-2</v>
      </c>
      <c r="C47" s="24">
        <f t="shared" si="8"/>
        <v>142.18333333333334</v>
      </c>
      <c r="D47" s="24">
        <f t="shared" si="7"/>
        <v>134.93959220410565</v>
      </c>
      <c r="E47" s="4">
        <f t="shared" si="6"/>
        <v>0.96289999999999998</v>
      </c>
      <c r="F47" s="24">
        <v>138.18456675599529</v>
      </c>
      <c r="G47" s="24">
        <v>142.18333333333334</v>
      </c>
      <c r="H47" s="145">
        <f t="shared" si="2"/>
        <v>2.348290136929386E-2</v>
      </c>
      <c r="I47" s="1">
        <v>41</v>
      </c>
      <c r="J47" s="129">
        <f t="shared" si="9"/>
        <v>97.18759823420136</v>
      </c>
      <c r="K47" s="113">
        <f t="shared" si="10"/>
        <v>94.905351450549048</v>
      </c>
      <c r="L47" s="177" t="s">
        <v>1065</v>
      </c>
      <c r="M47" s="124" t="s">
        <v>252</v>
      </c>
      <c r="N47" s="124" t="s">
        <v>253</v>
      </c>
      <c r="O47" s="124" t="s">
        <v>244</v>
      </c>
      <c r="P47" s="156">
        <v>28256</v>
      </c>
      <c r="Q47" s="157" t="s">
        <v>1129</v>
      </c>
      <c r="R47" s="124" t="s">
        <v>751</v>
      </c>
      <c r="S47" s="186">
        <v>43436</v>
      </c>
      <c r="T47" s="154"/>
      <c r="U47" s="115"/>
    </row>
    <row r="48" spans="1:21" ht="15.75">
      <c r="A48" s="1">
        <v>42</v>
      </c>
      <c r="B48" s="85">
        <v>0.10012731481481481</v>
      </c>
      <c r="C48" s="24">
        <f t="shared" si="8"/>
        <v>144.18333333333334</v>
      </c>
      <c r="D48" s="24">
        <f t="shared" si="7"/>
        <v>135.71478309309936</v>
      </c>
      <c r="E48" s="4">
        <f t="shared" si="6"/>
        <v>0.95740000000000003</v>
      </c>
      <c r="F48" s="24">
        <v>139.14547656114854</v>
      </c>
      <c r="G48" s="24">
        <v>144.18333333333334</v>
      </c>
      <c r="H48" s="145">
        <f t="shared" si="2"/>
        <v>2.4655443732959158E-2</v>
      </c>
      <c r="I48" s="1">
        <v>42</v>
      </c>
      <c r="J48" s="129">
        <f t="shared" si="9"/>
        <v>96.505936812725835</v>
      </c>
      <c r="K48" s="113">
        <f t="shared" si="10"/>
        <v>94.126540117743161</v>
      </c>
      <c r="L48" s="177" t="s">
        <v>1066</v>
      </c>
      <c r="M48" s="124" t="s">
        <v>876</v>
      </c>
      <c r="N48" s="124" t="s">
        <v>877</v>
      </c>
      <c r="O48" s="124" t="s">
        <v>606</v>
      </c>
      <c r="P48" s="156">
        <v>28173</v>
      </c>
      <c r="Q48" s="157" t="s">
        <v>858</v>
      </c>
      <c r="R48" s="124" t="s">
        <v>260</v>
      </c>
      <c r="S48" s="186">
        <v>43583</v>
      </c>
      <c r="T48" s="154"/>
      <c r="U48" s="115"/>
    </row>
    <row r="49" spans="1:21" ht="15.75">
      <c r="A49" s="1">
        <v>43</v>
      </c>
      <c r="B49" s="85">
        <v>0.10376157407407408</v>
      </c>
      <c r="C49" s="24">
        <f t="shared" si="8"/>
        <v>149.41666666666666</v>
      </c>
      <c r="D49" s="24">
        <f t="shared" si="7"/>
        <v>136.55631459099666</v>
      </c>
      <c r="E49" s="4">
        <f t="shared" si="6"/>
        <v>0.95150000000000001</v>
      </c>
      <c r="F49" s="24">
        <v>140.20776685491177</v>
      </c>
      <c r="G49" s="24">
        <v>149.41666666666669</v>
      </c>
      <c r="H49" s="145">
        <f t="shared" si="2"/>
        <v>2.6043152571523794E-2</v>
      </c>
      <c r="I49" s="1">
        <v>43</v>
      </c>
      <c r="J49" s="129">
        <f t="shared" si="9"/>
        <v>93.836765323978881</v>
      </c>
      <c r="K49" s="113">
        <f t="shared" si="10"/>
        <v>91.392960127828232</v>
      </c>
      <c r="L49" s="177" t="s">
        <v>1067</v>
      </c>
      <c r="M49" s="124" t="s">
        <v>301</v>
      </c>
      <c r="N49" s="124" t="s">
        <v>554</v>
      </c>
      <c r="O49" s="124" t="s">
        <v>303</v>
      </c>
      <c r="P49" s="156">
        <v>20152</v>
      </c>
      <c r="Q49" s="157" t="s">
        <v>864</v>
      </c>
      <c r="R49" s="124" t="s">
        <v>869</v>
      </c>
      <c r="S49" s="186">
        <v>36079</v>
      </c>
      <c r="T49" s="154"/>
      <c r="U49" s="115"/>
    </row>
    <row r="50" spans="1:21" ht="15.75">
      <c r="A50" s="1">
        <v>44</v>
      </c>
      <c r="B50" s="85">
        <v>0.10396990740740741</v>
      </c>
      <c r="C50" s="24">
        <f t="shared" si="8"/>
        <v>149.71666666666667</v>
      </c>
      <c r="D50" s="24">
        <f t="shared" si="7"/>
        <v>137.45195528756304</v>
      </c>
      <c r="E50" s="4">
        <f t="shared" si="6"/>
        <v>0.94530000000000003</v>
      </c>
      <c r="F50" s="24">
        <v>141.39070519580957</v>
      </c>
      <c r="G50" s="24">
        <v>149.71666666666667</v>
      </c>
      <c r="H50" s="145">
        <f t="shared" si="2"/>
        <v>2.7857205343108149E-2</v>
      </c>
      <c r="I50" s="1">
        <v>44</v>
      </c>
      <c r="J50" s="129">
        <f t="shared" si="9"/>
        <v>94.438854633736767</v>
      </c>
      <c r="K50" s="113">
        <f t="shared" si="10"/>
        <v>91.808052067836826</v>
      </c>
      <c r="L50" s="177" t="s">
        <v>1068</v>
      </c>
      <c r="M50" s="124" t="s">
        <v>309</v>
      </c>
      <c r="N50" s="124" t="s">
        <v>878</v>
      </c>
      <c r="O50" s="124" t="s">
        <v>259</v>
      </c>
      <c r="P50" s="156">
        <v>13814</v>
      </c>
      <c r="Q50" s="157" t="s">
        <v>858</v>
      </c>
      <c r="R50" s="124" t="s">
        <v>260</v>
      </c>
      <c r="S50" s="186">
        <v>30080</v>
      </c>
      <c r="T50" s="154"/>
      <c r="U50" s="115"/>
    </row>
    <row r="51" spans="1:21" ht="15.75">
      <c r="A51" s="1">
        <v>45</v>
      </c>
      <c r="B51" s="85">
        <v>9.8310185185185181E-2</v>
      </c>
      <c r="C51" s="24">
        <f t="shared" si="8"/>
        <v>141.56666666666666</v>
      </c>
      <c r="D51" s="24">
        <f t="shared" si="7"/>
        <v>138.43312735279494</v>
      </c>
      <c r="E51" s="4">
        <f t="shared" si="6"/>
        <v>0.93859999999999999</v>
      </c>
      <c r="F51" s="24">
        <v>142.70001773993255</v>
      </c>
      <c r="G51" s="24">
        <v>148.56666666666666</v>
      </c>
      <c r="H51" s="145">
        <f t="shared" si="2"/>
        <v>2.9901120229108277E-2</v>
      </c>
      <c r="I51" s="1">
        <v>45</v>
      </c>
      <c r="J51" s="129">
        <f t="shared" si="9"/>
        <v>100.80057763593069</v>
      </c>
      <c r="K51" s="113">
        <f t="shared" si="10"/>
        <v>97.786527444875176</v>
      </c>
      <c r="L51" s="177" t="s">
        <v>1069</v>
      </c>
      <c r="M51" s="124" t="s">
        <v>876</v>
      </c>
      <c r="N51" s="124" t="s">
        <v>877</v>
      </c>
      <c r="O51" s="124" t="s">
        <v>606</v>
      </c>
      <c r="P51" s="156">
        <v>28173</v>
      </c>
      <c r="Q51" s="157" t="s">
        <v>1129</v>
      </c>
      <c r="R51" s="124" t="s">
        <v>1130</v>
      </c>
      <c r="S51" s="186">
        <v>44899</v>
      </c>
      <c r="T51" s="154"/>
      <c r="U51" s="115"/>
    </row>
    <row r="52" spans="1:21" ht="15.75">
      <c r="A52" s="1">
        <v>46</v>
      </c>
      <c r="B52" s="85">
        <v>0.1044675925925926</v>
      </c>
      <c r="C52" s="24">
        <f t="shared" si="8"/>
        <v>150.43333333333334</v>
      </c>
      <c r="D52" s="24">
        <f t="shared" si="7"/>
        <v>139.47330757120366</v>
      </c>
      <c r="E52" s="4">
        <f t="shared" si="6"/>
        <v>0.93159999999999998</v>
      </c>
      <c r="F52" s="24">
        <v>144.14220693115431</v>
      </c>
      <c r="G52" s="24">
        <v>150.43333333333334</v>
      </c>
      <c r="H52" s="145">
        <f t="shared" si="2"/>
        <v>3.2390924624739643E-2</v>
      </c>
      <c r="I52" s="1">
        <v>46</v>
      </c>
      <c r="J52" s="129">
        <f t="shared" si="9"/>
        <v>95.817997073667826</v>
      </c>
      <c r="K52" s="113">
        <f t="shared" si="10"/>
        <v>92.714363552761128</v>
      </c>
      <c r="L52" s="177" t="s">
        <v>1070</v>
      </c>
      <c r="M52" s="124" t="s">
        <v>301</v>
      </c>
      <c r="N52" s="124" t="s">
        <v>554</v>
      </c>
      <c r="O52" s="124" t="s">
        <v>303</v>
      </c>
      <c r="P52" s="156">
        <v>20152</v>
      </c>
      <c r="Q52" s="157" t="s">
        <v>833</v>
      </c>
      <c r="R52" s="124" t="s">
        <v>782</v>
      </c>
      <c r="S52" s="186">
        <v>37318</v>
      </c>
      <c r="T52" s="154"/>
      <c r="U52" s="115" t="s">
        <v>834</v>
      </c>
    </row>
    <row r="53" spans="1:21" ht="15.75">
      <c r="A53" s="1">
        <v>47</v>
      </c>
      <c r="B53" s="85">
        <v>0.10347222222222222</v>
      </c>
      <c r="C53" s="24">
        <f t="shared" si="8"/>
        <v>149</v>
      </c>
      <c r="D53" s="24">
        <f t="shared" si="7"/>
        <v>140.59005987160066</v>
      </c>
      <c r="E53" s="4">
        <f t="shared" si="6"/>
        <v>0.92420000000000002</v>
      </c>
      <c r="F53" s="24">
        <v>145.72463768115938</v>
      </c>
      <c r="G53" s="24">
        <v>149</v>
      </c>
      <c r="H53" s="145">
        <f t="shared" si="2"/>
        <v>3.5234795510646628E-2</v>
      </c>
      <c r="I53" s="1">
        <v>47</v>
      </c>
      <c r="J53" s="129">
        <f t="shared" si="9"/>
        <v>97.801770255811661</v>
      </c>
      <c r="K53" s="113">
        <f t="shared" si="10"/>
        <v>94.355744880268901</v>
      </c>
      <c r="L53" s="177" t="s">
        <v>1071</v>
      </c>
      <c r="M53" s="124" t="s">
        <v>301</v>
      </c>
      <c r="N53" s="124" t="s">
        <v>554</v>
      </c>
      <c r="O53" s="124" t="s">
        <v>303</v>
      </c>
      <c r="P53" s="156">
        <v>20152</v>
      </c>
      <c r="Q53" s="157"/>
      <c r="R53" s="124" t="s">
        <v>264</v>
      </c>
      <c r="S53" s="186">
        <v>37542</v>
      </c>
      <c r="T53" s="154"/>
      <c r="U53" s="115"/>
    </row>
    <row r="54" spans="1:21" ht="15.75">
      <c r="A54" s="1">
        <v>48</v>
      </c>
      <c r="B54" s="85">
        <v>0.10956018518518519</v>
      </c>
      <c r="C54" s="24">
        <f t="shared" si="8"/>
        <v>157.76666666666668</v>
      </c>
      <c r="D54" s="24">
        <f t="shared" si="7"/>
        <v>141.77123113293328</v>
      </c>
      <c r="E54" s="4">
        <f t="shared" si="6"/>
        <v>0.91649999999999998</v>
      </c>
      <c r="F54" s="24">
        <v>147.43942226621206</v>
      </c>
      <c r="G54" s="24">
        <v>157.76666666666665</v>
      </c>
      <c r="H54" s="145">
        <f t="shared" si="2"/>
        <v>3.8444203362683227E-2</v>
      </c>
      <c r="I54" s="1">
        <v>48</v>
      </c>
      <c r="J54" s="129">
        <f t="shared" si="9"/>
        <v>93.45410242946042</v>
      </c>
      <c r="K54" s="113">
        <f t="shared" si="10"/>
        <v>89.861333910585202</v>
      </c>
      <c r="L54" s="177" t="s">
        <v>1072</v>
      </c>
      <c r="M54" s="124" t="s">
        <v>879</v>
      </c>
      <c r="N54" s="124" t="s">
        <v>880</v>
      </c>
      <c r="O54" s="124" t="s">
        <v>295</v>
      </c>
      <c r="P54" s="156">
        <v>22473</v>
      </c>
      <c r="Q54" s="157"/>
      <c r="R54" s="124" t="s">
        <v>881</v>
      </c>
      <c r="S54" s="186">
        <v>40230</v>
      </c>
      <c r="T54" s="154"/>
      <c r="U54" s="115"/>
    </row>
    <row r="55" spans="1:21" ht="15.75">
      <c r="A55" s="1">
        <v>49</v>
      </c>
      <c r="B55" s="85">
        <v>0.10436342592592593</v>
      </c>
      <c r="C55" s="24">
        <f t="shared" si="8"/>
        <v>150.28333333333333</v>
      </c>
      <c r="D55" s="24">
        <f t="shared" si="7"/>
        <v>143.05112114206025</v>
      </c>
      <c r="E55" s="4">
        <f t="shared" si="6"/>
        <v>0.9083</v>
      </c>
      <c r="F55" s="24">
        <v>149.26148593483259</v>
      </c>
      <c r="G55" s="24">
        <v>150.28333333333333</v>
      </c>
      <c r="H55" s="145">
        <f t="shared" si="2"/>
        <v>4.1607282373456858E-2</v>
      </c>
      <c r="I55" s="1">
        <v>49</v>
      </c>
      <c r="J55" s="129">
        <f t="shared" si="9"/>
        <v>99.320052745812973</v>
      </c>
      <c r="K55" s="113">
        <f t="shared" si="10"/>
        <v>95.187615265871301</v>
      </c>
      <c r="L55" s="177" t="s">
        <v>1073</v>
      </c>
      <c r="M55" s="124" t="s">
        <v>301</v>
      </c>
      <c r="N55" s="124" t="s">
        <v>554</v>
      </c>
      <c r="O55" s="124" t="s">
        <v>303</v>
      </c>
      <c r="P55" s="156">
        <v>20152</v>
      </c>
      <c r="Q55" s="157" t="s">
        <v>833</v>
      </c>
      <c r="R55" s="124" t="s">
        <v>782</v>
      </c>
      <c r="S55" s="186">
        <v>38053</v>
      </c>
      <c r="T55" s="154"/>
      <c r="U55" s="115" t="s">
        <v>834</v>
      </c>
    </row>
    <row r="56" spans="1:21" ht="15.75">
      <c r="A56" s="1">
        <v>50</v>
      </c>
      <c r="B56" s="85">
        <v>0.10491898148148149</v>
      </c>
      <c r="C56" s="24">
        <f t="shared" si="8"/>
        <v>151.08333333333334</v>
      </c>
      <c r="D56" s="24">
        <f t="shared" si="7"/>
        <v>144.40245980588278</v>
      </c>
      <c r="E56" s="4">
        <f t="shared" si="6"/>
        <v>0.89980000000000004</v>
      </c>
      <c r="F56" s="24">
        <v>151.11211301472795</v>
      </c>
      <c r="G56" s="24">
        <v>151.08333333333334</v>
      </c>
      <c r="H56" s="145">
        <f t="shared" si="2"/>
        <v>4.4401822428300104E-2</v>
      </c>
      <c r="I56" s="1">
        <v>50</v>
      </c>
      <c r="J56" s="129">
        <f t="shared" si="9"/>
        <v>100.01904887902566</v>
      </c>
      <c r="K56" s="113">
        <f t="shared" si="10"/>
        <v>95.578020831251692</v>
      </c>
      <c r="L56" s="177" t="s">
        <v>1115</v>
      </c>
      <c r="M56" s="124" t="s">
        <v>301</v>
      </c>
      <c r="N56" s="124" t="s">
        <v>554</v>
      </c>
      <c r="O56" s="124" t="s">
        <v>303</v>
      </c>
      <c r="P56" s="156">
        <v>20152</v>
      </c>
      <c r="Q56" s="157" t="s">
        <v>833</v>
      </c>
      <c r="R56" s="124" t="s">
        <v>782</v>
      </c>
      <c r="S56" s="186">
        <v>38417</v>
      </c>
      <c r="T56" s="154"/>
      <c r="U56" s="115" t="s">
        <v>834</v>
      </c>
    </row>
    <row r="57" spans="1:21" ht="15.75">
      <c r="A57" s="1">
        <v>51</v>
      </c>
      <c r="B57" s="85">
        <v>0.10817129629629629</v>
      </c>
      <c r="C57" s="24">
        <f t="shared" si="8"/>
        <v>155.76666666666665</v>
      </c>
      <c r="D57" s="24">
        <f t="shared" si="7"/>
        <v>145.84502562951323</v>
      </c>
      <c r="E57" s="4">
        <f t="shared" si="6"/>
        <v>0.89090000000000003</v>
      </c>
      <c r="F57" s="24">
        <v>153.02667123235548</v>
      </c>
      <c r="G57" s="24">
        <v>155.76666666666665</v>
      </c>
      <c r="H57" s="145">
        <f t="shared" si="2"/>
        <v>4.6930679109771993E-2</v>
      </c>
      <c r="I57" s="1">
        <v>51</v>
      </c>
      <c r="J57" s="129">
        <f t="shared" si="9"/>
        <v>98.240961630016372</v>
      </c>
      <c r="K57" s="113">
        <f t="shared" si="10"/>
        <v>93.630446584322641</v>
      </c>
      <c r="L57" s="177" t="s">
        <v>1074</v>
      </c>
      <c r="M57" s="124" t="s">
        <v>301</v>
      </c>
      <c r="N57" s="124" t="s">
        <v>554</v>
      </c>
      <c r="O57" s="124" t="s">
        <v>303</v>
      </c>
      <c r="P57" s="156">
        <v>20152</v>
      </c>
      <c r="Q57" s="157" t="s">
        <v>833</v>
      </c>
      <c r="R57" s="124" t="s">
        <v>782</v>
      </c>
      <c r="S57" s="186">
        <v>38795</v>
      </c>
      <c r="T57" s="154"/>
      <c r="U57" s="115" t="s">
        <v>834</v>
      </c>
    </row>
    <row r="58" spans="1:21" ht="15.75">
      <c r="A58" s="1">
        <v>52</v>
      </c>
      <c r="B58" s="85">
        <v>0.11721064814814815</v>
      </c>
      <c r="C58" s="24">
        <f t="shared" si="8"/>
        <v>168.78333333333333</v>
      </c>
      <c r="D58" s="24">
        <f t="shared" si="7"/>
        <v>147.38354506957049</v>
      </c>
      <c r="E58" s="4">
        <f t="shared" si="6"/>
        <v>0.88160000000000005</v>
      </c>
      <c r="F58" s="24">
        <v>154.97245019843561</v>
      </c>
      <c r="G58" s="24">
        <v>168.78333333333333</v>
      </c>
      <c r="H58" s="145">
        <f t="shared" si="2"/>
        <v>4.8969382100804711E-2</v>
      </c>
      <c r="I58" s="1">
        <v>52</v>
      </c>
      <c r="J58" s="129">
        <f t="shared" si="9"/>
        <v>91.817389275265498</v>
      </c>
      <c r="K58" s="113">
        <f t="shared" si="10"/>
        <v>87.321148456346691</v>
      </c>
      <c r="L58" s="177" t="s">
        <v>1075</v>
      </c>
      <c r="M58" s="124" t="s">
        <v>882</v>
      </c>
      <c r="N58" s="124" t="s">
        <v>883</v>
      </c>
      <c r="O58" s="124" t="s">
        <v>320</v>
      </c>
      <c r="P58" s="156">
        <v>13345</v>
      </c>
      <c r="Q58" s="157"/>
      <c r="R58" s="124" t="s">
        <v>884</v>
      </c>
      <c r="S58" s="186">
        <v>32446</v>
      </c>
      <c r="T58" s="154"/>
      <c r="U58" s="115"/>
    </row>
    <row r="59" spans="1:21" ht="15.75">
      <c r="A59" s="1">
        <v>53</v>
      </c>
      <c r="B59" s="85">
        <v>0.11655092592592593</v>
      </c>
      <c r="C59" s="24">
        <f t="shared" si="8"/>
        <v>167.83333333333334</v>
      </c>
      <c r="D59" s="24">
        <f t="shared" si="7"/>
        <v>149.00611620795107</v>
      </c>
      <c r="E59" s="4">
        <f t="shared" si="6"/>
        <v>0.872</v>
      </c>
      <c r="F59" s="24">
        <v>156.98672911787662</v>
      </c>
      <c r="G59" s="24">
        <v>167.83333333333334</v>
      </c>
      <c r="H59" s="145">
        <f t="shared" si="2"/>
        <v>5.0836226442638674E-2</v>
      </c>
      <c r="I59" s="1">
        <v>53</v>
      </c>
      <c r="J59" s="129">
        <f t="shared" si="9"/>
        <v>93.537276534981089</v>
      </c>
      <c r="K59" s="113">
        <f t="shared" si="10"/>
        <v>88.782194364221084</v>
      </c>
      <c r="L59" s="177" t="s">
        <v>1076</v>
      </c>
      <c r="M59" s="124" t="s">
        <v>316</v>
      </c>
      <c r="N59" s="124" t="s">
        <v>885</v>
      </c>
      <c r="O59" s="124" t="s">
        <v>217</v>
      </c>
      <c r="P59" s="156">
        <v>20956</v>
      </c>
      <c r="Q59" s="157" t="s">
        <v>864</v>
      </c>
      <c r="R59" s="124" t="s">
        <v>869</v>
      </c>
      <c r="S59" s="186">
        <v>40461</v>
      </c>
      <c r="T59" s="154"/>
      <c r="U59" s="115"/>
    </row>
    <row r="60" spans="1:21" ht="15.75">
      <c r="A60" s="1">
        <v>54</v>
      </c>
      <c r="B60" s="85">
        <v>0.12070601851851852</v>
      </c>
      <c r="C60" s="24">
        <f t="shared" si="8"/>
        <v>173.81666666666666</v>
      </c>
      <c r="D60" s="24">
        <f t="shared" si="7"/>
        <v>150.7522141006304</v>
      </c>
      <c r="E60" s="4">
        <f t="shared" si="6"/>
        <v>0.8619</v>
      </c>
      <c r="F60" s="24">
        <v>159.05405939810967</v>
      </c>
      <c r="G60" s="24">
        <v>173.81666666666666</v>
      </c>
      <c r="H60" s="145">
        <f t="shared" si="2"/>
        <v>5.2195117363838507E-2</v>
      </c>
      <c r="I60" s="1">
        <v>54</v>
      </c>
      <c r="J60" s="129">
        <f t="shared" si="9"/>
        <v>91.506794169015066</v>
      </c>
      <c r="K60" s="113">
        <f t="shared" si="10"/>
        <v>86.730586307774701</v>
      </c>
      <c r="L60" s="177" t="s">
        <v>1077</v>
      </c>
      <c r="M60" s="124" t="s">
        <v>785</v>
      </c>
      <c r="N60" s="124" t="s">
        <v>886</v>
      </c>
      <c r="O60" s="124" t="s">
        <v>787</v>
      </c>
      <c r="P60" s="156">
        <v>23167</v>
      </c>
      <c r="Q60" s="157"/>
      <c r="R60" s="124" t="s">
        <v>887</v>
      </c>
      <c r="S60" s="186">
        <v>42904</v>
      </c>
      <c r="T60" s="154"/>
      <c r="U60" s="115"/>
    </row>
    <row r="61" spans="1:21" ht="15.75">
      <c r="A61" s="1">
        <v>55</v>
      </c>
      <c r="B61" s="85">
        <v>0.11960648148148148</v>
      </c>
      <c r="C61" s="24">
        <f t="shared" si="8"/>
        <v>172.23333333333332</v>
      </c>
      <c r="D61" s="24">
        <f t="shared" si="7"/>
        <v>152.59346251712662</v>
      </c>
      <c r="E61" s="4">
        <f t="shared" si="6"/>
        <v>0.85150000000000003</v>
      </c>
      <c r="F61" s="24">
        <v>161.15719036743195</v>
      </c>
      <c r="G61" s="24">
        <v>172.23333333333335</v>
      </c>
      <c r="H61" s="145">
        <f t="shared" si="2"/>
        <v>5.3138974629554969E-2</v>
      </c>
      <c r="I61" s="1">
        <v>55</v>
      </c>
      <c r="J61" s="129">
        <f t="shared" si="9"/>
        <v>93.569106077471631</v>
      </c>
      <c r="K61" s="113">
        <f t="shared" si="10"/>
        <v>88.596939723510729</v>
      </c>
      <c r="L61" s="177" t="s">
        <v>1078</v>
      </c>
      <c r="M61" s="124" t="s">
        <v>803</v>
      </c>
      <c r="N61" s="124" t="s">
        <v>888</v>
      </c>
      <c r="O61" s="124" t="s">
        <v>217</v>
      </c>
      <c r="P61" s="156">
        <v>15914</v>
      </c>
      <c r="Q61" s="157" t="s">
        <v>864</v>
      </c>
      <c r="R61" s="124" t="s">
        <v>869</v>
      </c>
      <c r="S61" s="186">
        <v>36079</v>
      </c>
      <c r="T61" s="154"/>
      <c r="U61" s="115"/>
    </row>
    <row r="62" spans="1:21" ht="15.75">
      <c r="A62" s="1">
        <v>56</v>
      </c>
      <c r="B62" s="85">
        <v>0.11673611111111111</v>
      </c>
      <c r="C62" s="24">
        <f t="shared" si="8"/>
        <v>168.1</v>
      </c>
      <c r="D62" s="24">
        <f t="shared" si="7"/>
        <v>154.55374489512707</v>
      </c>
      <c r="E62" s="4">
        <f t="shared" si="6"/>
        <v>0.8407</v>
      </c>
      <c r="F62" s="24">
        <v>163.33658219623129</v>
      </c>
      <c r="G62" s="24">
        <v>175.06666666666666</v>
      </c>
      <c r="H62" s="145">
        <f t="shared" si="2"/>
        <v>5.37714037052189E-2</v>
      </c>
      <c r="I62" s="1">
        <v>56</v>
      </c>
      <c r="J62" s="129">
        <f t="shared" si="9"/>
        <v>97.166318974557583</v>
      </c>
      <c r="K62" s="113">
        <f t="shared" si="10"/>
        <v>91.941549610426577</v>
      </c>
      <c r="L62" s="177" t="s">
        <v>1079</v>
      </c>
      <c r="M62" s="124" t="s">
        <v>1131</v>
      </c>
      <c r="N62" s="124" t="s">
        <v>1132</v>
      </c>
      <c r="O62" s="124" t="s">
        <v>606</v>
      </c>
      <c r="P62" s="156"/>
      <c r="Q62" s="157"/>
      <c r="R62" s="124" t="s">
        <v>1133</v>
      </c>
      <c r="S62" s="186">
        <v>44699</v>
      </c>
      <c r="T62" s="154"/>
      <c r="U62" s="115"/>
    </row>
    <row r="63" spans="1:21" ht="15.75">
      <c r="A63" s="1">
        <v>57</v>
      </c>
      <c r="B63" s="85">
        <v>0.12116898148148147</v>
      </c>
      <c r="C63" s="24">
        <f t="shared" si="8"/>
        <v>174.48333333333332</v>
      </c>
      <c r="D63" s="24">
        <f t="shared" si="7"/>
        <v>156.60278815636175</v>
      </c>
      <c r="E63" s="4">
        <f t="shared" si="6"/>
        <v>0.82969999999999999</v>
      </c>
      <c r="F63" s="24">
        <v>165.55528113937595</v>
      </c>
      <c r="G63" s="24">
        <v>174.48333333333332</v>
      </c>
      <c r="H63" s="145">
        <f t="shared" si="2"/>
        <v>5.4075550604014644E-2</v>
      </c>
      <c r="I63" s="1">
        <v>57</v>
      </c>
      <c r="J63" s="129">
        <f t="shared" si="9"/>
        <v>94.883148995726032</v>
      </c>
      <c r="K63" s="113">
        <f t="shared" si="10"/>
        <v>89.752290470739382</v>
      </c>
      <c r="L63" s="177" t="s">
        <v>1080</v>
      </c>
      <c r="M63" s="124" t="s">
        <v>889</v>
      </c>
      <c r="N63" s="124" t="s">
        <v>890</v>
      </c>
      <c r="O63" s="124" t="s">
        <v>840</v>
      </c>
      <c r="P63" s="156">
        <v>20650</v>
      </c>
      <c r="Q63" s="157"/>
      <c r="R63" s="124" t="s">
        <v>841</v>
      </c>
      <c r="S63" s="186">
        <v>41581</v>
      </c>
      <c r="T63" s="154"/>
      <c r="U63" s="115"/>
    </row>
    <row r="64" spans="1:21" ht="15.75">
      <c r="A64" s="1">
        <v>58</v>
      </c>
      <c r="B64" s="85">
        <v>0.12378472222222223</v>
      </c>
      <c r="C64" s="24">
        <f t="shared" si="8"/>
        <v>178.25</v>
      </c>
      <c r="D64" s="24">
        <f t="shared" si="7"/>
        <v>158.72628064174609</v>
      </c>
      <c r="E64" s="4">
        <f t="shared" si="6"/>
        <v>0.81859999999999999</v>
      </c>
      <c r="F64" s="24">
        <v>167.8560994950127</v>
      </c>
      <c r="G64" s="24">
        <v>178.61666666666665</v>
      </c>
      <c r="H64" s="145">
        <f t="shared" si="2"/>
        <v>5.4390748270293721E-2</v>
      </c>
      <c r="I64" s="1">
        <v>58</v>
      </c>
      <c r="J64" s="129">
        <f t="shared" si="9"/>
        <v>94.168919772798148</v>
      </c>
      <c r="K64" s="113">
        <f t="shared" si="10"/>
        <v>89.047001762550408</v>
      </c>
      <c r="L64" s="177" t="s">
        <v>1081</v>
      </c>
      <c r="M64" s="124" t="s">
        <v>1134</v>
      </c>
      <c r="N64" s="124" t="s">
        <v>1135</v>
      </c>
      <c r="O64" s="124" t="s">
        <v>240</v>
      </c>
      <c r="P64" s="124" t="s">
        <v>1136</v>
      </c>
      <c r="Q64" s="157" t="s">
        <v>915</v>
      </c>
      <c r="R64" s="124" t="s">
        <v>1137</v>
      </c>
      <c r="S64" s="186">
        <v>42794</v>
      </c>
      <c r="T64" s="154"/>
      <c r="U64" s="115"/>
    </row>
    <row r="65" spans="1:21" ht="15.75">
      <c r="A65" s="1">
        <v>59</v>
      </c>
      <c r="B65" s="85">
        <v>0.11489583333333334</v>
      </c>
      <c r="C65" s="24">
        <f t="shared" si="8"/>
        <v>165.45000000000002</v>
      </c>
      <c r="D65" s="24">
        <f t="shared" si="7"/>
        <v>160.8882284959551</v>
      </c>
      <c r="E65" s="4">
        <f t="shared" si="6"/>
        <v>0.80759999999999998</v>
      </c>
      <c r="F65" s="24">
        <v>170.22177078042998</v>
      </c>
      <c r="G65" s="24">
        <v>179.71666666666667</v>
      </c>
      <c r="H65" s="145">
        <f t="shared" si="2"/>
        <v>5.4831660143603266E-2</v>
      </c>
      <c r="I65" s="1">
        <v>59</v>
      </c>
      <c r="J65" s="129">
        <f t="shared" si="9"/>
        <v>102.88411651884554</v>
      </c>
      <c r="K65" s="113">
        <f t="shared" si="10"/>
        <v>97.242809607709333</v>
      </c>
      <c r="L65" s="177" t="s">
        <v>1082</v>
      </c>
      <c r="M65" s="124" t="s">
        <v>1026</v>
      </c>
      <c r="N65" s="124" t="s">
        <v>1027</v>
      </c>
      <c r="O65" s="124" t="s">
        <v>217</v>
      </c>
      <c r="P65" s="156">
        <v>23193</v>
      </c>
      <c r="Q65" s="157" t="s">
        <v>858</v>
      </c>
      <c r="R65" s="124" t="s">
        <v>260</v>
      </c>
      <c r="S65" s="186">
        <v>45039</v>
      </c>
      <c r="T65" s="154"/>
      <c r="U65" s="115"/>
    </row>
    <row r="66" spans="1:21" ht="15.75">
      <c r="A66" s="1">
        <v>60</v>
      </c>
      <c r="B66" s="85">
        <v>0.11785879629629629</v>
      </c>
      <c r="C66" s="24">
        <f t="shared" si="8"/>
        <v>169.71666666666667</v>
      </c>
      <c r="D66" s="24">
        <f t="shared" si="7"/>
        <v>163.1303620004185</v>
      </c>
      <c r="E66" s="4">
        <f t="shared" ref="E66:E97" si="11">ROUND(1-IF(A66&lt;I$3,0,IF(A66&lt;I$4,G$3*(A66-I$3)^2,G$2+G$4*(A66-I$4)+(A66&gt;I$5)*G$5*(A66-I$5)^2)),4)</f>
        <v>0.79649999999999999</v>
      </c>
      <c r="F66" s="24">
        <v>172.63284402094598</v>
      </c>
      <c r="G66" s="24">
        <v>181.5</v>
      </c>
      <c r="H66" s="145">
        <f t="shared" si="2"/>
        <v>5.5044461987630348E-2</v>
      </c>
      <c r="I66" s="1">
        <v>60</v>
      </c>
      <c r="J66" s="129">
        <f t="shared" si="9"/>
        <v>101.71826221405047</v>
      </c>
      <c r="K66" s="113">
        <f t="shared" si="10"/>
        <v>96.119235196161341</v>
      </c>
      <c r="L66" s="177" t="s">
        <v>1083</v>
      </c>
      <c r="M66" s="124" t="s">
        <v>1026</v>
      </c>
      <c r="N66" s="124" t="s">
        <v>1027</v>
      </c>
      <c r="O66" s="124" t="s">
        <v>217</v>
      </c>
      <c r="P66" s="156">
        <v>23193</v>
      </c>
      <c r="Q66" s="182" t="s">
        <v>864</v>
      </c>
      <c r="R66" s="182" t="s">
        <v>865</v>
      </c>
      <c r="S66" s="330">
        <v>45207</v>
      </c>
      <c r="T66" s="154"/>
      <c r="U66" s="115"/>
    </row>
    <row r="67" spans="1:21" ht="15.75">
      <c r="A67" s="1">
        <v>61</v>
      </c>
      <c r="B67" s="85">
        <v>0.12958333333333333</v>
      </c>
      <c r="C67" s="24">
        <f t="shared" si="8"/>
        <v>186.6</v>
      </c>
      <c r="D67" s="24">
        <f t="shared" si="7"/>
        <v>165.43587131822426</v>
      </c>
      <c r="E67" s="4">
        <f t="shared" si="11"/>
        <v>0.78539999999999999</v>
      </c>
      <c r="F67" s="24">
        <v>175.13607663836268</v>
      </c>
      <c r="G67" s="24">
        <v>186.6</v>
      </c>
      <c r="H67" s="145">
        <f t="shared" si="2"/>
        <v>5.5386677070357763E-2</v>
      </c>
      <c r="I67" s="1">
        <v>61</v>
      </c>
      <c r="J67" s="129">
        <f t="shared" si="9"/>
        <v>93.856418348533055</v>
      </c>
      <c r="K67" s="113">
        <f t="shared" si="10"/>
        <v>88.658023214482455</v>
      </c>
      <c r="L67" s="177" t="s">
        <v>1116</v>
      </c>
      <c r="M67" s="124" t="s">
        <v>1134</v>
      </c>
      <c r="N67" s="124" t="s">
        <v>1135</v>
      </c>
      <c r="O67" s="124" t="s">
        <v>240</v>
      </c>
      <c r="P67" s="124" t="s">
        <v>1136</v>
      </c>
      <c r="Q67" s="157" t="s">
        <v>1138</v>
      </c>
      <c r="R67" s="124" t="s">
        <v>1139</v>
      </c>
      <c r="S67" s="186">
        <v>43772</v>
      </c>
      <c r="T67" s="154"/>
      <c r="U67" s="115"/>
    </row>
    <row r="68" spans="1:21" ht="15.75">
      <c r="A68" s="1">
        <v>62</v>
      </c>
      <c r="B68" s="85">
        <v>0.12284722222222222</v>
      </c>
      <c r="C68" s="24">
        <f t="shared" si="8"/>
        <v>176.9</v>
      </c>
      <c r="D68" s="24">
        <f t="shared" si="7"/>
        <v>167.78581267217632</v>
      </c>
      <c r="E68" s="4">
        <f t="shared" si="11"/>
        <v>0.77439999999999998</v>
      </c>
      <c r="F68" s="24">
        <v>177.68941904130767</v>
      </c>
      <c r="G68" s="24">
        <v>194.61666666666667</v>
      </c>
      <c r="H68" s="145">
        <f t="shared" si="2"/>
        <v>5.573548736083745E-2</v>
      </c>
      <c r="I68" s="1">
        <v>62</v>
      </c>
      <c r="J68" s="129">
        <f t="shared" si="9"/>
        <v>100.44625157790146</v>
      </c>
      <c r="K68" s="113">
        <f t="shared" si="10"/>
        <v>94.847830792637822</v>
      </c>
      <c r="L68" s="177" t="s">
        <v>1084</v>
      </c>
      <c r="M68" s="124" t="s">
        <v>1134</v>
      </c>
      <c r="N68" s="124" t="s">
        <v>1135</v>
      </c>
      <c r="O68" s="124" t="s">
        <v>240</v>
      </c>
      <c r="P68" s="124" t="s">
        <v>1136</v>
      </c>
      <c r="Q68" s="157" t="s">
        <v>1140</v>
      </c>
      <c r="R68" s="124" t="s">
        <v>1141</v>
      </c>
      <c r="S68" s="186">
        <v>44227</v>
      </c>
      <c r="T68" s="154"/>
      <c r="U68" s="115"/>
    </row>
    <row r="69" spans="1:21" ht="15.75">
      <c r="A69" s="1">
        <v>63</v>
      </c>
      <c r="B69" s="85">
        <v>0.11961805555555556</v>
      </c>
      <c r="C69" s="24">
        <f t="shared" si="8"/>
        <v>172.25</v>
      </c>
      <c r="D69" s="24">
        <f t="shared" si="7"/>
        <v>170.22577405126862</v>
      </c>
      <c r="E69" s="4">
        <f t="shared" si="11"/>
        <v>0.76329999999999998</v>
      </c>
      <c r="F69" s="24">
        <v>180.34257017307863</v>
      </c>
      <c r="G69" s="24">
        <v>187.79999999999998</v>
      </c>
      <c r="H69" s="145">
        <f t="shared" si="2"/>
        <v>5.6097659649081776E-2</v>
      </c>
      <c r="I69" s="1">
        <v>63</v>
      </c>
      <c r="J69" s="129">
        <f t="shared" si="9"/>
        <v>104.6981539466349</v>
      </c>
      <c r="K69" s="113">
        <f t="shared" si="10"/>
        <v>98.82483254064941</v>
      </c>
      <c r="L69" s="177" t="s">
        <v>1085</v>
      </c>
      <c r="M69" s="124" t="s">
        <v>800</v>
      </c>
      <c r="N69" s="124" t="s">
        <v>891</v>
      </c>
      <c r="O69" s="124" t="s">
        <v>496</v>
      </c>
      <c r="P69" s="156">
        <v>16132</v>
      </c>
      <c r="Q69" s="157"/>
      <c r="R69" s="124" t="s">
        <v>892</v>
      </c>
      <c r="S69" s="186">
        <v>39383</v>
      </c>
      <c r="T69" s="154"/>
      <c r="U69" s="115"/>
    </row>
    <row r="70" spans="1:21" ht="15.75">
      <c r="A70" s="1">
        <v>64</v>
      </c>
      <c r="B70" s="85">
        <v>0.13041666666666665</v>
      </c>
      <c r="C70" s="24">
        <f t="shared" si="8"/>
        <v>187.79999999999998</v>
      </c>
      <c r="D70" s="24">
        <f t="shared" si="7"/>
        <v>172.71478576808897</v>
      </c>
      <c r="E70" s="4">
        <f t="shared" si="11"/>
        <v>0.75229999999999997</v>
      </c>
      <c r="F70" s="24">
        <v>183.07615276070823</v>
      </c>
      <c r="G70" s="24">
        <v>199.3</v>
      </c>
      <c r="H70" s="145">
        <f t="shared" si="2"/>
        <v>5.6595940194145308E-2</v>
      </c>
      <c r="I70" s="1">
        <v>64</v>
      </c>
      <c r="J70" s="129">
        <f t="shared" si="9"/>
        <v>97.484639382698745</v>
      </c>
      <c r="K70" s="113">
        <f t="shared" si="10"/>
        <v>91.967404562347696</v>
      </c>
      <c r="L70" s="177" t="s">
        <v>1117</v>
      </c>
      <c r="M70" s="124" t="s">
        <v>893</v>
      </c>
      <c r="N70" s="124" t="s">
        <v>894</v>
      </c>
      <c r="O70" s="124" t="s">
        <v>240</v>
      </c>
      <c r="P70" s="156">
        <v>16284</v>
      </c>
      <c r="Q70" s="157"/>
      <c r="R70" s="124" t="s">
        <v>895</v>
      </c>
      <c r="S70" s="186">
        <v>39768</v>
      </c>
      <c r="T70" s="154"/>
      <c r="U70" s="115"/>
    </row>
    <row r="71" spans="1:21" ht="15.75">
      <c r="A71" s="1">
        <v>65</v>
      </c>
      <c r="B71" s="85">
        <v>0.13840277777777779</v>
      </c>
      <c r="C71" s="24">
        <f t="shared" si="8"/>
        <v>199.3</v>
      </c>
      <c r="D71" s="24">
        <f t="shared" si="7"/>
        <v>175.3013131858248</v>
      </c>
      <c r="E71" s="4">
        <f t="shared" si="11"/>
        <v>0.74119999999999997</v>
      </c>
      <c r="F71" s="24">
        <v>185.86810850778681</v>
      </c>
      <c r="G71" s="24">
        <v>192.95</v>
      </c>
      <c r="H71" s="145">
        <f t="shared" si="2"/>
        <v>5.6851040271490849E-2</v>
      </c>
      <c r="I71" s="1">
        <v>65</v>
      </c>
      <c r="J71" s="129">
        <f t="shared" si="9"/>
        <v>93.260465884489122</v>
      </c>
      <c r="K71" s="113">
        <f t="shared" si="10"/>
        <v>87.958511382752022</v>
      </c>
      <c r="L71" s="177" t="s">
        <v>1086</v>
      </c>
      <c r="M71" s="124" t="s">
        <v>800</v>
      </c>
      <c r="N71" s="124" t="s">
        <v>891</v>
      </c>
      <c r="O71" s="124" t="s">
        <v>496</v>
      </c>
      <c r="P71" s="156">
        <v>16132</v>
      </c>
      <c r="Q71" s="157"/>
      <c r="R71" s="124" t="s">
        <v>896</v>
      </c>
      <c r="S71" s="186">
        <v>39929</v>
      </c>
      <c r="T71" s="154"/>
      <c r="U71" s="115"/>
    </row>
    <row r="72" spans="1:21" ht="15.75">
      <c r="A72" s="1">
        <v>66</v>
      </c>
      <c r="B72" s="85">
        <v>0.13399305555555555</v>
      </c>
      <c r="C72" s="24">
        <f t="shared" si="8"/>
        <v>192.95</v>
      </c>
      <c r="D72" s="24">
        <f t="shared" si="7"/>
        <v>177.96648860886637</v>
      </c>
      <c r="E72" s="4">
        <f t="shared" si="11"/>
        <v>0.73009999999999997</v>
      </c>
      <c r="F72" s="24">
        <v>188.7731155543039</v>
      </c>
      <c r="G72" s="24">
        <v>199.08333333333334</v>
      </c>
      <c r="H72" s="145">
        <f t="shared" si="2"/>
        <v>5.7246641894453519E-2</v>
      </c>
      <c r="I72" s="1">
        <v>66</v>
      </c>
      <c r="J72" s="129">
        <f t="shared" si="9"/>
        <v>97.835250352062147</v>
      </c>
      <c r="K72" s="113">
        <f t="shared" si="10"/>
        <v>92.234510810503437</v>
      </c>
      <c r="L72" s="177" t="s">
        <v>1087</v>
      </c>
      <c r="M72" s="124" t="s">
        <v>347</v>
      </c>
      <c r="N72" s="124" t="s">
        <v>597</v>
      </c>
      <c r="O72" s="124" t="s">
        <v>259</v>
      </c>
      <c r="P72" s="156">
        <v>17277</v>
      </c>
      <c r="Q72" s="157" t="s">
        <v>866</v>
      </c>
      <c r="R72" s="124" t="s">
        <v>519</v>
      </c>
      <c r="S72" s="186">
        <v>41546</v>
      </c>
      <c r="T72" s="154"/>
      <c r="U72" s="115"/>
    </row>
    <row r="73" spans="1:21" ht="15.75">
      <c r="A73" s="1">
        <v>67</v>
      </c>
      <c r="B73" s="85">
        <v>0.13825231481481481</v>
      </c>
      <c r="C73" s="24">
        <f t="shared" si="8"/>
        <v>199.08333333333334</v>
      </c>
      <c r="D73" s="24">
        <f t="shared" si="7"/>
        <v>180.68882399295418</v>
      </c>
      <c r="E73" s="4">
        <f t="shared" si="11"/>
        <v>0.71909999999999996</v>
      </c>
      <c r="F73" s="24">
        <v>191.74294431731497</v>
      </c>
      <c r="G73" s="24">
        <v>205.85</v>
      </c>
      <c r="H73" s="145">
        <f t="shared" si="2"/>
        <v>5.7650727977074046E-2</v>
      </c>
      <c r="I73" s="1">
        <v>67</v>
      </c>
      <c r="J73" s="129">
        <f t="shared" si="9"/>
        <v>96.312906312590187</v>
      </c>
      <c r="K73" s="113">
        <f t="shared" si="10"/>
        <v>90.76039715008163</v>
      </c>
      <c r="L73" s="177" t="s">
        <v>1118</v>
      </c>
      <c r="M73" s="124" t="s">
        <v>897</v>
      </c>
      <c r="N73" s="124" t="s">
        <v>898</v>
      </c>
      <c r="O73" s="124" t="s">
        <v>259</v>
      </c>
      <c r="P73" s="156">
        <v>17783</v>
      </c>
      <c r="Q73" s="157" t="s">
        <v>858</v>
      </c>
      <c r="R73" s="124" t="s">
        <v>260</v>
      </c>
      <c r="S73" s="186">
        <v>42484</v>
      </c>
      <c r="T73" s="154"/>
      <c r="U73" s="115"/>
    </row>
    <row r="74" spans="1:21" ht="15.75">
      <c r="A74" s="1">
        <v>68</v>
      </c>
      <c r="B74" s="85">
        <v>0.14295138888888889</v>
      </c>
      <c r="C74" s="24">
        <f t="shared" si="8"/>
        <v>205.85</v>
      </c>
      <c r="D74" s="24">
        <f t="shared" ref="D74:D105" si="12">E$4/E74</f>
        <v>183.52165725047084</v>
      </c>
      <c r="E74" s="4">
        <f t="shared" si="11"/>
        <v>0.70799999999999996</v>
      </c>
      <c r="F74" s="24">
        <v>194.83602189604218</v>
      </c>
      <c r="G74" s="24">
        <v>204.9</v>
      </c>
      <c r="H74" s="145">
        <f t="shared" si="2"/>
        <v>5.8071215658510526E-2</v>
      </c>
      <c r="I74" s="1">
        <v>68</v>
      </c>
      <c r="J74" s="129">
        <f t="shared" si="9"/>
        <v>94.649512701502161</v>
      </c>
      <c r="K74" s="113">
        <f t="shared" si="10"/>
        <v>89.153100437440287</v>
      </c>
      <c r="L74" s="177" t="s">
        <v>1088</v>
      </c>
      <c r="M74" s="124" t="s">
        <v>347</v>
      </c>
      <c r="N74" s="124" t="s">
        <v>597</v>
      </c>
      <c r="O74" s="124" t="s">
        <v>259</v>
      </c>
      <c r="P74" s="156">
        <v>17277</v>
      </c>
      <c r="Q74" s="157"/>
      <c r="R74" s="124" t="s">
        <v>547</v>
      </c>
      <c r="S74" s="186">
        <v>42470</v>
      </c>
      <c r="T74" s="154"/>
      <c r="U74" s="115"/>
    </row>
    <row r="75" spans="1:21" ht="15.75">
      <c r="A75" s="1">
        <v>69</v>
      </c>
      <c r="B75" s="85">
        <v>0.14229166666666668</v>
      </c>
      <c r="C75" s="24">
        <f t="shared" si="8"/>
        <v>204.9</v>
      </c>
      <c r="D75" s="24">
        <f t="shared" si="12"/>
        <v>186.41798182687711</v>
      </c>
      <c r="E75" s="4">
        <f t="shared" si="11"/>
        <v>0.69699999999999995</v>
      </c>
      <c r="F75" s="24">
        <v>198.03052683407182</v>
      </c>
      <c r="G75" s="24">
        <v>209.68333333333334</v>
      </c>
      <c r="H75" s="145">
        <f t="shared" ref="H75:H106" si="13">((F75-D75)/F75)</f>
        <v>5.8640176304357201E-2</v>
      </c>
      <c r="I75" s="1">
        <v>69</v>
      </c>
      <c r="J75" s="129">
        <f t="shared" si="9"/>
        <v>96.647402066408887</v>
      </c>
      <c r="K75" s="113">
        <f t="shared" si="10"/>
        <v>90.979981369876569</v>
      </c>
      <c r="L75" s="177" t="s">
        <v>1089</v>
      </c>
      <c r="M75" s="184" t="s">
        <v>357</v>
      </c>
      <c r="N75" s="184" t="s">
        <v>899</v>
      </c>
      <c r="O75" s="184" t="s">
        <v>217</v>
      </c>
      <c r="P75" s="185">
        <v>17637</v>
      </c>
      <c r="Q75" s="155" t="s">
        <v>900</v>
      </c>
      <c r="R75" s="155" t="s">
        <v>901</v>
      </c>
      <c r="S75" s="329">
        <v>43023</v>
      </c>
      <c r="T75" s="154"/>
    </row>
    <row r="76" spans="1:21" ht="15.75">
      <c r="A76" s="1">
        <v>70</v>
      </c>
      <c r="B76" s="85">
        <v>0.14561342592592594</v>
      </c>
      <c r="C76" s="24">
        <f t="shared" ref="C76:C96" si="14">B76*1440</f>
        <v>209.68333333333334</v>
      </c>
      <c r="D76" s="24">
        <f t="shared" si="12"/>
        <v>189.43480585119309</v>
      </c>
      <c r="E76" s="4">
        <f t="shared" si="11"/>
        <v>0.68589999999999995</v>
      </c>
      <c r="F76" s="24">
        <v>201.30130130130124</v>
      </c>
      <c r="G76" s="24">
        <v>207.83333333333334</v>
      </c>
      <c r="H76" s="145">
        <f t="shared" si="13"/>
        <v>5.8948925682039001E-2</v>
      </c>
      <c r="I76" s="1">
        <v>70</v>
      </c>
      <c r="J76" s="129">
        <f t="shared" ref="J76:J96" si="15">100*(F76/C76)</f>
        <v>96.002528241618904</v>
      </c>
      <c r="K76" s="113">
        <f t="shared" ref="K76:K98" si="16">100*(D76/C76)</f>
        <v>90.343282339015857</v>
      </c>
      <c r="L76" s="178" t="s">
        <v>1090</v>
      </c>
      <c r="M76" s="124" t="s">
        <v>357</v>
      </c>
      <c r="N76" s="124" t="s">
        <v>899</v>
      </c>
      <c r="O76" s="124" t="s">
        <v>217</v>
      </c>
      <c r="P76" s="156">
        <v>17637</v>
      </c>
      <c r="Q76" s="157" t="s">
        <v>864</v>
      </c>
      <c r="R76" s="124" t="s">
        <v>869</v>
      </c>
      <c r="S76" s="186">
        <v>43380</v>
      </c>
      <c r="T76" s="154"/>
      <c r="U76" s="115"/>
    </row>
    <row r="77" spans="1:21" ht="15.75">
      <c r="A77" s="1">
        <v>71</v>
      </c>
      <c r="B77" s="85">
        <v>0.14432870370370371</v>
      </c>
      <c r="C77" s="24">
        <f t="shared" si="14"/>
        <v>207.83333333333334</v>
      </c>
      <c r="D77" s="24">
        <f t="shared" si="12"/>
        <v>192.55087927287099</v>
      </c>
      <c r="E77" s="4">
        <f t="shared" si="11"/>
        <v>0.67479999999999996</v>
      </c>
      <c r="F77" s="24">
        <v>204.71318776403515</v>
      </c>
      <c r="G77" s="24">
        <v>204.8</v>
      </c>
      <c r="H77" s="145">
        <f t="shared" si="13"/>
        <v>5.9411455724988189E-2</v>
      </c>
      <c r="I77" s="1">
        <v>71</v>
      </c>
      <c r="J77" s="129">
        <f t="shared" si="15"/>
        <v>98.49872707170897</v>
      </c>
      <c r="K77" s="113">
        <f t="shared" si="16"/>
        <v>92.646774309320435</v>
      </c>
      <c r="L77" s="177" t="s">
        <v>1091</v>
      </c>
      <c r="M77" s="124" t="s">
        <v>357</v>
      </c>
      <c r="N77" s="124" t="s">
        <v>899</v>
      </c>
      <c r="O77" s="124" t="s">
        <v>217</v>
      </c>
      <c r="P77" s="156">
        <v>17637</v>
      </c>
      <c r="Q77" s="157" t="s">
        <v>866</v>
      </c>
      <c r="R77" s="124" t="s">
        <v>519</v>
      </c>
      <c r="S77" s="186">
        <v>43737</v>
      </c>
      <c r="T77" s="154"/>
      <c r="U77" s="115"/>
    </row>
    <row r="78" spans="1:21" ht="15.75">
      <c r="A78" s="1">
        <v>72</v>
      </c>
      <c r="B78" s="85">
        <v>0.14222222222222222</v>
      </c>
      <c r="C78" s="24">
        <f t="shared" si="14"/>
        <v>204.8</v>
      </c>
      <c r="D78" s="24">
        <f t="shared" si="12"/>
        <v>195.7416892638345</v>
      </c>
      <c r="E78" s="4">
        <f t="shared" si="11"/>
        <v>0.66379999999999995</v>
      </c>
      <c r="F78" s="24">
        <v>208.21038463529527</v>
      </c>
      <c r="G78" s="24">
        <v>215.48333333333335</v>
      </c>
      <c r="H78" s="145">
        <f t="shared" si="13"/>
        <v>5.9885079187097894E-2</v>
      </c>
      <c r="I78" s="1">
        <v>72</v>
      </c>
      <c r="J78" s="129">
        <f t="shared" si="15"/>
        <v>101.66522687270276</v>
      </c>
      <c r="K78" s="113">
        <f t="shared" si="16"/>
        <v>95.57699671085669</v>
      </c>
      <c r="L78" s="177" t="s">
        <v>1092</v>
      </c>
      <c r="M78" s="124" t="s">
        <v>902</v>
      </c>
      <c r="N78" s="124" t="s">
        <v>903</v>
      </c>
      <c r="O78" s="124" t="s">
        <v>320</v>
      </c>
      <c r="P78" s="156">
        <v>15058</v>
      </c>
      <c r="Q78" s="157"/>
      <c r="R78" s="124" t="s">
        <v>904</v>
      </c>
      <c r="S78" s="186">
        <v>41560</v>
      </c>
      <c r="T78" s="154"/>
      <c r="U78" s="115"/>
    </row>
    <row r="79" spans="1:21" ht="15.75">
      <c r="A79" s="1">
        <v>73</v>
      </c>
      <c r="B79" s="85">
        <v>0.14964120370370371</v>
      </c>
      <c r="C79" s="24">
        <f t="shared" si="14"/>
        <v>215.48333333333335</v>
      </c>
      <c r="D79" s="24">
        <f t="shared" si="12"/>
        <v>199.070527552219</v>
      </c>
      <c r="E79" s="4">
        <f t="shared" si="11"/>
        <v>0.65269999999999995</v>
      </c>
      <c r="F79" s="24">
        <v>211.86262115465649</v>
      </c>
      <c r="G79" s="24">
        <v>222.31666666666666</v>
      </c>
      <c r="H79" s="145">
        <f t="shared" si="13"/>
        <v>6.0379190688382239E-2</v>
      </c>
      <c r="I79" s="1">
        <v>73</v>
      </c>
      <c r="J79" s="129">
        <f t="shared" si="15"/>
        <v>98.319725185856512</v>
      </c>
      <c r="K79" s="113">
        <f t="shared" si="16"/>
        <v>92.383259750430341</v>
      </c>
      <c r="L79" s="177" t="s">
        <v>1093</v>
      </c>
      <c r="M79" s="124" t="s">
        <v>905</v>
      </c>
      <c r="N79" s="124" t="s">
        <v>906</v>
      </c>
      <c r="O79" s="124" t="s">
        <v>509</v>
      </c>
      <c r="P79" s="156">
        <v>16789</v>
      </c>
      <c r="Q79" s="157" t="s">
        <v>866</v>
      </c>
      <c r="R79" s="124" t="s">
        <v>519</v>
      </c>
      <c r="S79" s="186">
        <v>43737</v>
      </c>
      <c r="T79" s="154"/>
      <c r="U79" s="115"/>
    </row>
    <row r="80" spans="1:21" ht="15.75">
      <c r="A80" s="1">
        <v>74</v>
      </c>
      <c r="B80" s="85">
        <v>0.15438657407407408</v>
      </c>
      <c r="C80" s="24">
        <f t="shared" si="14"/>
        <v>222.31666666666666</v>
      </c>
      <c r="D80" s="24">
        <f t="shared" si="12"/>
        <v>202.60928322677896</v>
      </c>
      <c r="E80" s="4">
        <f t="shared" si="11"/>
        <v>0.64129999999999998</v>
      </c>
      <c r="F80" s="24">
        <v>215.64527371186526</v>
      </c>
      <c r="G80" s="24">
        <v>229.51666666666668</v>
      </c>
      <c r="H80" s="145">
        <f t="shared" si="13"/>
        <v>6.0451083674128464E-2</v>
      </c>
      <c r="I80" s="1">
        <v>74</v>
      </c>
      <c r="J80" s="129">
        <f t="shared" si="15"/>
        <v>96.999148532213169</v>
      </c>
      <c r="K80" s="113">
        <f t="shared" si="16"/>
        <v>91.135444887973136</v>
      </c>
      <c r="L80" s="177" t="s">
        <v>1094</v>
      </c>
      <c r="M80" s="184" t="s">
        <v>357</v>
      </c>
      <c r="N80" s="184" t="s">
        <v>899</v>
      </c>
      <c r="O80" s="184" t="s">
        <v>217</v>
      </c>
      <c r="P80" s="185">
        <v>17637</v>
      </c>
      <c r="Q80" s="162" t="s">
        <v>915</v>
      </c>
      <c r="R80" s="114" t="s">
        <v>750</v>
      </c>
      <c r="S80" s="186">
        <v>44989</v>
      </c>
      <c r="T80" s="154"/>
      <c r="U80" s="115"/>
    </row>
    <row r="81" spans="1:21" ht="15.75">
      <c r="A81" s="1">
        <v>75</v>
      </c>
      <c r="B81" s="85">
        <v>0.14711805555555554</v>
      </c>
      <c r="C81" s="24">
        <f t="shared" si="14"/>
        <v>211.85</v>
      </c>
      <c r="D81" s="24">
        <f t="shared" si="12"/>
        <v>206.57127715951245</v>
      </c>
      <c r="E81" s="4">
        <f t="shared" si="11"/>
        <v>0.629</v>
      </c>
      <c r="F81" s="24">
        <v>219.6733846742039</v>
      </c>
      <c r="G81" s="24">
        <v>245.64999999999998</v>
      </c>
      <c r="H81" s="145">
        <f t="shared" si="13"/>
        <v>5.9643581921055663E-2</v>
      </c>
      <c r="I81" s="1">
        <v>75</v>
      </c>
      <c r="J81" s="129">
        <f t="shared" si="15"/>
        <v>103.69288868265467</v>
      </c>
      <c r="K81" s="113">
        <f t="shared" si="16"/>
        <v>97.508273381879846</v>
      </c>
      <c r="L81" s="177" t="s">
        <v>1095</v>
      </c>
      <c r="M81" s="184" t="s">
        <v>357</v>
      </c>
      <c r="N81" s="184" t="s">
        <v>899</v>
      </c>
      <c r="O81" s="184" t="s">
        <v>217</v>
      </c>
      <c r="P81" s="185">
        <v>17637</v>
      </c>
      <c r="Q81" s="182" t="s">
        <v>864</v>
      </c>
      <c r="R81" s="182" t="s">
        <v>865</v>
      </c>
      <c r="S81" s="330">
        <v>45207</v>
      </c>
      <c r="T81" s="154"/>
      <c r="U81" s="115"/>
    </row>
    <row r="82" spans="1:21" ht="15.75">
      <c r="A82" s="1">
        <v>76</v>
      </c>
      <c r="B82" s="85">
        <v>0.14898148148148149</v>
      </c>
      <c r="C82" s="24">
        <f t="shared" si="14"/>
        <v>214.53333333333336</v>
      </c>
      <c r="D82" s="24">
        <f t="shared" si="12"/>
        <v>210.96498349299128</v>
      </c>
      <c r="E82" s="4">
        <f t="shared" si="11"/>
        <v>0.6159</v>
      </c>
      <c r="F82" s="24">
        <v>224.19175027870676</v>
      </c>
      <c r="G82" s="24">
        <v>233.7</v>
      </c>
      <c r="H82" s="145">
        <f t="shared" si="13"/>
        <v>5.8997562440511145E-2</v>
      </c>
      <c r="I82" s="1">
        <v>76</v>
      </c>
      <c r="J82" s="129">
        <f t="shared" si="15"/>
        <v>104.50205886204478</v>
      </c>
      <c r="K82" s="113">
        <f t="shared" si="16"/>
        <v>98.336692119169328</v>
      </c>
      <c r="L82" s="177" t="s">
        <v>1096</v>
      </c>
      <c r="M82" s="184" t="s">
        <v>357</v>
      </c>
      <c r="N82" s="184" t="s">
        <v>899</v>
      </c>
      <c r="O82" s="184" t="s">
        <v>217</v>
      </c>
      <c r="P82" s="185">
        <v>17637</v>
      </c>
      <c r="Q82" s="157" t="s">
        <v>858</v>
      </c>
      <c r="R82" s="124" t="s">
        <v>260</v>
      </c>
      <c r="S82" s="186">
        <v>45403</v>
      </c>
      <c r="T82" s="154"/>
      <c r="U82" s="115"/>
    </row>
    <row r="83" spans="1:21" ht="15.75">
      <c r="A83" s="1">
        <v>77</v>
      </c>
      <c r="B83" s="85">
        <v>0.14822916666666666</v>
      </c>
      <c r="C83" s="24">
        <f t="shared" si="14"/>
        <v>213.45</v>
      </c>
      <c r="D83" s="24">
        <f t="shared" si="12"/>
        <v>215.80025466423078</v>
      </c>
      <c r="E83" s="4">
        <f t="shared" si="11"/>
        <v>0.60209999999999997</v>
      </c>
      <c r="F83" s="24">
        <v>229.17378917378915</v>
      </c>
      <c r="G83" s="24">
        <v>264.46666666666664</v>
      </c>
      <c r="H83" s="145">
        <f t="shared" si="13"/>
        <v>5.8355427807744754E-2</v>
      </c>
      <c r="I83" s="1">
        <v>77</v>
      </c>
      <c r="J83" s="129">
        <f t="shared" si="15"/>
        <v>107.36649762182672</v>
      </c>
      <c r="K83" s="113">
        <f t="shared" si="16"/>
        <v>101.10107972088582</v>
      </c>
      <c r="L83" s="177" t="s">
        <v>1097</v>
      </c>
      <c r="M83" s="124" t="s">
        <v>909</v>
      </c>
      <c r="N83" s="124" t="s">
        <v>910</v>
      </c>
      <c r="O83" s="124" t="s">
        <v>217</v>
      </c>
      <c r="P83" s="156">
        <v>13446</v>
      </c>
      <c r="Q83" s="157" t="s">
        <v>911</v>
      </c>
      <c r="R83" s="124" t="s">
        <v>912</v>
      </c>
      <c r="S83" s="186">
        <v>41784</v>
      </c>
      <c r="T83" s="154"/>
      <c r="U83" s="115"/>
    </row>
    <row r="84" spans="1:21" ht="15.75">
      <c r="A84" s="1">
        <v>78</v>
      </c>
      <c r="B84" s="85">
        <v>0.18365740740740741</v>
      </c>
      <c r="C84" s="24">
        <f t="shared" si="14"/>
        <v>264.46666666666664</v>
      </c>
      <c r="D84" s="24">
        <f t="shared" si="12"/>
        <v>221.2007717625695</v>
      </c>
      <c r="E84" s="4">
        <f t="shared" si="11"/>
        <v>0.58740000000000003</v>
      </c>
      <c r="F84" s="24">
        <v>234.75164886476384</v>
      </c>
      <c r="G84" s="24">
        <v>259.86666666666667</v>
      </c>
      <c r="H84" s="145">
        <f t="shared" si="13"/>
        <v>5.7724310639456891E-2</v>
      </c>
      <c r="I84" s="1">
        <v>78</v>
      </c>
      <c r="J84" s="129">
        <f t="shared" si="15"/>
        <v>88.764172749469566</v>
      </c>
      <c r="K84" s="113">
        <f t="shared" si="16"/>
        <v>83.640322068024773</v>
      </c>
      <c r="L84" s="177" t="s">
        <v>1098</v>
      </c>
      <c r="M84" s="124" t="s">
        <v>909</v>
      </c>
      <c r="N84" s="124" t="s">
        <v>910</v>
      </c>
      <c r="O84" s="124" t="s">
        <v>217</v>
      </c>
      <c r="P84" s="156">
        <v>13446</v>
      </c>
      <c r="Q84" s="157" t="s">
        <v>911</v>
      </c>
      <c r="R84" s="124" t="s">
        <v>912</v>
      </c>
      <c r="S84" s="186">
        <v>42155</v>
      </c>
      <c r="T84" s="154"/>
      <c r="U84" s="115"/>
    </row>
    <row r="85" spans="1:21" ht="15.75">
      <c r="A85" s="1">
        <v>79</v>
      </c>
      <c r="B85" s="85">
        <v>0.18046296296296296</v>
      </c>
      <c r="C85" s="24">
        <f t="shared" si="14"/>
        <v>259.86666666666667</v>
      </c>
      <c r="D85" s="24">
        <f t="shared" si="12"/>
        <v>227.15617715617719</v>
      </c>
      <c r="E85" s="4">
        <f t="shared" si="11"/>
        <v>0.57199999999999995</v>
      </c>
      <c r="F85" s="24">
        <v>240.95375029954462</v>
      </c>
      <c r="G85" s="24">
        <v>251.83333333333331</v>
      </c>
      <c r="H85" s="145">
        <f t="shared" si="13"/>
        <v>5.7262329912752166E-2</v>
      </c>
      <c r="I85" s="1">
        <v>79</v>
      </c>
      <c r="J85" s="129">
        <f t="shared" si="15"/>
        <v>92.722069125017171</v>
      </c>
      <c r="K85" s="113">
        <f t="shared" si="16"/>
        <v>87.412587412587428</v>
      </c>
      <c r="L85" s="177" t="s">
        <v>1099</v>
      </c>
      <c r="M85" s="124" t="s">
        <v>907</v>
      </c>
      <c r="N85" s="124" t="s">
        <v>908</v>
      </c>
      <c r="O85" s="124" t="s">
        <v>240</v>
      </c>
      <c r="P85" s="156">
        <v>13161</v>
      </c>
      <c r="Q85" s="157"/>
      <c r="R85" s="124" t="s">
        <v>913</v>
      </c>
      <c r="S85" s="186">
        <v>42078</v>
      </c>
      <c r="T85" s="154"/>
      <c r="U85" s="115"/>
    </row>
    <row r="86" spans="1:21" ht="15.75">
      <c r="A86" s="1">
        <v>80</v>
      </c>
      <c r="B86" s="85">
        <v>0.17488425925925927</v>
      </c>
      <c r="C86" s="24">
        <f t="shared" si="14"/>
        <v>251.83333333333334</v>
      </c>
      <c r="D86" s="24">
        <f t="shared" si="12"/>
        <v>233.8192070061784</v>
      </c>
      <c r="E86" s="4">
        <f>ROUND(1-IF(A86&lt;I$3,0,IF(A86&lt;I$4,G$3*(A86-I$3)^2,G$2+G$4*(A86-I$4)+(A86&gt;I$5)*G$5*(A86-I$5)^2)),4)</f>
        <v>0.55569999999999997</v>
      </c>
      <c r="F86" s="24">
        <v>247.81269254467028</v>
      </c>
      <c r="G86" s="24">
        <v>252.73333333333338</v>
      </c>
      <c r="H86" s="145">
        <f t="shared" si="13"/>
        <v>5.6467993607589091E-2</v>
      </c>
      <c r="I86" s="1">
        <v>80</v>
      </c>
      <c r="J86" s="129">
        <f t="shared" si="15"/>
        <v>98.403451705362116</v>
      </c>
      <c r="K86" s="113">
        <f t="shared" si="16"/>
        <v>92.84680622349903</v>
      </c>
      <c r="L86" s="177" t="s">
        <v>1100</v>
      </c>
      <c r="M86" s="124" t="s">
        <v>815</v>
      </c>
      <c r="N86" s="124" t="s">
        <v>914</v>
      </c>
      <c r="O86" s="124" t="s">
        <v>375</v>
      </c>
      <c r="P86" s="156">
        <v>12513</v>
      </c>
      <c r="Q86" s="157"/>
      <c r="R86" s="124" t="s">
        <v>535</v>
      </c>
      <c r="S86" s="186">
        <v>41784</v>
      </c>
      <c r="T86" s="154"/>
      <c r="U86" s="115"/>
    </row>
    <row r="87" spans="1:21" ht="15.75">
      <c r="A87" s="1">
        <v>81</v>
      </c>
      <c r="B87" s="85">
        <v>0.17550925925925925</v>
      </c>
      <c r="C87" s="24">
        <f t="shared" si="14"/>
        <v>252.73333333333332</v>
      </c>
      <c r="D87" s="24">
        <f t="shared" si="12"/>
        <v>241.24272806040355</v>
      </c>
      <c r="E87" s="4">
        <f t="shared" si="11"/>
        <v>0.53859999999999997</v>
      </c>
      <c r="F87" s="24">
        <v>255.51108569976486</v>
      </c>
      <c r="G87" s="24">
        <v>247.51666666666665</v>
      </c>
      <c r="H87" s="145">
        <f t="shared" si="13"/>
        <v>5.5842421084332794E-2</v>
      </c>
      <c r="I87" s="1">
        <v>81</v>
      </c>
      <c r="J87" s="129">
        <f t="shared" si="15"/>
        <v>101.09908429165057</v>
      </c>
      <c r="K87" s="113">
        <f t="shared" si="16"/>
        <v>95.453466655395772</v>
      </c>
      <c r="L87" s="177" t="s">
        <v>1101</v>
      </c>
      <c r="M87" s="124" t="s">
        <v>907</v>
      </c>
      <c r="N87" s="124" t="s">
        <v>908</v>
      </c>
      <c r="O87" s="124" t="s">
        <v>240</v>
      </c>
      <c r="P87" s="156">
        <v>13161</v>
      </c>
      <c r="Q87" s="157" t="s">
        <v>915</v>
      </c>
      <c r="R87" s="124" t="s">
        <v>750</v>
      </c>
      <c r="S87" s="186">
        <v>42792</v>
      </c>
      <c r="T87" s="154"/>
      <c r="U87" s="115"/>
    </row>
    <row r="88" spans="1:21" ht="15.75">
      <c r="A88" s="1">
        <v>82</v>
      </c>
      <c r="B88" s="85">
        <v>0.17188657407407407</v>
      </c>
      <c r="C88" s="24">
        <f t="shared" si="14"/>
        <v>247.51666666666665</v>
      </c>
      <c r="D88" s="24">
        <f t="shared" si="12"/>
        <v>249.48796722990269</v>
      </c>
      <c r="E88" s="4">
        <f t="shared" si="11"/>
        <v>0.52080000000000004</v>
      </c>
      <c r="F88" s="24">
        <v>264.0667060600091</v>
      </c>
      <c r="G88" s="24">
        <v>274.06666666666666</v>
      </c>
      <c r="H88" s="145">
        <f t="shared" si="13"/>
        <v>5.5208545778555621E-2</v>
      </c>
      <c r="I88" s="1">
        <v>82</v>
      </c>
      <c r="J88" s="129">
        <f t="shared" si="15"/>
        <v>106.68643433843208</v>
      </c>
      <c r="K88" s="113">
        <f t="shared" si="16"/>
        <v>100.79643144430787</v>
      </c>
      <c r="L88" s="177" t="s">
        <v>1119</v>
      </c>
      <c r="M88" s="124" t="s">
        <v>907</v>
      </c>
      <c r="N88" s="124" t="s">
        <v>908</v>
      </c>
      <c r="O88" s="124" t="s">
        <v>240</v>
      </c>
      <c r="P88" s="156">
        <v>13161</v>
      </c>
      <c r="Q88" s="157" t="s">
        <v>915</v>
      </c>
      <c r="R88" s="124" t="s">
        <v>750</v>
      </c>
      <c r="S88" s="186">
        <v>43156</v>
      </c>
      <c r="T88" s="154"/>
      <c r="U88" s="115"/>
    </row>
    <row r="89" spans="1:21" ht="15.75">
      <c r="A89" s="1">
        <v>83</v>
      </c>
      <c r="B89" s="85">
        <v>0.19032407407407406</v>
      </c>
      <c r="C89" s="24">
        <f t="shared" si="14"/>
        <v>274.06666666666666</v>
      </c>
      <c r="D89" s="24">
        <f t="shared" si="12"/>
        <v>258.77979154218946</v>
      </c>
      <c r="E89" s="4">
        <f t="shared" si="11"/>
        <v>0.50209999999999999</v>
      </c>
      <c r="F89" s="24">
        <v>273.71716346808216</v>
      </c>
      <c r="G89" s="24">
        <v>291.39999999999998</v>
      </c>
      <c r="H89" s="145">
        <f t="shared" si="13"/>
        <v>5.4572288184750732E-2</v>
      </c>
      <c r="I89" s="1">
        <v>83</v>
      </c>
      <c r="J89" s="129">
        <f t="shared" si="15"/>
        <v>99.872475116060144</v>
      </c>
      <c r="K89" s="113">
        <f t="shared" si="16"/>
        <v>94.422205622302158</v>
      </c>
      <c r="L89" s="177" t="s">
        <v>1120</v>
      </c>
      <c r="M89" s="124" t="s">
        <v>907</v>
      </c>
      <c r="N89" s="124" t="s">
        <v>908</v>
      </c>
      <c r="O89" s="124" t="s">
        <v>240</v>
      </c>
      <c r="P89" s="156">
        <v>13161</v>
      </c>
      <c r="Q89" s="157" t="s">
        <v>915</v>
      </c>
      <c r="R89" s="124" t="s">
        <v>750</v>
      </c>
      <c r="S89" s="186">
        <v>43530</v>
      </c>
      <c r="T89" s="154"/>
      <c r="U89" s="115"/>
    </row>
    <row r="90" spans="1:21" ht="15.75">
      <c r="A90" s="1">
        <v>84</v>
      </c>
      <c r="B90" s="85">
        <v>0.2023611111111111</v>
      </c>
      <c r="C90" s="24">
        <f t="shared" si="14"/>
        <v>291.39999999999998</v>
      </c>
      <c r="D90" s="24">
        <f t="shared" si="12"/>
        <v>269.18030522753952</v>
      </c>
      <c r="E90" s="4">
        <f t="shared" si="11"/>
        <v>0.48270000000000002</v>
      </c>
      <c r="F90" s="24">
        <v>284.58218354206457</v>
      </c>
      <c r="G90" s="24">
        <v>344.36666666666667</v>
      </c>
      <c r="H90" s="145">
        <f t="shared" si="13"/>
        <v>5.4121020939627701E-2</v>
      </c>
      <c r="I90" s="1">
        <v>84</v>
      </c>
      <c r="J90" s="129">
        <f t="shared" si="15"/>
        <v>97.660323796178645</v>
      </c>
      <c r="K90" s="113">
        <f t="shared" si="16"/>
        <v>92.374847367034846</v>
      </c>
      <c r="L90" s="177" t="s">
        <v>1102</v>
      </c>
      <c r="M90" s="124" t="s">
        <v>916</v>
      </c>
      <c r="N90" s="124" t="s">
        <v>917</v>
      </c>
      <c r="O90" s="124" t="s">
        <v>496</v>
      </c>
      <c r="P90" s="156">
        <v>10407</v>
      </c>
      <c r="Q90" s="157" t="s">
        <v>866</v>
      </c>
      <c r="R90" s="124" t="s">
        <v>519</v>
      </c>
      <c r="S90" s="186">
        <v>41182</v>
      </c>
      <c r="T90" s="154"/>
      <c r="U90" s="115"/>
    </row>
    <row r="91" spans="1:21" ht="15.75">
      <c r="A91" s="1">
        <v>85</v>
      </c>
      <c r="B91" s="85">
        <v>0.23914351851851851</v>
      </c>
      <c r="C91" s="24">
        <f t="shared" si="14"/>
        <v>344.36666666666667</v>
      </c>
      <c r="D91" s="24">
        <f t="shared" si="12"/>
        <v>280.99769319492503</v>
      </c>
      <c r="E91" s="4">
        <f t="shared" si="11"/>
        <v>0.46239999999999998</v>
      </c>
      <c r="F91" s="24">
        <v>296.80466386244552</v>
      </c>
      <c r="G91" s="24">
        <v>312.05</v>
      </c>
      <c r="H91" s="145">
        <f t="shared" si="13"/>
        <v>5.3257150550862796E-2</v>
      </c>
      <c r="I91" s="1">
        <v>85</v>
      </c>
      <c r="J91" s="129">
        <f t="shared" si="15"/>
        <v>86.18855789249217</v>
      </c>
      <c r="K91" s="113">
        <f t="shared" si="16"/>
        <v>81.598400889049955</v>
      </c>
      <c r="L91" s="177" t="s">
        <v>1103</v>
      </c>
      <c r="M91" s="124" t="s">
        <v>816</v>
      </c>
      <c r="N91" s="124" t="s">
        <v>918</v>
      </c>
      <c r="O91" s="124" t="s">
        <v>375</v>
      </c>
      <c r="P91" s="156">
        <v>10173</v>
      </c>
      <c r="Q91" s="157" t="s">
        <v>919</v>
      </c>
      <c r="R91" s="124" t="s">
        <v>828</v>
      </c>
      <c r="S91" s="186">
        <v>41252</v>
      </c>
      <c r="T91" s="154"/>
      <c r="U91" s="115"/>
    </row>
    <row r="92" spans="1:21" ht="15.75">
      <c r="A92" s="1">
        <v>86</v>
      </c>
      <c r="B92" s="85">
        <v>0.2167013888888889</v>
      </c>
      <c r="C92" s="24">
        <f t="shared" si="14"/>
        <v>312.05</v>
      </c>
      <c r="D92" s="24">
        <f t="shared" si="12"/>
        <v>294.43311428355616</v>
      </c>
      <c r="E92" s="4">
        <f t="shared" si="11"/>
        <v>0.44130000000000003</v>
      </c>
      <c r="F92" s="24">
        <v>310.77113274609792</v>
      </c>
      <c r="G92" s="24">
        <v>391.7</v>
      </c>
      <c r="H92" s="145">
        <f t="shared" si="13"/>
        <v>5.2572509930933722E-2</v>
      </c>
      <c r="I92" s="1">
        <v>86</v>
      </c>
      <c r="J92" s="129">
        <f t="shared" si="15"/>
        <v>99.590172326902078</v>
      </c>
      <c r="K92" s="113">
        <f t="shared" si="16"/>
        <v>94.354467003222609</v>
      </c>
      <c r="L92" s="177" t="s">
        <v>1121</v>
      </c>
      <c r="M92" s="124" t="s">
        <v>821</v>
      </c>
      <c r="N92" s="124" t="s">
        <v>920</v>
      </c>
      <c r="O92" s="124" t="s">
        <v>217</v>
      </c>
      <c r="P92" s="156">
        <v>8261</v>
      </c>
      <c r="Q92" s="157"/>
      <c r="R92" s="124" t="s">
        <v>782</v>
      </c>
      <c r="S92" s="186">
        <v>39958</v>
      </c>
      <c r="T92" s="154"/>
      <c r="U92" s="115"/>
    </row>
    <row r="93" spans="1:21" ht="15.75">
      <c r="A93" s="1">
        <v>87</v>
      </c>
      <c r="B93" s="85">
        <v>0.27201388888888889</v>
      </c>
      <c r="C93" s="24">
        <f t="shared" si="14"/>
        <v>391.7</v>
      </c>
      <c r="D93" s="24">
        <f t="shared" si="12"/>
        <v>309.73381009137864</v>
      </c>
      <c r="E93" s="4">
        <f t="shared" si="11"/>
        <v>0.41949999999999998</v>
      </c>
      <c r="F93" s="24">
        <v>326.67316439246258</v>
      </c>
      <c r="G93" s="24">
        <v>426.79999999999995</v>
      </c>
      <c r="H93" s="145">
        <f t="shared" si="13"/>
        <v>5.1854134797350938E-2</v>
      </c>
      <c r="I93" s="1">
        <v>87</v>
      </c>
      <c r="J93" s="129">
        <f t="shared" si="15"/>
        <v>83.398816541348637</v>
      </c>
      <c r="K93" s="113">
        <f t="shared" si="16"/>
        <v>79.074243066473997</v>
      </c>
      <c r="L93" s="177" t="s">
        <v>1104</v>
      </c>
      <c r="M93" s="124" t="s">
        <v>921</v>
      </c>
      <c r="N93" s="124" t="s">
        <v>922</v>
      </c>
      <c r="O93" s="124" t="s">
        <v>217</v>
      </c>
      <c r="P93" s="156">
        <v>2649</v>
      </c>
      <c r="Q93" s="157" t="s">
        <v>923</v>
      </c>
      <c r="R93" s="124" t="s">
        <v>924</v>
      </c>
      <c r="S93" s="186">
        <v>34609</v>
      </c>
      <c r="T93" s="154"/>
      <c r="U93" s="115"/>
    </row>
    <row r="94" spans="1:21" ht="15.75">
      <c r="A94" s="1">
        <v>88</v>
      </c>
      <c r="B94" s="85">
        <v>0.29638888888888887</v>
      </c>
      <c r="C94" s="24">
        <f t="shared" si="14"/>
        <v>426.79999999999995</v>
      </c>
      <c r="D94" s="24">
        <f t="shared" si="12"/>
        <v>327.45295698924735</v>
      </c>
      <c r="E94" s="4">
        <f t="shared" si="11"/>
        <v>0.39679999999999999</v>
      </c>
      <c r="F94" s="24">
        <v>345.087945087945</v>
      </c>
      <c r="G94" s="24">
        <v>391.53333333333336</v>
      </c>
      <c r="H94" s="145">
        <f t="shared" si="13"/>
        <v>5.1102880728573129E-2</v>
      </c>
      <c r="I94" s="1">
        <v>88</v>
      </c>
      <c r="J94" s="129">
        <f t="shared" si="15"/>
        <v>80.854720029977756</v>
      </c>
      <c r="K94" s="113">
        <f t="shared" si="16"/>
        <v>76.722810915943626</v>
      </c>
      <c r="L94" s="177" t="s">
        <v>1122</v>
      </c>
      <c r="M94" s="124" t="s">
        <v>816</v>
      </c>
      <c r="N94" s="124" t="s">
        <v>918</v>
      </c>
      <c r="O94" s="124" t="s">
        <v>375</v>
      </c>
      <c r="P94" s="156">
        <v>10173</v>
      </c>
      <c r="Q94" s="157" t="s">
        <v>919</v>
      </c>
      <c r="R94" s="124" t="s">
        <v>828</v>
      </c>
      <c r="S94" s="186">
        <v>42351</v>
      </c>
      <c r="T94" s="154"/>
      <c r="U94" s="115"/>
    </row>
    <row r="95" spans="1:21" ht="15.75">
      <c r="A95" s="1">
        <v>89</v>
      </c>
      <c r="B95" s="85">
        <v>0.27189814814814817</v>
      </c>
      <c r="C95" s="24">
        <f t="shared" si="14"/>
        <v>391.53333333333336</v>
      </c>
      <c r="D95" s="24">
        <f t="shared" si="12"/>
        <v>347.9735761471166</v>
      </c>
      <c r="E95" s="4">
        <f t="shared" si="11"/>
        <v>0.37340000000000001</v>
      </c>
      <c r="F95" s="24">
        <v>366.50264260980487</v>
      </c>
      <c r="G95" s="24">
        <v>489.38333333333338</v>
      </c>
      <c r="H95" s="145">
        <f t="shared" si="13"/>
        <v>5.0556433456375206E-2</v>
      </c>
      <c r="I95" s="1">
        <v>89</v>
      </c>
      <c r="J95" s="129">
        <f t="shared" si="15"/>
        <v>93.607009009825859</v>
      </c>
      <c r="K95" s="113">
        <f t="shared" si="16"/>
        <v>88.87457248777028</v>
      </c>
      <c r="L95" s="177" t="s">
        <v>1105</v>
      </c>
      <c r="M95" s="124" t="s">
        <v>921</v>
      </c>
      <c r="N95" s="124" t="s">
        <v>922</v>
      </c>
      <c r="O95" s="124" t="s">
        <v>217</v>
      </c>
      <c r="P95" s="156">
        <v>2649</v>
      </c>
      <c r="Q95" s="157" t="s">
        <v>923</v>
      </c>
      <c r="R95" s="124" t="s">
        <v>924</v>
      </c>
      <c r="S95" s="186">
        <v>35337</v>
      </c>
      <c r="T95" s="154"/>
      <c r="U95" s="115"/>
    </row>
    <row r="96" spans="1:21" ht="15.75">
      <c r="A96" s="1">
        <v>90</v>
      </c>
      <c r="B96" s="85">
        <v>0.33984953703703702</v>
      </c>
      <c r="C96" s="24">
        <f t="shared" si="14"/>
        <v>489.38333333333333</v>
      </c>
      <c r="D96" s="24">
        <f t="shared" si="12"/>
        <v>372.19516852859732</v>
      </c>
      <c r="E96" s="4">
        <f t="shared" si="11"/>
        <v>0.34910000000000002</v>
      </c>
      <c r="F96" s="24">
        <v>391.54984423676007</v>
      </c>
      <c r="G96" s="24">
        <v>407.51666666666671</v>
      </c>
      <c r="H96" s="145">
        <f t="shared" si="13"/>
        <v>4.9430937064706054E-2</v>
      </c>
      <c r="I96" s="1">
        <v>90</v>
      </c>
      <c r="J96" s="129">
        <f t="shared" si="15"/>
        <v>80.008822852588651</v>
      </c>
      <c r="K96" s="113">
        <f t="shared" si="16"/>
        <v>76.05391176554113</v>
      </c>
      <c r="L96" s="177" t="s">
        <v>1123</v>
      </c>
      <c r="M96" s="124" t="s">
        <v>816</v>
      </c>
      <c r="N96" s="124" t="s">
        <v>918</v>
      </c>
      <c r="O96" s="124" t="s">
        <v>375</v>
      </c>
      <c r="P96" s="156">
        <v>10173</v>
      </c>
      <c r="Q96" s="157" t="s">
        <v>919</v>
      </c>
      <c r="R96" s="124" t="s">
        <v>828</v>
      </c>
      <c r="S96" s="186">
        <v>43079</v>
      </c>
      <c r="T96" s="154"/>
      <c r="U96" s="115"/>
    </row>
    <row r="97" spans="1:21" ht="15.75">
      <c r="A97" s="1">
        <v>91</v>
      </c>
      <c r="B97" s="85">
        <v>0.2829976851851852</v>
      </c>
      <c r="C97" s="24"/>
      <c r="D97" s="24">
        <f t="shared" si="12"/>
        <v>401.02880658436214</v>
      </c>
      <c r="E97" s="4">
        <f t="shared" si="11"/>
        <v>0.32400000000000001</v>
      </c>
      <c r="F97" s="24">
        <v>421.46075657550028</v>
      </c>
      <c r="G97" s="24"/>
      <c r="H97" s="145">
        <f t="shared" si="13"/>
        <v>4.8478890792001815E-2</v>
      </c>
      <c r="I97" s="1">
        <v>91</v>
      </c>
      <c r="J97" s="129"/>
      <c r="K97" s="113"/>
      <c r="L97" s="177" t="s">
        <v>1106</v>
      </c>
      <c r="M97" s="124" t="s">
        <v>517</v>
      </c>
      <c r="N97" s="124" t="s">
        <v>925</v>
      </c>
      <c r="O97" s="124" t="s">
        <v>375</v>
      </c>
      <c r="P97" s="156">
        <v>6902</v>
      </c>
      <c r="Q97" s="157" t="s">
        <v>919</v>
      </c>
      <c r="R97" s="124" t="s">
        <v>828</v>
      </c>
      <c r="S97" s="186">
        <v>40524</v>
      </c>
      <c r="T97" s="154"/>
      <c r="U97" s="115"/>
    </row>
    <row r="98" spans="1:21">
      <c r="A98" s="1">
        <v>92</v>
      </c>
      <c r="B98" s="85">
        <v>0.41236111111111112</v>
      </c>
      <c r="C98" s="24">
        <f>B98*1440</f>
        <v>593.80000000000007</v>
      </c>
      <c r="D98" s="24">
        <f t="shared" si="12"/>
        <v>435.72546389447797</v>
      </c>
      <c r="E98" s="4">
        <f t="shared" ref="E98:E106" si="17">ROUND(1-IF(A98&lt;I$3,0,IF(A98&lt;I$4,G$3*(A98-I$3)^2,G$2+G$4*(A98-I$4)+(A98&gt;I$5)*G$5*(A98-I$5)^2)),4)</f>
        <v>0.29820000000000002</v>
      </c>
      <c r="F98" s="24">
        <v>457.40930285454323</v>
      </c>
      <c r="G98" s="24">
        <v>593.80000000000007</v>
      </c>
      <c r="H98" s="145">
        <f t="shared" si="13"/>
        <v>4.7405767273956713E-2</v>
      </c>
      <c r="I98" s="1">
        <v>92</v>
      </c>
      <c r="J98" s="129">
        <f>100*(F98/C98)</f>
        <v>77.030869460179048</v>
      </c>
      <c r="K98" s="113">
        <f t="shared" si="16"/>
        <v>73.379161989639258</v>
      </c>
      <c r="L98" s="177" t="s">
        <v>1107</v>
      </c>
      <c r="M98" s="114" t="s">
        <v>517</v>
      </c>
      <c r="N98" s="114" t="s">
        <v>925</v>
      </c>
      <c r="O98" s="114" t="s">
        <v>375</v>
      </c>
      <c r="P98" s="156">
        <v>6902</v>
      </c>
      <c r="Q98" s="157" t="s">
        <v>919</v>
      </c>
      <c r="R98" s="124" t="s">
        <v>828</v>
      </c>
      <c r="S98" s="186">
        <v>40524</v>
      </c>
      <c r="T98" s="157"/>
      <c r="U98" s="115"/>
    </row>
    <row r="99" spans="1:21">
      <c r="A99" s="1">
        <v>93</v>
      </c>
      <c r="B99" s="3"/>
      <c r="C99" s="24"/>
      <c r="D99" s="24">
        <f t="shared" si="12"/>
        <v>478.57581338244319</v>
      </c>
      <c r="E99" s="4">
        <f t="shared" si="17"/>
        <v>0.27150000000000002</v>
      </c>
      <c r="F99" s="24">
        <v>501.74650698602784</v>
      </c>
      <c r="G99" s="24"/>
      <c r="H99" s="145">
        <f t="shared" si="13"/>
        <v>4.6180079544091153E-2</v>
      </c>
      <c r="I99" s="1">
        <v>93</v>
      </c>
      <c r="J99" s="129"/>
      <c r="K99" s="113"/>
      <c r="L99" s="3"/>
    </row>
    <row r="100" spans="1:21">
      <c r="A100" s="1">
        <v>94</v>
      </c>
      <c r="B100" s="3"/>
      <c r="C100" s="24"/>
      <c r="D100" s="24">
        <f t="shared" si="12"/>
        <v>532.29550730574897</v>
      </c>
      <c r="E100" s="4">
        <f t="shared" si="17"/>
        <v>0.24410000000000001</v>
      </c>
      <c r="F100" s="24">
        <v>557.44975744975739</v>
      </c>
      <c r="G100" s="24"/>
      <c r="H100" s="145">
        <f t="shared" si="13"/>
        <v>4.5123797809304013E-2</v>
      </c>
      <c r="I100" s="1">
        <v>94</v>
      </c>
      <c r="J100" s="129"/>
      <c r="K100" s="113"/>
      <c r="L100" s="3"/>
    </row>
    <row r="101" spans="1:21">
      <c r="A101" s="1">
        <v>95</v>
      </c>
      <c r="B101" s="3"/>
      <c r="C101" s="24"/>
      <c r="D101" s="24">
        <f t="shared" si="12"/>
        <v>602.10071053444551</v>
      </c>
      <c r="E101" s="4">
        <f t="shared" si="17"/>
        <v>0.21579999999999999</v>
      </c>
      <c r="F101" s="24">
        <v>629.12560613170638</v>
      </c>
      <c r="G101" s="24"/>
      <c r="H101" s="145">
        <f t="shared" si="13"/>
        <v>4.2956279849151853E-2</v>
      </c>
      <c r="I101" s="1">
        <v>95</v>
      </c>
      <c r="J101" s="129"/>
      <c r="K101" s="113"/>
      <c r="L101" s="3"/>
    </row>
    <row r="102" spans="1:21">
      <c r="A102" s="1">
        <v>96</v>
      </c>
      <c r="B102" s="3"/>
      <c r="C102" s="24"/>
      <c r="D102" s="24">
        <f t="shared" si="12"/>
        <v>695.94715229423321</v>
      </c>
      <c r="E102" s="4">
        <f t="shared" si="17"/>
        <v>0.1867</v>
      </c>
      <c r="F102" s="24">
        <v>725.46897546897537</v>
      </c>
      <c r="G102" s="24"/>
      <c r="H102" s="145">
        <f t="shared" si="13"/>
        <v>4.0693433038481004E-2</v>
      </c>
      <c r="I102" s="1">
        <v>96</v>
      </c>
      <c r="J102" s="129"/>
      <c r="K102" s="113"/>
      <c r="L102" s="3"/>
    </row>
    <row r="103" spans="1:21">
      <c r="A103" s="1">
        <v>97</v>
      </c>
      <c r="B103" s="3"/>
      <c r="C103" s="24"/>
      <c r="D103" s="24">
        <f t="shared" si="12"/>
        <v>828.12831952411295</v>
      </c>
      <c r="E103" s="4">
        <f t="shared" si="17"/>
        <v>0.15690000000000001</v>
      </c>
      <c r="F103" s="24">
        <v>860.50492083868187</v>
      </c>
      <c r="G103" s="24"/>
      <c r="H103" s="145">
        <f t="shared" si="13"/>
        <v>3.7625120473469706E-2</v>
      </c>
      <c r="I103" s="1">
        <v>97</v>
      </c>
      <c r="J103" s="129"/>
      <c r="K103" s="112"/>
      <c r="L103" s="3"/>
    </row>
    <row r="104" spans="1:21">
      <c r="A104" s="1">
        <v>98</v>
      </c>
      <c r="B104" s="3"/>
      <c r="C104" s="24"/>
      <c r="D104" s="24">
        <f t="shared" si="12"/>
        <v>1029.5826730058109</v>
      </c>
      <c r="E104" s="4">
        <f t="shared" si="17"/>
        <v>0.12620000000000001</v>
      </c>
      <c r="F104" s="24">
        <v>1064.8662960021177</v>
      </c>
      <c r="G104" s="24"/>
      <c r="H104" s="145">
        <f t="shared" si="13"/>
        <v>3.3134322241932086E-2</v>
      </c>
      <c r="I104" s="1">
        <v>98</v>
      </c>
      <c r="J104" s="129"/>
      <c r="K104" s="112"/>
      <c r="L104" s="3"/>
    </row>
    <row r="105" spans="1:21">
      <c r="A105" s="1">
        <v>99</v>
      </c>
      <c r="C105" s="24"/>
      <c r="D105" s="24">
        <f t="shared" si="12"/>
        <v>1370.6047819971873</v>
      </c>
      <c r="E105" s="4">
        <f t="shared" si="17"/>
        <v>9.4799999999999995E-2</v>
      </c>
      <c r="F105" s="24">
        <v>1408.2633053221284</v>
      </c>
      <c r="G105" s="24"/>
      <c r="H105" s="145">
        <f t="shared" si="13"/>
        <v>2.6741109551474872E-2</v>
      </c>
      <c r="I105" s="1">
        <v>99</v>
      </c>
      <c r="J105" s="129"/>
      <c r="K105" s="112"/>
    </row>
    <row r="106" spans="1:21">
      <c r="A106" s="1">
        <v>100</v>
      </c>
      <c r="D106" s="24">
        <f>E$4/E106</f>
        <v>2078.9333333333334</v>
      </c>
      <c r="E106" s="4">
        <f t="shared" si="17"/>
        <v>6.25E-2</v>
      </c>
      <c r="F106" s="24">
        <v>2101.3584117032387</v>
      </c>
      <c r="G106" s="24"/>
      <c r="H106" s="145">
        <f t="shared" si="13"/>
        <v>1.0671705619094692E-2</v>
      </c>
      <c r="I106" s="1">
        <v>100</v>
      </c>
      <c r="J106" s="129"/>
      <c r="K106" s="112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B606-B869-4090-B705-8215B821582D}">
  <dimension ref="A1:K106"/>
  <sheetViews>
    <sheetView topLeftCell="A2" workbookViewId="0">
      <selection activeCell="G41" sqref="G41"/>
    </sheetView>
  </sheetViews>
  <sheetFormatPr defaultRowHeight="15"/>
  <sheetData>
    <row r="1" spans="1:11" ht="31.5">
      <c r="A1" s="206" t="s">
        <v>2381</v>
      </c>
      <c r="B1" s="207"/>
      <c r="C1" s="208"/>
      <c r="D1" s="209" t="s">
        <v>32</v>
      </c>
      <c r="E1" s="209" t="s">
        <v>54</v>
      </c>
      <c r="F1" s="209"/>
      <c r="G1" s="209"/>
      <c r="H1" s="209"/>
      <c r="I1" s="209"/>
      <c r="J1" s="210"/>
      <c r="K1" s="207" t="s">
        <v>2354</v>
      </c>
    </row>
    <row r="2" spans="1:11" ht="22.5">
      <c r="A2" s="206"/>
      <c r="B2" s="207"/>
      <c r="C2" s="208"/>
      <c r="D2" s="209"/>
      <c r="E2" s="209"/>
      <c r="F2" s="33"/>
      <c r="G2" s="451"/>
      <c r="H2" s="209"/>
      <c r="I2" s="209"/>
      <c r="J2" s="210"/>
      <c r="K2" s="207">
        <f>[1]Parameters!M13</f>
        <v>-0.41974410028276538</v>
      </c>
    </row>
    <row r="3" spans="1:11" ht="22.5">
      <c r="A3" s="206"/>
      <c r="B3" s="207"/>
      <c r="C3" s="208"/>
      <c r="D3" s="209"/>
      <c r="E3" s="209"/>
      <c r="F3" s="33"/>
      <c r="G3" s="451"/>
      <c r="H3" s="207"/>
      <c r="I3" s="301"/>
      <c r="J3" s="210"/>
      <c r="K3" s="210"/>
    </row>
    <row r="4" spans="1:11" ht="15.75">
      <c r="A4" s="207"/>
      <c r="B4" s="207"/>
      <c r="C4" s="207"/>
      <c r="D4" s="214">
        <f>Parameters!G13</f>
        <v>1.8518518518518519E-3</v>
      </c>
      <c r="E4" s="215">
        <f>D4*1440</f>
        <v>2.666666666666667</v>
      </c>
      <c r="F4" s="216"/>
      <c r="G4" s="216"/>
      <c r="H4" s="207"/>
      <c r="I4" s="301"/>
      <c r="J4" s="210"/>
      <c r="K4" s="210"/>
    </row>
    <row r="5" spans="1:11" ht="15.75">
      <c r="A5" s="207"/>
      <c r="B5" s="207"/>
      <c r="C5" s="207"/>
      <c r="D5" s="214"/>
      <c r="E5" s="207">
        <f>E4*60</f>
        <v>160.00000000000003</v>
      </c>
      <c r="F5" s="216"/>
      <c r="G5" s="216"/>
      <c r="H5" s="207"/>
      <c r="I5" s="301"/>
      <c r="J5" s="210"/>
      <c r="K5" s="210"/>
    </row>
    <row r="6" spans="1:11" ht="31.5">
      <c r="A6" s="218" t="s">
        <v>52</v>
      </c>
      <c r="B6" s="218" t="s">
        <v>32</v>
      </c>
      <c r="C6" s="218" t="s">
        <v>53</v>
      </c>
      <c r="D6" s="218" t="s">
        <v>2379</v>
      </c>
      <c r="E6" s="218" t="s">
        <v>2380</v>
      </c>
      <c r="F6" s="210"/>
    </row>
    <row r="7" spans="1:11">
      <c r="A7" s="210">
        <v>1</v>
      </c>
      <c r="B7" s="210"/>
      <c r="C7" s="210"/>
      <c r="D7" s="210"/>
      <c r="E7" s="210"/>
    </row>
    <row r="8" spans="1:11">
      <c r="A8" s="210">
        <v>2</v>
      </c>
      <c r="B8" s="210"/>
      <c r="C8" s="210"/>
      <c r="D8" s="210"/>
      <c r="E8" s="210"/>
    </row>
    <row r="9" spans="1:11">
      <c r="A9" s="210">
        <v>3</v>
      </c>
      <c r="D9" s="217"/>
      <c r="E9" s="232"/>
    </row>
    <row r="10" spans="1:11">
      <c r="A10" s="210">
        <v>4</v>
      </c>
      <c r="D10" s="217"/>
      <c r="E10" s="232"/>
    </row>
    <row r="11" spans="1:11">
      <c r="A11" s="210">
        <v>5</v>
      </c>
      <c r="D11" s="217">
        <f t="shared" ref="D11:D72" si="0">E$4/E11</f>
        <v>3.6266086131802573</v>
      </c>
      <c r="E11" s="232">
        <f>Mile!$E11*(1-$K$2)+'5K'!$E11*$K$2</f>
        <v>0.73530588797896368</v>
      </c>
    </row>
    <row r="12" spans="1:11">
      <c r="A12" s="210">
        <v>6</v>
      </c>
      <c r="D12" s="217">
        <f t="shared" si="0"/>
        <v>3.4926206122428889</v>
      </c>
      <c r="E12" s="232">
        <f>Mile!$E12*(1-$K$2)+'5K'!$E12*$K$2</f>
        <v>0.76351455331822848</v>
      </c>
    </row>
    <row r="13" spans="1:11">
      <c r="A13" s="210">
        <v>7</v>
      </c>
      <c r="D13" s="217">
        <f t="shared" si="0"/>
        <v>3.374146935979538</v>
      </c>
      <c r="E13" s="232">
        <f>Mile!$E13*(1-$K$2)+'5K'!$E13*$K$2</f>
        <v>0.79032321865749311</v>
      </c>
    </row>
    <row r="14" spans="1:11">
      <c r="A14" s="210">
        <v>8</v>
      </c>
      <c r="D14" s="217">
        <f t="shared" si="0"/>
        <v>3.2687115883241846</v>
      </c>
      <c r="E14" s="232">
        <f>Mile!$E14*(1-$K$2)+'5K'!$E14*$K$2</f>
        <v>0.81581583281681447</v>
      </c>
    </row>
    <row r="15" spans="1:11">
      <c r="A15" s="210">
        <v>9</v>
      </c>
      <c r="D15" s="217">
        <f t="shared" si="0"/>
        <v>3.1749492177001928</v>
      </c>
      <c r="E15" s="232">
        <f>Mile!$E15*(1-$K$2)+'5K'!$E15*$K$2</f>
        <v>0.83990844697613598</v>
      </c>
    </row>
    <row r="16" spans="1:11">
      <c r="A16" s="210">
        <v>10</v>
      </c>
      <c r="D16" s="217">
        <f t="shared" si="0"/>
        <v>3.0912747878158209</v>
      </c>
      <c r="E16" s="232">
        <f>Mile!$E16*(1-$K$2)+'5K'!$E16*$K$2</f>
        <v>0.86264303554548571</v>
      </c>
    </row>
    <row r="17" spans="1:5">
      <c r="A17" s="210">
        <v>11</v>
      </c>
      <c r="D17" s="217">
        <f t="shared" si="0"/>
        <v>3.0165243747044204</v>
      </c>
      <c r="E17" s="232">
        <f>Mile!$E17*(1-$K$2)+'5K'!$E17*$K$2</f>
        <v>0.88401959852486356</v>
      </c>
    </row>
    <row r="18" spans="1:5">
      <c r="A18" s="210">
        <v>12</v>
      </c>
      <c r="D18" s="217">
        <f t="shared" si="0"/>
        <v>2.949865032866243</v>
      </c>
      <c r="E18" s="232">
        <f>Mile!$E18*(1-$K$2)+'5K'!$E18*$K$2</f>
        <v>0.90399616150424156</v>
      </c>
    </row>
    <row r="19" spans="1:5">
      <c r="A19" s="210">
        <v>13</v>
      </c>
      <c r="D19" s="217">
        <f t="shared" si="0"/>
        <v>2.8902047140875995</v>
      </c>
      <c r="E19" s="232">
        <f>Mile!$E19*(1-$K$2)+'5K'!$E19*$K$2</f>
        <v>0.92265667330367607</v>
      </c>
    </row>
    <row r="20" spans="1:5">
      <c r="A20" s="210">
        <v>14</v>
      </c>
      <c r="D20" s="217">
        <f t="shared" si="0"/>
        <v>2.8371293864300706</v>
      </c>
      <c r="E20" s="232">
        <f>Mile!$E20*(1-$K$2)+'5K'!$E20*$K$2</f>
        <v>0.93991718510311051</v>
      </c>
    </row>
    <row r="21" spans="1:5">
      <c r="A21" s="210">
        <v>15</v>
      </c>
      <c r="D21" s="217">
        <f t="shared" si="0"/>
        <v>2.7904166979348277</v>
      </c>
      <c r="E21" s="232">
        <f>Mile!$E21*(1-$K$2)+'5K'!$E21*$K$2</f>
        <v>0.9556517736724599</v>
      </c>
    </row>
    <row r="22" spans="1:5">
      <c r="A22" s="210">
        <v>16</v>
      </c>
      <c r="D22" s="217">
        <f t="shared" si="0"/>
        <v>2.7479099550769699</v>
      </c>
      <c r="E22" s="232">
        <f>Mile!$E22*(1-$K$2)+'5K'!$E22*$K$2</f>
        <v>0.97043451578163986</v>
      </c>
    </row>
    <row r="23" spans="1:5">
      <c r="A23" s="210">
        <v>17</v>
      </c>
      <c r="D23" s="217">
        <f t="shared" si="0"/>
        <v>2.70667880135955</v>
      </c>
      <c r="E23" s="232">
        <f>Mile!$E23*(1-$K$2)+'5K'!$E23*$K$2</f>
        <v>0.98521725789081993</v>
      </c>
    </row>
    <row r="24" spans="1:5">
      <c r="A24" s="210">
        <v>18</v>
      </c>
      <c r="D24" s="217">
        <f t="shared" si="0"/>
        <v>2.6765865759736491</v>
      </c>
      <c r="E24" s="232">
        <f>Mile!$E24*(1-$K$2)+'5K'!$E24*$K$2</f>
        <v>0.9962938208701978</v>
      </c>
    </row>
    <row r="25" spans="1:5">
      <c r="A25" s="210">
        <v>19</v>
      </c>
      <c r="D25" s="217">
        <f t="shared" si="0"/>
        <v>2.666666666666667</v>
      </c>
      <c r="E25" s="232">
        <f>Mile!$E25*(1-$K$2)+'5K'!$E25*$K$2</f>
        <v>1</v>
      </c>
    </row>
    <row r="26" spans="1:5">
      <c r="A26" s="210">
        <v>20</v>
      </c>
      <c r="D26" s="217">
        <f t="shared" si="0"/>
        <v>2.666666666666667</v>
      </c>
      <c r="E26" s="232">
        <f>Mile!$E26*(1-$K$2)+'5K'!$E26*$K$2</f>
        <v>1</v>
      </c>
    </row>
    <row r="27" spans="1:5">
      <c r="A27" s="210">
        <v>21</v>
      </c>
      <c r="D27" s="217">
        <f t="shared" si="0"/>
        <v>2.666666666666667</v>
      </c>
      <c r="E27" s="232">
        <f>Mile!$E27*(1-$K$2)+'5K'!$E27*$K$2</f>
        <v>1</v>
      </c>
    </row>
    <row r="28" spans="1:5">
      <c r="A28" s="210">
        <v>22</v>
      </c>
      <c r="D28" s="217">
        <f t="shared" si="0"/>
        <v>2.666666666666667</v>
      </c>
      <c r="E28" s="232">
        <f>Mile!$E28*(1-$K$2)+'5K'!$E28*$K$2</f>
        <v>1</v>
      </c>
    </row>
    <row r="29" spans="1:5">
      <c r="A29" s="210">
        <v>23</v>
      </c>
      <c r="D29" s="217">
        <f t="shared" si="0"/>
        <v>2.666666666666667</v>
      </c>
      <c r="E29" s="232">
        <f>Mile!$E29*(1-$K$2)+'5K'!$E29*$K$2</f>
        <v>1</v>
      </c>
    </row>
    <row r="30" spans="1:5">
      <c r="A30" s="210">
        <v>24</v>
      </c>
      <c r="D30" s="217">
        <f t="shared" si="0"/>
        <v>2.666666666666667</v>
      </c>
      <c r="E30" s="232">
        <f>MIN(Mile!$E31*(1-$K$2)+'5K'!$E31*$K$2, 1)</f>
        <v>1</v>
      </c>
    </row>
    <row r="31" spans="1:5">
      <c r="A31" s="210">
        <v>25</v>
      </c>
      <c r="D31" s="217">
        <f t="shared" si="0"/>
        <v>2.666666666666667</v>
      </c>
      <c r="E31" s="232">
        <f>MIN(Mile!$E32*(1-$K$2)+'5K'!$E32*$K$2, 1)</f>
        <v>1</v>
      </c>
    </row>
    <row r="32" spans="1:5">
      <c r="A32" s="210">
        <v>26</v>
      </c>
      <c r="D32" s="217">
        <f t="shared" si="0"/>
        <v>2.666666666666667</v>
      </c>
      <c r="E32" s="232">
        <f>MIN(Mile!$E33*(1-$K$2)+'5K'!$E33*$K$2, 1)</f>
        <v>1</v>
      </c>
    </row>
    <row r="33" spans="1:5">
      <c r="A33" s="210">
        <v>27</v>
      </c>
      <c r="D33" s="217">
        <f t="shared" si="0"/>
        <v>2.666666666666667</v>
      </c>
      <c r="E33" s="232">
        <f>MIN(Mile!$E34*(1-$K$2)+'5K'!$E34*$K$2, 1)</f>
        <v>1</v>
      </c>
    </row>
    <row r="34" spans="1:5">
      <c r="A34" s="210">
        <v>28</v>
      </c>
      <c r="D34" s="217">
        <f t="shared" si="0"/>
        <v>2.666666666666667</v>
      </c>
      <c r="E34" s="232">
        <f>MIN(Mile!$E35*(1-$K$2)+'5K'!$E35*$K$2, 1)</f>
        <v>1</v>
      </c>
    </row>
    <row r="35" spans="1:5">
      <c r="A35" s="210">
        <v>29</v>
      </c>
      <c r="D35" s="217">
        <f t="shared" si="0"/>
        <v>2.666666666666667</v>
      </c>
      <c r="E35" s="232">
        <f>MIN(Mile!$E36*(1-$K$2)+'5K'!$E36*$K$2, 1)</f>
        <v>1</v>
      </c>
    </row>
    <row r="36" spans="1:5">
      <c r="A36" s="210">
        <v>30</v>
      </c>
      <c r="D36" s="217">
        <f t="shared" si="0"/>
        <v>2.666666666666667</v>
      </c>
      <c r="E36" s="232">
        <f>MIN(Mile!$E37*(1-$K$2)+'5K'!$E37*$K$2, 1)</f>
        <v>1</v>
      </c>
    </row>
    <row r="37" spans="1:5">
      <c r="A37" s="210">
        <v>31</v>
      </c>
      <c r="D37" s="217">
        <f>E$4/E36</f>
        <v>2.666666666666667</v>
      </c>
      <c r="E37" s="232">
        <f>MIN(Mile!$E38*(1-$K$2)+'5K'!$E38*$K$2, 1)</f>
        <v>1</v>
      </c>
    </row>
    <row r="38" spans="1:5">
      <c r="A38" s="210">
        <v>32</v>
      </c>
      <c r="D38" s="217">
        <f t="shared" si="0"/>
        <v>2.666666666666667</v>
      </c>
      <c r="E38" s="232">
        <f>MIN(Mile!$E39*(1-$K$2)+'5K'!$E39*$K$2, 1)</f>
        <v>1</v>
      </c>
    </row>
    <row r="39" spans="1:5">
      <c r="A39" s="210">
        <v>33</v>
      </c>
      <c r="D39" s="217">
        <f t="shared" si="0"/>
        <v>2.666666666666667</v>
      </c>
      <c r="E39" s="232">
        <f>MIN(Mile!$E40*(1-$K$2)+'5K'!$E40*$K$2, 1)</f>
        <v>1</v>
      </c>
    </row>
    <row r="40" spans="1:5">
      <c r="A40" s="210">
        <v>34</v>
      </c>
      <c r="D40" s="217">
        <f t="shared" si="0"/>
        <v>2.6669699292732232</v>
      </c>
      <c r="E40" s="232">
        <f>MIN(Mile!$E41*(1-$K$2)+'5K'!$E41*$K$2, 1)</f>
        <v>0.99988628945410019</v>
      </c>
    </row>
    <row r="41" spans="1:5">
      <c r="A41" s="210">
        <v>35</v>
      </c>
      <c r="D41" s="217">
        <f t="shared" si="0"/>
        <v>2.6717169424700544</v>
      </c>
      <c r="E41" s="232">
        <f>MIN(Mile!$E42*(1-$K$2)+'5K'!$E42*$K$2, 1)</f>
        <v>0.99810972647472207</v>
      </c>
    </row>
    <row r="42" spans="1:5">
      <c r="A42" s="210">
        <v>36</v>
      </c>
      <c r="D42" s="217">
        <f t="shared" si="0"/>
        <v>2.6783194596666764</v>
      </c>
      <c r="E42" s="232">
        <f>MIN(Mile!$E43*(1-$K$2)+'5K'!$E43*$K$2, 1)</f>
        <v>0.99564921467528766</v>
      </c>
    </row>
    <row r="43" spans="1:5">
      <c r="A43" s="210">
        <v>37</v>
      </c>
      <c r="D43" s="217">
        <f t="shared" si="0"/>
        <v>2.6861934739010125</v>
      </c>
      <c r="E43" s="232">
        <f>MIN(Mile!$E44*(1-$K$2)+'5K'!$E44*$K$2, 1)</f>
        <v>0.99273067728588149</v>
      </c>
    </row>
    <row r="44" spans="1:5">
      <c r="A44" s="210">
        <v>38</v>
      </c>
      <c r="D44" s="217">
        <f t="shared" si="0"/>
        <v>2.6861934739010125</v>
      </c>
      <c r="E44" s="232">
        <f>Mile!$E44*(1-$K$2)+'5K'!$E44*$K$2</f>
        <v>0.99273067728588149</v>
      </c>
    </row>
    <row r="45" spans="1:5">
      <c r="A45" s="210">
        <v>39</v>
      </c>
      <c r="D45" s="217">
        <f t="shared" si="0"/>
        <v>2.6954755320658608</v>
      </c>
      <c r="E45" s="232">
        <f>Mile!$E45*(1-$K$2)+'5K'!$E45*$K$2</f>
        <v>0.98931213989647526</v>
      </c>
    </row>
    <row r="46" spans="1:5">
      <c r="A46" s="210">
        <v>40</v>
      </c>
      <c r="D46" s="217">
        <f t="shared" si="0"/>
        <v>2.7065843796850015</v>
      </c>
      <c r="E46" s="232">
        <f>Mile!$E46*(1-$K$2)+'5K'!$E46*$K$2</f>
        <v>0.98525162809704081</v>
      </c>
    </row>
    <row r="47" spans="1:5">
      <c r="A47" s="210">
        <v>41</v>
      </c>
      <c r="D47" s="217">
        <f t="shared" si="0"/>
        <v>2.7187772230877387</v>
      </c>
      <c r="E47" s="232">
        <f>Mile!$E47*(1-$K$2)+'5K'!$E47*$K$2</f>
        <v>0.98083309070763458</v>
      </c>
    </row>
    <row r="48" spans="1:5">
      <c r="A48" s="210">
        <v>42</v>
      </c>
      <c r="D48" s="217">
        <f t="shared" si="0"/>
        <v>2.7328772342121175</v>
      </c>
      <c r="E48" s="232">
        <f>Mile!$E48*(1-$K$2)+'5K'!$E48*$K$2</f>
        <v>0.97577257890820013</v>
      </c>
    </row>
    <row r="49" spans="1:5">
      <c r="A49" s="210">
        <v>43</v>
      </c>
      <c r="D49" s="217">
        <f t="shared" si="0"/>
        <v>2.7481378471849429</v>
      </c>
      <c r="E49" s="232">
        <f>Mile!$E49*(1-$K$2)+'5K'!$E49*$K$2</f>
        <v>0.9703540415187939</v>
      </c>
    </row>
    <row r="50" spans="1:5">
      <c r="A50" s="210">
        <v>44</v>
      </c>
      <c r="D50" s="217">
        <f t="shared" si="0"/>
        <v>2.7652893160603496</v>
      </c>
      <c r="E50" s="232">
        <f>Mile!$E50*(1-$K$2)+'5K'!$E50*$K$2</f>
        <v>0.96433550412938773</v>
      </c>
    </row>
    <row r="51" spans="1:5">
      <c r="A51" s="210">
        <v>45</v>
      </c>
      <c r="D51" s="217">
        <f t="shared" si="0"/>
        <v>2.7842308350310332</v>
      </c>
      <c r="E51" s="232">
        <f>Mile!$E51*(1-$K$2)+'5K'!$E51*$K$2</f>
        <v>0.95777499232995322</v>
      </c>
    </row>
    <row r="52" spans="1:5">
      <c r="A52" s="210">
        <v>46</v>
      </c>
      <c r="D52" s="217">
        <f t="shared" si="0"/>
        <v>2.8050318584985847</v>
      </c>
      <c r="E52" s="232">
        <f>Mile!$E52*(1-$K$2)+'5K'!$E52*$K$2</f>
        <v>0.95067250612049059</v>
      </c>
    </row>
    <row r="53" spans="1:5">
      <c r="A53" s="210">
        <v>47</v>
      </c>
      <c r="D53" s="217">
        <f t="shared" si="0"/>
        <v>2.8288257085306618</v>
      </c>
      <c r="E53" s="232">
        <f>Mile!$E53*(1-$K$2)+'5K'!$E53*$K$2</f>
        <v>0.94267619904082989</v>
      </c>
    </row>
    <row r="54" spans="1:5">
      <c r="A54" s="210">
        <v>48</v>
      </c>
      <c r="D54" s="217">
        <f t="shared" si="0"/>
        <v>2.8547611880360124</v>
      </c>
      <c r="E54" s="232">
        <f>Mile!$E54*(1-$K$2)+'5K'!$E54*$K$2</f>
        <v>0.93411199432105607</v>
      </c>
    </row>
    <row r="55" spans="1:5">
      <c r="A55" s="210">
        <v>49</v>
      </c>
      <c r="D55" s="217">
        <f t="shared" si="0"/>
        <v>2.8838308272535831</v>
      </c>
      <c r="E55" s="232">
        <f>Mile!$E55*(1-$K$2)+'5K'!$E55*$K$2</f>
        <v>0.92469594314111259</v>
      </c>
    </row>
    <row r="56" spans="1:5">
      <c r="A56" s="210">
        <v>50</v>
      </c>
      <c r="D56" s="217">
        <f t="shared" si="0"/>
        <v>2.9144027212975394</v>
      </c>
      <c r="E56" s="232">
        <f>Mile!$E56*(1-$K$2)+'5K'!$E56*$K$2</f>
        <v>0.91499594314111254</v>
      </c>
    </row>
    <row r="57" spans="1:5">
      <c r="A57" s="210">
        <v>51</v>
      </c>
      <c r="D57" s="217">
        <f t="shared" si="0"/>
        <v>2.9456297544139121</v>
      </c>
      <c r="E57" s="232">
        <f>Mile!$E57*(1-$K$2)+'5K'!$E57*$K$2</f>
        <v>0.90529594314111272</v>
      </c>
    </row>
    <row r="58" spans="1:5">
      <c r="A58" s="210">
        <v>52</v>
      </c>
      <c r="D58" s="217">
        <f t="shared" si="0"/>
        <v>2.9775332135984223</v>
      </c>
      <c r="E58" s="232">
        <f>Mile!$E58*(1-$K$2)+'5K'!$E58*$K$2</f>
        <v>0.89559594314111268</v>
      </c>
    </row>
    <row r="59" spans="1:5">
      <c r="A59" s="210">
        <v>53</v>
      </c>
      <c r="D59" s="217">
        <f t="shared" si="0"/>
        <v>3.0101353181633193</v>
      </c>
      <c r="E59" s="232">
        <f>Mile!$E59*(1-$K$2)+'5K'!$E59*$K$2</f>
        <v>0.88589594314111264</v>
      </c>
    </row>
    <row r="60" spans="1:5">
      <c r="A60" s="210">
        <v>54</v>
      </c>
      <c r="D60" s="217">
        <f t="shared" si="0"/>
        <v>3.0434592713438251</v>
      </c>
      <c r="E60" s="232">
        <f>Mile!$E60*(1-$K$2)+'5K'!$E60*$K$2</f>
        <v>0.87619594314111282</v>
      </c>
    </row>
    <row r="61" spans="1:5">
      <c r="A61" s="210">
        <v>55</v>
      </c>
      <c r="D61" s="217">
        <f t="shared" si="0"/>
        <v>3.0775293153708261</v>
      </c>
      <c r="E61" s="232">
        <f>Mile!$E61*(1-$K$2)+'5K'!$E61*$K$2</f>
        <v>0.86649594314111278</v>
      </c>
    </row>
    <row r="62" spans="1:5">
      <c r="A62" s="210">
        <v>56</v>
      </c>
      <c r="D62" s="217">
        <f t="shared" si="0"/>
        <v>3.1122183227932432</v>
      </c>
      <c r="E62" s="232">
        <f>Mile!$E62*(1-$K$2)+'5K'!$E62*$K$2</f>
        <v>0.85683791755114092</v>
      </c>
    </row>
    <row r="63" spans="1:5">
      <c r="A63" s="210">
        <v>57</v>
      </c>
      <c r="D63" s="217">
        <f t="shared" si="0"/>
        <v>3.1478542176170303</v>
      </c>
      <c r="E63" s="232">
        <f>Mile!$E63*(1-$K$2)+'5K'!$E63*$K$2</f>
        <v>0.84713791755114087</v>
      </c>
    </row>
    <row r="64" spans="1:5">
      <c r="A64" s="210">
        <v>58</v>
      </c>
      <c r="D64" s="217">
        <f t="shared" si="0"/>
        <v>3.1843156498867491</v>
      </c>
      <c r="E64" s="232">
        <f>Mile!$E64*(1-$K$2)+'5K'!$E64*$K$2</f>
        <v>0.83743791755114083</v>
      </c>
    </row>
    <row r="65" spans="1:5">
      <c r="A65" s="210">
        <v>59</v>
      </c>
      <c r="D65" s="217">
        <f t="shared" si="0"/>
        <v>3.2221843144196942</v>
      </c>
      <c r="E65" s="232">
        <f>Mile!$E65*(1-$K$2)+'5K'!$E65*$K$2</f>
        <v>0.82759594314111284</v>
      </c>
    </row>
    <row r="66" spans="1:5">
      <c r="A66" s="210">
        <v>60</v>
      </c>
      <c r="D66" s="217">
        <f t="shared" si="0"/>
        <v>3.2603984516971538</v>
      </c>
      <c r="E66" s="232">
        <f>Mile!$E66*(1-$K$2)+'5K'!$E66*$K$2</f>
        <v>0.81789594314111258</v>
      </c>
    </row>
    <row r="67" spans="1:5">
      <c r="A67" s="210">
        <v>61</v>
      </c>
      <c r="D67" s="217">
        <f t="shared" si="0"/>
        <v>3.2995298841794134</v>
      </c>
      <c r="E67" s="232">
        <f>Mile!$E67*(1-$K$2)+'5K'!$E67*$K$2</f>
        <v>0.80819594314111254</v>
      </c>
    </row>
    <row r="68" spans="1:5">
      <c r="A68" s="210">
        <v>62</v>
      </c>
      <c r="D68" s="217">
        <f t="shared" si="0"/>
        <v>3.339612041329314</v>
      </c>
      <c r="E68" s="232">
        <f>Mile!$E68*(1-$K$2)+'5K'!$E68*$K$2</f>
        <v>0.79849594314111261</v>
      </c>
    </row>
    <row r="69" spans="1:5">
      <c r="A69" s="210">
        <v>63</v>
      </c>
      <c r="D69" s="217">
        <f t="shared" si="0"/>
        <v>3.3806799969679999</v>
      </c>
      <c r="E69" s="232">
        <f>Mile!$E69*(1-$K$2)+'5K'!$E69*$K$2</f>
        <v>0.78879594314111257</v>
      </c>
    </row>
    <row r="70" spans="1:5">
      <c r="A70" s="210">
        <v>64</v>
      </c>
      <c r="D70" s="217">
        <f t="shared" si="0"/>
        <v>3.422770571638917</v>
      </c>
      <c r="E70" s="232">
        <f>Mile!$E70*(1-$K$2)+'5K'!$E70*$K$2</f>
        <v>0.77909594314111252</v>
      </c>
    </row>
    <row r="71" spans="1:5">
      <c r="A71" s="210">
        <v>65</v>
      </c>
      <c r="D71" s="217">
        <f t="shared" si="0"/>
        <v>3.4659224427150135</v>
      </c>
      <c r="E71" s="232">
        <f>Mile!$E71*(1-$K$2)+'5K'!$E71*$K$2</f>
        <v>0.7693959431411127</v>
      </c>
    </row>
    <row r="72" spans="1:5">
      <c r="A72" s="210">
        <v>66</v>
      </c>
      <c r="D72" s="217">
        <f t="shared" si="0"/>
        <v>3.5099823308307672</v>
      </c>
      <c r="E72" s="232">
        <f>Mile!$E72*(1-$K$2)+'5K'!$E72*$K$2</f>
        <v>0.75973791755114095</v>
      </c>
    </row>
    <row r="73" spans="1:5">
      <c r="A73" s="210">
        <v>67</v>
      </c>
      <c r="D73" s="217">
        <f t="shared" ref="D73:D106" si="1">E$4/E73</f>
        <v>3.555375807363554</v>
      </c>
      <c r="E73" s="232">
        <f>Mile!$E73*(1-$K$2)+'5K'!$E73*$K$2</f>
        <v>0.75003791755114113</v>
      </c>
    </row>
    <row r="74" spans="1:5">
      <c r="A74" s="210">
        <v>68</v>
      </c>
      <c r="D74" s="217">
        <f t="shared" si="1"/>
        <v>3.6019587859113793</v>
      </c>
      <c r="E74" s="232">
        <f>Mile!$E74*(1-$K$2)+'5K'!$E74*$K$2</f>
        <v>0.74033791755114109</v>
      </c>
    </row>
    <row r="75" spans="1:5">
      <c r="A75" s="210">
        <v>69</v>
      </c>
      <c r="D75" s="217">
        <f t="shared" si="1"/>
        <v>3.6504879892967961</v>
      </c>
      <c r="E75" s="232">
        <f>Mile!$E75*(1-$K$2)+'5K'!$E75*$K$2</f>
        <v>0.73049594314111266</v>
      </c>
    </row>
    <row r="76" spans="1:5">
      <c r="A76" s="210">
        <v>70</v>
      </c>
      <c r="D76" s="217">
        <f t="shared" si="1"/>
        <v>3.6996138672004211</v>
      </c>
      <c r="E76" s="232">
        <f>Mile!$E76*(1-$K$2)+'5K'!$E76*$K$2</f>
        <v>0.72079594314111273</v>
      </c>
    </row>
    <row r="77" spans="1:5">
      <c r="A77" s="210">
        <v>71</v>
      </c>
      <c r="D77" s="217">
        <f t="shared" si="1"/>
        <v>3.7500799890479519</v>
      </c>
      <c r="E77" s="232">
        <f>Mile!$E77*(1-$K$2)+'5K'!$E77*$K$2</f>
        <v>0.71109594314111269</v>
      </c>
    </row>
    <row r="78" spans="1:5">
      <c r="A78" s="210">
        <v>72</v>
      </c>
      <c r="D78" s="217">
        <f t="shared" si="1"/>
        <v>3.801941959807094</v>
      </c>
      <c r="E78" s="232">
        <f>Mile!$E78*(1-$K$2)+'5K'!$E78*$K$2</f>
        <v>0.70139594314111264</v>
      </c>
    </row>
    <row r="79" spans="1:5">
      <c r="A79" s="210">
        <v>73</v>
      </c>
      <c r="D79" s="217">
        <f t="shared" si="1"/>
        <v>3.8552585035512359</v>
      </c>
      <c r="E79" s="232">
        <f>Mile!$E79*(1-$K$2)+'5K'!$E79*$K$2</f>
        <v>0.69169594314111271</v>
      </c>
    </row>
    <row r="80" spans="1:5">
      <c r="A80" s="210">
        <v>74</v>
      </c>
      <c r="D80" s="217">
        <f t="shared" si="1"/>
        <v>3.9100916852740037</v>
      </c>
      <c r="E80" s="232">
        <f>Mile!$E80*(1-$K$2)+'5K'!$E80*$K$2</f>
        <v>0.68199594314111267</v>
      </c>
    </row>
    <row r="81" spans="1:5">
      <c r="A81" s="210">
        <v>75</v>
      </c>
      <c r="D81" s="217">
        <f t="shared" si="1"/>
        <v>3.9665071519060806</v>
      </c>
      <c r="E81" s="232">
        <f>Mile!$E81*(1-$K$2)+'5K'!$E81*$K$2</f>
        <v>0.67229594314111263</v>
      </c>
    </row>
    <row r="82" spans="1:5">
      <c r="A82" s="210">
        <v>76</v>
      </c>
      <c r="D82" s="217">
        <f t="shared" si="1"/>
        <v>4.0243194601988046</v>
      </c>
      <c r="E82" s="232">
        <f>Mile!$E82*(1-$K$2)+'5K'!$E82*$K$2</f>
        <v>0.66263791755114088</v>
      </c>
    </row>
    <row r="83" spans="1:5">
      <c r="A83" s="210">
        <v>77</v>
      </c>
      <c r="D83" s="217">
        <f t="shared" si="1"/>
        <v>4.0841044684126535</v>
      </c>
      <c r="E83" s="232">
        <f>Mile!$E83*(1-$K$2)+'5K'!$E83*$K$2</f>
        <v>0.65293791755114083</v>
      </c>
    </row>
    <row r="84" spans="1:5">
      <c r="A84" s="210">
        <v>78</v>
      </c>
      <c r="D84" s="217">
        <f t="shared" si="1"/>
        <v>4.1443403952309605</v>
      </c>
      <c r="E84" s="232">
        <f>Mile!$E84*(1-$K$2)+'5K'!$E84*$K$2</f>
        <v>0.64344778960128246</v>
      </c>
    </row>
    <row r="85" spans="1:5">
      <c r="A85" s="210">
        <v>79</v>
      </c>
      <c r="D85" s="217">
        <f t="shared" si="1"/>
        <v>4.2060357653142662</v>
      </c>
      <c r="E85" s="232">
        <f>Mile!$E85*(1-$K$2)+'5K'!$E85*$K$2</f>
        <v>0.6340095081115934</v>
      </c>
    </row>
    <row r="86" spans="1:5">
      <c r="A86" s="210">
        <v>80</v>
      </c>
      <c r="D86" s="217">
        <f t="shared" si="1"/>
        <v>4.2740988045389727</v>
      </c>
      <c r="E86" s="232">
        <f>Mile!$E86*(1-$K$2)+'5K'!$E86*$K$2</f>
        <v>0.6239132010319326</v>
      </c>
    </row>
    <row r="87" spans="1:5">
      <c r="A87" s="210">
        <v>81</v>
      </c>
      <c r="D87" s="217">
        <f t="shared" si="1"/>
        <v>4.3523844712831838</v>
      </c>
      <c r="E87" s="232">
        <f>Mile!$E87*(1-$K$2)+'5K'!$E87*$K$2</f>
        <v>0.61269097072218714</v>
      </c>
    </row>
    <row r="88" spans="1:5">
      <c r="A88" s="210">
        <v>82</v>
      </c>
      <c r="D88" s="217">
        <f t="shared" si="1"/>
        <v>4.4405458967601623</v>
      </c>
      <c r="E88" s="232">
        <f>Mile!$E88*(1-$K$2)+'5K'!$E88*$K$2</f>
        <v>0.60052676600241339</v>
      </c>
    </row>
    <row r="89" spans="1:5">
      <c r="A89" s="210">
        <v>83</v>
      </c>
      <c r="D89" s="217">
        <f t="shared" si="1"/>
        <v>4.5410427311042776</v>
      </c>
      <c r="E89" s="232">
        <f>Mile!$E89*(1-$K$2)+'5K'!$E89*$K$2</f>
        <v>0.58723663805255466</v>
      </c>
    </row>
    <row r="90" spans="1:5">
      <c r="A90" s="210">
        <v>84</v>
      </c>
      <c r="D90" s="217">
        <f t="shared" si="1"/>
        <v>4.6538316899064451</v>
      </c>
      <c r="E90" s="232">
        <f>Mile!$E90*(1-$K$2)+'5K'!$E90*$K$2</f>
        <v>0.57300453569266796</v>
      </c>
    </row>
    <row r="91" spans="1:5">
      <c r="A91" s="210">
        <v>85</v>
      </c>
      <c r="D91" s="217">
        <f t="shared" si="1"/>
        <v>4.7816419752626675</v>
      </c>
      <c r="E91" s="232">
        <f>Mile!$E91*(1-$K$2)+'5K'!$E91*$K$2</f>
        <v>0.55768848451272435</v>
      </c>
    </row>
    <row r="92" spans="1:5">
      <c r="A92" s="210">
        <v>86</v>
      </c>
      <c r="D92" s="217">
        <f t="shared" si="1"/>
        <v>4.9256065523203638</v>
      </c>
      <c r="E92" s="232">
        <f>Mile!$E92*(1-$K$2)+'5K'!$E92*$K$2</f>
        <v>0.54138848451272437</v>
      </c>
    </row>
    <row r="93" spans="1:5">
      <c r="A93" s="210">
        <v>87</v>
      </c>
      <c r="D93" s="217">
        <f t="shared" si="1"/>
        <v>5.0876360240273026</v>
      </c>
      <c r="E93" s="232">
        <f>Mile!$E93*(1-$K$2)+'5K'!$E93*$K$2</f>
        <v>0.52414651010269608</v>
      </c>
    </row>
    <row r="94" spans="1:5">
      <c r="A94" s="210">
        <v>88</v>
      </c>
      <c r="D94" s="217">
        <f t="shared" si="1"/>
        <v>5.2723990318272778</v>
      </c>
      <c r="E94" s="232">
        <f>Mile!$E94*(1-$K$2)+'5K'!$E94*$K$2</f>
        <v>0.50577861246258304</v>
      </c>
    </row>
    <row r="95" spans="1:5">
      <c r="A95" s="210">
        <v>89</v>
      </c>
      <c r="D95" s="217">
        <f t="shared" si="1"/>
        <v>5.4816814424823948</v>
      </c>
      <c r="E95" s="232">
        <f>Mile!$E95*(1-$K$2)+'5K'!$E95*$K$2</f>
        <v>0.48646874041244165</v>
      </c>
    </row>
    <row r="96" spans="1:5">
      <c r="A96" s="210">
        <v>90</v>
      </c>
      <c r="D96" s="217">
        <f t="shared" si="1"/>
        <v>5.7197984484441733</v>
      </c>
      <c r="E96" s="232">
        <f>Mile!$E96*(1-$K$2)+'5K'!$E96*$K$2</f>
        <v>0.46621689395227195</v>
      </c>
    </row>
    <row r="97" spans="1:5">
      <c r="A97" s="210">
        <v>91</v>
      </c>
      <c r="D97" s="217">
        <f t="shared" si="1"/>
        <v>5.994676549844022</v>
      </c>
      <c r="E97" s="232">
        <f>Mile!$E97*(1-$K$2)+'5K'!$E97*$K$2</f>
        <v>0.44483912426201744</v>
      </c>
    </row>
    <row r="98" spans="1:5">
      <c r="A98" s="210">
        <v>92</v>
      </c>
      <c r="D98" s="217">
        <f t="shared" si="1"/>
        <v>6.3113475780587933</v>
      </c>
      <c r="E98" s="232">
        <f>Mile!$E98*(1-$K$2)+'5K'!$E98*$K$2</f>
        <v>0.42251938016173474</v>
      </c>
    </row>
    <row r="99" spans="1:5">
      <c r="A99" s="210">
        <v>93</v>
      </c>
      <c r="D99" s="217">
        <f t="shared" si="1"/>
        <v>6.6814378685491222</v>
      </c>
      <c r="E99" s="232">
        <f>Mile!$E99*(1-$K$2)+'5K'!$E99*$K$2</f>
        <v>0.3991156872413954</v>
      </c>
    </row>
    <row r="100" spans="1:5">
      <c r="A100" s="210">
        <v>94</v>
      </c>
      <c r="D100" s="217">
        <f t="shared" si="1"/>
        <v>7.1162719168815292</v>
      </c>
      <c r="E100" s="232">
        <f>Mile!$E100*(1-$K$2)+'5K'!$E100*$K$2</f>
        <v>0.37472804550099953</v>
      </c>
    </row>
    <row r="101" spans="1:5">
      <c r="A101" s="210">
        <v>95</v>
      </c>
      <c r="D101" s="217">
        <f t="shared" si="1"/>
        <v>7.6361858265886529</v>
      </c>
      <c r="E101" s="232">
        <f>Mile!$E101*(1-$K$2)+'5K'!$E101*$K$2</f>
        <v>0.34921448053051884</v>
      </c>
    </row>
    <row r="102" spans="1:5">
      <c r="A102" s="210">
        <v>96</v>
      </c>
      <c r="D102" s="217">
        <f t="shared" si="1"/>
        <v>8.2621000588401063</v>
      </c>
      <c r="E102" s="232">
        <f>Mile!$E102*(1-$K$2)+'5K'!$E102*$K$2</f>
        <v>0.32275894115000986</v>
      </c>
    </row>
    <row r="103" spans="1:5">
      <c r="A103" s="210">
        <v>97</v>
      </c>
      <c r="D103" s="217">
        <f t="shared" si="1"/>
        <v>9.0284865241430907</v>
      </c>
      <c r="E103" s="232">
        <f>Mile!$E103*(1-$K$2)+'5K'!$E103*$K$2</f>
        <v>0.29536142735947263</v>
      </c>
    </row>
    <row r="104" spans="1:5">
      <c r="A104" s="210">
        <v>98</v>
      </c>
      <c r="D104" s="217">
        <f t="shared" si="1"/>
        <v>9.992007714688782</v>
      </c>
      <c r="E104" s="232">
        <f>Mile!$E104*(1-$K$2)+'5K'!$E104*$K$2</f>
        <v>0.26687996474887876</v>
      </c>
    </row>
    <row r="105" spans="1:5">
      <c r="A105" s="210">
        <v>99</v>
      </c>
      <c r="D105" s="217">
        <f t="shared" si="1"/>
        <v>11.232111213891296</v>
      </c>
      <c r="E105" s="232">
        <f>Mile!$E105*(1-$K$2)+'5K'!$E105*$K$2</f>
        <v>0.23741455331822847</v>
      </c>
    </row>
    <row r="106" spans="1:5">
      <c r="A106" s="210">
        <v>100</v>
      </c>
      <c r="D106" s="217">
        <f t="shared" si="1"/>
        <v>12.884614205619965</v>
      </c>
      <c r="E106" s="232">
        <f>Mile!$E106*(1-$K$2)+'5K'!$E106*$K$2</f>
        <v>0.20696519306752156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E12" sqref="E12"/>
    </sheetView>
  </sheetViews>
  <sheetFormatPr defaultColWidth="9.6640625" defaultRowHeight="15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>
      <c r="A1" s="29" t="s">
        <v>74</v>
      </c>
      <c r="B1" s="30"/>
      <c r="C1" s="31"/>
      <c r="D1" s="32" t="s">
        <v>32</v>
      </c>
      <c r="E1" s="32" t="s">
        <v>54</v>
      </c>
      <c r="F1" s="32" t="s">
        <v>55</v>
      </c>
      <c r="G1" s="32" t="s">
        <v>56</v>
      </c>
      <c r="H1" s="32" t="s">
        <v>57</v>
      </c>
      <c r="I1" s="32" t="s">
        <v>58</v>
      </c>
    </row>
    <row r="2" spans="1:9" ht="22.5">
      <c r="A2" s="29"/>
      <c r="B2" s="30"/>
      <c r="C2" s="31"/>
      <c r="D2" s="32"/>
      <c r="E2" s="32"/>
      <c r="F2" s="33">
        <f>(+H$3-H$4)*F$4/2</f>
        <v>2.1000000000000001E-2</v>
      </c>
      <c r="G2" s="33">
        <f>(+I$4-I$3)*G$4/2</f>
        <v>9.7500000000000003E-2</v>
      </c>
      <c r="H2" s="32"/>
      <c r="I2" s="32"/>
    </row>
    <row r="3" spans="1:9" ht="22.5">
      <c r="A3" s="29"/>
      <c r="B3" s="30"/>
      <c r="C3" s="31"/>
      <c r="D3" s="32"/>
      <c r="E3" s="32"/>
      <c r="F3" s="33">
        <f>F4/(2*(+H3-H4))</f>
        <v>1.7142857142857144E-3</v>
      </c>
      <c r="G3" s="33">
        <f>G4/(2*(+I4-I3))</f>
        <v>2.5641025641025641E-4</v>
      </c>
      <c r="H3" s="30">
        <v>20.5</v>
      </c>
      <c r="I3" s="30">
        <v>26</v>
      </c>
    </row>
    <row r="4" spans="1:9" ht="15.75">
      <c r="A4" s="30"/>
      <c r="B4" s="30"/>
      <c r="C4" s="30"/>
      <c r="D4" s="34">
        <f>Parameters!G31</f>
        <v>0.10868055555555556</v>
      </c>
      <c r="E4" s="35">
        <f>D4*1440</f>
        <v>156.5</v>
      </c>
      <c r="F4" s="33">
        <v>1.2E-2</v>
      </c>
      <c r="G4" s="33">
        <v>0.01</v>
      </c>
      <c r="H4" s="30">
        <v>17</v>
      </c>
      <c r="I4" s="30">
        <v>45.5</v>
      </c>
    </row>
    <row r="5" spans="1:9" ht="15.75">
      <c r="A5" s="30"/>
      <c r="B5" s="30"/>
      <c r="C5" s="30"/>
      <c r="D5" s="34"/>
      <c r="E5" s="30">
        <f>E4*60</f>
        <v>9390</v>
      </c>
      <c r="F5" s="33">
        <v>1.1000000000000001E-3</v>
      </c>
      <c r="G5" s="33">
        <v>1.1E-4</v>
      </c>
      <c r="H5" s="30">
        <v>15</v>
      </c>
      <c r="I5" s="30">
        <v>54</v>
      </c>
    </row>
    <row r="6" spans="1:9" ht="47.25">
      <c r="A6" s="36" t="s">
        <v>52</v>
      </c>
      <c r="B6" s="36" t="s">
        <v>75</v>
      </c>
      <c r="C6" s="36" t="s">
        <v>76</v>
      </c>
      <c r="D6" s="36" t="s">
        <v>127</v>
      </c>
      <c r="E6" s="36" t="s">
        <v>131</v>
      </c>
      <c r="F6" s="31" t="s">
        <v>130</v>
      </c>
      <c r="G6" s="36" t="s">
        <v>52</v>
      </c>
      <c r="I6" s="37"/>
    </row>
    <row r="7" spans="1:9">
      <c r="A7" s="1">
        <v>1</v>
      </c>
      <c r="B7" s="39"/>
      <c r="G7" s="1">
        <v>1</v>
      </c>
    </row>
    <row r="8" spans="1:9">
      <c r="A8" s="1">
        <v>2</v>
      </c>
      <c r="B8" s="39"/>
      <c r="G8" s="1">
        <v>2</v>
      </c>
    </row>
    <row r="9" spans="1:9">
      <c r="A9" s="1">
        <v>3</v>
      </c>
      <c r="B9" s="39"/>
      <c r="C9" s="24"/>
      <c r="D9" s="24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40"/>
      <c r="C10" s="24"/>
      <c r="D10" s="18">
        <f t="shared" ref="D10:D41" si="1">E$4/E10</f>
        <v>226.84447021307437</v>
      </c>
      <c r="E10" s="4">
        <f t="shared" si="0"/>
        <v>0.68989999999999996</v>
      </c>
      <c r="F10" s="18"/>
      <c r="G10" s="1">
        <v>4</v>
      </c>
    </row>
    <row r="11" spans="1:9">
      <c r="A11" s="1">
        <v>5</v>
      </c>
      <c r="B11" s="40"/>
      <c r="C11" s="24"/>
      <c r="D11" s="18">
        <f t="shared" si="1"/>
        <v>215.86206896551724</v>
      </c>
      <c r="E11" s="4">
        <f t="shared" si="0"/>
        <v>0.72499999999999998</v>
      </c>
      <c r="F11" s="18"/>
      <c r="G11" s="1">
        <v>5</v>
      </c>
      <c r="I11" s="4"/>
    </row>
    <row r="12" spans="1:9">
      <c r="A12" s="1">
        <v>6</v>
      </c>
      <c r="B12" s="40"/>
      <c r="C12" s="24"/>
      <c r="D12" s="18">
        <f t="shared" si="1"/>
        <v>206.49162158596121</v>
      </c>
      <c r="E12" s="4">
        <f t="shared" si="0"/>
        <v>0.75790000000000002</v>
      </c>
      <c r="F12" s="18"/>
      <c r="G12" s="1">
        <v>6</v>
      </c>
      <c r="I12" s="4"/>
    </row>
    <row r="13" spans="1:9">
      <c r="A13" s="1">
        <v>7</v>
      </c>
      <c r="B13" s="40"/>
      <c r="C13" s="24"/>
      <c r="D13" s="18">
        <f t="shared" si="1"/>
        <v>198.4529546030941</v>
      </c>
      <c r="E13" s="4">
        <f t="shared" si="0"/>
        <v>0.78859999999999997</v>
      </c>
      <c r="F13" s="18"/>
      <c r="G13" s="1">
        <v>7</v>
      </c>
      <c r="I13" s="4"/>
    </row>
    <row r="14" spans="1:9">
      <c r="A14" s="1">
        <v>8</v>
      </c>
      <c r="B14" s="40"/>
      <c r="C14" s="24"/>
      <c r="D14" s="18">
        <f t="shared" si="1"/>
        <v>191.5310243544242</v>
      </c>
      <c r="E14" s="4">
        <f t="shared" si="0"/>
        <v>0.81709999999999994</v>
      </c>
      <c r="F14" s="18"/>
      <c r="G14" s="1">
        <v>8</v>
      </c>
      <c r="I14" s="4"/>
    </row>
    <row r="15" spans="1:9">
      <c r="A15" s="1">
        <v>9</v>
      </c>
      <c r="B15" s="40"/>
      <c r="C15" s="24"/>
      <c r="D15" s="18">
        <f t="shared" si="1"/>
        <v>185.55845387716388</v>
      </c>
      <c r="E15" s="4">
        <f t="shared" si="0"/>
        <v>0.84339999999999993</v>
      </c>
      <c r="F15" s="18"/>
      <c r="G15" s="1">
        <v>9</v>
      </c>
      <c r="I15" s="4"/>
    </row>
    <row r="16" spans="1:9">
      <c r="A16" s="1">
        <v>10</v>
      </c>
      <c r="B16" s="40"/>
      <c r="C16" s="24"/>
      <c r="D16" s="18">
        <f t="shared" si="1"/>
        <v>180.4034582132565</v>
      </c>
      <c r="E16" s="4">
        <f t="shared" si="0"/>
        <v>0.86749999999999994</v>
      </c>
      <c r="F16" s="18"/>
      <c r="G16" s="1">
        <v>10</v>
      </c>
      <c r="I16" s="4"/>
    </row>
    <row r="17" spans="1:9">
      <c r="A17" s="1">
        <v>11</v>
      </c>
      <c r="B17" s="40"/>
      <c r="C17" s="24"/>
      <c r="D17" s="18">
        <f t="shared" si="1"/>
        <v>175.96132223971216</v>
      </c>
      <c r="E17" s="4">
        <f t="shared" si="0"/>
        <v>0.88939999999999997</v>
      </c>
      <c r="F17" s="18"/>
      <c r="G17" s="1">
        <v>11</v>
      </c>
      <c r="I17" s="4"/>
    </row>
    <row r="18" spans="1:9">
      <c r="A18" s="1">
        <v>12</v>
      </c>
      <c r="B18" s="40"/>
      <c r="C18" s="24"/>
      <c r="D18" s="18">
        <f t="shared" si="1"/>
        <v>172.14827851721483</v>
      </c>
      <c r="E18" s="4">
        <f t="shared" si="0"/>
        <v>0.90910000000000002</v>
      </c>
      <c r="F18" s="18"/>
      <c r="G18" s="1">
        <v>12</v>
      </c>
      <c r="I18" s="4"/>
    </row>
    <row r="19" spans="1:9">
      <c r="A19" s="1">
        <v>13</v>
      </c>
      <c r="B19" s="40"/>
      <c r="C19" s="24"/>
      <c r="D19" s="18">
        <f t="shared" si="1"/>
        <v>168.8970429527304</v>
      </c>
      <c r="E19" s="4">
        <f t="shared" si="0"/>
        <v>0.92659999999999998</v>
      </c>
      <c r="F19" s="18"/>
      <c r="G19" s="1">
        <v>13</v>
      </c>
      <c r="I19" s="4"/>
    </row>
    <row r="20" spans="1:9">
      <c r="A20" s="1">
        <v>14</v>
      </c>
      <c r="B20" s="40"/>
      <c r="C20" s="24"/>
      <c r="D20" s="18">
        <f t="shared" si="1"/>
        <v>166.15351948189829</v>
      </c>
      <c r="E20" s="4">
        <f t="shared" si="0"/>
        <v>0.94189999999999996</v>
      </c>
      <c r="F20" s="18"/>
      <c r="G20" s="1">
        <v>14</v>
      </c>
      <c r="I20" s="4"/>
    </row>
    <row r="21" spans="1:9">
      <c r="A21" s="1">
        <v>15</v>
      </c>
      <c r="B21" s="40"/>
      <c r="C21" s="24"/>
      <c r="D21" s="18">
        <f t="shared" si="1"/>
        <v>163.87434554973822</v>
      </c>
      <c r="E21" s="4">
        <f t="shared" si="0"/>
        <v>0.95499999999999996</v>
      </c>
      <c r="F21" s="18"/>
      <c r="G21" s="1">
        <v>15</v>
      </c>
      <c r="I21" s="4"/>
    </row>
    <row r="22" spans="1:9">
      <c r="A22" s="1">
        <v>16</v>
      </c>
      <c r="B22" s="40"/>
      <c r="C22" s="24"/>
      <c r="D22" s="18">
        <f t="shared" si="1"/>
        <v>161.84074457083764</v>
      </c>
      <c r="E22" s="4">
        <f t="shared" si="0"/>
        <v>0.96699999999999997</v>
      </c>
      <c r="F22" s="18"/>
      <c r="G22" s="1">
        <v>16</v>
      </c>
      <c r="I22" s="4"/>
    </row>
    <row r="23" spans="1:9">
      <c r="A23" s="1">
        <v>17</v>
      </c>
      <c r="B23" s="40"/>
      <c r="C23" s="24"/>
      <c r="D23" s="18">
        <f t="shared" si="1"/>
        <v>159.85699693564862</v>
      </c>
      <c r="E23" s="4">
        <f t="shared" si="0"/>
        <v>0.97899999999999998</v>
      </c>
      <c r="F23" s="18"/>
      <c r="G23" s="1">
        <v>17</v>
      </c>
      <c r="I23" s="4"/>
    </row>
    <row r="24" spans="1:9">
      <c r="A24" s="1">
        <v>18</v>
      </c>
      <c r="B24" s="40"/>
      <c r="C24" s="24"/>
      <c r="D24" s="18">
        <f t="shared" si="1"/>
        <v>158.19494584837545</v>
      </c>
      <c r="E24" s="4">
        <f t="shared" si="0"/>
        <v>0.98928571428571432</v>
      </c>
      <c r="F24" s="18"/>
      <c r="G24" s="1">
        <v>18</v>
      </c>
      <c r="I24" s="4"/>
    </row>
    <row r="25" spans="1:9">
      <c r="A25" s="1">
        <v>19</v>
      </c>
      <c r="B25" s="40"/>
      <c r="C25" s="24"/>
      <c r="D25" s="18">
        <f t="shared" si="1"/>
        <v>157.10598020937903</v>
      </c>
      <c r="E25" s="4">
        <f t="shared" si="0"/>
        <v>0.99614285714285711</v>
      </c>
      <c r="F25" s="18"/>
      <c r="G25" s="1">
        <v>19</v>
      </c>
      <c r="I25" s="4"/>
    </row>
    <row r="26" spans="1:9">
      <c r="A26" s="1">
        <v>20</v>
      </c>
      <c r="B26" s="40"/>
      <c r="C26" s="24"/>
      <c r="D26" s="18">
        <f t="shared" si="1"/>
        <v>156.56710018579392</v>
      </c>
      <c r="E26" s="4">
        <f t="shared" si="0"/>
        <v>0.99957142857142856</v>
      </c>
      <c r="F26" s="18"/>
      <c r="G26" s="1">
        <v>20</v>
      </c>
      <c r="I26" s="4"/>
    </row>
    <row r="27" spans="1:9">
      <c r="A27" s="1">
        <v>21</v>
      </c>
      <c r="B27" s="40"/>
      <c r="C27" s="24"/>
      <c r="D27" s="18">
        <f t="shared" si="1"/>
        <v>156.5</v>
      </c>
      <c r="E27" s="4">
        <f t="shared" si="0"/>
        <v>1</v>
      </c>
      <c r="F27" s="18"/>
      <c r="G27" s="1">
        <v>21</v>
      </c>
      <c r="I27" s="4"/>
    </row>
    <row r="28" spans="1:9">
      <c r="A28" s="1">
        <v>22</v>
      </c>
      <c r="B28" s="40"/>
      <c r="C28" s="24"/>
      <c r="D28" s="18">
        <f t="shared" si="1"/>
        <v>156.5</v>
      </c>
      <c r="E28" s="4">
        <f t="shared" si="0"/>
        <v>1</v>
      </c>
      <c r="F28" s="18"/>
      <c r="G28" s="1">
        <v>22</v>
      </c>
      <c r="I28" s="4"/>
    </row>
    <row r="29" spans="1:9">
      <c r="A29" s="1">
        <v>23</v>
      </c>
      <c r="B29" s="40"/>
      <c r="C29" s="24"/>
      <c r="D29" s="18">
        <f t="shared" si="1"/>
        <v>156.5</v>
      </c>
      <c r="E29" s="4">
        <f t="shared" si="0"/>
        <v>1</v>
      </c>
      <c r="F29" s="18"/>
      <c r="G29" s="1">
        <v>23</v>
      </c>
      <c r="I29" s="4"/>
    </row>
    <row r="30" spans="1:9">
      <c r="A30" s="1">
        <v>24</v>
      </c>
      <c r="B30" s="40"/>
      <c r="C30" s="24"/>
      <c r="D30" s="18">
        <f t="shared" si="1"/>
        <v>156.5</v>
      </c>
      <c r="E30" s="4">
        <f t="shared" si="0"/>
        <v>1</v>
      </c>
      <c r="F30" s="18"/>
      <c r="G30" s="1">
        <v>24</v>
      </c>
      <c r="I30" s="4"/>
    </row>
    <row r="31" spans="1:9">
      <c r="A31" s="1">
        <v>25</v>
      </c>
      <c r="B31" s="40"/>
      <c r="C31" s="24"/>
      <c r="D31" s="18">
        <f t="shared" si="1"/>
        <v>156.5</v>
      </c>
      <c r="E31" s="4">
        <f t="shared" si="0"/>
        <v>1</v>
      </c>
      <c r="F31" s="18"/>
      <c r="G31" s="1">
        <v>25</v>
      </c>
      <c r="I31" s="4"/>
    </row>
    <row r="32" spans="1:9">
      <c r="A32" s="1">
        <v>26</v>
      </c>
      <c r="B32" s="40"/>
      <c r="C32" s="24"/>
      <c r="D32" s="18">
        <f t="shared" si="1"/>
        <v>156.5</v>
      </c>
      <c r="E32" s="4">
        <f t="shared" si="0"/>
        <v>1</v>
      </c>
      <c r="F32" s="18"/>
      <c r="G32" s="1">
        <v>26</v>
      </c>
      <c r="I32" s="4"/>
    </row>
    <row r="33" spans="1:11">
      <c r="A33" s="1">
        <v>27</v>
      </c>
      <c r="B33" s="40">
        <v>0.13100694444444444</v>
      </c>
      <c r="C33" s="18">
        <f>B33*1440</f>
        <v>188.65</v>
      </c>
      <c r="D33" s="18">
        <f t="shared" si="1"/>
        <v>156.5</v>
      </c>
      <c r="E33" s="4">
        <f t="shared" si="0"/>
        <v>1</v>
      </c>
      <c r="F33" s="18">
        <f>100*(D33/C33)</f>
        <v>82.957858468062554</v>
      </c>
      <c r="G33" s="1">
        <v>27</v>
      </c>
      <c r="H33" s="41">
        <v>0.13100694444444444</v>
      </c>
      <c r="I33" s="22" t="s">
        <v>85</v>
      </c>
      <c r="J33" s="22" t="s">
        <v>87</v>
      </c>
      <c r="K33" s="22">
        <v>32589</v>
      </c>
    </row>
    <row r="34" spans="1:11">
      <c r="A34" s="1">
        <v>28</v>
      </c>
      <c r="B34" s="40"/>
      <c r="C34" s="18"/>
      <c r="D34" s="18">
        <f t="shared" si="1"/>
        <v>156.66067761806983</v>
      </c>
      <c r="E34" s="4">
        <f t="shared" ref="E34:E65" si="2">1-IF(A34&lt;I$3,0,IF(A34&lt;I$4,G$3*(A34-I$3)^2,G$2+G$4*(A34-I$4)+(A34&gt;I$5)*G$5*(A34-I$5)^2))</f>
        <v>0.99897435897435893</v>
      </c>
      <c r="F34" s="18"/>
      <c r="G34" s="1">
        <v>28</v>
      </c>
      <c r="I34" s="4"/>
    </row>
    <row r="35" spans="1:11">
      <c r="A35" s="1">
        <v>29</v>
      </c>
      <c r="B35" s="40"/>
      <c r="C35" s="18"/>
      <c r="D35" s="18">
        <f t="shared" si="1"/>
        <v>156.86198920585969</v>
      </c>
      <c r="E35" s="4">
        <f t="shared" si="2"/>
        <v>0.99769230769230766</v>
      </c>
      <c r="F35" s="18"/>
      <c r="G35" s="1">
        <v>29</v>
      </c>
      <c r="I35" s="4"/>
    </row>
    <row r="36" spans="1:11">
      <c r="A36" s="1">
        <v>30</v>
      </c>
      <c r="B36" s="40"/>
      <c r="C36" s="18"/>
      <c r="D36" s="18">
        <f t="shared" si="1"/>
        <v>157.14469618949536</v>
      </c>
      <c r="E36" s="4">
        <f t="shared" si="2"/>
        <v>0.99589743589743585</v>
      </c>
      <c r="F36" s="18"/>
      <c r="G36" s="1">
        <v>30</v>
      </c>
      <c r="I36" s="4"/>
    </row>
    <row r="37" spans="1:11">
      <c r="A37" s="1">
        <v>31</v>
      </c>
      <c r="B37" s="40"/>
      <c r="C37" s="18"/>
      <c r="D37" s="18">
        <f t="shared" si="1"/>
        <v>157.50967741935483</v>
      </c>
      <c r="E37" s="4">
        <f t="shared" si="2"/>
        <v>0.99358974358974361</v>
      </c>
      <c r="F37" s="18"/>
      <c r="G37" s="1">
        <v>31</v>
      </c>
      <c r="I37" s="4"/>
    </row>
    <row r="38" spans="1:11">
      <c r="A38" s="1">
        <v>32</v>
      </c>
      <c r="B38" s="40"/>
      <c r="C38" s="18"/>
      <c r="D38" s="18">
        <f t="shared" si="1"/>
        <v>157.95807453416148</v>
      </c>
      <c r="E38" s="4">
        <f t="shared" si="2"/>
        <v>0.99076923076923074</v>
      </c>
      <c r="F38" s="18"/>
      <c r="G38" s="1">
        <v>32</v>
      </c>
      <c r="I38" s="4"/>
    </row>
    <row r="39" spans="1:11">
      <c r="A39" s="1">
        <v>33</v>
      </c>
      <c r="B39" s="40"/>
      <c r="C39" s="18"/>
      <c r="D39" s="18">
        <f t="shared" si="1"/>
        <v>158.4913009607894</v>
      </c>
      <c r="E39" s="4">
        <f t="shared" si="2"/>
        <v>0.98743589743589744</v>
      </c>
      <c r="F39" s="18"/>
      <c r="G39" s="1">
        <v>33</v>
      </c>
      <c r="I39" s="4"/>
    </row>
    <row r="40" spans="1:11">
      <c r="A40" s="1">
        <v>34</v>
      </c>
      <c r="B40" s="40"/>
      <c r="C40" s="18"/>
      <c r="D40" s="18">
        <f t="shared" si="1"/>
        <v>159.11105318039625</v>
      </c>
      <c r="E40" s="4">
        <f t="shared" si="2"/>
        <v>0.9835897435897436</v>
      </c>
      <c r="F40" s="18"/>
      <c r="G40" s="1">
        <v>34</v>
      </c>
      <c r="I40" s="4"/>
    </row>
    <row r="41" spans="1:11">
      <c r="A41" s="1">
        <v>35</v>
      </c>
      <c r="B41" s="40">
        <v>0.14483796296296297</v>
      </c>
      <c r="C41" s="18">
        <f>B41*1440</f>
        <v>208.56666666666669</v>
      </c>
      <c r="D41" s="18">
        <f t="shared" si="1"/>
        <v>159.81932443047918</v>
      </c>
      <c r="E41" s="4">
        <f t="shared" si="2"/>
        <v>0.97923076923076924</v>
      </c>
      <c r="F41" s="18">
        <f>100*(D41/C41)</f>
        <v>76.627452979293182</v>
      </c>
      <c r="G41" s="1">
        <v>35</v>
      </c>
      <c r="H41" s="22" t="s">
        <v>77</v>
      </c>
      <c r="I41" s="4"/>
    </row>
    <row r="42" spans="1:11">
      <c r="A42" s="1">
        <v>36</v>
      </c>
      <c r="B42" s="40"/>
      <c r="C42" s="18"/>
      <c r="D42" s="18">
        <f t="shared" ref="D42:D73" si="3">E$4/E42</f>
        <v>160.61842105263159</v>
      </c>
      <c r="E42" s="4">
        <f t="shared" si="2"/>
        <v>0.97435897435897434</v>
      </c>
      <c r="F42" s="18"/>
      <c r="G42" s="1">
        <v>36</v>
      </c>
      <c r="I42" s="4"/>
    </row>
    <row r="43" spans="1:11">
      <c r="A43" s="1">
        <v>37</v>
      </c>
      <c r="B43" s="40"/>
      <c r="C43" s="18"/>
      <c r="D43" s="18">
        <f t="shared" si="3"/>
        <v>161.51098174120136</v>
      </c>
      <c r="E43" s="4">
        <f t="shared" si="2"/>
        <v>0.96897435897435902</v>
      </c>
      <c r="F43" s="18"/>
      <c r="G43" s="1">
        <v>37</v>
      </c>
      <c r="I43" s="4"/>
    </row>
    <row r="44" spans="1:11">
      <c r="A44" s="1">
        <v>38</v>
      </c>
      <c r="B44" s="40"/>
      <c r="C44" s="18"/>
      <c r="D44" s="18">
        <f t="shared" si="3"/>
        <v>162.5</v>
      </c>
      <c r="E44" s="4">
        <f t="shared" si="2"/>
        <v>0.96307692307692305</v>
      </c>
      <c r="F44" s="18"/>
      <c r="G44" s="1">
        <v>38</v>
      </c>
      <c r="I44" s="4"/>
    </row>
    <row r="45" spans="1:11">
      <c r="A45" s="1">
        <v>39</v>
      </c>
      <c r="B45" s="40"/>
      <c r="C45" s="18"/>
      <c r="D45" s="18">
        <f t="shared" si="3"/>
        <v>163.58885017421602</v>
      </c>
      <c r="E45" s="4">
        <f t="shared" si="2"/>
        <v>0.95666666666666667</v>
      </c>
      <c r="F45" s="18"/>
      <c r="G45" s="1">
        <v>39</v>
      </c>
      <c r="I45" s="4"/>
    </row>
    <row r="46" spans="1:11">
      <c r="A46" s="1">
        <v>40</v>
      </c>
      <c r="B46" s="40">
        <v>0.1509837962962963</v>
      </c>
      <c r="C46" s="18">
        <f>B46*1440</f>
        <v>217.41666666666666</v>
      </c>
      <c r="D46" s="18">
        <f t="shared" si="3"/>
        <v>164.78131749460044</v>
      </c>
      <c r="E46" s="4">
        <f t="shared" si="2"/>
        <v>0.94974358974358974</v>
      </c>
      <c r="F46" s="18">
        <f>100*(D46/C46)</f>
        <v>75.79056381507111</v>
      </c>
      <c r="G46" s="1">
        <v>40</v>
      </c>
      <c r="H46" s="22" t="s">
        <v>78</v>
      </c>
      <c r="I46" s="4"/>
    </row>
    <row r="47" spans="1:11">
      <c r="A47" s="1">
        <v>41</v>
      </c>
      <c r="B47" s="40"/>
      <c r="C47" s="18"/>
      <c r="D47" s="18">
        <f t="shared" si="3"/>
        <v>166.08163265306123</v>
      </c>
      <c r="E47" s="4">
        <f t="shared" si="2"/>
        <v>0.94230769230769229</v>
      </c>
      <c r="F47" s="18"/>
      <c r="G47" s="1">
        <v>41</v>
      </c>
      <c r="H47" s="22"/>
      <c r="I47" s="4"/>
    </row>
    <row r="48" spans="1:11">
      <c r="A48" s="1">
        <v>42</v>
      </c>
      <c r="B48" s="40"/>
      <c r="C48" s="18"/>
      <c r="D48" s="18">
        <f t="shared" si="3"/>
        <v>167.49451152579582</v>
      </c>
      <c r="E48" s="4">
        <f t="shared" si="2"/>
        <v>0.93435897435897441</v>
      </c>
      <c r="F48" s="18"/>
      <c r="G48" s="1">
        <v>42</v>
      </c>
      <c r="H48" s="22"/>
      <c r="I48" s="4"/>
    </row>
    <row r="49" spans="1:13">
      <c r="A49" s="1">
        <v>43</v>
      </c>
      <c r="B49" s="40"/>
      <c r="C49" s="18"/>
      <c r="D49" s="18">
        <f t="shared" si="3"/>
        <v>169.02520077540848</v>
      </c>
      <c r="E49" s="4">
        <f t="shared" si="2"/>
        <v>0.92589743589743589</v>
      </c>
      <c r="F49" s="18"/>
      <c r="G49" s="1">
        <v>43</v>
      </c>
      <c r="H49" s="22"/>
      <c r="I49" s="4"/>
    </row>
    <row r="50" spans="1:13">
      <c r="A50" s="1">
        <v>44</v>
      </c>
      <c r="B50" s="40"/>
      <c r="C50" s="18"/>
      <c r="D50" s="18">
        <f t="shared" si="3"/>
        <v>170.67953020134229</v>
      </c>
      <c r="E50" s="4">
        <f t="shared" si="2"/>
        <v>0.91692307692307695</v>
      </c>
      <c r="F50" s="18"/>
      <c r="G50" s="1">
        <v>44</v>
      </c>
      <c r="H50" s="22"/>
      <c r="I50" s="4"/>
    </row>
    <row r="51" spans="1:13">
      <c r="A51" s="1">
        <v>45</v>
      </c>
      <c r="B51" s="40">
        <v>0.15251157407407406</v>
      </c>
      <c r="C51" s="18">
        <f>B51*1440</f>
        <v>219.61666666666665</v>
      </c>
      <c r="D51" s="18">
        <f t="shared" si="3"/>
        <v>172.46397287369314</v>
      </c>
      <c r="E51" s="4">
        <f t="shared" si="2"/>
        <v>0.90743589743589748</v>
      </c>
      <c r="F51" s="18">
        <f>100*(D51/C51)</f>
        <v>78.529546728554223</v>
      </c>
      <c r="G51" s="1">
        <v>45</v>
      </c>
      <c r="H51" s="22" t="s">
        <v>79</v>
      </c>
      <c r="I51" s="4"/>
    </row>
    <row r="52" spans="1:13">
      <c r="A52" s="1">
        <v>46</v>
      </c>
      <c r="B52" s="40"/>
      <c r="C52" s="18"/>
      <c r="D52" s="18">
        <f t="shared" si="3"/>
        <v>174.37325905292479</v>
      </c>
      <c r="E52" s="4">
        <f t="shared" si="2"/>
        <v>0.89749999999999996</v>
      </c>
      <c r="F52" s="18"/>
      <c r="G52" s="1">
        <v>46</v>
      </c>
      <c r="H52" s="22"/>
      <c r="I52" s="4"/>
    </row>
    <row r="53" spans="1:13">
      <c r="A53" s="1">
        <v>47</v>
      </c>
      <c r="B53" s="40">
        <v>0.14761574074074074</v>
      </c>
      <c r="C53" s="18">
        <f>B53*1440</f>
        <v>212.56666666666666</v>
      </c>
      <c r="D53" s="18">
        <f t="shared" si="3"/>
        <v>176.33802816901408</v>
      </c>
      <c r="E53" s="4">
        <f t="shared" si="2"/>
        <v>0.88749999999999996</v>
      </c>
      <c r="F53" s="18">
        <f>100*(D53/C53)</f>
        <v>82.956575898861885</v>
      </c>
      <c r="G53" s="1">
        <v>47</v>
      </c>
      <c r="H53" s="42" t="s">
        <v>80</v>
      </c>
      <c r="I53" s="41">
        <v>0.14761574074074074</v>
      </c>
      <c r="J53" s="22" t="s">
        <v>86</v>
      </c>
      <c r="K53" s="22" t="s">
        <v>89</v>
      </c>
      <c r="L53" s="22" t="s">
        <v>92</v>
      </c>
      <c r="M53" s="22">
        <v>-121783</v>
      </c>
    </row>
    <row r="54" spans="1:13">
      <c r="A54" s="1">
        <v>48</v>
      </c>
      <c r="B54" s="40"/>
      <c r="C54" s="18"/>
      <c r="D54" s="18">
        <f t="shared" si="3"/>
        <v>178.34757834757835</v>
      </c>
      <c r="E54" s="4">
        <f t="shared" si="2"/>
        <v>0.87749999999999995</v>
      </c>
      <c r="F54" s="18"/>
      <c r="G54" s="1">
        <v>48</v>
      </c>
      <c r="H54" s="22"/>
      <c r="I54" s="4"/>
    </row>
    <row r="55" spans="1:13">
      <c r="A55" s="1">
        <v>49</v>
      </c>
      <c r="B55" s="40"/>
      <c r="C55" s="18"/>
      <c r="D55" s="18">
        <f t="shared" si="3"/>
        <v>180.4034582132565</v>
      </c>
      <c r="E55" s="4">
        <f t="shared" si="2"/>
        <v>0.86749999999999994</v>
      </c>
      <c r="F55" s="18"/>
      <c r="G55" s="1">
        <v>49</v>
      </c>
      <c r="H55" s="22"/>
      <c r="I55" s="4"/>
    </row>
    <row r="56" spans="1:13">
      <c r="A56" s="1">
        <v>50</v>
      </c>
      <c r="B56" s="40">
        <v>0.15760416666666666</v>
      </c>
      <c r="C56" s="18">
        <f>B56*1440</f>
        <v>226.95</v>
      </c>
      <c r="D56" s="18">
        <f t="shared" si="3"/>
        <v>182.50728862973762</v>
      </c>
      <c r="E56" s="4">
        <f t="shared" si="2"/>
        <v>0.85749999999999993</v>
      </c>
      <c r="F56" s="18">
        <f>100*(D56/C56)</f>
        <v>80.417399704665186</v>
      </c>
      <c r="G56" s="1">
        <v>50</v>
      </c>
      <c r="H56" s="22" t="s">
        <v>81</v>
      </c>
      <c r="I56" s="4"/>
    </row>
    <row r="57" spans="1:13">
      <c r="A57" s="1">
        <v>51</v>
      </c>
      <c r="B57" s="40"/>
      <c r="C57" s="18"/>
      <c r="D57" s="18">
        <f t="shared" si="3"/>
        <v>184.66076696165192</v>
      </c>
      <c r="E57" s="4">
        <f t="shared" si="2"/>
        <v>0.84750000000000003</v>
      </c>
      <c r="F57" s="18"/>
      <c r="G57" s="1">
        <v>51</v>
      </c>
      <c r="I57" s="4"/>
    </row>
    <row r="58" spans="1:13">
      <c r="A58" s="1">
        <v>52</v>
      </c>
      <c r="B58" s="40"/>
      <c r="C58" s="18"/>
      <c r="D58" s="18">
        <f t="shared" si="3"/>
        <v>186.86567164179104</v>
      </c>
      <c r="E58" s="4">
        <f t="shared" si="2"/>
        <v>0.83750000000000002</v>
      </c>
      <c r="F58" s="18"/>
      <c r="G58" s="1">
        <v>52</v>
      </c>
      <c r="I58" s="4"/>
    </row>
    <row r="59" spans="1:13">
      <c r="A59" s="1">
        <v>53</v>
      </c>
      <c r="B59" s="40"/>
      <c r="C59" s="18"/>
      <c r="D59" s="18">
        <f t="shared" si="3"/>
        <v>189.12386706948641</v>
      </c>
      <c r="E59" s="4">
        <f t="shared" si="2"/>
        <v>0.82750000000000001</v>
      </c>
      <c r="F59" s="18"/>
      <c r="G59" s="1">
        <v>53</v>
      </c>
      <c r="I59" s="4"/>
    </row>
    <row r="60" spans="1:13">
      <c r="A60" s="1">
        <v>54</v>
      </c>
      <c r="B60" s="40"/>
      <c r="C60" s="18"/>
      <c r="D60" s="18">
        <f t="shared" si="3"/>
        <v>191.43730886850153</v>
      </c>
      <c r="E60" s="4">
        <f t="shared" si="2"/>
        <v>0.8175</v>
      </c>
      <c r="F60" s="18"/>
      <c r="G60" s="1">
        <v>54</v>
      </c>
      <c r="I60" s="4"/>
    </row>
    <row r="61" spans="1:13">
      <c r="A61" s="1">
        <v>55</v>
      </c>
      <c r="B61" s="40">
        <v>0.16452546296296297</v>
      </c>
      <c r="C61" s="18">
        <f>B61*1440</f>
        <v>236.91666666666669</v>
      </c>
      <c r="D61" s="18">
        <f t="shared" si="3"/>
        <v>193.83445422905905</v>
      </c>
      <c r="E61" s="4">
        <f t="shared" si="2"/>
        <v>0.80739000000000005</v>
      </c>
      <c r="F61" s="18">
        <f>100*(D61/C61)</f>
        <v>81.815457289789251</v>
      </c>
      <c r="G61" s="1">
        <v>55</v>
      </c>
      <c r="H61" s="22" t="s">
        <v>80</v>
      </c>
      <c r="I61" s="41">
        <v>0.16452546296296297</v>
      </c>
      <c r="J61" s="22" t="s">
        <v>86</v>
      </c>
      <c r="K61" s="22" t="s">
        <v>90</v>
      </c>
      <c r="L61" s="22" t="s">
        <v>93</v>
      </c>
      <c r="M61" s="22">
        <v>-101792</v>
      </c>
    </row>
    <row r="62" spans="1:13">
      <c r="A62" s="1">
        <v>56</v>
      </c>
      <c r="B62" s="40"/>
      <c r="C62" s="18"/>
      <c r="D62" s="18">
        <f t="shared" si="3"/>
        <v>196.34657365819388</v>
      </c>
      <c r="E62" s="4">
        <f t="shared" si="2"/>
        <v>0.79705999999999999</v>
      </c>
      <c r="F62" s="18"/>
      <c r="G62" s="1">
        <v>56</v>
      </c>
      <c r="I62" s="4"/>
    </row>
    <row r="63" spans="1:13">
      <c r="A63" s="1">
        <v>57</v>
      </c>
      <c r="B63" s="40"/>
      <c r="C63" s="18"/>
      <c r="D63" s="18">
        <f t="shared" si="3"/>
        <v>198.98030539980419</v>
      </c>
      <c r="E63" s="4">
        <f t="shared" si="2"/>
        <v>0.78651000000000004</v>
      </c>
      <c r="F63" s="18"/>
      <c r="G63" s="1">
        <v>57</v>
      </c>
      <c r="I63" s="4"/>
    </row>
    <row r="64" spans="1:13">
      <c r="A64" s="1">
        <v>58</v>
      </c>
      <c r="B64" s="40"/>
      <c r="C64" s="18"/>
      <c r="D64" s="18">
        <f t="shared" si="3"/>
        <v>201.74285198649034</v>
      </c>
      <c r="E64" s="4">
        <f t="shared" si="2"/>
        <v>0.77573999999999999</v>
      </c>
      <c r="F64" s="18"/>
      <c r="G64" s="1">
        <v>58</v>
      </c>
      <c r="I64" s="4"/>
    </row>
    <row r="65" spans="1:13">
      <c r="A65" s="1">
        <v>59</v>
      </c>
      <c r="B65" s="40"/>
      <c r="C65" s="18"/>
      <c r="D65" s="18">
        <f t="shared" si="3"/>
        <v>204.64203988231446</v>
      </c>
      <c r="E65" s="4">
        <f t="shared" si="2"/>
        <v>0.76475000000000004</v>
      </c>
      <c r="F65" s="18"/>
      <c r="G65" s="1">
        <v>59</v>
      </c>
      <c r="I65" s="4"/>
    </row>
    <row r="66" spans="1:13">
      <c r="A66" s="1">
        <v>60</v>
      </c>
      <c r="B66" s="40">
        <v>0.18365740740740741</v>
      </c>
      <c r="C66" s="18">
        <f>B66*1440</f>
        <v>264.46666666666664</v>
      </c>
      <c r="D66" s="18">
        <f t="shared" si="3"/>
        <v>207.68638692040238</v>
      </c>
      <c r="E66" s="4">
        <f t="shared" ref="E66:E97" si="4">1-IF(A66&lt;I$3,0,IF(A66&lt;I$4,G$3*(A66-I$3)^2,G$2+G$4*(A66-I$4)+(A66&gt;I$5)*G$5*(A66-I$5)^2))</f>
        <v>0.75353999999999999</v>
      </c>
      <c r="F66" s="18">
        <f>100*(D66/C66)</f>
        <v>78.530269821175608</v>
      </c>
      <c r="G66" s="1">
        <v>60</v>
      </c>
      <c r="H66" s="22" t="s">
        <v>82</v>
      </c>
      <c r="I66" s="4"/>
    </row>
    <row r="67" spans="1:13">
      <c r="A67" s="1">
        <v>61</v>
      </c>
      <c r="B67" s="40"/>
      <c r="C67" s="18"/>
      <c r="D67" s="18">
        <f t="shared" si="3"/>
        <v>210.885178747086</v>
      </c>
      <c r="E67" s="4">
        <f t="shared" si="4"/>
        <v>0.74211000000000005</v>
      </c>
      <c r="F67" s="18"/>
      <c r="G67" s="1">
        <v>61</v>
      </c>
      <c r="I67" s="4"/>
    </row>
    <row r="68" spans="1:13">
      <c r="A68" s="1">
        <v>62</v>
      </c>
      <c r="B68" s="40"/>
      <c r="C68" s="18"/>
      <c r="D68" s="18">
        <f t="shared" si="3"/>
        <v>214.24855570462449</v>
      </c>
      <c r="E68" s="4">
        <f t="shared" si="4"/>
        <v>0.73046</v>
      </c>
      <c r="F68" s="18"/>
      <c r="G68" s="1">
        <v>62</v>
      </c>
      <c r="I68" s="4"/>
    </row>
    <row r="69" spans="1:13">
      <c r="A69" s="1">
        <v>63</v>
      </c>
      <c r="B69" s="40"/>
      <c r="C69" s="18"/>
      <c r="D69" s="18">
        <f t="shared" si="3"/>
        <v>217.78761185098594</v>
      </c>
      <c r="E69" s="4">
        <f t="shared" si="4"/>
        <v>0.71859000000000006</v>
      </c>
      <c r="F69" s="18"/>
      <c r="G69" s="1">
        <v>63</v>
      </c>
      <c r="I69" s="4"/>
    </row>
    <row r="70" spans="1:13">
      <c r="A70" s="1">
        <v>64</v>
      </c>
      <c r="B70" s="40"/>
      <c r="C70" s="18"/>
      <c r="D70" s="18">
        <f t="shared" si="3"/>
        <v>221.51450813871196</v>
      </c>
      <c r="E70" s="4">
        <f t="shared" si="4"/>
        <v>0.70650000000000002</v>
      </c>
      <c r="F70" s="18"/>
      <c r="G70" s="1">
        <v>64</v>
      </c>
      <c r="I70" s="4"/>
    </row>
    <row r="71" spans="1:13">
      <c r="A71" s="1">
        <v>65</v>
      </c>
      <c r="B71" s="40">
        <v>0.1933101851851852</v>
      </c>
      <c r="C71" s="18">
        <f>B71*1440</f>
        <v>278.36666666666667</v>
      </c>
      <c r="D71" s="18">
        <f t="shared" si="3"/>
        <v>225.44260216943485</v>
      </c>
      <c r="E71" s="4">
        <f t="shared" si="4"/>
        <v>0.69419000000000008</v>
      </c>
      <c r="F71" s="18">
        <f>100*(D71/C71)</f>
        <v>80.987642977883439</v>
      </c>
      <c r="G71" s="1">
        <v>65</v>
      </c>
      <c r="H71" s="22" t="s">
        <v>83</v>
      </c>
      <c r="I71" s="4"/>
    </row>
    <row r="72" spans="1:13">
      <c r="A72" s="1">
        <v>66</v>
      </c>
      <c r="B72" s="40"/>
      <c r="C72" s="18"/>
      <c r="D72" s="18">
        <f t="shared" si="3"/>
        <v>229.5865974239357</v>
      </c>
      <c r="E72" s="4">
        <f t="shared" si="4"/>
        <v>0.68165999999999993</v>
      </c>
      <c r="F72" s="18"/>
      <c r="G72" s="1">
        <v>66</v>
      </c>
      <c r="I72" s="4"/>
    </row>
    <row r="73" spans="1:13">
      <c r="A73" s="1">
        <v>67</v>
      </c>
      <c r="B73" s="40">
        <v>0.20196759259259259</v>
      </c>
      <c r="C73" s="18">
        <f>B73*1440</f>
        <v>290.83333333333331</v>
      </c>
      <c r="D73" s="18">
        <f t="shared" si="3"/>
        <v>233.96271546246879</v>
      </c>
      <c r="E73" s="4">
        <f t="shared" si="4"/>
        <v>0.66891</v>
      </c>
      <c r="F73" s="18">
        <f>100*(D73/C73)</f>
        <v>80.445632823771504</v>
      </c>
      <c r="G73" s="1">
        <v>67</v>
      </c>
      <c r="H73" s="41">
        <v>0.20196759259259259</v>
      </c>
      <c r="I73" s="22" t="s">
        <v>86</v>
      </c>
      <c r="J73" s="22" t="s">
        <v>88</v>
      </c>
      <c r="K73" s="22" t="s">
        <v>91</v>
      </c>
      <c r="L73" s="22">
        <v>-111399</v>
      </c>
      <c r="M73" s="22"/>
    </row>
    <row r="74" spans="1:13">
      <c r="A74" s="1">
        <v>68</v>
      </c>
      <c r="B74" s="40"/>
      <c r="C74" s="18"/>
      <c r="D74" s="18">
        <f t="shared" ref="D74:D105" si="5">E$4/E74</f>
        <v>238.58889532579201</v>
      </c>
      <c r="E74" s="4">
        <f t="shared" si="4"/>
        <v>0.65593999999999997</v>
      </c>
      <c r="F74" s="18"/>
      <c r="G74" s="1">
        <v>68</v>
      </c>
      <c r="I74" s="4"/>
    </row>
    <row r="75" spans="1:13">
      <c r="A75" s="1">
        <v>69</v>
      </c>
      <c r="B75" s="40"/>
      <c r="C75" s="18"/>
      <c r="D75" s="18">
        <f t="shared" si="5"/>
        <v>243.48502528199145</v>
      </c>
      <c r="E75" s="4">
        <f t="shared" si="4"/>
        <v>0.64274999999999993</v>
      </c>
      <c r="F75" s="18"/>
      <c r="G75" s="1">
        <v>69</v>
      </c>
      <c r="I75" s="4"/>
    </row>
    <row r="76" spans="1:13">
      <c r="A76" s="1">
        <v>70</v>
      </c>
      <c r="B76" s="40">
        <v>0.21802083333333333</v>
      </c>
      <c r="C76" s="18">
        <f>B76*1440</f>
        <v>313.95</v>
      </c>
      <c r="D76" s="18">
        <f t="shared" si="5"/>
        <v>248.67321320748721</v>
      </c>
      <c r="E76" s="4">
        <f t="shared" si="4"/>
        <v>0.62934000000000001</v>
      </c>
      <c r="F76" s="18">
        <f>100*(D76/C76)</f>
        <v>79.207903553905794</v>
      </c>
      <c r="G76" s="1">
        <v>70</v>
      </c>
      <c r="H76" s="22" t="s">
        <v>84</v>
      </c>
      <c r="I76" s="4"/>
    </row>
    <row r="77" spans="1:13">
      <c r="A77" s="1">
        <v>71</v>
      </c>
      <c r="B77" s="40"/>
      <c r="C77" s="18"/>
      <c r="D77" s="18">
        <f t="shared" si="5"/>
        <v>254.17810332786539</v>
      </c>
      <c r="E77" s="4">
        <f t="shared" si="4"/>
        <v>0.61570999999999998</v>
      </c>
      <c r="F77" s="18"/>
      <c r="G77" s="1">
        <v>71</v>
      </c>
      <c r="I77" s="4"/>
    </row>
    <row r="78" spans="1:13">
      <c r="A78" s="1">
        <v>72</v>
      </c>
      <c r="B78" s="40"/>
      <c r="C78" s="18"/>
      <c r="D78" s="18">
        <f t="shared" si="5"/>
        <v>260.02724886186161</v>
      </c>
      <c r="E78" s="4">
        <f t="shared" si="4"/>
        <v>0.60185999999999995</v>
      </c>
      <c r="F78" s="18"/>
      <c r="G78" s="1">
        <v>72</v>
      </c>
      <c r="I78" s="4"/>
    </row>
    <row r="79" spans="1:13">
      <c r="A79" s="1">
        <v>73</v>
      </c>
      <c r="B79" s="40"/>
      <c r="C79" s="18"/>
      <c r="D79" s="18">
        <f t="shared" si="5"/>
        <v>266.25155242518588</v>
      </c>
      <c r="E79" s="4">
        <f t="shared" si="4"/>
        <v>0.58778999999999992</v>
      </c>
      <c r="F79" s="18"/>
      <c r="G79" s="1">
        <v>73</v>
      </c>
      <c r="I79" s="4"/>
    </row>
    <row r="80" spans="1:13">
      <c r="A80" s="1">
        <v>74</v>
      </c>
      <c r="B80" s="40"/>
      <c r="C80" s="18"/>
      <c r="D80" s="18">
        <f t="shared" si="5"/>
        <v>272.88578901482134</v>
      </c>
      <c r="E80" s="4">
        <f t="shared" si="4"/>
        <v>0.5734999999999999</v>
      </c>
      <c r="F80" s="18"/>
      <c r="G80" s="1">
        <v>74</v>
      </c>
      <c r="I80" s="4"/>
    </row>
    <row r="81" spans="1:9">
      <c r="A81" s="1">
        <v>75</v>
      </c>
      <c r="B81" s="40"/>
      <c r="C81" s="18"/>
      <c r="D81" s="18">
        <f t="shared" si="5"/>
        <v>279.9692302187874</v>
      </c>
      <c r="E81" s="4">
        <f t="shared" si="4"/>
        <v>0.5589900000000001</v>
      </c>
      <c r="F81" s="18"/>
      <c r="G81" s="1">
        <v>75</v>
      </c>
      <c r="I81" s="4"/>
    </row>
    <row r="82" spans="1:9">
      <c r="A82" s="1">
        <v>76</v>
      </c>
      <c r="B82" s="40"/>
      <c r="C82" s="18"/>
      <c r="D82" s="18">
        <f t="shared" si="5"/>
        <v>287.54639326792346</v>
      </c>
      <c r="E82" s="4">
        <f t="shared" si="4"/>
        <v>0.54425999999999997</v>
      </c>
      <c r="F82" s="18"/>
      <c r="G82" s="1">
        <v>76</v>
      </c>
      <c r="I82" s="4"/>
    </row>
    <row r="83" spans="1:9">
      <c r="A83" s="1">
        <v>77</v>
      </c>
      <c r="B83" s="40"/>
      <c r="C83" s="18"/>
      <c r="D83" s="18">
        <f t="shared" si="5"/>
        <v>295.66794506055055</v>
      </c>
      <c r="E83" s="4">
        <f t="shared" si="4"/>
        <v>0.52930999999999995</v>
      </c>
      <c r="F83" s="18"/>
      <c r="G83" s="1">
        <v>77</v>
      </c>
      <c r="I83" s="4"/>
    </row>
    <row r="84" spans="1:9">
      <c r="A84" s="1">
        <v>78</v>
      </c>
      <c r="B84" s="40"/>
      <c r="C84" s="18"/>
      <c r="D84" s="18">
        <f t="shared" si="5"/>
        <v>304.3917998988602</v>
      </c>
      <c r="E84" s="4">
        <f t="shared" si="4"/>
        <v>0.51414000000000004</v>
      </c>
      <c r="F84" s="18"/>
      <c r="G84" s="1">
        <v>78</v>
      </c>
      <c r="I84" s="4"/>
    </row>
    <row r="85" spans="1:9">
      <c r="A85" s="1">
        <v>79</v>
      </c>
      <c r="B85" s="40"/>
      <c r="C85" s="18"/>
      <c r="D85" s="18">
        <f t="shared" si="5"/>
        <v>313.78446115288222</v>
      </c>
      <c r="E85" s="4">
        <f t="shared" si="4"/>
        <v>0.49875000000000003</v>
      </c>
      <c r="F85" s="18"/>
      <c r="G85" s="1">
        <v>79</v>
      </c>
      <c r="I85" s="4"/>
    </row>
    <row r="86" spans="1:9">
      <c r="A86" s="1">
        <v>80</v>
      </c>
      <c r="B86" s="40"/>
      <c r="C86" s="18">
        <f>B86*1440</f>
        <v>0</v>
      </c>
      <c r="D86" s="18">
        <f t="shared" si="5"/>
        <v>323.92267251728276</v>
      </c>
      <c r="E86" s="4">
        <f t="shared" si="4"/>
        <v>0.48314000000000001</v>
      </c>
      <c r="F86" s="18" t="e">
        <f>100*(D86/C86)</f>
        <v>#DIV/0!</v>
      </c>
      <c r="G86" s="1">
        <v>80</v>
      </c>
      <c r="H86" s="22"/>
      <c r="I86" s="4"/>
    </row>
    <row r="87" spans="1:9">
      <c r="A87" s="1">
        <v>81</v>
      </c>
      <c r="B87" s="40"/>
      <c r="C87" s="18"/>
      <c r="D87" s="18">
        <f t="shared" si="5"/>
        <v>334.89546553679571</v>
      </c>
      <c r="E87" s="4">
        <f t="shared" si="4"/>
        <v>0.46731</v>
      </c>
      <c r="F87" s="18"/>
      <c r="G87" s="1">
        <v>81</v>
      </c>
      <c r="I87" s="4"/>
    </row>
    <row r="88" spans="1:9">
      <c r="A88" s="1">
        <v>82</v>
      </c>
      <c r="B88" s="40"/>
      <c r="C88" s="18"/>
      <c r="D88" s="18">
        <f t="shared" si="5"/>
        <v>346.80671896467669</v>
      </c>
      <c r="E88" s="4">
        <f t="shared" si="4"/>
        <v>0.45125999999999999</v>
      </c>
      <c r="F88" s="18"/>
      <c r="G88" s="1">
        <v>82</v>
      </c>
      <c r="I88" s="4"/>
    </row>
    <row r="89" spans="1:9">
      <c r="A89" s="1">
        <v>83</v>
      </c>
      <c r="B89" s="40"/>
      <c r="C89" s="18"/>
      <c r="D89" s="18">
        <f t="shared" si="5"/>
        <v>359.77838571001632</v>
      </c>
      <c r="E89" s="4">
        <f t="shared" si="4"/>
        <v>0.43498999999999999</v>
      </c>
      <c r="F89" s="18"/>
      <c r="G89" s="1">
        <v>83</v>
      </c>
      <c r="I89" s="4"/>
    </row>
    <row r="90" spans="1:9">
      <c r="A90" s="1">
        <v>84</v>
      </c>
      <c r="B90" s="40"/>
      <c r="C90" s="18"/>
      <c r="D90" s="18">
        <f t="shared" si="5"/>
        <v>373.95459976105138</v>
      </c>
      <c r="E90" s="4">
        <f t="shared" si="4"/>
        <v>0.41849999999999998</v>
      </c>
      <c r="F90" s="18"/>
      <c r="G90" s="1">
        <v>84</v>
      </c>
      <c r="I90" s="4"/>
    </row>
    <row r="91" spans="1:9">
      <c r="A91" s="1">
        <v>85</v>
      </c>
      <c r="B91" s="40"/>
      <c r="C91" s="18">
        <f>B91*1440</f>
        <v>0</v>
      </c>
      <c r="D91" s="18">
        <f t="shared" si="5"/>
        <v>389.50695637024319</v>
      </c>
      <c r="E91" s="4">
        <f t="shared" si="4"/>
        <v>0.40178999999999998</v>
      </c>
      <c r="F91" s="18" t="e">
        <f>100*(D91/C91)</f>
        <v>#DIV/0!</v>
      </c>
      <c r="G91" s="1">
        <v>85</v>
      </c>
      <c r="H91" s="22"/>
      <c r="I91" s="4"/>
    </row>
    <row r="92" spans="1:9">
      <c r="A92" s="1">
        <v>86</v>
      </c>
      <c r="B92" s="40"/>
      <c r="C92" s="18"/>
      <c r="D92" s="18">
        <f t="shared" si="5"/>
        <v>406.64137608481008</v>
      </c>
      <c r="E92" s="4">
        <f t="shared" si="4"/>
        <v>0.38485999999999998</v>
      </c>
      <c r="F92" s="18"/>
      <c r="G92" s="1">
        <v>86</v>
      </c>
      <c r="I92" s="4"/>
    </row>
    <row r="93" spans="1:9">
      <c r="A93" s="1">
        <v>87</v>
      </c>
      <c r="B93" s="40"/>
      <c r="C93" s="18"/>
      <c r="D93" s="18">
        <f t="shared" si="5"/>
        <v>425.60713605830682</v>
      </c>
      <c r="E93" s="4">
        <f t="shared" si="4"/>
        <v>0.36770999999999998</v>
      </c>
      <c r="F93" s="18"/>
      <c r="G93" s="1">
        <v>87</v>
      </c>
      <c r="I93" s="4"/>
    </row>
    <row r="94" spans="1:9">
      <c r="A94" s="1">
        <v>88</v>
      </c>
      <c r="B94" s="40"/>
      <c r="C94" s="18"/>
      <c r="D94" s="18">
        <f t="shared" si="5"/>
        <v>446.70891134326644</v>
      </c>
      <c r="E94" s="4">
        <f t="shared" si="4"/>
        <v>0.3503400000000001</v>
      </c>
      <c r="F94" s="18"/>
      <c r="G94" s="1">
        <v>88</v>
      </c>
      <c r="I94" s="4"/>
    </row>
    <row r="95" spans="1:9">
      <c r="A95" s="1">
        <v>89</v>
      </c>
      <c r="B95" s="40"/>
      <c r="C95" s="24"/>
      <c r="D95" s="18">
        <f t="shared" si="5"/>
        <v>470.32306536438767</v>
      </c>
      <c r="E95" s="4">
        <f t="shared" si="4"/>
        <v>0.33274999999999999</v>
      </c>
      <c r="F95" s="18"/>
      <c r="G95" s="1">
        <v>89</v>
      </c>
      <c r="I95" s="4"/>
    </row>
    <row r="96" spans="1:9">
      <c r="A96" s="1">
        <v>90</v>
      </c>
      <c r="B96" s="40"/>
      <c r="C96" s="24"/>
      <c r="D96" s="18">
        <f t="shared" si="5"/>
        <v>496.92004826316122</v>
      </c>
      <c r="E96" s="4">
        <f t="shared" si="4"/>
        <v>0.31494</v>
      </c>
      <c r="F96" s="18"/>
      <c r="G96" s="1">
        <v>90</v>
      </c>
      <c r="I96" s="4"/>
    </row>
    <row r="97" spans="1:9">
      <c r="A97" s="1">
        <v>91</v>
      </c>
      <c r="B97" s="39"/>
      <c r="C97" s="24"/>
      <c r="D97" s="18">
        <f t="shared" si="5"/>
        <v>527.09575292176078</v>
      </c>
      <c r="E97" s="4">
        <f t="shared" si="4"/>
        <v>0.29691000000000001</v>
      </c>
      <c r="F97" s="18"/>
      <c r="G97" s="1">
        <v>91</v>
      </c>
      <c r="I97" s="4"/>
    </row>
    <row r="98" spans="1:9">
      <c r="A98" s="1">
        <v>92</v>
      </c>
      <c r="B98" s="39"/>
      <c r="C98" s="24"/>
      <c r="D98" s="18">
        <f t="shared" si="5"/>
        <v>561.61630661020592</v>
      </c>
      <c r="E98" s="4">
        <f t="shared" ref="E98:E106" si="6">1-IF(A98&lt;I$3,0,IF(A98&lt;I$4,G$3*(A98-I$3)^2,G$2+G$4*(A98-I$4)+(A98&gt;I$5)*G$5*(A98-I$5)^2))</f>
        <v>0.27866000000000002</v>
      </c>
      <c r="F98" s="18"/>
      <c r="G98" s="1">
        <v>92</v>
      </c>
      <c r="I98" s="4"/>
    </row>
    <row r="99" spans="1:9">
      <c r="A99" s="1">
        <v>93</v>
      </c>
      <c r="B99" s="39"/>
      <c r="C99" s="24"/>
      <c r="D99" s="18">
        <f t="shared" si="5"/>
        <v>601.48353126561381</v>
      </c>
      <c r="E99" s="4">
        <f t="shared" si="6"/>
        <v>0.26018999999999992</v>
      </c>
      <c r="F99" s="18"/>
      <c r="G99" s="1">
        <v>93</v>
      </c>
      <c r="I99" s="4"/>
    </row>
    <row r="100" spans="1:9">
      <c r="A100" s="1">
        <v>94</v>
      </c>
      <c r="B100" s="39"/>
      <c r="C100" s="24"/>
      <c r="D100" s="18">
        <f t="shared" si="5"/>
        <v>648.03312629399602</v>
      </c>
      <c r="E100" s="4">
        <f t="shared" si="6"/>
        <v>0.24149999999999994</v>
      </c>
      <c r="F100" s="18"/>
      <c r="G100" s="1">
        <v>94</v>
      </c>
      <c r="I100" s="4"/>
    </row>
    <row r="101" spans="1:9">
      <c r="A101" s="1">
        <v>95</v>
      </c>
      <c r="B101" s="39"/>
      <c r="C101" s="24"/>
      <c r="D101" s="18">
        <f t="shared" si="5"/>
        <v>703.08639202120503</v>
      </c>
      <c r="E101" s="4">
        <f t="shared" si="6"/>
        <v>0.22258999999999995</v>
      </c>
      <c r="F101" s="18"/>
      <c r="G101" s="1">
        <v>95</v>
      </c>
      <c r="I101" s="4"/>
    </row>
    <row r="102" spans="1:9">
      <c r="A102" s="1">
        <v>96</v>
      </c>
      <c r="B102" s="39"/>
      <c r="C102" s="24"/>
      <c r="D102" s="18">
        <f t="shared" si="5"/>
        <v>769.19296176152568</v>
      </c>
      <c r="E102" s="4">
        <f t="shared" si="6"/>
        <v>0.20345999999999997</v>
      </c>
      <c r="F102" s="18"/>
      <c r="G102" s="1">
        <v>96</v>
      </c>
      <c r="I102" s="4"/>
    </row>
    <row r="103" spans="1:9">
      <c r="A103" s="1">
        <v>97</v>
      </c>
      <c r="B103" s="39"/>
      <c r="C103" s="24"/>
      <c r="D103" s="18">
        <f t="shared" si="5"/>
        <v>850.03530498071802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9"/>
      <c r="C104" s="24"/>
      <c r="D104" s="18">
        <f t="shared" si="5"/>
        <v>951.13650176248984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4"/>
      <c r="D105" s="18">
        <f t="shared" si="5"/>
        <v>1081.1744386873925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8">
        <f>E$4/E106</f>
        <v>1254.6095879429217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/>
  <cols>
    <col min="1" max="5" width="9.6640625" style="91" customWidth="1"/>
    <col min="6" max="6" width="13" style="91" customWidth="1"/>
    <col min="7" max="7" width="10.6640625" style="91" customWidth="1"/>
    <col min="8" max="16384" width="9.6640625" style="91"/>
  </cols>
  <sheetData>
    <row r="1" spans="1:9" ht="47.25">
      <c r="A1" s="87" t="s">
        <v>94</v>
      </c>
      <c r="B1" s="88"/>
      <c r="C1" s="89"/>
      <c r="D1" s="90" t="s">
        <v>32</v>
      </c>
      <c r="E1" s="90" t="s">
        <v>54</v>
      </c>
      <c r="F1" s="90" t="s">
        <v>55</v>
      </c>
      <c r="G1" s="90" t="s">
        <v>56</v>
      </c>
      <c r="H1" s="90" t="s">
        <v>57</v>
      </c>
      <c r="I1" s="90" t="s">
        <v>58</v>
      </c>
    </row>
    <row r="2" spans="1:9" ht="22.5">
      <c r="A2" s="87"/>
      <c r="B2" s="88"/>
      <c r="C2" s="89"/>
      <c r="D2" s="90"/>
      <c r="E2" s="90"/>
      <c r="F2" s="92">
        <f>(+H$3-H$4)*F$4/2</f>
        <v>2.1000000000000001E-2</v>
      </c>
      <c r="G2" s="92">
        <f>(+I$4-I$3)*G$4/2</f>
        <v>9.7500000000000003E-2</v>
      </c>
      <c r="H2" s="90"/>
      <c r="I2" s="90"/>
    </row>
    <row r="3" spans="1:9" ht="22.5">
      <c r="A3" s="87"/>
      <c r="B3" s="88"/>
      <c r="C3" s="89"/>
      <c r="D3" s="90"/>
      <c r="E3" s="90"/>
      <c r="F3" s="92">
        <f>F4/(2*(+H3-H4))</f>
        <v>1.7142857142857144E-3</v>
      </c>
      <c r="G3" s="92">
        <f>G4/(2*(+I4-I3))</f>
        <v>2.5641025641025641E-4</v>
      </c>
      <c r="H3" s="88">
        <v>20.5</v>
      </c>
      <c r="I3" s="88">
        <v>26</v>
      </c>
    </row>
    <row r="4" spans="1:9" ht="15.75">
      <c r="A4" s="88"/>
      <c r="B4" s="88"/>
      <c r="C4" s="88"/>
      <c r="D4" s="93">
        <f>Parameters!G33</f>
        <v>0.27304398148148146</v>
      </c>
      <c r="E4" s="94">
        <f>D4*1440</f>
        <v>393.18333333333328</v>
      </c>
      <c r="F4" s="92">
        <v>1.2E-2</v>
      </c>
      <c r="G4" s="92">
        <v>0.01</v>
      </c>
      <c r="H4" s="88">
        <v>17</v>
      </c>
      <c r="I4" s="88">
        <v>45.5</v>
      </c>
    </row>
    <row r="5" spans="1:9" ht="15.75">
      <c r="A5" s="88"/>
      <c r="B5" s="88"/>
      <c r="C5" s="88"/>
      <c r="D5" s="93"/>
      <c r="E5" s="88">
        <f>E4*60</f>
        <v>23590.999999999996</v>
      </c>
      <c r="F5" s="92">
        <v>1.1000000000000001E-3</v>
      </c>
      <c r="G5" s="92">
        <v>1.1E-4</v>
      </c>
      <c r="H5" s="88">
        <v>15</v>
      </c>
      <c r="I5" s="88">
        <v>54</v>
      </c>
    </row>
    <row r="6" spans="1:9" ht="47.25">
      <c r="A6" s="95" t="s">
        <v>52</v>
      </c>
      <c r="B6" s="95" t="s">
        <v>75</v>
      </c>
      <c r="C6" s="95" t="s">
        <v>76</v>
      </c>
      <c r="D6" s="36" t="s">
        <v>127</v>
      </c>
      <c r="E6" s="36" t="s">
        <v>131</v>
      </c>
      <c r="F6" s="31" t="s">
        <v>130</v>
      </c>
      <c r="G6" s="95" t="s">
        <v>52</v>
      </c>
      <c r="I6" s="96"/>
    </row>
    <row r="7" spans="1:9">
      <c r="A7" s="91">
        <v>1</v>
      </c>
      <c r="B7" s="97"/>
      <c r="G7" s="91">
        <v>1</v>
      </c>
    </row>
    <row r="8" spans="1:9">
      <c r="A8" s="91">
        <v>2</v>
      </c>
      <c r="B8" s="97"/>
      <c r="G8" s="91">
        <v>2</v>
      </c>
    </row>
    <row r="9" spans="1:9">
      <c r="A9" s="91">
        <v>3</v>
      </c>
      <c r="B9" s="97"/>
      <c r="C9" s="98"/>
      <c r="D9" s="98"/>
      <c r="E9" s="99">
        <f t="shared" ref="E9:E33" si="0">1-IF(A9&gt;=H$3,0,IF(A9&gt;=H$4,F$3*(A9-H$3)^2,F$2+F$4*(H$4-A9)+(A9&lt;H$5)*F$5*(H$5-A9)^2))</f>
        <v>0.65259999999999996</v>
      </c>
      <c r="G9" s="91">
        <v>3</v>
      </c>
    </row>
    <row r="10" spans="1:9">
      <c r="A10" s="91">
        <v>4</v>
      </c>
      <c r="B10" s="100"/>
      <c r="C10" s="98"/>
      <c r="D10" s="101">
        <f t="shared" ref="D10:D41" si="1">E$4/E10</f>
        <v>569.91351403585054</v>
      </c>
      <c r="E10" s="99">
        <f t="shared" si="0"/>
        <v>0.68989999999999996</v>
      </c>
      <c r="F10" s="101"/>
      <c r="G10" s="91">
        <v>4</v>
      </c>
    </row>
    <row r="11" spans="1:9">
      <c r="A11" s="91">
        <v>5</v>
      </c>
      <c r="B11" s="100"/>
      <c r="C11" s="98"/>
      <c r="D11" s="101">
        <f t="shared" si="1"/>
        <v>542.32183908045977</v>
      </c>
      <c r="E11" s="99">
        <f t="shared" si="0"/>
        <v>0.72499999999999998</v>
      </c>
      <c r="F11" s="101"/>
      <c r="G11" s="91">
        <v>5</v>
      </c>
      <c r="I11" s="99"/>
    </row>
    <row r="12" spans="1:9">
      <c r="A12" s="91">
        <v>6</v>
      </c>
      <c r="B12" s="100"/>
      <c r="C12" s="98"/>
      <c r="D12" s="101">
        <f t="shared" si="1"/>
        <v>518.77996217618852</v>
      </c>
      <c r="E12" s="99">
        <f t="shared" si="0"/>
        <v>0.75790000000000002</v>
      </c>
      <c r="F12" s="101"/>
      <c r="G12" s="91">
        <v>6</v>
      </c>
      <c r="I12" s="99"/>
    </row>
    <row r="13" spans="1:9">
      <c r="A13" s="91">
        <v>7</v>
      </c>
      <c r="B13" s="100"/>
      <c r="C13" s="98"/>
      <c r="D13" s="101">
        <f t="shared" si="1"/>
        <v>498.58398850283197</v>
      </c>
      <c r="E13" s="99">
        <f t="shared" si="0"/>
        <v>0.78859999999999997</v>
      </c>
      <c r="F13" s="101"/>
      <c r="G13" s="91">
        <v>7</v>
      </c>
      <c r="I13" s="99"/>
    </row>
    <row r="14" spans="1:9">
      <c r="A14" s="91">
        <v>8</v>
      </c>
      <c r="B14" s="100"/>
      <c r="C14" s="98"/>
      <c r="D14" s="101">
        <f t="shared" si="1"/>
        <v>481.1936523477338</v>
      </c>
      <c r="E14" s="99">
        <f t="shared" si="0"/>
        <v>0.81709999999999994</v>
      </c>
      <c r="F14" s="101"/>
      <c r="G14" s="91">
        <v>8</v>
      </c>
      <c r="I14" s="99"/>
    </row>
    <row r="15" spans="1:9">
      <c r="A15" s="91">
        <v>9</v>
      </c>
      <c r="B15" s="100"/>
      <c r="C15" s="98"/>
      <c r="D15" s="101">
        <f t="shared" si="1"/>
        <v>466.18844360129634</v>
      </c>
      <c r="E15" s="99">
        <f t="shared" si="0"/>
        <v>0.84339999999999993</v>
      </c>
      <c r="F15" s="101"/>
      <c r="G15" s="91">
        <v>9</v>
      </c>
      <c r="I15" s="99"/>
    </row>
    <row r="16" spans="1:9">
      <c r="A16" s="91">
        <v>10</v>
      </c>
      <c r="B16" s="100"/>
      <c r="C16" s="98"/>
      <c r="D16" s="101">
        <f t="shared" si="1"/>
        <v>453.2372718539865</v>
      </c>
      <c r="E16" s="99">
        <f t="shared" si="0"/>
        <v>0.86749999999999994</v>
      </c>
      <c r="F16" s="101"/>
      <c r="G16" s="91">
        <v>10</v>
      </c>
      <c r="I16" s="99"/>
    </row>
    <row r="17" spans="1:9">
      <c r="A17" s="91">
        <v>11</v>
      </c>
      <c r="B17" s="100"/>
      <c r="C17" s="98"/>
      <c r="D17" s="101">
        <f t="shared" si="1"/>
        <v>442.0770556929765</v>
      </c>
      <c r="E17" s="99">
        <f t="shared" si="0"/>
        <v>0.88939999999999997</v>
      </c>
      <c r="F17" s="101"/>
      <c r="G17" s="91">
        <v>11</v>
      </c>
      <c r="I17" s="99"/>
    </row>
    <row r="18" spans="1:9">
      <c r="A18" s="91">
        <v>12</v>
      </c>
      <c r="B18" s="100"/>
      <c r="C18" s="98"/>
      <c r="D18" s="101">
        <f t="shared" si="1"/>
        <v>432.49734169324967</v>
      </c>
      <c r="E18" s="99">
        <f t="shared" si="0"/>
        <v>0.90910000000000002</v>
      </c>
      <c r="F18" s="101"/>
      <c r="G18" s="91">
        <v>12</v>
      </c>
      <c r="I18" s="99"/>
    </row>
    <row r="19" spans="1:9">
      <c r="A19" s="91">
        <v>13</v>
      </c>
      <c r="B19" s="100"/>
      <c r="C19" s="98"/>
      <c r="D19" s="101">
        <f t="shared" si="1"/>
        <v>424.32908842362752</v>
      </c>
      <c r="E19" s="99">
        <f t="shared" si="0"/>
        <v>0.92659999999999998</v>
      </c>
      <c r="F19" s="101"/>
      <c r="G19" s="91">
        <v>13</v>
      </c>
      <c r="I19" s="99"/>
    </row>
    <row r="20" spans="1:9">
      <c r="A20" s="91">
        <v>14</v>
      </c>
      <c r="B20" s="100"/>
      <c r="C20" s="98"/>
      <c r="D20" s="101">
        <f t="shared" si="1"/>
        <v>417.43638744381917</v>
      </c>
      <c r="E20" s="99">
        <f t="shared" si="0"/>
        <v>0.94189999999999996</v>
      </c>
      <c r="F20" s="101"/>
      <c r="G20" s="91">
        <v>14</v>
      </c>
      <c r="I20" s="99"/>
    </row>
    <row r="21" spans="1:9">
      <c r="A21" s="91">
        <v>15</v>
      </c>
      <c r="B21" s="100"/>
      <c r="C21" s="98"/>
      <c r="D21" s="101">
        <f t="shared" si="1"/>
        <v>411.71029668411865</v>
      </c>
      <c r="E21" s="99">
        <f t="shared" si="0"/>
        <v>0.95499999999999996</v>
      </c>
      <c r="F21" s="101"/>
      <c r="G21" s="91">
        <v>15</v>
      </c>
      <c r="I21" s="99"/>
    </row>
    <row r="22" spans="1:9">
      <c r="A22" s="91">
        <v>16</v>
      </c>
      <c r="B22" s="100"/>
      <c r="C22" s="98"/>
      <c r="D22" s="101">
        <f t="shared" si="1"/>
        <v>406.6011720096518</v>
      </c>
      <c r="E22" s="99">
        <f t="shared" si="0"/>
        <v>0.96699999999999997</v>
      </c>
      <c r="F22" s="101"/>
      <c r="G22" s="91">
        <v>16</v>
      </c>
      <c r="I22" s="99"/>
    </row>
    <row r="23" spans="1:9">
      <c r="A23" s="91">
        <v>17</v>
      </c>
      <c r="B23" s="100"/>
      <c r="C23" s="98"/>
      <c r="D23" s="101">
        <f t="shared" si="1"/>
        <v>401.61729656111675</v>
      </c>
      <c r="E23" s="99">
        <f t="shared" si="0"/>
        <v>0.97899999999999998</v>
      </c>
      <c r="F23" s="101"/>
      <c r="G23" s="91">
        <v>17</v>
      </c>
      <c r="I23" s="99"/>
    </row>
    <row r="24" spans="1:9">
      <c r="A24" s="91">
        <v>18</v>
      </c>
      <c r="B24" s="100"/>
      <c r="C24" s="98"/>
      <c r="D24" s="101">
        <f t="shared" si="1"/>
        <v>397.44163658243076</v>
      </c>
      <c r="E24" s="99">
        <f t="shared" si="0"/>
        <v>0.98928571428571432</v>
      </c>
      <c r="F24" s="101"/>
      <c r="G24" s="91">
        <v>18</v>
      </c>
      <c r="I24" s="99"/>
    </row>
    <row r="25" spans="1:9">
      <c r="A25" s="91">
        <v>19</v>
      </c>
      <c r="B25" s="100"/>
      <c r="C25" s="98"/>
      <c r="D25" s="101">
        <f t="shared" si="1"/>
        <v>394.70576987427694</v>
      </c>
      <c r="E25" s="99">
        <f t="shared" si="0"/>
        <v>0.99614285714285711</v>
      </c>
      <c r="F25" s="101"/>
      <c r="G25" s="91">
        <v>19</v>
      </c>
      <c r="I25" s="99"/>
    </row>
    <row r="26" spans="1:9">
      <c r="A26" s="91">
        <v>20</v>
      </c>
      <c r="B26" s="100"/>
      <c r="C26" s="98"/>
      <c r="D26" s="101">
        <f t="shared" si="1"/>
        <v>393.35191272450095</v>
      </c>
      <c r="E26" s="99">
        <f t="shared" si="0"/>
        <v>0.99957142857142856</v>
      </c>
      <c r="F26" s="101"/>
      <c r="G26" s="91">
        <v>20</v>
      </c>
      <c r="I26" s="99"/>
    </row>
    <row r="27" spans="1:9">
      <c r="A27" s="91">
        <v>21</v>
      </c>
      <c r="B27" s="100"/>
      <c r="C27" s="98"/>
      <c r="D27" s="101">
        <f t="shared" si="1"/>
        <v>393.18333333333328</v>
      </c>
      <c r="E27" s="99">
        <f t="shared" si="0"/>
        <v>1</v>
      </c>
      <c r="F27" s="101"/>
      <c r="G27" s="91">
        <v>21</v>
      </c>
      <c r="I27" s="99"/>
    </row>
    <row r="28" spans="1:9">
      <c r="A28" s="91">
        <v>22</v>
      </c>
      <c r="B28" s="100"/>
      <c r="C28" s="98"/>
      <c r="D28" s="101">
        <f t="shared" si="1"/>
        <v>393.18333333333328</v>
      </c>
      <c r="E28" s="99">
        <f t="shared" si="0"/>
        <v>1</v>
      </c>
      <c r="F28" s="101"/>
      <c r="G28" s="91">
        <v>22</v>
      </c>
      <c r="I28" s="99"/>
    </row>
    <row r="29" spans="1:9">
      <c r="A29" s="91">
        <v>23</v>
      </c>
      <c r="B29" s="100"/>
      <c r="C29" s="98"/>
      <c r="D29" s="101">
        <f t="shared" si="1"/>
        <v>393.18333333333328</v>
      </c>
      <c r="E29" s="99">
        <f t="shared" si="0"/>
        <v>1</v>
      </c>
      <c r="F29" s="101"/>
      <c r="G29" s="91">
        <v>23</v>
      </c>
      <c r="I29" s="99"/>
    </row>
    <row r="30" spans="1:9">
      <c r="A30" s="91">
        <v>24</v>
      </c>
      <c r="B30" s="100"/>
      <c r="C30" s="98"/>
      <c r="D30" s="101">
        <f t="shared" si="1"/>
        <v>393.18333333333328</v>
      </c>
      <c r="E30" s="99">
        <f t="shared" si="0"/>
        <v>1</v>
      </c>
      <c r="F30" s="101"/>
      <c r="G30" s="91">
        <v>24</v>
      </c>
      <c r="I30" s="99"/>
    </row>
    <row r="31" spans="1:9">
      <c r="A31" s="91">
        <v>25</v>
      </c>
      <c r="B31" s="100"/>
      <c r="C31" s="98"/>
      <c r="D31" s="101">
        <f t="shared" si="1"/>
        <v>393.18333333333328</v>
      </c>
      <c r="E31" s="99">
        <f t="shared" si="0"/>
        <v>1</v>
      </c>
      <c r="F31" s="101"/>
      <c r="G31" s="91">
        <v>25</v>
      </c>
      <c r="I31" s="99"/>
    </row>
    <row r="32" spans="1:9">
      <c r="A32" s="91">
        <v>26</v>
      </c>
      <c r="B32" s="100"/>
      <c r="C32" s="98"/>
      <c r="D32" s="101">
        <f t="shared" si="1"/>
        <v>393.18333333333328</v>
      </c>
      <c r="E32" s="99">
        <f t="shared" si="0"/>
        <v>1</v>
      </c>
      <c r="F32" s="101"/>
      <c r="G32" s="91">
        <v>26</v>
      </c>
      <c r="I32" s="99"/>
    </row>
    <row r="33" spans="1:13">
      <c r="A33" s="91">
        <v>27</v>
      </c>
      <c r="B33" s="100">
        <v>0.27304398148148146</v>
      </c>
      <c r="C33" s="101">
        <f>B33*1440</f>
        <v>393.18333333333328</v>
      </c>
      <c r="D33" s="101">
        <f t="shared" si="1"/>
        <v>393.18333333333328</v>
      </c>
      <c r="E33" s="99">
        <f t="shared" si="0"/>
        <v>1</v>
      </c>
      <c r="F33" s="101">
        <f>100*(D33/C33)</f>
        <v>100</v>
      </c>
      <c r="G33" s="91">
        <v>27</v>
      </c>
      <c r="I33" s="99"/>
    </row>
    <row r="34" spans="1:13">
      <c r="A34" s="91">
        <v>28</v>
      </c>
      <c r="B34" s="100"/>
      <c r="C34" s="101"/>
      <c r="D34" s="101">
        <f t="shared" si="1"/>
        <v>393.58701232032848</v>
      </c>
      <c r="E34" s="99">
        <f t="shared" ref="E34:E65" si="2">1-IF(A34&lt;I$3,0,IF(A34&lt;I$4,G$3*(A34-I$3)^2,G$2+G$4*(A34-I$4)+(A34&gt;I$5)*G$5*(A34-I$5)^2))</f>
        <v>0.99897435897435893</v>
      </c>
      <c r="F34" s="101"/>
      <c r="G34" s="91">
        <v>28</v>
      </c>
      <c r="I34" s="99"/>
    </row>
    <row r="35" spans="1:13">
      <c r="A35" s="91">
        <v>29</v>
      </c>
      <c r="B35" s="100"/>
      <c r="C35" s="101"/>
      <c r="D35" s="101">
        <f t="shared" si="1"/>
        <v>394.09277820611663</v>
      </c>
      <c r="E35" s="99">
        <f t="shared" si="2"/>
        <v>0.99769230769230766</v>
      </c>
      <c r="F35" s="101"/>
      <c r="G35" s="91">
        <v>29</v>
      </c>
      <c r="I35" s="99"/>
    </row>
    <row r="36" spans="1:13">
      <c r="A36" s="91">
        <v>30</v>
      </c>
      <c r="B36" s="100"/>
      <c r="C36" s="101"/>
      <c r="D36" s="101">
        <f t="shared" si="1"/>
        <v>394.80303810504631</v>
      </c>
      <c r="E36" s="99">
        <f t="shared" si="2"/>
        <v>0.99589743589743585</v>
      </c>
      <c r="F36" s="101"/>
      <c r="G36" s="91">
        <v>30</v>
      </c>
      <c r="I36" s="99"/>
    </row>
    <row r="37" spans="1:13">
      <c r="A37" s="91">
        <v>31</v>
      </c>
      <c r="B37" s="100"/>
      <c r="C37" s="101"/>
      <c r="D37" s="101">
        <f t="shared" si="1"/>
        <v>395.71999999999991</v>
      </c>
      <c r="E37" s="99">
        <f t="shared" si="2"/>
        <v>0.99358974358974361</v>
      </c>
      <c r="F37" s="101"/>
      <c r="G37" s="91">
        <v>31</v>
      </c>
      <c r="I37" s="99"/>
    </row>
    <row r="38" spans="1:13">
      <c r="A38" s="91">
        <v>32</v>
      </c>
      <c r="B38" s="100"/>
      <c r="C38" s="101"/>
      <c r="D38" s="101">
        <f t="shared" si="1"/>
        <v>396.84653209109729</v>
      </c>
      <c r="E38" s="99">
        <f t="shared" si="2"/>
        <v>0.99076923076923074</v>
      </c>
      <c r="F38" s="101"/>
      <c r="G38" s="91">
        <v>32</v>
      </c>
      <c r="I38" s="99"/>
    </row>
    <row r="39" spans="1:13">
      <c r="A39" s="91">
        <v>33</v>
      </c>
      <c r="B39" s="100"/>
      <c r="C39" s="101"/>
      <c r="D39" s="101">
        <f t="shared" si="1"/>
        <v>398.18618540638789</v>
      </c>
      <c r="E39" s="99">
        <f t="shared" si="2"/>
        <v>0.98743589743589744</v>
      </c>
      <c r="F39" s="101"/>
      <c r="G39" s="91">
        <v>33</v>
      </c>
      <c r="I39" s="99"/>
    </row>
    <row r="40" spans="1:13">
      <c r="A40" s="91">
        <v>34</v>
      </c>
      <c r="B40" s="100"/>
      <c r="C40" s="101"/>
      <c r="D40" s="101">
        <f t="shared" si="1"/>
        <v>399.74322210636075</v>
      </c>
      <c r="E40" s="99">
        <f t="shared" si="2"/>
        <v>0.9835897435897436</v>
      </c>
      <c r="F40" s="101"/>
      <c r="G40" s="91">
        <v>34</v>
      </c>
      <c r="I40" s="99"/>
    </row>
    <row r="41" spans="1:13">
      <c r="A41" s="91">
        <v>35</v>
      </c>
      <c r="B41" s="100">
        <v>0.29221064814814812</v>
      </c>
      <c r="C41" s="101">
        <f>B41*1440</f>
        <v>420.7833333333333</v>
      </c>
      <c r="D41" s="101">
        <f t="shared" si="1"/>
        <v>401.52264990835289</v>
      </c>
      <c r="E41" s="99">
        <f t="shared" si="2"/>
        <v>0.97923076923076924</v>
      </c>
      <c r="F41" s="101">
        <f>100*(D41/C41)</f>
        <v>95.422660096253708</v>
      </c>
      <c r="G41" s="91">
        <v>35</v>
      </c>
      <c r="H41" s="102" t="s">
        <v>95</v>
      </c>
      <c r="I41" s="99"/>
    </row>
    <row r="42" spans="1:13">
      <c r="A42" s="91">
        <v>36</v>
      </c>
      <c r="B42" s="100"/>
      <c r="C42" s="101"/>
      <c r="D42" s="101">
        <f t="shared" ref="D42:D73" si="3">E$4/E42</f>
        <v>403.53026315789469</v>
      </c>
      <c r="E42" s="99">
        <f t="shared" si="2"/>
        <v>0.97435897435897434</v>
      </c>
      <c r="F42" s="101"/>
      <c r="G42" s="91">
        <v>36</v>
      </c>
      <c r="I42" s="99"/>
    </row>
    <row r="43" spans="1:13">
      <c r="A43" s="91">
        <v>37</v>
      </c>
      <c r="B43" s="100"/>
      <c r="C43" s="101"/>
      <c r="D43" s="101">
        <f t="shared" si="3"/>
        <v>405.77269118814496</v>
      </c>
      <c r="E43" s="99">
        <f t="shared" si="2"/>
        <v>0.96897435897435902</v>
      </c>
      <c r="F43" s="101"/>
      <c r="G43" s="91">
        <v>37</v>
      </c>
      <c r="I43" s="99"/>
    </row>
    <row r="44" spans="1:13">
      <c r="A44" s="91">
        <v>38</v>
      </c>
      <c r="B44" s="100"/>
      <c r="C44" s="101"/>
      <c r="D44" s="101">
        <f t="shared" si="3"/>
        <v>408.2574547390841</v>
      </c>
      <c r="E44" s="99">
        <f t="shared" si="2"/>
        <v>0.96307692307692305</v>
      </c>
      <c r="F44" s="101"/>
      <c r="G44" s="91">
        <v>38</v>
      </c>
      <c r="I44" s="99"/>
    </row>
    <row r="45" spans="1:13">
      <c r="A45" s="91">
        <v>39</v>
      </c>
      <c r="B45" s="100"/>
      <c r="C45" s="101"/>
      <c r="D45" s="101">
        <f t="shared" si="3"/>
        <v>410.99303135888493</v>
      </c>
      <c r="E45" s="99">
        <f t="shared" si="2"/>
        <v>0.95666666666666667</v>
      </c>
      <c r="F45" s="101"/>
      <c r="G45" s="91">
        <v>39</v>
      </c>
      <c r="I45" s="99"/>
    </row>
    <row r="46" spans="1:13">
      <c r="A46" s="91">
        <v>40</v>
      </c>
      <c r="B46" s="100">
        <v>0.30581018518518521</v>
      </c>
      <c r="C46" s="101">
        <f>B46*1440</f>
        <v>440.36666666666673</v>
      </c>
      <c r="D46" s="101">
        <f t="shared" si="3"/>
        <v>413.9889308855291</v>
      </c>
      <c r="E46" s="99">
        <f t="shared" si="2"/>
        <v>0.94974358974358974</v>
      </c>
      <c r="F46" s="101">
        <f>100*(D46/C46)</f>
        <v>94.010051673346993</v>
      </c>
      <c r="G46" s="91">
        <v>40</v>
      </c>
      <c r="H46" s="102" t="s">
        <v>96</v>
      </c>
      <c r="I46" s="99"/>
      <c r="M46" s="102"/>
    </row>
    <row r="47" spans="1:13">
      <c r="A47" s="91">
        <v>41</v>
      </c>
      <c r="B47" s="100"/>
      <c r="C47" s="101"/>
      <c r="D47" s="101">
        <f t="shared" si="3"/>
        <v>417.25578231292513</v>
      </c>
      <c r="E47" s="99">
        <f t="shared" si="2"/>
        <v>0.94230769230769229</v>
      </c>
      <c r="F47" s="101"/>
      <c r="G47" s="91">
        <v>41</v>
      </c>
      <c r="H47" s="102"/>
      <c r="I47" s="99"/>
      <c r="M47" s="102"/>
    </row>
    <row r="48" spans="1:13">
      <c r="A48" s="91">
        <v>42</v>
      </c>
      <c r="B48" s="100"/>
      <c r="C48" s="101"/>
      <c r="D48" s="101">
        <f t="shared" si="3"/>
        <v>420.80543358946204</v>
      </c>
      <c r="E48" s="99">
        <f t="shared" si="2"/>
        <v>0.93435897435897441</v>
      </c>
      <c r="F48" s="101"/>
      <c r="G48" s="91">
        <v>42</v>
      </c>
      <c r="H48" s="102"/>
      <c r="I48" s="99"/>
      <c r="M48" s="102"/>
    </row>
    <row r="49" spans="1:13">
      <c r="A49" s="91">
        <v>43</v>
      </c>
      <c r="B49" s="100"/>
      <c r="C49" s="101"/>
      <c r="D49" s="101">
        <f t="shared" si="3"/>
        <v>424.65106618665186</v>
      </c>
      <c r="E49" s="99">
        <f t="shared" si="2"/>
        <v>0.92589743589743589</v>
      </c>
      <c r="F49" s="101"/>
      <c r="G49" s="91">
        <v>43</v>
      </c>
      <c r="H49" s="102"/>
      <c r="I49" s="99"/>
      <c r="M49" s="102"/>
    </row>
    <row r="50" spans="1:13">
      <c r="A50" s="91">
        <v>44</v>
      </c>
      <c r="B50" s="100"/>
      <c r="C50" s="101"/>
      <c r="D50" s="101">
        <f t="shared" si="3"/>
        <v>428.80732662192389</v>
      </c>
      <c r="E50" s="99">
        <f t="shared" si="2"/>
        <v>0.91692307692307695</v>
      </c>
      <c r="F50" s="101"/>
      <c r="G50" s="91">
        <v>44</v>
      </c>
      <c r="H50" s="102"/>
      <c r="I50" s="99"/>
      <c r="M50" s="102"/>
    </row>
    <row r="51" spans="1:13">
      <c r="A51" s="91">
        <v>45</v>
      </c>
      <c r="B51" s="100">
        <v>0.3240972222222222</v>
      </c>
      <c r="C51" s="101">
        <f>B51*1440</f>
        <v>466.7</v>
      </c>
      <c r="D51" s="101">
        <f t="shared" si="3"/>
        <v>433.29047753602703</v>
      </c>
      <c r="E51" s="99">
        <f t="shared" si="2"/>
        <v>0.90743589743589748</v>
      </c>
      <c r="F51" s="101">
        <f>100*(D51/C51)</f>
        <v>92.841327948580897</v>
      </c>
      <c r="G51" s="91">
        <v>45</v>
      </c>
      <c r="H51" s="102" t="s">
        <v>97</v>
      </c>
      <c r="I51" s="99"/>
      <c r="M51" s="102"/>
    </row>
    <row r="52" spans="1:13">
      <c r="A52" s="91">
        <v>46</v>
      </c>
      <c r="B52" s="100"/>
      <c r="C52" s="101"/>
      <c r="D52" s="101">
        <f t="shared" si="3"/>
        <v>438.08727948003713</v>
      </c>
      <c r="E52" s="99">
        <f t="shared" si="2"/>
        <v>0.89749999999999996</v>
      </c>
      <c r="F52" s="101"/>
      <c r="G52" s="91">
        <v>46</v>
      </c>
      <c r="H52" s="102"/>
      <c r="I52" s="99"/>
      <c r="M52" s="102"/>
    </row>
    <row r="53" spans="1:13">
      <c r="A53" s="91">
        <v>47</v>
      </c>
      <c r="B53" s="100"/>
      <c r="C53" s="101"/>
      <c r="D53" s="101">
        <f t="shared" si="3"/>
        <v>443.02347417840372</v>
      </c>
      <c r="E53" s="99">
        <f t="shared" si="2"/>
        <v>0.88749999999999996</v>
      </c>
      <c r="F53" s="101"/>
      <c r="G53" s="91">
        <v>47</v>
      </c>
      <c r="H53" s="102"/>
      <c r="I53" s="99"/>
      <c r="M53" s="102"/>
    </row>
    <row r="54" spans="1:13">
      <c r="A54" s="91">
        <v>48</v>
      </c>
      <c r="B54" s="100"/>
      <c r="C54" s="101"/>
      <c r="D54" s="101">
        <f t="shared" si="3"/>
        <v>448.0721747388414</v>
      </c>
      <c r="E54" s="99">
        <f t="shared" si="2"/>
        <v>0.87749999999999995</v>
      </c>
      <c r="F54" s="101"/>
      <c r="G54" s="91">
        <v>48</v>
      </c>
      <c r="H54" s="102"/>
      <c r="I54" s="99"/>
      <c r="M54" s="102"/>
    </row>
    <row r="55" spans="1:13">
      <c r="A55" s="91">
        <v>49</v>
      </c>
      <c r="B55" s="100"/>
      <c r="C55" s="101"/>
      <c r="D55" s="101">
        <f t="shared" si="3"/>
        <v>453.2372718539865</v>
      </c>
      <c r="E55" s="99">
        <f t="shared" si="2"/>
        <v>0.86749999999999994</v>
      </c>
      <c r="F55" s="101"/>
      <c r="G55" s="91">
        <v>49</v>
      </c>
      <c r="H55" s="102"/>
      <c r="I55" s="99"/>
      <c r="M55" s="102"/>
    </row>
    <row r="56" spans="1:13">
      <c r="A56" s="91">
        <v>50</v>
      </c>
      <c r="B56" s="100">
        <v>0.32787037037037037</v>
      </c>
      <c r="C56" s="101">
        <f>B56*1440</f>
        <v>472.13333333333333</v>
      </c>
      <c r="D56" s="101">
        <f t="shared" si="3"/>
        <v>458.52283770651115</v>
      </c>
      <c r="E56" s="99">
        <f t="shared" si="2"/>
        <v>0.85749999999999993</v>
      </c>
      <c r="F56" s="101">
        <f>100*(D56/C56)</f>
        <v>97.117234758509852</v>
      </c>
      <c r="G56" s="91">
        <v>50</v>
      </c>
      <c r="H56" s="102" t="s">
        <v>98</v>
      </c>
      <c r="I56" s="99"/>
      <c r="M56" s="102"/>
    </row>
    <row r="57" spans="1:13">
      <c r="A57" s="91">
        <v>51</v>
      </c>
      <c r="B57" s="100"/>
      <c r="C57" s="101"/>
      <c r="D57" s="101">
        <f t="shared" si="3"/>
        <v>463.93313667649943</v>
      </c>
      <c r="E57" s="99">
        <f t="shared" si="2"/>
        <v>0.84750000000000003</v>
      </c>
      <c r="F57" s="101"/>
      <c r="G57" s="91">
        <v>51</v>
      </c>
      <c r="I57" s="99"/>
    </row>
    <row r="58" spans="1:13">
      <c r="A58" s="91">
        <v>52</v>
      </c>
      <c r="B58" s="100"/>
      <c r="C58" s="101"/>
      <c r="D58" s="101">
        <f t="shared" si="3"/>
        <v>469.47263681592034</v>
      </c>
      <c r="E58" s="99">
        <f t="shared" si="2"/>
        <v>0.83750000000000002</v>
      </c>
      <c r="F58" s="101"/>
      <c r="G58" s="91">
        <v>52</v>
      </c>
      <c r="I58" s="99"/>
    </row>
    <row r="59" spans="1:13">
      <c r="A59" s="91">
        <v>53</v>
      </c>
      <c r="B59" s="100"/>
      <c r="C59" s="101"/>
      <c r="D59" s="101">
        <f t="shared" si="3"/>
        <v>475.14602215508552</v>
      </c>
      <c r="E59" s="99">
        <f t="shared" si="2"/>
        <v>0.82750000000000001</v>
      </c>
      <c r="F59" s="101"/>
      <c r="G59" s="91">
        <v>53</v>
      </c>
      <c r="I59" s="99"/>
    </row>
    <row r="60" spans="1:13">
      <c r="A60" s="91">
        <v>54</v>
      </c>
      <c r="B60" s="100"/>
      <c r="C60" s="101"/>
      <c r="D60" s="101">
        <f t="shared" si="3"/>
        <v>480.95820591233428</v>
      </c>
      <c r="E60" s="99">
        <f t="shared" si="2"/>
        <v>0.8175</v>
      </c>
      <c r="F60" s="101"/>
      <c r="G60" s="91">
        <v>54</v>
      </c>
      <c r="I60" s="99"/>
    </row>
    <row r="61" spans="1:13">
      <c r="A61" s="91">
        <v>55</v>
      </c>
      <c r="B61" s="100">
        <v>0.36291666666666667</v>
      </c>
      <c r="C61" s="101">
        <f>B61*1440</f>
        <v>522.6</v>
      </c>
      <c r="D61" s="101">
        <f t="shared" si="3"/>
        <v>486.98068261104703</v>
      </c>
      <c r="E61" s="99">
        <f t="shared" si="2"/>
        <v>0.80739000000000005</v>
      </c>
      <c r="F61" s="101">
        <f>100*(D61/C61)</f>
        <v>93.184210220253931</v>
      </c>
      <c r="G61" s="91">
        <v>55</v>
      </c>
      <c r="H61" s="102" t="s">
        <v>99</v>
      </c>
      <c r="I61" s="99"/>
    </row>
    <row r="62" spans="1:13">
      <c r="A62" s="91">
        <v>56</v>
      </c>
      <c r="B62" s="100"/>
      <c r="C62" s="101"/>
      <c r="D62" s="101">
        <f t="shared" si="3"/>
        <v>493.29201482113427</v>
      </c>
      <c r="E62" s="99">
        <f t="shared" si="2"/>
        <v>0.79705999999999999</v>
      </c>
      <c r="F62" s="101"/>
      <c r="G62" s="91">
        <v>56</v>
      </c>
      <c r="I62" s="99"/>
    </row>
    <row r="63" spans="1:13">
      <c r="A63" s="91">
        <v>57</v>
      </c>
      <c r="B63" s="100"/>
      <c r="C63" s="101"/>
      <c r="D63" s="101">
        <f t="shared" si="3"/>
        <v>499.9088801583365</v>
      </c>
      <c r="E63" s="99">
        <f t="shared" si="2"/>
        <v>0.78651000000000004</v>
      </c>
      <c r="F63" s="101"/>
      <c r="G63" s="91">
        <v>57</v>
      </c>
      <c r="I63" s="99"/>
    </row>
    <row r="64" spans="1:13">
      <c r="A64" s="91">
        <v>58</v>
      </c>
      <c r="B64" s="100"/>
      <c r="C64" s="101"/>
      <c r="D64" s="101">
        <f t="shared" si="3"/>
        <v>506.84937393112807</v>
      </c>
      <c r="E64" s="99">
        <f t="shared" si="2"/>
        <v>0.77573999999999999</v>
      </c>
      <c r="F64" s="101"/>
      <c r="G64" s="91">
        <v>58</v>
      </c>
      <c r="I64" s="99"/>
    </row>
    <row r="65" spans="1:9">
      <c r="A65" s="91">
        <v>59</v>
      </c>
      <c r="B65" s="100"/>
      <c r="C65" s="101"/>
      <c r="D65" s="101">
        <f t="shared" si="3"/>
        <v>514.13315898441749</v>
      </c>
      <c r="E65" s="99">
        <f t="shared" si="2"/>
        <v>0.76475000000000004</v>
      </c>
      <c r="F65" s="101"/>
      <c r="G65" s="91">
        <v>59</v>
      </c>
      <c r="I65" s="99"/>
    </row>
    <row r="66" spans="1:9">
      <c r="A66" s="91">
        <v>60</v>
      </c>
      <c r="B66" s="100">
        <v>0.38896990740740739</v>
      </c>
      <c r="C66" s="101">
        <f>B66*1440</f>
        <v>560.11666666666667</v>
      </c>
      <c r="D66" s="101">
        <f t="shared" si="3"/>
        <v>521.78163512664662</v>
      </c>
      <c r="E66" s="99">
        <f t="shared" ref="E66:E97" si="4">1-IF(A66&lt;I$3,0,IF(A66&lt;I$4,G$3*(A66-I$3)^2,G$2+G$4*(A66-I$4)+(A66&gt;I$5)*G$5*(A66-I$5)^2))</f>
        <v>0.75353999999999999</v>
      </c>
      <c r="F66" s="101">
        <f>100*(D66/C66)</f>
        <v>93.1558845109614</v>
      </c>
      <c r="G66" s="91">
        <v>60</v>
      </c>
      <c r="H66" s="102" t="s">
        <v>100</v>
      </c>
      <c r="I66" s="99"/>
    </row>
    <row r="67" spans="1:9">
      <c r="A67" s="91">
        <v>61</v>
      </c>
      <c r="B67" s="100"/>
      <c r="C67" s="101"/>
      <c r="D67" s="101">
        <f t="shared" si="3"/>
        <v>529.81813118450532</v>
      </c>
      <c r="E67" s="99">
        <f t="shared" si="4"/>
        <v>0.74211000000000005</v>
      </c>
      <c r="F67" s="101"/>
      <c r="G67" s="91">
        <v>61</v>
      </c>
      <c r="I67" s="99"/>
    </row>
    <row r="68" spans="1:9">
      <c r="A68" s="91">
        <v>62</v>
      </c>
      <c r="B68" s="100"/>
      <c r="C68" s="101"/>
      <c r="D68" s="101">
        <f t="shared" si="3"/>
        <v>538.26812328304527</v>
      </c>
      <c r="E68" s="99">
        <f t="shared" si="4"/>
        <v>0.73046</v>
      </c>
      <c r="F68" s="101"/>
      <c r="G68" s="91">
        <v>62</v>
      </c>
      <c r="I68" s="99"/>
    </row>
    <row r="69" spans="1:9">
      <c r="A69" s="91">
        <v>63</v>
      </c>
      <c r="B69" s="100"/>
      <c r="C69" s="101"/>
      <c r="D69" s="101">
        <f t="shared" si="3"/>
        <v>547.15948361838218</v>
      </c>
      <c r="E69" s="99">
        <f t="shared" si="4"/>
        <v>0.71859000000000006</v>
      </c>
      <c r="F69" s="101"/>
      <c r="G69" s="91">
        <v>63</v>
      </c>
      <c r="I69" s="99"/>
    </row>
    <row r="70" spans="1:9">
      <c r="A70" s="91">
        <v>64</v>
      </c>
      <c r="B70" s="100"/>
      <c r="C70" s="101"/>
      <c r="D70" s="101">
        <f t="shared" si="3"/>
        <v>556.52276480301953</v>
      </c>
      <c r="E70" s="99">
        <f t="shared" si="4"/>
        <v>0.70650000000000002</v>
      </c>
      <c r="F70" s="101"/>
      <c r="G70" s="91">
        <v>64</v>
      </c>
      <c r="I70" s="99"/>
    </row>
    <row r="71" spans="1:9">
      <c r="A71" s="91">
        <v>65</v>
      </c>
      <c r="B71" s="100">
        <v>0.43149305555555556</v>
      </c>
      <c r="C71" s="101">
        <f>B71*1440</f>
        <v>621.35</v>
      </c>
      <c r="D71" s="101">
        <f t="shared" si="3"/>
        <v>566.39152585507316</v>
      </c>
      <c r="E71" s="99">
        <f t="shared" si="4"/>
        <v>0.69419000000000008</v>
      </c>
      <c r="F71" s="101">
        <f>100*(D71/C71)</f>
        <v>91.154989274172877</v>
      </c>
      <c r="G71" s="91">
        <v>65</v>
      </c>
      <c r="H71" s="102" t="s">
        <v>101</v>
      </c>
      <c r="I71" s="99"/>
    </row>
    <row r="72" spans="1:9">
      <c r="A72" s="91">
        <v>66</v>
      </c>
      <c r="B72" s="100"/>
      <c r="C72" s="101"/>
      <c r="D72" s="101">
        <f t="shared" si="3"/>
        <v>576.80270711694004</v>
      </c>
      <c r="E72" s="99">
        <f t="shared" si="4"/>
        <v>0.68165999999999993</v>
      </c>
      <c r="F72" s="101"/>
      <c r="G72" s="91">
        <v>66</v>
      </c>
      <c r="I72" s="99"/>
    </row>
    <row r="73" spans="1:9">
      <c r="A73" s="91">
        <v>67</v>
      </c>
      <c r="B73" s="100"/>
      <c r="C73" s="101"/>
      <c r="D73" s="101">
        <f t="shared" si="3"/>
        <v>587.7970628833973</v>
      </c>
      <c r="E73" s="99">
        <f t="shared" si="4"/>
        <v>0.66891</v>
      </c>
      <c r="F73" s="101"/>
      <c r="G73" s="91">
        <v>67</v>
      </c>
      <c r="I73" s="99"/>
    </row>
    <row r="74" spans="1:9">
      <c r="A74" s="91">
        <v>68</v>
      </c>
      <c r="B74" s="100"/>
      <c r="C74" s="101"/>
      <c r="D74" s="101">
        <f t="shared" ref="D74:D105" si="5">E$4/E74</f>
        <v>599.41966236749295</v>
      </c>
      <c r="E74" s="99">
        <f t="shared" si="4"/>
        <v>0.65593999999999997</v>
      </c>
      <c r="F74" s="101"/>
      <c r="G74" s="91">
        <v>68</v>
      </c>
      <c r="I74" s="99"/>
    </row>
    <row r="75" spans="1:9">
      <c r="A75" s="91">
        <v>69</v>
      </c>
      <c r="B75" s="100"/>
      <c r="C75" s="101"/>
      <c r="D75" s="101">
        <f t="shared" si="5"/>
        <v>611.72047193050696</v>
      </c>
      <c r="E75" s="99">
        <f t="shared" si="4"/>
        <v>0.64274999999999993</v>
      </c>
      <c r="F75" s="101"/>
      <c r="G75" s="91">
        <v>69</v>
      </c>
      <c r="I75" s="99"/>
    </row>
    <row r="76" spans="1:9">
      <c r="A76" s="91">
        <v>70</v>
      </c>
      <c r="B76" s="100">
        <v>0.48353009259259261</v>
      </c>
      <c r="C76" s="101">
        <f>B76*1440</f>
        <v>696.2833333333333</v>
      </c>
      <c r="D76" s="101">
        <f t="shared" si="5"/>
        <v>624.75503437463578</v>
      </c>
      <c r="E76" s="99">
        <f t="shared" si="4"/>
        <v>0.62934000000000001</v>
      </c>
      <c r="F76" s="101">
        <f>100*(D76/C76)</f>
        <v>89.727127516284426</v>
      </c>
      <c r="G76" s="91">
        <v>70</v>
      </c>
      <c r="H76" s="102" t="s">
        <v>102</v>
      </c>
      <c r="I76" s="99"/>
    </row>
    <row r="77" spans="1:9">
      <c r="A77" s="91">
        <v>71</v>
      </c>
      <c r="B77" s="100"/>
      <c r="C77" s="101"/>
      <c r="D77" s="101">
        <f t="shared" si="5"/>
        <v>638.58526470795232</v>
      </c>
      <c r="E77" s="99">
        <f t="shared" si="4"/>
        <v>0.61570999999999998</v>
      </c>
      <c r="F77" s="101"/>
      <c r="G77" s="91">
        <v>71</v>
      </c>
      <c r="I77" s="99"/>
    </row>
    <row r="78" spans="1:9">
      <c r="A78" s="91">
        <v>72</v>
      </c>
      <c r="B78" s="100"/>
      <c r="C78" s="101"/>
      <c r="D78" s="101">
        <f t="shared" si="5"/>
        <v>653.28038635784617</v>
      </c>
      <c r="E78" s="99">
        <f t="shared" si="4"/>
        <v>0.60185999999999995</v>
      </c>
      <c r="F78" s="101"/>
      <c r="G78" s="91">
        <v>72</v>
      </c>
      <c r="I78" s="99"/>
    </row>
    <row r="79" spans="1:9">
      <c r="A79" s="91">
        <v>73</v>
      </c>
      <c r="B79" s="100"/>
      <c r="C79" s="101"/>
      <c r="D79" s="101">
        <f t="shared" si="5"/>
        <v>668.91803762114591</v>
      </c>
      <c r="E79" s="99">
        <f t="shared" si="4"/>
        <v>0.58778999999999992</v>
      </c>
      <c r="F79" s="101"/>
      <c r="G79" s="91">
        <v>73</v>
      </c>
      <c r="I79" s="99"/>
    </row>
    <row r="80" spans="1:9">
      <c r="A80" s="91">
        <v>74</v>
      </c>
      <c r="B80" s="100"/>
      <c r="C80" s="101"/>
      <c r="D80" s="101">
        <f t="shared" si="5"/>
        <v>685.58558558558559</v>
      </c>
      <c r="E80" s="99">
        <f t="shared" si="4"/>
        <v>0.5734999999999999</v>
      </c>
      <c r="F80" s="101"/>
      <c r="G80" s="91">
        <v>74</v>
      </c>
      <c r="I80" s="99"/>
    </row>
    <row r="81" spans="1:9">
      <c r="A81" s="91">
        <v>75</v>
      </c>
      <c r="B81" s="100"/>
      <c r="C81" s="101"/>
      <c r="D81" s="101">
        <f t="shared" si="5"/>
        <v>703.38169436543262</v>
      </c>
      <c r="E81" s="99">
        <f t="shared" si="4"/>
        <v>0.5589900000000001</v>
      </c>
      <c r="F81" s="101"/>
      <c r="G81" s="91">
        <v>75</v>
      </c>
      <c r="I81" s="99"/>
    </row>
    <row r="82" spans="1:9">
      <c r="A82" s="91">
        <v>76</v>
      </c>
      <c r="B82" s="100"/>
      <c r="C82" s="101"/>
      <c r="D82" s="101">
        <f t="shared" si="5"/>
        <v>722.41820698440688</v>
      </c>
      <c r="E82" s="99">
        <f t="shared" si="4"/>
        <v>0.54425999999999997</v>
      </c>
      <c r="F82" s="101"/>
      <c r="G82" s="91">
        <v>76</v>
      </c>
      <c r="I82" s="99"/>
    </row>
    <row r="83" spans="1:9">
      <c r="A83" s="91">
        <v>77</v>
      </c>
      <c r="B83" s="100"/>
      <c r="C83" s="101"/>
      <c r="D83" s="101">
        <f t="shared" si="5"/>
        <v>742.82241660526597</v>
      </c>
      <c r="E83" s="99">
        <f t="shared" si="4"/>
        <v>0.52930999999999995</v>
      </c>
      <c r="F83" s="101"/>
      <c r="G83" s="91">
        <v>77</v>
      </c>
      <c r="I83" s="99"/>
    </row>
    <row r="84" spans="1:9">
      <c r="A84" s="91">
        <v>78</v>
      </c>
      <c r="B84" s="100"/>
      <c r="C84" s="101"/>
      <c r="D84" s="101">
        <f t="shared" si="5"/>
        <v>764.73982443173702</v>
      </c>
      <c r="E84" s="99">
        <f t="shared" si="4"/>
        <v>0.51414000000000004</v>
      </c>
      <c r="F84" s="101"/>
      <c r="G84" s="91">
        <v>78</v>
      </c>
      <c r="I84" s="99"/>
    </row>
    <row r="85" spans="1:9">
      <c r="A85" s="91">
        <v>79</v>
      </c>
      <c r="B85" s="100"/>
      <c r="C85" s="101"/>
      <c r="D85" s="101">
        <f t="shared" si="5"/>
        <v>788.33751044277346</v>
      </c>
      <c r="E85" s="99">
        <f t="shared" si="4"/>
        <v>0.49875000000000003</v>
      </c>
      <c r="F85" s="101"/>
      <c r="G85" s="91">
        <v>79</v>
      </c>
      <c r="I85" s="99"/>
    </row>
    <row r="86" spans="1:9">
      <c r="A86" s="91">
        <v>80</v>
      </c>
      <c r="B86" s="100">
        <v>0.72173611111111113</v>
      </c>
      <c r="C86" s="101">
        <f>B86*1440</f>
        <v>1039.3</v>
      </c>
      <c r="D86" s="101">
        <f t="shared" si="5"/>
        <v>813.80828193346292</v>
      </c>
      <c r="E86" s="99">
        <f t="shared" si="4"/>
        <v>0.48314000000000001</v>
      </c>
      <c r="F86" s="101">
        <f>100*(D86/C86)</f>
        <v>78.303500619018848</v>
      </c>
      <c r="G86" s="91">
        <v>80</v>
      </c>
      <c r="H86" s="102" t="s">
        <v>103</v>
      </c>
      <c r="I86" s="99"/>
    </row>
    <row r="87" spans="1:9">
      <c r="A87" s="91">
        <v>81</v>
      </c>
      <c r="B87" s="100"/>
      <c r="C87" s="101"/>
      <c r="D87" s="101">
        <f t="shared" si="5"/>
        <v>841.37581762284833</v>
      </c>
      <c r="E87" s="99">
        <f t="shared" si="4"/>
        <v>0.46731</v>
      </c>
      <c r="F87" s="101"/>
      <c r="G87" s="91">
        <v>81</v>
      </c>
      <c r="I87" s="99"/>
    </row>
    <row r="88" spans="1:9">
      <c r="A88" s="91">
        <v>82</v>
      </c>
      <c r="B88" s="100"/>
      <c r="C88" s="101"/>
      <c r="D88" s="101">
        <f t="shared" si="5"/>
        <v>871.3010976672723</v>
      </c>
      <c r="E88" s="99">
        <f t="shared" si="4"/>
        <v>0.45125999999999999</v>
      </c>
      <c r="F88" s="101"/>
      <c r="G88" s="91">
        <v>82</v>
      </c>
      <c r="I88" s="99"/>
    </row>
    <row r="89" spans="1:9">
      <c r="A89" s="91">
        <v>83</v>
      </c>
      <c r="B89" s="100"/>
      <c r="C89" s="101"/>
      <c r="D89" s="101">
        <f t="shared" si="5"/>
        <v>903.89051089297061</v>
      </c>
      <c r="E89" s="99">
        <f t="shared" si="4"/>
        <v>0.43498999999999999</v>
      </c>
      <c r="F89" s="101"/>
      <c r="G89" s="91">
        <v>83</v>
      </c>
      <c r="I89" s="99"/>
    </row>
    <row r="90" spans="1:9">
      <c r="A90" s="91">
        <v>84</v>
      </c>
      <c r="B90" s="100"/>
      <c r="C90" s="101"/>
      <c r="D90" s="101">
        <f t="shared" si="5"/>
        <v>939.50617283950612</v>
      </c>
      <c r="E90" s="99">
        <f t="shared" si="4"/>
        <v>0.41849999999999998</v>
      </c>
      <c r="F90" s="101"/>
      <c r="G90" s="91">
        <v>84</v>
      </c>
      <c r="I90" s="99"/>
    </row>
    <row r="91" spans="1:9">
      <c r="A91" s="91">
        <v>85</v>
      </c>
      <c r="B91" s="100">
        <v>0.76061342592592596</v>
      </c>
      <c r="C91" s="101">
        <f>B91*1440</f>
        <v>1095.2833333333333</v>
      </c>
      <c r="D91" s="101">
        <f t="shared" si="5"/>
        <v>978.57919145158735</v>
      </c>
      <c r="E91" s="99">
        <f t="shared" si="4"/>
        <v>0.40178999999999998</v>
      </c>
      <c r="F91" s="101">
        <f>100*(D91/C91)</f>
        <v>89.34484454113128</v>
      </c>
      <c r="G91" s="91">
        <v>85</v>
      </c>
      <c r="H91" s="102" t="s">
        <v>104</v>
      </c>
      <c r="I91" s="99"/>
    </row>
    <row r="92" spans="1:9">
      <c r="A92" s="91">
        <v>86</v>
      </c>
      <c r="B92" s="100"/>
      <c r="C92" s="101"/>
      <c r="D92" s="101">
        <f t="shared" si="5"/>
        <v>1021.626911950666</v>
      </c>
      <c r="E92" s="99">
        <f t="shared" si="4"/>
        <v>0.38485999999999998</v>
      </c>
      <c r="F92" s="101"/>
      <c r="G92" s="91">
        <v>86</v>
      </c>
      <c r="I92" s="99"/>
    </row>
    <row r="93" spans="1:9">
      <c r="A93" s="91">
        <v>87</v>
      </c>
      <c r="B93" s="100"/>
      <c r="C93" s="101"/>
      <c r="D93" s="101">
        <f t="shared" si="5"/>
        <v>1069.2756066828024</v>
      </c>
      <c r="E93" s="99">
        <f t="shared" si="4"/>
        <v>0.36770999999999998</v>
      </c>
      <c r="F93" s="101"/>
      <c r="G93" s="91">
        <v>87</v>
      </c>
      <c r="I93" s="99"/>
    </row>
    <row r="94" spans="1:9">
      <c r="A94" s="91">
        <v>88</v>
      </c>
      <c r="B94" s="100"/>
      <c r="C94" s="101"/>
      <c r="D94" s="101">
        <f t="shared" si="5"/>
        <v>1122.2907271031945</v>
      </c>
      <c r="E94" s="99">
        <f t="shared" si="4"/>
        <v>0.3503400000000001</v>
      </c>
      <c r="F94" s="101"/>
      <c r="G94" s="91">
        <v>88</v>
      </c>
      <c r="I94" s="99"/>
    </row>
    <row r="95" spans="1:9">
      <c r="A95" s="91">
        <v>89</v>
      </c>
      <c r="B95" s="100"/>
      <c r="C95" s="98"/>
      <c r="D95" s="101">
        <f t="shared" si="5"/>
        <v>1181.6178312046079</v>
      </c>
      <c r="E95" s="99">
        <f t="shared" si="4"/>
        <v>0.33274999999999999</v>
      </c>
      <c r="F95" s="101"/>
      <c r="G95" s="91">
        <v>89</v>
      </c>
      <c r="I95" s="99"/>
    </row>
    <row r="96" spans="1:9">
      <c r="A96" s="91">
        <v>90</v>
      </c>
      <c r="B96" s="100"/>
      <c r="C96" s="98"/>
      <c r="D96" s="101">
        <f t="shared" si="5"/>
        <v>1248.4388560784064</v>
      </c>
      <c r="E96" s="99">
        <f t="shared" si="4"/>
        <v>0.31494</v>
      </c>
      <c r="F96" s="101"/>
      <c r="G96" s="91">
        <v>90</v>
      </c>
      <c r="I96" s="99"/>
    </row>
    <row r="97" spans="1:9">
      <c r="A97" s="91">
        <v>91</v>
      </c>
      <c r="B97" s="97"/>
      <c r="C97" s="98"/>
      <c r="D97" s="101">
        <f t="shared" si="5"/>
        <v>1324.2508953330412</v>
      </c>
      <c r="E97" s="99">
        <f t="shared" si="4"/>
        <v>0.29691000000000001</v>
      </c>
      <c r="F97" s="101"/>
      <c r="G97" s="91">
        <v>91</v>
      </c>
      <c r="I97" s="99"/>
    </row>
    <row r="98" spans="1:9">
      <c r="A98" s="91">
        <v>92</v>
      </c>
      <c r="B98" s="97"/>
      <c r="C98" s="98"/>
      <c r="D98" s="101">
        <f t="shared" si="5"/>
        <v>1410.9787315486014</v>
      </c>
      <c r="E98" s="99">
        <f t="shared" ref="E98:E106" si="6">1-IF(A98&lt;I$3,0,IF(A98&lt;I$4,G$3*(A98-I$3)^2,G$2+G$4*(A98-I$4)+(A98&gt;I$5)*G$5*(A98-I$5)^2))</f>
        <v>0.27866000000000002</v>
      </c>
      <c r="F98" s="101"/>
      <c r="G98" s="91">
        <v>92</v>
      </c>
      <c r="I98" s="99"/>
    </row>
    <row r="99" spans="1:9">
      <c r="A99" s="91">
        <v>93</v>
      </c>
      <c r="B99" s="97"/>
      <c r="C99" s="98"/>
      <c r="D99" s="101">
        <f t="shared" si="5"/>
        <v>1511.1392956429279</v>
      </c>
      <c r="E99" s="99">
        <f t="shared" si="6"/>
        <v>0.26018999999999992</v>
      </c>
      <c r="F99" s="101"/>
      <c r="G99" s="91">
        <v>93</v>
      </c>
      <c r="I99" s="99"/>
    </row>
    <row r="100" spans="1:9">
      <c r="A100" s="91">
        <v>94</v>
      </c>
      <c r="B100" s="97"/>
      <c r="C100" s="98"/>
      <c r="D100" s="101">
        <f t="shared" si="5"/>
        <v>1628.0883367839892</v>
      </c>
      <c r="E100" s="99">
        <f t="shared" si="6"/>
        <v>0.24149999999999994</v>
      </c>
      <c r="F100" s="101"/>
      <c r="G100" s="91">
        <v>94</v>
      </c>
      <c r="I100" s="99"/>
    </row>
    <row r="101" spans="1:9">
      <c r="A101" s="91">
        <v>95</v>
      </c>
      <c r="B101" s="97"/>
      <c r="C101" s="98"/>
      <c r="D101" s="101">
        <f t="shared" si="5"/>
        <v>1766.4016053431571</v>
      </c>
      <c r="E101" s="99">
        <f t="shared" si="6"/>
        <v>0.22258999999999995</v>
      </c>
      <c r="F101" s="101"/>
      <c r="G101" s="91">
        <v>95</v>
      </c>
      <c r="I101" s="99"/>
    </row>
    <row r="102" spans="1:9">
      <c r="A102" s="91">
        <v>96</v>
      </c>
      <c r="B102" s="97"/>
      <c r="C102" s="98"/>
      <c r="D102" s="101">
        <f t="shared" si="5"/>
        <v>1932.4846816737115</v>
      </c>
      <c r="E102" s="99">
        <f t="shared" si="6"/>
        <v>0.20345999999999997</v>
      </c>
      <c r="F102" s="101"/>
      <c r="G102" s="91">
        <v>96</v>
      </c>
      <c r="I102" s="99"/>
    </row>
    <row r="103" spans="1:9">
      <c r="A103" s="91">
        <v>97</v>
      </c>
      <c r="B103" s="97"/>
      <c r="C103" s="98"/>
      <c r="D103" s="101">
        <f t="shared" si="5"/>
        <v>2135.5892310756249</v>
      </c>
      <c r="E103" s="99">
        <f t="shared" si="6"/>
        <v>0.18411</v>
      </c>
      <c r="G103" s="91">
        <v>97</v>
      </c>
      <c r="I103" s="99"/>
    </row>
    <row r="104" spans="1:9">
      <c r="A104" s="91">
        <v>98</v>
      </c>
      <c r="B104" s="97"/>
      <c r="C104" s="98"/>
      <c r="D104" s="101">
        <f t="shared" si="5"/>
        <v>2389.5911835014799</v>
      </c>
      <c r="E104" s="99">
        <f t="shared" si="6"/>
        <v>0.16453999999999991</v>
      </c>
      <c r="G104" s="91">
        <v>98</v>
      </c>
      <c r="I104" s="99"/>
    </row>
    <row r="105" spans="1:9">
      <c r="A105" s="91">
        <v>99</v>
      </c>
      <c r="C105" s="98"/>
      <c r="D105" s="101">
        <f t="shared" si="5"/>
        <v>2716.2924582613709</v>
      </c>
      <c r="E105" s="99">
        <f t="shared" si="6"/>
        <v>0.14474999999999993</v>
      </c>
      <c r="G105" s="91">
        <v>99</v>
      </c>
      <c r="I105" s="99"/>
    </row>
    <row r="106" spans="1:9">
      <c r="A106" s="91">
        <v>100</v>
      </c>
      <c r="D106" s="101">
        <f>E$4/E106</f>
        <v>3152.0228742450972</v>
      </c>
      <c r="E106" s="99">
        <f t="shared" si="6"/>
        <v>0.12473999999999996</v>
      </c>
      <c r="G106" s="91">
        <v>100</v>
      </c>
      <c r="I106" s="99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zoomScale="87" zoomScaleNormal="87" workbookViewId="0">
      <selection activeCell="F6" sqref="F6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>
      <c r="A1" s="29" t="s">
        <v>105</v>
      </c>
      <c r="B1" s="30"/>
      <c r="C1" s="31"/>
      <c r="D1" s="32" t="s">
        <v>32</v>
      </c>
      <c r="E1" s="32" t="s">
        <v>54</v>
      </c>
      <c r="F1" s="32" t="s">
        <v>55</v>
      </c>
      <c r="G1" s="32" t="s">
        <v>56</v>
      </c>
      <c r="H1" s="32" t="s">
        <v>57</v>
      </c>
      <c r="I1" s="32" t="s">
        <v>58</v>
      </c>
    </row>
    <row r="2" spans="1:9" ht="22.5">
      <c r="A2" s="29"/>
      <c r="B2" s="30"/>
      <c r="C2" s="31"/>
      <c r="D2" s="32"/>
      <c r="E2" s="32"/>
      <c r="F2" s="33">
        <f>(+H$3-H$4)*F$4/2</f>
        <v>2.1000000000000001E-2</v>
      </c>
      <c r="G2" s="33">
        <f>(+I$4-I$3)*G$4/2</f>
        <v>9.7500000000000003E-2</v>
      </c>
      <c r="H2" s="32"/>
      <c r="I2" s="32"/>
    </row>
    <row r="3" spans="1:9" ht="22.5">
      <c r="A3" s="29"/>
      <c r="B3" s="30"/>
      <c r="C3" s="31"/>
      <c r="D3" s="32"/>
      <c r="E3" s="32"/>
      <c r="F3" s="33">
        <f>F4/(2*(+H3-H4))</f>
        <v>1.7142857142857144E-3</v>
      </c>
      <c r="G3" s="33">
        <f>G4/(2*(+I4-I3))</f>
        <v>2.5641025641025641E-4</v>
      </c>
      <c r="H3" s="30">
        <v>20.5</v>
      </c>
      <c r="I3" s="30">
        <v>26</v>
      </c>
    </row>
    <row r="4" spans="1:9" ht="15.75">
      <c r="A4" s="30"/>
      <c r="B4" s="30"/>
      <c r="C4" s="30"/>
      <c r="D4" s="34">
        <f>Parameters!G36</f>
        <v>0.66666666666666663</v>
      </c>
      <c r="E4" s="79">
        <f>D4*1440</f>
        <v>960</v>
      </c>
      <c r="F4" s="33">
        <v>1.2E-2</v>
      </c>
      <c r="G4" s="33">
        <v>0.01</v>
      </c>
      <c r="H4" s="30">
        <v>17</v>
      </c>
      <c r="I4" s="30">
        <v>45.5</v>
      </c>
    </row>
    <row r="5" spans="1:9" ht="15.75">
      <c r="A5" s="30"/>
      <c r="B5" s="30"/>
      <c r="C5" s="30"/>
      <c r="D5" s="34"/>
      <c r="E5" s="30">
        <f>E4*60</f>
        <v>57600</v>
      </c>
      <c r="F5" s="33">
        <v>1.1000000000000001E-3</v>
      </c>
      <c r="G5" s="33">
        <v>1.1E-4</v>
      </c>
      <c r="H5" s="30">
        <v>15</v>
      </c>
      <c r="I5" s="30">
        <v>54</v>
      </c>
    </row>
    <row r="6" spans="1:9" ht="47.25">
      <c r="A6" s="36" t="s">
        <v>52</v>
      </c>
      <c r="B6" s="36" t="s">
        <v>75</v>
      </c>
      <c r="C6" s="36" t="s">
        <v>76</v>
      </c>
      <c r="D6" s="36" t="s">
        <v>127</v>
      </c>
      <c r="E6" s="36" t="s">
        <v>131</v>
      </c>
      <c r="F6" s="31" t="s">
        <v>130</v>
      </c>
      <c r="G6" s="36" t="s">
        <v>52</v>
      </c>
      <c r="I6" s="37"/>
    </row>
    <row r="7" spans="1:9">
      <c r="A7" s="1">
        <v>1</v>
      </c>
      <c r="B7" s="39"/>
      <c r="G7" s="1">
        <v>1</v>
      </c>
    </row>
    <row r="8" spans="1:9">
      <c r="A8" s="1">
        <v>2</v>
      </c>
      <c r="B8" s="39"/>
      <c r="G8" s="1">
        <v>2</v>
      </c>
    </row>
    <row r="9" spans="1:9">
      <c r="A9" s="1">
        <v>3</v>
      </c>
      <c r="B9" s="39"/>
      <c r="C9" s="24"/>
      <c r="D9" s="24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40"/>
      <c r="C10" s="24"/>
      <c r="D10" s="18">
        <f t="shared" ref="D10:D41" si="1">E$4/E10</f>
        <v>1391.5060153645456</v>
      </c>
      <c r="E10" s="4">
        <f t="shared" si="0"/>
        <v>0.68989999999999996</v>
      </c>
      <c r="F10" s="18"/>
      <c r="G10" s="1">
        <v>4</v>
      </c>
    </row>
    <row r="11" spans="1:9">
      <c r="A11" s="1">
        <v>5</v>
      </c>
      <c r="B11" s="40"/>
      <c r="C11" s="24"/>
      <c r="D11" s="18">
        <f t="shared" si="1"/>
        <v>1324.1379310344828</v>
      </c>
      <c r="E11" s="4">
        <f t="shared" si="0"/>
        <v>0.72499999999999998</v>
      </c>
      <c r="F11" s="18"/>
      <c r="G11" s="1">
        <v>5</v>
      </c>
      <c r="I11" s="4"/>
    </row>
    <row r="12" spans="1:9">
      <c r="A12" s="1">
        <v>6</v>
      </c>
      <c r="B12" s="40"/>
      <c r="C12" s="24"/>
      <c r="D12" s="18">
        <f t="shared" si="1"/>
        <v>1266.6578704314552</v>
      </c>
      <c r="E12" s="4">
        <f t="shared" si="0"/>
        <v>0.75790000000000002</v>
      </c>
      <c r="F12" s="18"/>
      <c r="G12" s="1">
        <v>6</v>
      </c>
      <c r="I12" s="4"/>
    </row>
    <row r="13" spans="1:9">
      <c r="A13" s="1">
        <v>7</v>
      </c>
      <c r="B13" s="40"/>
      <c r="C13" s="24"/>
      <c r="D13" s="18">
        <f t="shared" si="1"/>
        <v>1217.3471975653056</v>
      </c>
      <c r="E13" s="4">
        <f t="shared" si="0"/>
        <v>0.78859999999999997</v>
      </c>
      <c r="F13" s="18"/>
      <c r="G13" s="1">
        <v>7</v>
      </c>
      <c r="I13" s="4"/>
    </row>
    <row r="14" spans="1:9">
      <c r="A14" s="1">
        <v>8</v>
      </c>
      <c r="B14" s="40"/>
      <c r="C14" s="24"/>
      <c r="D14" s="18">
        <f t="shared" si="1"/>
        <v>1174.8867947619631</v>
      </c>
      <c r="E14" s="4">
        <f t="shared" si="0"/>
        <v>0.81709999999999994</v>
      </c>
      <c r="F14" s="18"/>
      <c r="G14" s="1">
        <v>8</v>
      </c>
      <c r="I14" s="4"/>
    </row>
    <row r="15" spans="1:9">
      <c r="A15" s="1">
        <v>9</v>
      </c>
      <c r="B15" s="40"/>
      <c r="C15" s="24"/>
      <c r="D15" s="18">
        <f t="shared" si="1"/>
        <v>1138.249940716149</v>
      </c>
      <c r="E15" s="4">
        <f t="shared" si="0"/>
        <v>0.84339999999999993</v>
      </c>
      <c r="F15" s="18"/>
      <c r="G15" s="1">
        <v>9</v>
      </c>
      <c r="I15" s="4"/>
    </row>
    <row r="16" spans="1:9">
      <c r="A16" s="1">
        <v>10</v>
      </c>
      <c r="B16" s="40"/>
      <c r="C16" s="24"/>
      <c r="D16" s="18">
        <f t="shared" si="1"/>
        <v>1106.628242074928</v>
      </c>
      <c r="E16" s="4">
        <f t="shared" si="0"/>
        <v>0.86749999999999994</v>
      </c>
      <c r="F16" s="18"/>
      <c r="G16" s="1">
        <v>10</v>
      </c>
      <c r="I16" s="4"/>
    </row>
    <row r="17" spans="1:9">
      <c r="A17" s="1">
        <v>11</v>
      </c>
      <c r="B17" s="40"/>
      <c r="C17" s="24"/>
      <c r="D17" s="18">
        <f t="shared" si="1"/>
        <v>1079.3793568697999</v>
      </c>
      <c r="E17" s="4">
        <f t="shared" si="0"/>
        <v>0.88939999999999997</v>
      </c>
      <c r="F17" s="18"/>
      <c r="G17" s="1">
        <v>11</v>
      </c>
      <c r="I17" s="4"/>
    </row>
    <row r="18" spans="1:9">
      <c r="A18" s="1">
        <v>12</v>
      </c>
      <c r="B18" s="40"/>
      <c r="C18" s="24"/>
      <c r="D18" s="18">
        <f t="shared" si="1"/>
        <v>1055.989440105599</v>
      </c>
      <c r="E18" s="4">
        <f t="shared" si="0"/>
        <v>0.90910000000000002</v>
      </c>
      <c r="F18" s="18"/>
      <c r="G18" s="1">
        <v>12</v>
      </c>
      <c r="I18" s="4"/>
    </row>
    <row r="19" spans="1:9">
      <c r="A19" s="1">
        <v>13</v>
      </c>
      <c r="B19" s="40"/>
      <c r="C19" s="24"/>
      <c r="D19" s="18">
        <f t="shared" si="1"/>
        <v>1036.0457586876753</v>
      </c>
      <c r="E19" s="4">
        <f t="shared" si="0"/>
        <v>0.92659999999999998</v>
      </c>
      <c r="F19" s="18"/>
      <c r="G19" s="1">
        <v>13</v>
      </c>
      <c r="I19" s="4"/>
    </row>
    <row r="20" spans="1:9">
      <c r="A20" s="1">
        <v>14</v>
      </c>
      <c r="B20" s="40"/>
      <c r="C20" s="24"/>
      <c r="D20" s="18">
        <f t="shared" si="1"/>
        <v>1019.2164773330503</v>
      </c>
      <c r="E20" s="4">
        <f t="shared" si="0"/>
        <v>0.94189999999999996</v>
      </c>
      <c r="F20" s="18"/>
      <c r="G20" s="1">
        <v>14</v>
      </c>
      <c r="I20" s="4"/>
    </row>
    <row r="21" spans="1:9">
      <c r="A21" s="1">
        <v>15</v>
      </c>
      <c r="B21" s="40"/>
      <c r="C21" s="24"/>
      <c r="D21" s="18">
        <f t="shared" si="1"/>
        <v>1005.2356020942409</v>
      </c>
      <c r="E21" s="4">
        <f t="shared" si="0"/>
        <v>0.95499999999999996</v>
      </c>
      <c r="F21" s="18"/>
      <c r="G21" s="1">
        <v>15</v>
      </c>
      <c r="I21" s="4"/>
    </row>
    <row r="22" spans="1:9">
      <c r="A22" s="1">
        <v>16</v>
      </c>
      <c r="B22" s="40"/>
      <c r="C22" s="24"/>
      <c r="D22" s="18">
        <f t="shared" si="1"/>
        <v>992.76111685625654</v>
      </c>
      <c r="E22" s="4">
        <f t="shared" si="0"/>
        <v>0.96699999999999997</v>
      </c>
      <c r="F22" s="18"/>
      <c r="G22" s="1">
        <v>16</v>
      </c>
      <c r="I22" s="4"/>
    </row>
    <row r="23" spans="1:9">
      <c r="A23" s="1">
        <v>17</v>
      </c>
      <c r="B23" s="40"/>
      <c r="C23" s="24"/>
      <c r="D23" s="18">
        <f t="shared" si="1"/>
        <v>980.5924412665986</v>
      </c>
      <c r="E23" s="4">
        <f t="shared" si="0"/>
        <v>0.97899999999999998</v>
      </c>
      <c r="F23" s="18"/>
      <c r="G23" s="1">
        <v>17</v>
      </c>
      <c r="I23" s="4"/>
    </row>
    <row r="24" spans="1:9">
      <c r="A24" s="1">
        <v>18</v>
      </c>
      <c r="B24" s="40"/>
      <c r="C24" s="24"/>
      <c r="D24" s="18">
        <f t="shared" si="1"/>
        <v>970.39711191335732</v>
      </c>
      <c r="E24" s="4">
        <f t="shared" si="0"/>
        <v>0.98928571428571432</v>
      </c>
      <c r="F24" s="18"/>
      <c r="G24" s="1">
        <v>18</v>
      </c>
      <c r="I24" s="4"/>
    </row>
    <row r="25" spans="1:9">
      <c r="A25" s="1">
        <v>19</v>
      </c>
      <c r="B25" s="40"/>
      <c r="C25" s="24"/>
      <c r="D25" s="18">
        <f t="shared" si="1"/>
        <v>963.71719489459349</v>
      </c>
      <c r="E25" s="4">
        <f t="shared" si="0"/>
        <v>0.99614285714285711</v>
      </c>
      <c r="F25" s="18"/>
      <c r="G25" s="1">
        <v>19</v>
      </c>
      <c r="I25" s="4"/>
    </row>
    <row r="26" spans="1:9">
      <c r="A26" s="1">
        <v>20</v>
      </c>
      <c r="B26" s="40"/>
      <c r="C26" s="24"/>
      <c r="D26" s="18">
        <f t="shared" si="1"/>
        <v>960.41160497356009</v>
      </c>
      <c r="E26" s="4">
        <f t="shared" si="0"/>
        <v>0.99957142857142856</v>
      </c>
      <c r="F26" s="18"/>
      <c r="G26" s="1">
        <v>20</v>
      </c>
      <c r="I26" s="4"/>
    </row>
    <row r="27" spans="1:9">
      <c r="A27" s="1">
        <v>21</v>
      </c>
      <c r="B27" s="40"/>
      <c r="C27" s="24"/>
      <c r="D27" s="18">
        <f t="shared" si="1"/>
        <v>960</v>
      </c>
      <c r="E27" s="4">
        <f t="shared" si="0"/>
        <v>1</v>
      </c>
      <c r="F27" s="18"/>
      <c r="G27" s="1">
        <v>21</v>
      </c>
      <c r="I27" s="4"/>
    </row>
    <row r="28" spans="1:9">
      <c r="A28" s="1">
        <v>22</v>
      </c>
      <c r="B28" s="40"/>
      <c r="C28" s="24"/>
      <c r="D28" s="18">
        <f t="shared" si="1"/>
        <v>960</v>
      </c>
      <c r="E28" s="4">
        <f t="shared" si="0"/>
        <v>1</v>
      </c>
      <c r="F28" s="18"/>
      <c r="G28" s="1">
        <v>22</v>
      </c>
      <c r="I28" s="4"/>
    </row>
    <row r="29" spans="1:9">
      <c r="A29" s="1">
        <v>23</v>
      </c>
      <c r="B29" s="40"/>
      <c r="C29" s="24"/>
      <c r="D29" s="18">
        <f t="shared" si="1"/>
        <v>960</v>
      </c>
      <c r="E29" s="4">
        <f t="shared" si="0"/>
        <v>1</v>
      </c>
      <c r="F29" s="18"/>
      <c r="G29" s="1">
        <v>23</v>
      </c>
      <c r="I29" s="4"/>
    </row>
    <row r="30" spans="1:9">
      <c r="A30" s="1">
        <v>24</v>
      </c>
      <c r="B30" s="40"/>
      <c r="C30" s="24"/>
      <c r="D30" s="18">
        <f t="shared" si="1"/>
        <v>960</v>
      </c>
      <c r="E30" s="4">
        <f t="shared" si="0"/>
        <v>1</v>
      </c>
      <c r="F30" s="18"/>
      <c r="G30" s="1">
        <v>24</v>
      </c>
      <c r="I30" s="4"/>
    </row>
    <row r="31" spans="1:9">
      <c r="A31" s="1">
        <v>25</v>
      </c>
      <c r="B31" s="40"/>
      <c r="C31" s="24"/>
      <c r="D31" s="18">
        <f t="shared" si="1"/>
        <v>960</v>
      </c>
      <c r="E31" s="4">
        <f t="shared" si="0"/>
        <v>1</v>
      </c>
      <c r="F31" s="18"/>
      <c r="G31" s="1">
        <v>25</v>
      </c>
      <c r="I31" s="4"/>
    </row>
    <row r="32" spans="1:9">
      <c r="A32" s="1">
        <v>26</v>
      </c>
      <c r="B32" s="40"/>
      <c r="C32" s="24"/>
      <c r="D32" s="18">
        <f t="shared" si="1"/>
        <v>960</v>
      </c>
      <c r="E32" s="4">
        <f t="shared" si="0"/>
        <v>1</v>
      </c>
      <c r="F32" s="18"/>
      <c r="G32" s="1">
        <v>26</v>
      </c>
      <c r="I32" s="4"/>
    </row>
    <row r="33" spans="1:16">
      <c r="A33" s="1">
        <v>27</v>
      </c>
      <c r="B33" s="40"/>
      <c r="C33" s="18"/>
      <c r="D33" s="18">
        <f t="shared" si="1"/>
        <v>960</v>
      </c>
      <c r="E33" s="4">
        <f t="shared" si="0"/>
        <v>1</v>
      </c>
      <c r="F33" s="18"/>
      <c r="G33" s="1">
        <v>27</v>
      </c>
      <c r="I33" s="4"/>
    </row>
    <row r="34" spans="1:16">
      <c r="A34" s="1">
        <v>28</v>
      </c>
      <c r="B34" s="40"/>
      <c r="C34" s="18"/>
      <c r="D34" s="18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18"/>
      <c r="G34" s="1">
        <v>28</v>
      </c>
      <c r="I34" s="4"/>
    </row>
    <row r="35" spans="1:16">
      <c r="A35" s="1">
        <v>29</v>
      </c>
      <c r="B35" s="40"/>
      <c r="C35" s="18"/>
      <c r="D35" s="18">
        <f t="shared" si="1"/>
        <v>962.22050886661532</v>
      </c>
      <c r="E35" s="4">
        <f t="shared" si="2"/>
        <v>0.99769230769230766</v>
      </c>
      <c r="F35" s="18"/>
      <c r="G35" s="1">
        <v>29</v>
      </c>
      <c r="I35" s="4"/>
    </row>
    <row r="36" spans="1:16">
      <c r="A36" s="1">
        <v>30</v>
      </c>
      <c r="B36" s="40"/>
      <c r="C36" s="18"/>
      <c r="D36" s="18">
        <f t="shared" si="1"/>
        <v>963.9546858908343</v>
      </c>
      <c r="E36" s="4">
        <f t="shared" si="2"/>
        <v>0.99589743589743585</v>
      </c>
      <c r="F36" s="18"/>
      <c r="G36" s="1">
        <v>30</v>
      </c>
      <c r="I36" s="4"/>
    </row>
    <row r="37" spans="1:16">
      <c r="A37" s="1">
        <v>31</v>
      </c>
      <c r="B37" s="40"/>
      <c r="C37" s="18"/>
      <c r="D37" s="18">
        <f t="shared" si="1"/>
        <v>966.19354838709671</v>
      </c>
      <c r="E37" s="4">
        <f t="shared" si="2"/>
        <v>0.99358974358974361</v>
      </c>
      <c r="F37" s="18"/>
      <c r="G37" s="1">
        <v>31</v>
      </c>
      <c r="I37" s="4"/>
    </row>
    <row r="38" spans="1:16">
      <c r="A38" s="1">
        <v>32</v>
      </c>
      <c r="B38" s="40"/>
      <c r="C38" s="18"/>
      <c r="D38" s="18">
        <f t="shared" si="1"/>
        <v>968.94409937888202</v>
      </c>
      <c r="E38" s="4">
        <f t="shared" si="2"/>
        <v>0.99076923076923074</v>
      </c>
      <c r="F38" s="18"/>
      <c r="G38" s="1">
        <v>32</v>
      </c>
      <c r="I38" s="4"/>
    </row>
    <row r="39" spans="1:16">
      <c r="A39" s="1">
        <v>33</v>
      </c>
      <c r="B39" s="40"/>
      <c r="C39" s="18"/>
      <c r="D39" s="18">
        <f t="shared" si="1"/>
        <v>972.21500908854841</v>
      </c>
      <c r="E39" s="4">
        <f t="shared" si="2"/>
        <v>0.98743589743589744</v>
      </c>
      <c r="F39" s="18"/>
      <c r="G39" s="1">
        <v>33</v>
      </c>
      <c r="I39" s="4"/>
    </row>
    <row r="40" spans="1:16">
      <c r="A40" s="1">
        <v>34</v>
      </c>
      <c r="B40" s="40"/>
      <c r="C40" s="18"/>
      <c r="D40" s="18">
        <f t="shared" si="1"/>
        <v>976.01668404588111</v>
      </c>
      <c r="E40" s="4">
        <f t="shared" si="2"/>
        <v>0.9835897435897436</v>
      </c>
      <c r="F40" s="18"/>
      <c r="G40" s="1">
        <v>34</v>
      </c>
      <c r="I40" s="4"/>
    </row>
    <row r="41" spans="1:16">
      <c r="A41" s="1">
        <v>35</v>
      </c>
      <c r="B41" s="40"/>
      <c r="C41" s="18"/>
      <c r="D41" s="18">
        <f t="shared" si="1"/>
        <v>980.36135113904163</v>
      </c>
      <c r="E41" s="4">
        <f t="shared" si="2"/>
        <v>0.97923076923076924</v>
      </c>
      <c r="F41" s="18"/>
      <c r="G41" s="1">
        <v>35</v>
      </c>
      <c r="H41" s="22"/>
      <c r="I41" s="4"/>
    </row>
    <row r="42" spans="1:16">
      <c r="A42" s="1">
        <v>36</v>
      </c>
      <c r="B42" s="40"/>
      <c r="C42" s="18"/>
      <c r="D42" s="18">
        <f t="shared" ref="D42:D73" si="3">E$4/E42</f>
        <v>985.26315789473688</v>
      </c>
      <c r="E42" s="4">
        <f t="shared" si="2"/>
        <v>0.97435897435897434</v>
      </c>
      <c r="F42" s="18"/>
      <c r="G42" s="1">
        <v>36</v>
      </c>
      <c r="I42" s="4"/>
    </row>
    <row r="43" spans="1:16">
      <c r="A43" s="1">
        <v>37</v>
      </c>
      <c r="B43" s="40"/>
      <c r="C43" s="18"/>
      <c r="D43" s="18">
        <f t="shared" si="3"/>
        <v>990.73829055305634</v>
      </c>
      <c r="E43" s="4">
        <f t="shared" si="2"/>
        <v>0.96897435897435902</v>
      </c>
      <c r="F43" s="18"/>
      <c r="G43" s="1">
        <v>37</v>
      </c>
      <c r="I43" s="4"/>
    </row>
    <row r="44" spans="1:16">
      <c r="A44" s="1">
        <v>38</v>
      </c>
      <c r="B44" s="40"/>
      <c r="C44" s="18"/>
      <c r="D44" s="18">
        <f t="shared" si="3"/>
        <v>996.80511182108626</v>
      </c>
      <c r="E44" s="4">
        <f t="shared" si="2"/>
        <v>0.96307692307692305</v>
      </c>
      <c r="F44" s="18"/>
      <c r="G44" s="1">
        <v>38</v>
      </c>
      <c r="I44" s="4"/>
    </row>
    <row r="45" spans="1:16">
      <c r="A45" s="1">
        <v>39</v>
      </c>
      <c r="B45" s="40"/>
      <c r="C45" s="18"/>
      <c r="D45" s="18">
        <f t="shared" si="3"/>
        <v>1003.4843205574913</v>
      </c>
      <c r="E45" s="4">
        <f t="shared" si="2"/>
        <v>0.95666666666666667</v>
      </c>
      <c r="F45" s="18"/>
      <c r="G45" s="1">
        <v>39</v>
      </c>
      <c r="I45" s="4"/>
    </row>
    <row r="46" spans="1:16">
      <c r="A46" s="1">
        <v>40</v>
      </c>
      <c r="B46" s="40"/>
      <c r="C46" s="18"/>
      <c r="D46" s="18">
        <f t="shared" si="3"/>
        <v>1010.7991360691145</v>
      </c>
      <c r="E46" s="4">
        <f t="shared" si="2"/>
        <v>0.94974358974358974</v>
      </c>
      <c r="F46" s="18"/>
      <c r="G46" s="1">
        <v>40</v>
      </c>
      <c r="H46" s="22"/>
      <c r="I46" s="4"/>
      <c r="M46" s="22"/>
      <c r="N46" s="22"/>
      <c r="O46" s="22"/>
      <c r="P46" s="22"/>
    </row>
    <row r="47" spans="1:16">
      <c r="A47" s="1">
        <v>41</v>
      </c>
      <c r="B47" s="40"/>
      <c r="C47" s="18"/>
      <c r="D47" s="18">
        <f t="shared" si="3"/>
        <v>1018.7755102040817</v>
      </c>
      <c r="E47" s="4">
        <f t="shared" si="2"/>
        <v>0.94230769230769229</v>
      </c>
      <c r="F47" s="18"/>
      <c r="G47" s="1">
        <v>41</v>
      </c>
      <c r="H47" s="22"/>
      <c r="I47" s="4"/>
      <c r="M47" s="22"/>
      <c r="N47" s="22"/>
      <c r="O47" s="22"/>
      <c r="P47" s="22"/>
    </row>
    <row r="48" spans="1:16">
      <c r="A48" s="1">
        <v>42</v>
      </c>
      <c r="B48" s="40">
        <v>0.79167824074074078</v>
      </c>
      <c r="C48" s="18">
        <f>B48*1440</f>
        <v>1140.0166666666667</v>
      </c>
      <c r="D48" s="18">
        <f t="shared" si="3"/>
        <v>1027.4423710208562</v>
      </c>
      <c r="E48" s="4">
        <f t="shared" si="2"/>
        <v>0.93435897435897441</v>
      </c>
      <c r="F48" s="18">
        <f>100*(D48/C48)</f>
        <v>90.125206153786309</v>
      </c>
      <c r="G48" s="1">
        <v>42</v>
      </c>
      <c r="H48" s="22"/>
      <c r="I48" s="4"/>
      <c r="M48" s="22"/>
      <c r="N48" s="22"/>
      <c r="O48" s="22"/>
      <c r="P48" s="22"/>
    </row>
    <row r="49" spans="1:16">
      <c r="A49" s="1">
        <v>43</v>
      </c>
      <c r="B49" s="40"/>
      <c r="C49" s="18"/>
      <c r="D49" s="18">
        <f t="shared" si="3"/>
        <v>1036.8319025200776</v>
      </c>
      <c r="E49" s="4">
        <f t="shared" si="2"/>
        <v>0.92589743589743589</v>
      </c>
      <c r="F49" s="18"/>
      <c r="G49" s="1">
        <v>43</v>
      </c>
      <c r="H49" s="22"/>
      <c r="I49" s="4"/>
      <c r="M49" s="22"/>
      <c r="N49" s="22"/>
      <c r="O49" s="22"/>
      <c r="P49" s="22"/>
    </row>
    <row r="50" spans="1:16">
      <c r="A50" s="1">
        <v>44</v>
      </c>
      <c r="B50" s="40"/>
      <c r="C50" s="18"/>
      <c r="D50" s="18">
        <f t="shared" si="3"/>
        <v>1046.979865771812</v>
      </c>
      <c r="E50" s="4">
        <f t="shared" si="2"/>
        <v>0.91692307692307695</v>
      </c>
      <c r="F50" s="18"/>
      <c r="G50" s="1">
        <v>44</v>
      </c>
      <c r="H50" s="22"/>
      <c r="I50" s="4"/>
      <c r="M50" s="22"/>
      <c r="N50" s="22"/>
      <c r="O50" s="22"/>
      <c r="P50" s="22"/>
    </row>
    <row r="51" spans="1:16">
      <c r="A51" s="1">
        <v>45</v>
      </c>
      <c r="B51" s="40">
        <v>0.79202546296296295</v>
      </c>
      <c r="C51" s="18">
        <f>B51*1440</f>
        <v>1140.5166666666667</v>
      </c>
      <c r="D51" s="18">
        <f t="shared" si="3"/>
        <v>1057.9259677875104</v>
      </c>
      <c r="E51" s="4">
        <f t="shared" si="2"/>
        <v>0.90743589743589748</v>
      </c>
      <c r="F51" s="18">
        <f>100*(D51/C51)</f>
        <v>92.75848382641</v>
      </c>
      <c r="G51" s="1">
        <v>45</v>
      </c>
      <c r="H51" s="22"/>
      <c r="I51" s="4"/>
      <c r="M51" s="22"/>
      <c r="N51" s="22"/>
      <c r="O51" s="22"/>
      <c r="P51" s="22"/>
    </row>
    <row r="52" spans="1:16">
      <c r="A52" s="1">
        <v>46</v>
      </c>
      <c r="B52" s="40"/>
      <c r="C52" s="18"/>
      <c r="D52" s="18">
        <f t="shared" si="3"/>
        <v>1069.6378830083565</v>
      </c>
      <c r="E52" s="4">
        <f t="shared" si="2"/>
        <v>0.89749999999999996</v>
      </c>
      <c r="F52" s="18"/>
      <c r="G52" s="1">
        <v>46</v>
      </c>
      <c r="H52" s="22"/>
      <c r="I52" s="4"/>
      <c r="M52" s="22"/>
      <c r="N52" s="22"/>
      <c r="O52" s="22"/>
      <c r="P52" s="22"/>
    </row>
    <row r="53" spans="1:16">
      <c r="A53" s="1">
        <v>47</v>
      </c>
      <c r="B53" s="40"/>
      <c r="C53" s="18"/>
      <c r="D53" s="18">
        <f t="shared" si="3"/>
        <v>1081.6901408450706</v>
      </c>
      <c r="E53" s="4">
        <f t="shared" si="2"/>
        <v>0.88749999999999996</v>
      </c>
      <c r="F53" s="18"/>
      <c r="G53" s="1">
        <v>47</v>
      </c>
      <c r="H53" s="22"/>
      <c r="I53" s="4"/>
      <c r="M53" s="22"/>
      <c r="N53" s="22"/>
      <c r="O53" s="22"/>
      <c r="P53" s="22"/>
    </row>
    <row r="54" spans="1:16">
      <c r="A54" s="1">
        <v>48</v>
      </c>
      <c r="B54" s="40"/>
      <c r="C54" s="18"/>
      <c r="D54" s="18">
        <f t="shared" si="3"/>
        <v>1094.017094017094</v>
      </c>
      <c r="E54" s="4">
        <f t="shared" si="2"/>
        <v>0.87749999999999995</v>
      </c>
      <c r="F54" s="18"/>
      <c r="G54" s="1">
        <v>48</v>
      </c>
      <c r="H54" s="22"/>
      <c r="I54" s="4"/>
      <c r="M54" s="22"/>
      <c r="N54" s="22"/>
      <c r="O54" s="22"/>
      <c r="P54" s="22"/>
    </row>
    <row r="55" spans="1:16">
      <c r="A55" s="1">
        <v>49</v>
      </c>
      <c r="B55" s="40">
        <v>0.82611111111111113</v>
      </c>
      <c r="C55" s="18">
        <f>B55*1440</f>
        <v>1189.6000000000001</v>
      </c>
      <c r="D55" s="18">
        <f t="shared" si="3"/>
        <v>1106.628242074928</v>
      </c>
      <c r="E55" s="4">
        <f t="shared" si="2"/>
        <v>0.86749999999999994</v>
      </c>
      <c r="F55" s="18">
        <f>100*(D55/C55)</f>
        <v>93.025238910131804</v>
      </c>
      <c r="G55" s="1">
        <v>49</v>
      </c>
      <c r="H55" s="22"/>
      <c r="I55" s="4"/>
      <c r="M55" s="22"/>
      <c r="N55" s="22"/>
      <c r="O55" s="22"/>
      <c r="P55" s="22"/>
    </row>
    <row r="56" spans="1:16">
      <c r="A56" s="1">
        <v>50</v>
      </c>
      <c r="B56" s="40"/>
      <c r="C56" s="18"/>
      <c r="D56" s="18">
        <f t="shared" si="3"/>
        <v>1119.533527696793</v>
      </c>
      <c r="E56" s="4">
        <f t="shared" si="2"/>
        <v>0.85749999999999993</v>
      </c>
      <c r="F56" s="18"/>
      <c r="G56" s="1">
        <v>50</v>
      </c>
      <c r="H56" s="22"/>
      <c r="I56" s="4"/>
      <c r="M56" s="22"/>
      <c r="N56" s="22"/>
      <c r="O56" s="22"/>
      <c r="P56" s="22"/>
    </row>
    <row r="57" spans="1:16">
      <c r="A57" s="1">
        <v>51</v>
      </c>
      <c r="B57" s="40">
        <v>0.79746527777777776</v>
      </c>
      <c r="C57" s="18">
        <f>B57*1440</f>
        <v>1148.3499999999999</v>
      </c>
      <c r="D57" s="18">
        <f t="shared" si="3"/>
        <v>1132.7433628318583</v>
      </c>
      <c r="E57" s="4">
        <f t="shared" si="2"/>
        <v>0.84750000000000003</v>
      </c>
      <c r="F57" s="18">
        <f>100*(D57/C57)</f>
        <v>98.640951176197007</v>
      </c>
      <c r="G57" s="1">
        <v>51</v>
      </c>
      <c r="I57" s="4"/>
    </row>
    <row r="58" spans="1:16">
      <c r="A58" s="1">
        <v>52</v>
      </c>
      <c r="B58" s="40"/>
      <c r="C58" s="18"/>
      <c r="D58" s="18">
        <f t="shared" si="3"/>
        <v>1146.2686567164178</v>
      </c>
      <c r="E58" s="4">
        <f t="shared" si="2"/>
        <v>0.83750000000000002</v>
      </c>
      <c r="F58" s="18"/>
      <c r="G58" s="1">
        <v>52</v>
      </c>
      <c r="I58" s="4"/>
    </row>
    <row r="59" spans="1:16">
      <c r="A59" s="1">
        <v>53</v>
      </c>
      <c r="B59" s="40"/>
      <c r="C59" s="18"/>
      <c r="D59" s="18">
        <f t="shared" si="3"/>
        <v>1160.1208459214502</v>
      </c>
      <c r="E59" s="4">
        <f t="shared" si="2"/>
        <v>0.82750000000000001</v>
      </c>
      <c r="F59" s="18"/>
      <c r="G59" s="1">
        <v>53</v>
      </c>
      <c r="I59" s="4"/>
    </row>
    <row r="60" spans="1:16">
      <c r="A60" s="1">
        <v>54</v>
      </c>
      <c r="B60" s="40"/>
      <c r="C60" s="18"/>
      <c r="D60" s="18">
        <f t="shared" si="3"/>
        <v>1174.3119266055046</v>
      </c>
      <c r="E60" s="4">
        <f t="shared" si="2"/>
        <v>0.8175</v>
      </c>
      <c r="F60" s="18"/>
      <c r="G60" s="1">
        <v>54</v>
      </c>
      <c r="I60" s="4"/>
    </row>
    <row r="61" spans="1:16">
      <c r="A61" s="1">
        <v>55</v>
      </c>
      <c r="B61" s="40"/>
      <c r="C61" s="18"/>
      <c r="D61" s="18">
        <f t="shared" si="3"/>
        <v>1189.0164604466243</v>
      </c>
      <c r="E61" s="4">
        <f t="shared" si="2"/>
        <v>0.80739000000000005</v>
      </c>
      <c r="F61" s="18"/>
      <c r="G61" s="1">
        <v>55</v>
      </c>
      <c r="H61" s="22"/>
      <c r="I61" s="4"/>
    </row>
    <row r="62" spans="1:16">
      <c r="A62" s="1">
        <v>56</v>
      </c>
      <c r="B62" s="40"/>
      <c r="C62" s="18"/>
      <c r="D62" s="18">
        <f t="shared" si="3"/>
        <v>1204.4262665294959</v>
      </c>
      <c r="E62" s="4">
        <f t="shared" si="2"/>
        <v>0.79705999999999999</v>
      </c>
      <c r="F62" s="18"/>
      <c r="G62" s="1">
        <v>56</v>
      </c>
      <c r="I62" s="4"/>
    </row>
    <row r="63" spans="1:16">
      <c r="A63" s="1">
        <v>57</v>
      </c>
      <c r="B63" s="40"/>
      <c r="C63" s="18"/>
      <c r="D63" s="18">
        <f t="shared" si="3"/>
        <v>1220.5820650722812</v>
      </c>
      <c r="E63" s="4">
        <f t="shared" si="2"/>
        <v>0.78651000000000004</v>
      </c>
      <c r="F63" s="18"/>
      <c r="G63" s="1">
        <v>57</v>
      </c>
      <c r="I63" s="4"/>
    </row>
    <row r="64" spans="1:16">
      <c r="A64" s="1">
        <v>58</v>
      </c>
      <c r="B64" s="40"/>
      <c r="C64" s="18"/>
      <c r="D64" s="18">
        <f t="shared" si="3"/>
        <v>1237.5280377446052</v>
      </c>
      <c r="E64" s="4">
        <f t="shared" si="2"/>
        <v>0.77573999999999999</v>
      </c>
      <c r="F64" s="18"/>
      <c r="G64" s="1">
        <v>58</v>
      </c>
      <c r="I64" s="4"/>
    </row>
    <row r="65" spans="1:9">
      <c r="A65" s="1">
        <v>59</v>
      </c>
      <c r="B65" s="40"/>
      <c r="C65" s="18"/>
      <c r="D65" s="18">
        <f t="shared" si="3"/>
        <v>1255.3121935272964</v>
      </c>
      <c r="E65" s="4">
        <f t="shared" si="2"/>
        <v>0.76475000000000004</v>
      </c>
      <c r="F65" s="18"/>
      <c r="G65" s="1">
        <v>59</v>
      </c>
      <c r="I65" s="4"/>
    </row>
    <row r="66" spans="1:9">
      <c r="A66" s="1">
        <v>60</v>
      </c>
      <c r="B66" s="40"/>
      <c r="C66" s="18"/>
      <c r="D66" s="18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18"/>
      <c r="G66" s="1">
        <v>60</v>
      </c>
      <c r="H66" s="22"/>
      <c r="I66" s="4"/>
    </row>
    <row r="67" spans="1:9">
      <c r="A67" s="1">
        <v>61</v>
      </c>
      <c r="B67" s="40"/>
      <c r="C67" s="18"/>
      <c r="D67" s="18">
        <f t="shared" si="3"/>
        <v>1293.6087641993774</v>
      </c>
      <c r="E67" s="4">
        <f t="shared" si="4"/>
        <v>0.74211000000000005</v>
      </c>
      <c r="F67" s="18"/>
      <c r="G67" s="1">
        <v>61</v>
      </c>
      <c r="I67" s="4"/>
    </row>
    <row r="68" spans="1:9">
      <c r="A68" s="1">
        <v>62</v>
      </c>
      <c r="B68" s="40"/>
      <c r="C68" s="18"/>
      <c r="D68" s="18">
        <f t="shared" si="3"/>
        <v>1314.2403417024889</v>
      </c>
      <c r="E68" s="4">
        <f t="shared" si="4"/>
        <v>0.73046</v>
      </c>
      <c r="F68" s="18"/>
      <c r="G68" s="1">
        <v>62</v>
      </c>
      <c r="I68" s="4"/>
    </row>
    <row r="69" spans="1:9">
      <c r="A69" s="1">
        <v>63</v>
      </c>
      <c r="B69" s="40"/>
      <c r="C69" s="18"/>
      <c r="D69" s="18">
        <f t="shared" si="3"/>
        <v>1335.9495679038116</v>
      </c>
      <c r="E69" s="4">
        <f t="shared" si="4"/>
        <v>0.71859000000000006</v>
      </c>
      <c r="F69" s="18"/>
      <c r="G69" s="1">
        <v>63</v>
      </c>
      <c r="I69" s="4"/>
    </row>
    <row r="70" spans="1:9">
      <c r="A70" s="1">
        <v>64</v>
      </c>
      <c r="B70" s="40"/>
      <c r="C70" s="18"/>
      <c r="D70" s="18">
        <f t="shared" si="3"/>
        <v>1358.8110403397027</v>
      </c>
      <c r="E70" s="4">
        <f t="shared" si="4"/>
        <v>0.70650000000000002</v>
      </c>
      <c r="F70" s="18"/>
      <c r="G70" s="1">
        <v>64</v>
      </c>
      <c r="I70" s="4"/>
    </row>
    <row r="71" spans="1:9">
      <c r="A71" s="1">
        <v>65</v>
      </c>
      <c r="B71" s="40"/>
      <c r="C71" s="18"/>
      <c r="D71" s="18">
        <f t="shared" si="3"/>
        <v>1382.9066970137858</v>
      </c>
      <c r="E71" s="4">
        <f t="shared" si="4"/>
        <v>0.69419000000000008</v>
      </c>
      <c r="F71" s="18"/>
      <c r="G71" s="1">
        <v>65</v>
      </c>
      <c r="H71" s="22"/>
      <c r="I71" s="4"/>
    </row>
    <row r="72" spans="1:9">
      <c r="A72" s="1">
        <v>66</v>
      </c>
      <c r="B72" s="40"/>
      <c r="C72" s="18"/>
      <c r="D72" s="18">
        <f t="shared" si="3"/>
        <v>1408.3267318017781</v>
      </c>
      <c r="E72" s="4">
        <f t="shared" si="4"/>
        <v>0.68165999999999993</v>
      </c>
      <c r="F72" s="18"/>
      <c r="G72" s="1">
        <v>66</v>
      </c>
      <c r="I72" s="4"/>
    </row>
    <row r="73" spans="1:9">
      <c r="A73" s="1">
        <v>67</v>
      </c>
      <c r="B73" s="40"/>
      <c r="C73" s="18"/>
      <c r="D73" s="18">
        <f t="shared" si="3"/>
        <v>1435.1706507601918</v>
      </c>
      <c r="E73" s="4">
        <f t="shared" si="4"/>
        <v>0.66891</v>
      </c>
      <c r="F73" s="18"/>
      <c r="G73" s="1">
        <v>67</v>
      </c>
      <c r="I73" s="4"/>
    </row>
    <row r="74" spans="1:9">
      <c r="A74" s="1">
        <v>68</v>
      </c>
      <c r="B74" s="40"/>
      <c r="C74" s="18"/>
      <c r="D74" s="18">
        <f t="shared" ref="D74:D105" si="5">E$4/E74</f>
        <v>1463.5484952892034</v>
      </c>
      <c r="E74" s="4">
        <f t="shared" si="4"/>
        <v>0.65593999999999997</v>
      </c>
      <c r="F74" s="18"/>
      <c r="G74" s="1">
        <v>68</v>
      </c>
      <c r="I74" s="4"/>
    </row>
    <row r="75" spans="1:9">
      <c r="A75" s="1">
        <v>69</v>
      </c>
      <c r="B75" s="40"/>
      <c r="C75" s="18"/>
      <c r="D75" s="18">
        <f t="shared" si="5"/>
        <v>1493.5822637106187</v>
      </c>
      <c r="E75" s="4">
        <f t="shared" si="4"/>
        <v>0.64274999999999993</v>
      </c>
      <c r="F75" s="18"/>
      <c r="G75" s="1">
        <v>69</v>
      </c>
      <c r="I75" s="4"/>
    </row>
    <row r="76" spans="1:9">
      <c r="A76" s="1">
        <v>70</v>
      </c>
      <c r="B76" s="40"/>
      <c r="C76" s="18"/>
      <c r="D76" s="18">
        <f t="shared" si="5"/>
        <v>1525.4075698350653</v>
      </c>
      <c r="E76" s="4">
        <f t="shared" si="4"/>
        <v>0.62934000000000001</v>
      </c>
      <c r="F76" s="18"/>
      <c r="G76" s="1">
        <v>70</v>
      </c>
      <c r="H76" s="22"/>
      <c r="I76" s="4"/>
    </row>
    <row r="77" spans="1:9">
      <c r="A77" s="1">
        <v>71</v>
      </c>
      <c r="B77" s="40"/>
      <c r="C77" s="18"/>
      <c r="D77" s="18">
        <f t="shared" si="5"/>
        <v>1559.1755859089508</v>
      </c>
      <c r="E77" s="4">
        <f t="shared" si="4"/>
        <v>0.61570999999999998</v>
      </c>
      <c r="F77" s="18"/>
      <c r="G77" s="1">
        <v>71</v>
      </c>
      <c r="I77" s="4"/>
    </row>
    <row r="78" spans="1:9">
      <c r="A78" s="1">
        <v>72</v>
      </c>
      <c r="B78" s="40"/>
      <c r="C78" s="18"/>
      <c r="D78" s="18">
        <f t="shared" si="5"/>
        <v>1595.0553284817067</v>
      </c>
      <c r="E78" s="4">
        <f t="shared" si="4"/>
        <v>0.60185999999999995</v>
      </c>
      <c r="F78" s="18"/>
      <c r="G78" s="1">
        <v>72</v>
      </c>
      <c r="I78" s="4"/>
    </row>
    <row r="79" spans="1:9">
      <c r="A79" s="1">
        <v>73</v>
      </c>
      <c r="B79" s="40"/>
      <c r="C79" s="18"/>
      <c r="D79" s="18">
        <f t="shared" si="5"/>
        <v>1633.2363599244629</v>
      </c>
      <c r="E79" s="4">
        <f t="shared" si="4"/>
        <v>0.58778999999999992</v>
      </c>
      <c r="F79" s="18"/>
      <c r="G79" s="1">
        <v>73</v>
      </c>
      <c r="I79" s="4"/>
    </row>
    <row r="80" spans="1:9">
      <c r="A80" s="1">
        <v>74</v>
      </c>
      <c r="B80" s="40"/>
      <c r="C80" s="18"/>
      <c r="D80" s="18">
        <f t="shared" si="5"/>
        <v>1673.9319965126419</v>
      </c>
      <c r="E80" s="4">
        <f t="shared" si="4"/>
        <v>0.5734999999999999</v>
      </c>
      <c r="F80" s="18"/>
      <c r="G80" s="1">
        <v>74</v>
      </c>
      <c r="I80" s="4"/>
    </row>
    <row r="81" spans="1:9">
      <c r="A81" s="1">
        <v>75</v>
      </c>
      <c r="B81" s="40"/>
      <c r="C81" s="18"/>
      <c r="D81" s="18">
        <f t="shared" si="5"/>
        <v>1717.3831374443189</v>
      </c>
      <c r="E81" s="4">
        <f t="shared" si="4"/>
        <v>0.5589900000000001</v>
      </c>
      <c r="F81" s="18"/>
      <c r="G81" s="1">
        <v>75</v>
      </c>
      <c r="I81" s="4"/>
    </row>
    <row r="82" spans="1:9">
      <c r="A82" s="1">
        <v>76</v>
      </c>
      <c r="B82" s="40"/>
      <c r="C82" s="18"/>
      <c r="D82" s="18">
        <f t="shared" si="5"/>
        <v>1763.8628596626613</v>
      </c>
      <c r="E82" s="4">
        <f t="shared" si="4"/>
        <v>0.54425999999999997</v>
      </c>
      <c r="F82" s="18"/>
      <c r="G82" s="1">
        <v>76</v>
      </c>
      <c r="I82" s="4"/>
    </row>
    <row r="83" spans="1:9">
      <c r="A83" s="1">
        <v>77</v>
      </c>
      <c r="B83" s="40"/>
      <c r="C83" s="18"/>
      <c r="D83" s="18">
        <f t="shared" si="5"/>
        <v>1813.6819633107255</v>
      </c>
      <c r="E83" s="4">
        <f t="shared" si="4"/>
        <v>0.52930999999999995</v>
      </c>
      <c r="F83" s="18"/>
      <c r="G83" s="1">
        <v>77</v>
      </c>
      <c r="I83" s="4"/>
    </row>
    <row r="84" spans="1:9">
      <c r="A84" s="1">
        <v>78</v>
      </c>
      <c r="B84" s="40"/>
      <c r="C84" s="18"/>
      <c r="D84" s="18">
        <f t="shared" si="5"/>
        <v>1867.1957054498773</v>
      </c>
      <c r="E84" s="4">
        <f t="shared" si="4"/>
        <v>0.51414000000000004</v>
      </c>
      <c r="F84" s="18"/>
      <c r="G84" s="1">
        <v>78</v>
      </c>
      <c r="I84" s="4"/>
    </row>
    <row r="85" spans="1:9">
      <c r="A85" s="1">
        <v>79</v>
      </c>
      <c r="B85" s="40"/>
      <c r="C85" s="18"/>
      <c r="D85" s="18">
        <f t="shared" si="5"/>
        <v>1924.812030075188</v>
      </c>
      <c r="E85" s="4">
        <f t="shared" si="4"/>
        <v>0.49875000000000003</v>
      </c>
      <c r="F85" s="18"/>
      <c r="G85" s="1">
        <v>79</v>
      </c>
      <c r="I85" s="4"/>
    </row>
    <row r="86" spans="1:9">
      <c r="A86" s="1">
        <v>80</v>
      </c>
      <c r="B86" s="40"/>
      <c r="C86" s="18"/>
      <c r="D86" s="18">
        <f t="shared" si="5"/>
        <v>1987.0016972306164</v>
      </c>
      <c r="E86" s="4">
        <f t="shared" si="4"/>
        <v>0.48314000000000001</v>
      </c>
      <c r="F86" s="18"/>
      <c r="G86" s="1">
        <v>80</v>
      </c>
      <c r="H86" s="22"/>
      <c r="I86" s="4"/>
    </row>
    <row r="87" spans="1:9">
      <c r="A87" s="1">
        <v>81</v>
      </c>
      <c r="B87" s="40"/>
      <c r="C87" s="18"/>
      <c r="D87" s="18">
        <f t="shared" si="5"/>
        <v>2054.3108429094177</v>
      </c>
      <c r="E87" s="4">
        <f t="shared" si="4"/>
        <v>0.46731</v>
      </c>
      <c r="F87" s="18"/>
      <c r="G87" s="1">
        <v>81</v>
      </c>
      <c r="I87" s="4"/>
    </row>
    <row r="88" spans="1:9">
      <c r="A88" s="1">
        <v>82</v>
      </c>
      <c r="B88" s="40"/>
      <c r="C88" s="18"/>
      <c r="D88" s="18">
        <f t="shared" si="5"/>
        <v>2127.3766786331607</v>
      </c>
      <c r="E88" s="4">
        <f t="shared" si="4"/>
        <v>0.45125999999999999</v>
      </c>
      <c r="F88" s="18"/>
      <c r="G88" s="1">
        <v>82</v>
      </c>
      <c r="I88" s="4"/>
    </row>
    <row r="89" spans="1:9">
      <c r="A89" s="1">
        <v>83</v>
      </c>
      <c r="B89" s="40"/>
      <c r="C89" s="18"/>
      <c r="D89" s="18">
        <f t="shared" si="5"/>
        <v>2206.9472861445092</v>
      </c>
      <c r="E89" s="4">
        <f t="shared" si="4"/>
        <v>0.43498999999999999</v>
      </c>
      <c r="F89" s="18"/>
      <c r="G89" s="1">
        <v>83</v>
      </c>
      <c r="I89" s="4"/>
    </row>
    <row r="90" spans="1:9">
      <c r="A90" s="1">
        <v>84</v>
      </c>
      <c r="B90" s="40"/>
      <c r="C90" s="18"/>
      <c r="D90" s="18">
        <f t="shared" si="5"/>
        <v>2293.9068100358422</v>
      </c>
      <c r="E90" s="4">
        <f t="shared" si="4"/>
        <v>0.41849999999999998</v>
      </c>
      <c r="F90" s="18"/>
      <c r="G90" s="1">
        <v>84</v>
      </c>
      <c r="I90" s="4"/>
    </row>
    <row r="91" spans="1:9">
      <c r="A91" s="1">
        <v>85</v>
      </c>
      <c r="B91" s="40"/>
      <c r="C91" s="18"/>
      <c r="D91" s="18">
        <f t="shared" si="5"/>
        <v>2389.3078473829614</v>
      </c>
      <c r="E91" s="4">
        <f t="shared" si="4"/>
        <v>0.40178999999999998</v>
      </c>
      <c r="F91" s="18"/>
      <c r="G91" s="1">
        <v>85</v>
      </c>
      <c r="H91" s="22"/>
      <c r="I91" s="4"/>
    </row>
    <row r="92" spans="1:9">
      <c r="A92" s="1">
        <v>86</v>
      </c>
      <c r="B92" s="40"/>
      <c r="C92" s="18"/>
      <c r="D92" s="18">
        <f t="shared" si="5"/>
        <v>2494.4135529803048</v>
      </c>
      <c r="E92" s="4">
        <f t="shared" si="4"/>
        <v>0.38485999999999998</v>
      </c>
      <c r="F92" s="18"/>
      <c r="G92" s="1">
        <v>86</v>
      </c>
      <c r="I92" s="4"/>
    </row>
    <row r="93" spans="1:9">
      <c r="A93" s="1">
        <v>87</v>
      </c>
      <c r="B93" s="40"/>
      <c r="C93" s="18"/>
      <c r="D93" s="18">
        <f t="shared" si="5"/>
        <v>2610.7530390797097</v>
      </c>
      <c r="E93" s="4">
        <f t="shared" si="4"/>
        <v>0.36770999999999998</v>
      </c>
      <c r="F93" s="18"/>
      <c r="G93" s="1">
        <v>87</v>
      </c>
      <c r="I93" s="4"/>
    </row>
    <row r="94" spans="1:9">
      <c r="A94" s="1">
        <v>88</v>
      </c>
      <c r="B94" s="40"/>
      <c r="C94" s="18"/>
      <c r="D94" s="18">
        <f t="shared" si="5"/>
        <v>2740.1952389107714</v>
      </c>
      <c r="E94" s="4">
        <f t="shared" si="4"/>
        <v>0.3503400000000001</v>
      </c>
      <c r="F94" s="18"/>
      <c r="G94" s="1">
        <v>88</v>
      </c>
      <c r="I94" s="4"/>
    </row>
    <row r="95" spans="1:9">
      <c r="A95" s="1">
        <v>89</v>
      </c>
      <c r="B95" s="40"/>
      <c r="C95" s="24"/>
      <c r="D95" s="18">
        <f t="shared" si="5"/>
        <v>2885.0488354620588</v>
      </c>
      <c r="E95" s="4">
        <f t="shared" si="4"/>
        <v>0.33274999999999999</v>
      </c>
      <c r="F95" s="18"/>
      <c r="G95" s="1">
        <v>89</v>
      </c>
      <c r="I95" s="4"/>
    </row>
    <row r="96" spans="1:9">
      <c r="A96" s="1">
        <v>90</v>
      </c>
      <c r="B96" s="40"/>
      <c r="C96" s="24"/>
      <c r="D96" s="18">
        <f t="shared" si="5"/>
        <v>3048.1996570775386</v>
      </c>
      <c r="E96" s="4">
        <f t="shared" si="4"/>
        <v>0.31494</v>
      </c>
      <c r="F96" s="18"/>
      <c r="G96" s="1">
        <v>90</v>
      </c>
      <c r="I96" s="4"/>
    </row>
    <row r="97" spans="1:9">
      <c r="A97" s="1">
        <v>91</v>
      </c>
      <c r="B97" s="39"/>
      <c r="C97" s="24"/>
      <c r="D97" s="18">
        <f t="shared" si="5"/>
        <v>3233.3030211175101</v>
      </c>
      <c r="E97" s="4">
        <f t="shared" si="4"/>
        <v>0.29691000000000001</v>
      </c>
      <c r="F97" s="18"/>
      <c r="G97" s="1">
        <v>91</v>
      </c>
      <c r="I97" s="4"/>
    </row>
    <row r="98" spans="1:9">
      <c r="A98" s="1">
        <v>92</v>
      </c>
      <c r="B98" s="39"/>
      <c r="C98" s="24"/>
      <c r="D98" s="18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18"/>
      <c r="G98" s="1">
        <v>92</v>
      </c>
      <c r="I98" s="4"/>
    </row>
    <row r="99" spans="1:9">
      <c r="A99" s="1">
        <v>93</v>
      </c>
      <c r="B99" s="39"/>
      <c r="C99" s="24"/>
      <c r="D99" s="18">
        <f t="shared" si="5"/>
        <v>3689.6114377954582</v>
      </c>
      <c r="E99" s="4">
        <f t="shared" si="6"/>
        <v>0.26018999999999992</v>
      </c>
      <c r="F99" s="18"/>
      <c r="G99" s="1">
        <v>93</v>
      </c>
      <c r="I99" s="4"/>
    </row>
    <row r="100" spans="1:9">
      <c r="A100" s="1">
        <v>94</v>
      </c>
      <c r="B100" s="39"/>
      <c r="C100" s="24"/>
      <c r="D100" s="18">
        <f t="shared" si="5"/>
        <v>3975.1552795031066</v>
      </c>
      <c r="E100" s="4">
        <f t="shared" si="6"/>
        <v>0.24149999999999994</v>
      </c>
      <c r="F100" s="18"/>
      <c r="G100" s="1">
        <v>94</v>
      </c>
      <c r="I100" s="4"/>
    </row>
    <row r="101" spans="1:9">
      <c r="A101" s="1">
        <v>95</v>
      </c>
      <c r="B101" s="39"/>
      <c r="C101" s="24"/>
      <c r="D101" s="18">
        <f t="shared" si="5"/>
        <v>4312.8622130374242</v>
      </c>
      <c r="E101" s="4">
        <f t="shared" si="6"/>
        <v>0.22258999999999995</v>
      </c>
      <c r="F101" s="18"/>
      <c r="G101" s="1">
        <v>95</v>
      </c>
      <c r="I101" s="4"/>
    </row>
    <row r="102" spans="1:9">
      <c r="A102" s="1">
        <v>96</v>
      </c>
      <c r="B102" s="39"/>
      <c r="C102" s="24"/>
      <c r="D102" s="18">
        <f t="shared" si="5"/>
        <v>4718.3721616042467</v>
      </c>
      <c r="E102" s="4">
        <f t="shared" si="6"/>
        <v>0.20345999999999997</v>
      </c>
      <c r="F102" s="18"/>
      <c r="G102" s="1">
        <v>96</v>
      </c>
      <c r="I102" s="4"/>
    </row>
    <row r="103" spans="1:9">
      <c r="A103" s="1">
        <v>97</v>
      </c>
      <c r="B103" s="39"/>
      <c r="C103" s="24"/>
      <c r="D103" s="18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9"/>
      <c r="C104" s="24"/>
      <c r="D104" s="18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4"/>
      <c r="D105" s="18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8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>
      <c r="D107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7"/>
  <sheetViews>
    <sheetView tabSelected="1" zoomScale="87" zoomScaleNormal="87" workbookViewId="0">
      <pane xSplit="1" ySplit="5" topLeftCell="B30" activePane="bottomRight" state="frozen"/>
      <selection pane="topRight"/>
      <selection pane="bottomLeft"/>
      <selection pane="bottomRight" activeCell="A107" sqref="A107"/>
    </sheetView>
  </sheetViews>
  <sheetFormatPr defaultColWidth="11.44140625" defaultRowHeight="15"/>
  <cols>
    <col min="1" max="1" width="9.33203125" style="1" customWidth="1"/>
    <col min="2" max="16384" width="11.44140625" style="1"/>
  </cols>
  <sheetData>
    <row r="1" spans="1:26" ht="24" thickBot="1">
      <c r="A1" s="43" t="s">
        <v>2371</v>
      </c>
      <c r="B1" s="43"/>
      <c r="C1" s="43"/>
      <c r="D1" s="43"/>
    </row>
    <row r="2" spans="1:26" ht="15.75" thickBot="1">
      <c r="A2" s="44" t="s">
        <v>52</v>
      </c>
      <c r="B2" s="454" t="s">
        <v>2384</v>
      </c>
      <c r="C2" s="144" t="s">
        <v>931</v>
      </c>
      <c r="D2" s="45" t="s">
        <v>2385</v>
      </c>
      <c r="E2" s="45" t="s">
        <v>108</v>
      </c>
      <c r="F2" s="45" t="s">
        <v>109</v>
      </c>
      <c r="G2" s="45" t="s">
        <v>110</v>
      </c>
      <c r="H2" s="45" t="s">
        <v>111</v>
      </c>
      <c r="I2" s="45" t="s">
        <v>112</v>
      </c>
      <c r="J2" s="45" t="s">
        <v>113</v>
      </c>
      <c r="K2" s="45" t="s">
        <v>2353</v>
      </c>
      <c r="L2" s="45" t="s">
        <v>114</v>
      </c>
      <c r="M2" s="45" t="s">
        <v>115</v>
      </c>
      <c r="N2" s="45" t="s">
        <v>116</v>
      </c>
      <c r="O2" s="45" t="s">
        <v>117</v>
      </c>
      <c r="P2" s="45" t="s">
        <v>9</v>
      </c>
      <c r="Q2" s="45" t="s">
        <v>118</v>
      </c>
      <c r="R2" s="45" t="s">
        <v>119</v>
      </c>
      <c r="S2" s="45" t="s">
        <v>10</v>
      </c>
      <c r="T2" s="45" t="s">
        <v>80</v>
      </c>
      <c r="U2" s="45" t="s">
        <v>120</v>
      </c>
      <c r="V2" s="45" t="s">
        <v>121</v>
      </c>
      <c r="W2" s="45" t="s">
        <v>122</v>
      </c>
      <c r="X2" s="45" t="s">
        <v>123</v>
      </c>
      <c r="Y2" s="45" t="s">
        <v>124</v>
      </c>
      <c r="Z2" s="46"/>
    </row>
    <row r="3" spans="1:26">
      <c r="A3" s="453" t="s">
        <v>0</v>
      </c>
      <c r="B3" s="45">
        <f>Parameters!B13</f>
        <v>1</v>
      </c>
      <c r="C3" s="45">
        <f>Parameters!B14</f>
        <v>1.6093440000000001</v>
      </c>
      <c r="D3" s="45">
        <f>Parameters!B15</f>
        <v>3</v>
      </c>
      <c r="E3" s="45">
        <f>Parameters!B16</f>
        <v>5</v>
      </c>
      <c r="F3" s="45">
        <f>Parameters!B17</f>
        <v>6</v>
      </c>
      <c r="G3" s="45">
        <f>Parameters!B18</f>
        <v>6.4373760000000004</v>
      </c>
      <c r="H3" s="45">
        <f>Parameters!B19</f>
        <v>8</v>
      </c>
      <c r="I3" s="47">
        <f>Parameters!B20</f>
        <v>8.0467200000000005</v>
      </c>
      <c r="J3" s="45">
        <f>Parameters!B21</f>
        <v>10</v>
      </c>
      <c r="K3" s="47">
        <f>Parameters!B22</f>
        <v>11.265408000000001</v>
      </c>
      <c r="L3" s="45">
        <f>Parameters!B23</f>
        <v>12</v>
      </c>
      <c r="M3" s="45">
        <f>Parameters!B24</f>
        <v>15</v>
      </c>
      <c r="N3" s="45">
        <f>Parameters!B25</f>
        <v>16.093440000000001</v>
      </c>
      <c r="O3" s="45">
        <f>Parameters!B26</f>
        <v>20</v>
      </c>
      <c r="P3" s="45">
        <f>Parameters!B27</f>
        <v>21.0975</v>
      </c>
      <c r="Q3" s="45">
        <f>Parameters!B28</f>
        <v>25</v>
      </c>
      <c r="R3" s="45">
        <f>Parameters!B29</f>
        <v>30</v>
      </c>
      <c r="S3" s="45">
        <f>Parameters!B30</f>
        <v>42.195</v>
      </c>
      <c r="T3" s="479">
        <f>Parameters!$B31</f>
        <v>50</v>
      </c>
      <c r="U3" s="47">
        <f>Parameters!$B32</f>
        <v>80.467200000000005</v>
      </c>
      <c r="V3" s="479">
        <f>Parameters!$B33</f>
        <v>100</v>
      </c>
      <c r="W3" s="479">
        <f>Parameters!$B34</f>
        <v>150</v>
      </c>
      <c r="X3" s="47">
        <f>Parameters!$B35</f>
        <v>160.93440000000001</v>
      </c>
      <c r="Y3" s="479">
        <f>Parameters!$B36</f>
        <v>200</v>
      </c>
      <c r="Z3" s="46"/>
    </row>
    <row r="4" spans="1:26">
      <c r="A4" s="469" t="s">
        <v>106</v>
      </c>
      <c r="B4" s="473">
        <f>Parameters!H13</f>
        <v>160</v>
      </c>
      <c r="C4" s="465">
        <f>Parameters!H14</f>
        <v>261</v>
      </c>
      <c r="D4" s="49">
        <f>Parameters!H15</f>
        <v>494.99999999999994</v>
      </c>
      <c r="E4" s="49">
        <f>Parameters!H16</f>
        <v>834</v>
      </c>
      <c r="F4" s="49">
        <f>Parameters!H17</f>
        <v>1008</v>
      </c>
      <c r="G4" s="49">
        <f>Parameters!H18</f>
        <v>1087</v>
      </c>
      <c r="H4" s="49">
        <f>Parameters!$H19</f>
        <v>1365</v>
      </c>
      <c r="I4" s="49">
        <f>Parameters!H20</f>
        <v>1375</v>
      </c>
      <c r="J4" s="49">
        <f>Parameters!$H21</f>
        <v>1726.0000000000002</v>
      </c>
      <c r="K4" s="49">
        <f>Parameters!H22</f>
        <v>1950</v>
      </c>
      <c r="L4" s="49">
        <f>Parameters!$H23</f>
        <v>2084</v>
      </c>
      <c r="M4" s="49">
        <f>Parameters!$H24</f>
        <v>2629</v>
      </c>
      <c r="N4" s="49">
        <f>Parameters!$H25</f>
        <v>2832.0000000000005</v>
      </c>
      <c r="O4" s="49">
        <f>Parameters!$H26</f>
        <v>3557</v>
      </c>
      <c r="P4" s="49">
        <f>Parameters!$H27</f>
        <v>3772</v>
      </c>
      <c r="Q4" s="49">
        <f>Parameters!$H28</f>
        <v>4500</v>
      </c>
      <c r="R4" s="49">
        <f>Parameters!$H29</f>
        <v>5450</v>
      </c>
      <c r="S4" s="49">
        <f>Parameters!$H30</f>
        <v>7796</v>
      </c>
      <c r="T4" s="49">
        <f>Parameters!$H31</f>
        <v>9390</v>
      </c>
      <c r="U4" s="49">
        <f>Parameters!$H32</f>
        <v>17100</v>
      </c>
      <c r="V4" s="49">
        <f>Parameters!$H33</f>
        <v>23590.999999999996</v>
      </c>
      <c r="W4" s="49">
        <f>Parameters!$H34</f>
        <v>39700</v>
      </c>
      <c r="X4" s="49">
        <f>Parameters!$H35</f>
        <v>43500</v>
      </c>
      <c r="Y4" s="49">
        <f>Parameters!$H36</f>
        <v>57600</v>
      </c>
      <c r="Z4" s="46"/>
    </row>
    <row r="5" spans="1:26" ht="15.75" thickBot="1">
      <c r="A5" s="74" t="s">
        <v>107</v>
      </c>
      <c r="B5" s="474">
        <f>B4/86400</f>
        <v>1.8518518518518519E-3</v>
      </c>
      <c r="C5" s="463">
        <f>C4/86400</f>
        <v>3.0208333333333333E-3</v>
      </c>
      <c r="D5" s="50">
        <f>D4/86400</f>
        <v>5.7291666666666663E-3</v>
      </c>
      <c r="E5" s="50">
        <f>E4/86400</f>
        <v>9.6527777777777775E-3</v>
      </c>
      <c r="F5" s="50">
        <f>F4/86400</f>
        <v>1.1666666666666667E-2</v>
      </c>
      <c r="G5" s="50">
        <f>G4/86400</f>
        <v>1.2581018518518519E-2</v>
      </c>
      <c r="H5" s="50">
        <f t="shared" ref="H5:Y5" si="0">H4/86400</f>
        <v>1.579861111111111E-2</v>
      </c>
      <c r="I5" s="50">
        <f t="shared" si="0"/>
        <v>1.5914351851851853E-2</v>
      </c>
      <c r="J5" s="50">
        <f t="shared" si="0"/>
        <v>1.9976851851851853E-2</v>
      </c>
      <c r="K5" s="50">
        <f>K4/86400</f>
        <v>2.2569444444444444E-2</v>
      </c>
      <c r="L5" s="50">
        <f t="shared" si="0"/>
        <v>2.4120370370370372E-2</v>
      </c>
      <c r="M5" s="50">
        <f t="shared" si="0"/>
        <v>3.0428240740740742E-2</v>
      </c>
      <c r="N5" s="50">
        <f t="shared" si="0"/>
        <v>3.2777777777777781E-2</v>
      </c>
      <c r="O5" s="50">
        <f t="shared" si="0"/>
        <v>4.116898148148148E-2</v>
      </c>
      <c r="P5" s="50">
        <f t="shared" si="0"/>
        <v>4.3657407407407409E-2</v>
      </c>
      <c r="Q5" s="50">
        <f t="shared" si="0"/>
        <v>5.2083333333333336E-2</v>
      </c>
      <c r="R5" s="50">
        <f t="shared" si="0"/>
        <v>6.3078703703703706E-2</v>
      </c>
      <c r="S5" s="50">
        <f t="shared" si="0"/>
        <v>9.0231481481481482E-2</v>
      </c>
      <c r="T5" s="50">
        <f t="shared" si="0"/>
        <v>0.10868055555555556</v>
      </c>
      <c r="U5" s="50">
        <f t="shared" si="0"/>
        <v>0.19791666666666666</v>
      </c>
      <c r="V5" s="50">
        <f t="shared" si="0"/>
        <v>0.27304398148148146</v>
      </c>
      <c r="W5" s="51">
        <f t="shared" si="0"/>
        <v>0.45949074074074076</v>
      </c>
      <c r="X5" s="51">
        <f t="shared" si="0"/>
        <v>0.50347222222222221</v>
      </c>
      <c r="Y5" s="51">
        <f t="shared" si="0"/>
        <v>0.66666666666666663</v>
      </c>
      <c r="Z5" s="46"/>
    </row>
    <row r="6" spans="1:26">
      <c r="A6" s="470">
        <v>5</v>
      </c>
      <c r="B6" s="475">
        <f>ROUND(+'1K'!E11,4)</f>
        <v>0.73529999999999995</v>
      </c>
      <c r="C6" s="455">
        <f>ROUND(+Mile!E11,4)</f>
        <v>0.72199999999999998</v>
      </c>
      <c r="D6" s="53">
        <f>ROUND(+'3K'!E11,4)</f>
        <v>0.7046</v>
      </c>
      <c r="E6" s="53">
        <f>ROUND(+'5K'!E11,4)</f>
        <v>0.69030000000000002</v>
      </c>
      <c r="F6" s="53">
        <f>ROUND(+'6K'!E11,4)</f>
        <v>0.68889999999999996</v>
      </c>
      <c r="G6" s="53">
        <f>ROUND(+'4MI'!E11,4)</f>
        <v>0.68840000000000001</v>
      </c>
      <c r="H6" s="53">
        <f>ROUND(+'8K'!$E11,4)</f>
        <v>0.68669999999999998</v>
      </c>
      <c r="I6" s="53">
        <f>ROUND(+'5MI'!E11,4)</f>
        <v>0.68669999999999998</v>
      </c>
      <c r="J6" s="53">
        <f>ROUND(+'10K'!$E11,4)</f>
        <v>0.68500000000000005</v>
      </c>
      <c r="K6" s="53">
        <f>ROUND(+'7MI'!$E11,4)</f>
        <v>0.67269999999999996</v>
      </c>
      <c r="L6" s="53">
        <f>ROUND(+'12K'!$E11,4)</f>
        <v>0.66620000000000001</v>
      </c>
      <c r="M6" s="53">
        <f>ROUND(+'15K'!$E11,4)</f>
        <v>0.64319999999999999</v>
      </c>
      <c r="N6" s="53">
        <f>ROUND(+'10MI'!$E11,4)</f>
        <v>0.63590000000000002</v>
      </c>
      <c r="O6" s="53">
        <f>ROUND(+'20K'!$E11,4)</f>
        <v>0.61350000000000005</v>
      </c>
      <c r="P6" s="53">
        <f>ROUND(+H.Marathon!$E11,4)</f>
        <v>0.60799999999999998</v>
      </c>
      <c r="Q6" s="53">
        <f>ROUND(+'25K'!$E11,4)</f>
        <v>0.59150000000000003</v>
      </c>
      <c r="R6" s="53">
        <f>ROUND(+'30K'!$E11,4)</f>
        <v>0.57369999999999999</v>
      </c>
      <c r="S6" s="53">
        <f>ROUND(+Marathon!$E11,4)</f>
        <v>0.54049999999999998</v>
      </c>
      <c r="T6" s="53">
        <f>ROUND(+Marathon!$E11,4)</f>
        <v>0.54049999999999998</v>
      </c>
      <c r="U6" s="53">
        <f>ROUND(+Marathon!$E11,4)</f>
        <v>0.54049999999999998</v>
      </c>
      <c r="V6" s="53">
        <f>ROUND(+Marathon!$E11,4)</f>
        <v>0.54049999999999998</v>
      </c>
      <c r="W6" s="53">
        <f>ROUND(+Marathon!$E11,4)</f>
        <v>0.54049999999999998</v>
      </c>
      <c r="X6" s="53">
        <f>ROUND(+Marathon!$E11,4)</f>
        <v>0.54049999999999998</v>
      </c>
      <c r="Y6" s="53">
        <f>ROUND(+Marathon!$E11,4)</f>
        <v>0.54049999999999998</v>
      </c>
      <c r="Z6" s="46"/>
    </row>
    <row r="7" spans="1:26">
      <c r="A7" s="469">
        <v>6</v>
      </c>
      <c r="B7" s="476">
        <f>ROUND(+'1K'!E12,4)</f>
        <v>0.76349999999999996</v>
      </c>
      <c r="C7" s="457">
        <f>ROUND(+Mile!E12,4)</f>
        <v>0.75129999999999997</v>
      </c>
      <c r="D7" s="54">
        <f>ROUND(+'3K'!E12,4)</f>
        <v>0.73529999999999995</v>
      </c>
      <c r="E7" s="54">
        <f>ROUND(+'5K'!E12,4)</f>
        <v>0.72219999999999995</v>
      </c>
      <c r="F7" s="54">
        <f>ROUND(+'6K'!E12,4)</f>
        <v>0.72119999999999995</v>
      </c>
      <c r="G7" s="54">
        <f>ROUND(+'4MI'!E12,4)</f>
        <v>0.7208</v>
      </c>
      <c r="H7" s="54">
        <f>ROUND(+'8K'!$E12,4)</f>
        <v>0.71960000000000002</v>
      </c>
      <c r="I7" s="54">
        <f>ROUND(+'5MI'!E12,4)</f>
        <v>0.71950000000000003</v>
      </c>
      <c r="J7" s="54">
        <f>ROUND(+'10K'!$E12,4)</f>
        <v>0.71830000000000005</v>
      </c>
      <c r="K7" s="54">
        <f>ROUND(+'7MI'!$E12,4)</f>
        <v>0.70699999999999996</v>
      </c>
      <c r="L7" s="55">
        <f>ROUND(+'12K'!$E12,4)</f>
        <v>0.70099999999999996</v>
      </c>
      <c r="M7" s="54">
        <f>ROUND(+'15K'!$E12,4)</f>
        <v>0.67979999999999996</v>
      </c>
      <c r="N7" s="54">
        <f>ROUND(+'10MI'!$E12,4)</f>
        <v>0.67310000000000003</v>
      </c>
      <c r="O7" s="54">
        <f>ROUND(+'20K'!$E12,4)</f>
        <v>0.65249999999999997</v>
      </c>
      <c r="P7" s="54">
        <f>ROUND(+H.Marathon!$E12,4)</f>
        <v>0.64739999999999998</v>
      </c>
      <c r="Q7" s="54">
        <f>ROUND(+'25K'!$E12,4)</f>
        <v>0.63270000000000004</v>
      </c>
      <c r="R7" s="54">
        <f>ROUND(+'30K'!$E12,4)</f>
        <v>0.6169</v>
      </c>
      <c r="S7" s="54">
        <f>ROUND(+Marathon!$E12,4)</f>
        <v>0.58740000000000003</v>
      </c>
      <c r="T7" s="54">
        <f>ROUND(+Marathon!$E12,4)</f>
        <v>0.58740000000000003</v>
      </c>
      <c r="U7" s="54">
        <f>ROUND(+Marathon!$E12,4)</f>
        <v>0.58740000000000003</v>
      </c>
      <c r="V7" s="54">
        <f>ROUND(+Marathon!$E12,4)</f>
        <v>0.58740000000000003</v>
      </c>
      <c r="W7" s="54">
        <f>ROUND(+Marathon!$E12,4)</f>
        <v>0.58740000000000003</v>
      </c>
      <c r="X7" s="54">
        <f>ROUND(+Marathon!$E12,4)</f>
        <v>0.58740000000000003</v>
      </c>
      <c r="Y7" s="54">
        <f>ROUND(+Marathon!$E12,4)</f>
        <v>0.58740000000000003</v>
      </c>
      <c r="Z7" s="46"/>
    </row>
    <row r="8" spans="1:26">
      <c r="A8" s="469">
        <v>7</v>
      </c>
      <c r="B8" s="476">
        <f>ROUND(+'1K'!E13,4)</f>
        <v>0.7903</v>
      </c>
      <c r="C8" s="457">
        <f>ROUND(+Mile!E13,4)</f>
        <v>0.7792</v>
      </c>
      <c r="D8" s="54">
        <f>ROUND(+'3K'!E13,4)</f>
        <v>0.76459999999999995</v>
      </c>
      <c r="E8" s="54">
        <f>ROUND(+'5K'!E13,4)</f>
        <v>0.75270000000000004</v>
      </c>
      <c r="F8" s="54">
        <f>ROUND(+'6K'!E13,4)</f>
        <v>0.75190000000000001</v>
      </c>
      <c r="G8" s="54">
        <f>ROUND(+'4MI'!E13,4)</f>
        <v>0.75160000000000005</v>
      </c>
      <c r="H8" s="54">
        <f>ROUND(+'8K'!$E13,4)</f>
        <v>0.75070000000000003</v>
      </c>
      <c r="I8" s="54">
        <f>ROUND(+'5MI'!E13,4)</f>
        <v>0.75070000000000003</v>
      </c>
      <c r="J8" s="54">
        <f>ROUND(+'10K'!$E13,4)</f>
        <v>0.74980000000000002</v>
      </c>
      <c r="K8" s="54">
        <f>ROUND(+'7MI'!$E13,4)</f>
        <v>0.73939999999999995</v>
      </c>
      <c r="L8" s="55">
        <f>ROUND(+'12K'!$E13,4)</f>
        <v>0.7339</v>
      </c>
      <c r="M8" s="54">
        <f>ROUND(+'15K'!$E13,4)</f>
        <v>0.71440000000000003</v>
      </c>
      <c r="N8" s="54">
        <f>ROUND(+'10MI'!$E13,4)</f>
        <v>0.70830000000000004</v>
      </c>
      <c r="O8" s="54">
        <f>ROUND(+'20K'!$E13,4)</f>
        <v>0.68940000000000001</v>
      </c>
      <c r="P8" s="54">
        <f>ROUND(+H.Marathon!$E13,4)</f>
        <v>0.68469999999999998</v>
      </c>
      <c r="Q8" s="54">
        <f>ROUND(+'25K'!$E13,4)</f>
        <v>0.67159999999999997</v>
      </c>
      <c r="R8" s="54">
        <f>ROUND(+'30K'!$E13,4)</f>
        <v>0.65749999999999997</v>
      </c>
      <c r="S8" s="54">
        <f>ROUND(+Marathon!$E13,4)</f>
        <v>0.63109999999999999</v>
      </c>
      <c r="T8" s="54">
        <f>ROUND(+Marathon!$E13,4)</f>
        <v>0.63109999999999999</v>
      </c>
      <c r="U8" s="54">
        <f>ROUND(+Marathon!$E13,4)</f>
        <v>0.63109999999999999</v>
      </c>
      <c r="V8" s="54">
        <f>ROUND(+Marathon!$E13,4)</f>
        <v>0.63109999999999999</v>
      </c>
      <c r="W8" s="54">
        <f>ROUND(+Marathon!$E13,4)</f>
        <v>0.63109999999999999</v>
      </c>
      <c r="X8" s="54">
        <f>ROUND(+Marathon!$E13,4)</f>
        <v>0.63109999999999999</v>
      </c>
      <c r="Y8" s="54">
        <f>ROUND(+Marathon!$E13,4)</f>
        <v>0.63109999999999999</v>
      </c>
      <c r="Z8" s="46"/>
    </row>
    <row r="9" spans="1:26">
      <c r="A9" s="469">
        <v>8</v>
      </c>
      <c r="B9" s="476">
        <f>ROUND(+'1K'!E14,4)</f>
        <v>0.81579999999999997</v>
      </c>
      <c r="C9" s="457">
        <f>ROUND(+Mile!E14,4)</f>
        <v>0.80569999999999997</v>
      </c>
      <c r="D9" s="54">
        <f>ROUND(+'3K'!E14,4)</f>
        <v>0.79249999999999998</v>
      </c>
      <c r="E9" s="54">
        <f>ROUND(+'5K'!E14,4)</f>
        <v>0.78159999999999996</v>
      </c>
      <c r="F9" s="54">
        <f>ROUND(+'6K'!E14,4)</f>
        <v>0.78100000000000003</v>
      </c>
      <c r="G9" s="54">
        <f>ROUND(+'4MI'!E14,4)</f>
        <v>0.78080000000000005</v>
      </c>
      <c r="H9" s="54">
        <f>ROUND(+'8K'!$E14,4)</f>
        <v>0.78010000000000002</v>
      </c>
      <c r="I9" s="54">
        <f>ROUND(+'5MI'!E14,4)</f>
        <v>0.78010000000000002</v>
      </c>
      <c r="J9" s="54">
        <f>ROUND(+'10K'!$E14,4)</f>
        <v>0.77939999999999998</v>
      </c>
      <c r="K9" s="54">
        <f>ROUND(+'7MI'!$E14,4)</f>
        <v>0.76990000000000003</v>
      </c>
      <c r="L9" s="55">
        <f>ROUND(+'12K'!$E14,4)</f>
        <v>0.76490000000000002</v>
      </c>
      <c r="M9" s="54">
        <f>ROUND(+'15K'!$E14,4)</f>
        <v>0.74709999999999999</v>
      </c>
      <c r="N9" s="54">
        <f>ROUND(+'10MI'!$E14,4)</f>
        <v>0.74150000000000005</v>
      </c>
      <c r="O9" s="54">
        <f>ROUND(+'20K'!$E14,4)</f>
        <v>0.72430000000000005</v>
      </c>
      <c r="P9" s="54">
        <f>ROUND(+H.Marathon!$E14,4)</f>
        <v>0.72</v>
      </c>
      <c r="Q9" s="54">
        <f>ROUND(+'25K'!$E14,4)</f>
        <v>0.70820000000000005</v>
      </c>
      <c r="R9" s="54">
        <f>ROUND(+'30K'!$E14,4)</f>
        <v>0.69550000000000001</v>
      </c>
      <c r="S9" s="54">
        <f>ROUND(+Marathon!$E14,4)</f>
        <v>0.67179999999999995</v>
      </c>
      <c r="T9" s="54">
        <f>ROUND(+Marathon!$E14,4)</f>
        <v>0.67179999999999995</v>
      </c>
      <c r="U9" s="54">
        <f>ROUND(+Marathon!$E14,4)</f>
        <v>0.67179999999999995</v>
      </c>
      <c r="V9" s="54">
        <f>ROUND(+Marathon!$E14,4)</f>
        <v>0.67179999999999995</v>
      </c>
      <c r="W9" s="54">
        <f>ROUND(+Marathon!$E14,4)</f>
        <v>0.67179999999999995</v>
      </c>
      <c r="X9" s="54">
        <f>ROUND(+Marathon!$E14,4)</f>
        <v>0.67179999999999995</v>
      </c>
      <c r="Y9" s="54">
        <f>ROUND(+Marathon!$E14,4)</f>
        <v>0.67179999999999995</v>
      </c>
      <c r="Z9" s="46"/>
    </row>
    <row r="10" spans="1:26">
      <c r="A10" s="469">
        <v>9</v>
      </c>
      <c r="B10" s="476">
        <f>ROUND(+'1K'!E15,4)</f>
        <v>0.83989999999999998</v>
      </c>
      <c r="C10" s="457">
        <f>ROUND(+Mile!E15,4)</f>
        <v>0.83079999999999998</v>
      </c>
      <c r="D10" s="54">
        <f>ROUND(+'3K'!E15,4)</f>
        <v>0.81889999999999996</v>
      </c>
      <c r="E10" s="54">
        <f>ROUND(+'5K'!E15,4)</f>
        <v>0.80910000000000004</v>
      </c>
      <c r="F10" s="54">
        <f>ROUND(+'6K'!E15,4)</f>
        <v>0.80859999999999999</v>
      </c>
      <c r="G10" s="54">
        <f>ROUND(+'4MI'!E15,4)</f>
        <v>0.80840000000000001</v>
      </c>
      <c r="H10" s="54">
        <f>ROUND(+'8K'!$E15,4)</f>
        <v>0.80779999999999996</v>
      </c>
      <c r="I10" s="54">
        <f>ROUND(+'5MI'!E15,4)</f>
        <v>0.80779999999999996</v>
      </c>
      <c r="J10" s="54">
        <f>ROUND(+'10K'!$E15,4)</f>
        <v>0.80720000000000003</v>
      </c>
      <c r="K10" s="54">
        <f>ROUND(+'7MI'!$E15,4)</f>
        <v>0.79859999999999998</v>
      </c>
      <c r="L10" s="55">
        <f>ROUND(+'12K'!$E15,4)</f>
        <v>0.79400000000000004</v>
      </c>
      <c r="M10" s="54">
        <f>ROUND(+'15K'!$E15,4)</f>
        <v>0.77790000000000004</v>
      </c>
      <c r="N10" s="54">
        <f>ROUND(+'10MI'!$E15,4)</f>
        <v>0.77280000000000004</v>
      </c>
      <c r="O10" s="54">
        <f>ROUND(+'20K'!$E15,4)</f>
        <v>0.75719999999999998</v>
      </c>
      <c r="P10" s="54">
        <f>ROUND(+H.Marathon!$E15,4)</f>
        <v>0.75329999999999997</v>
      </c>
      <c r="Q10" s="54">
        <f>ROUND(+'25K'!$E15,4)</f>
        <v>0.74250000000000005</v>
      </c>
      <c r="R10" s="54">
        <f>ROUND(+'30K'!$E15,4)</f>
        <v>0.73099999999999998</v>
      </c>
      <c r="S10" s="54">
        <f>ROUND(+Marathon!$E15,4)</f>
        <v>0.70930000000000004</v>
      </c>
      <c r="T10" s="54">
        <f>ROUND(+Marathon!$E15,4)</f>
        <v>0.70930000000000004</v>
      </c>
      <c r="U10" s="54">
        <f>ROUND(+Marathon!$E15,4)</f>
        <v>0.70930000000000004</v>
      </c>
      <c r="V10" s="54">
        <f>ROUND(+Marathon!$E15,4)</f>
        <v>0.70930000000000004</v>
      </c>
      <c r="W10" s="54">
        <f>ROUND(+Marathon!$E15,4)</f>
        <v>0.70930000000000004</v>
      </c>
      <c r="X10" s="54">
        <f>ROUND(+Marathon!$E15,4)</f>
        <v>0.70930000000000004</v>
      </c>
      <c r="Y10" s="54">
        <f>ROUND(+Marathon!$E15,4)</f>
        <v>0.70930000000000004</v>
      </c>
      <c r="Z10" s="46"/>
    </row>
    <row r="11" spans="1:26">
      <c r="A11" s="471">
        <v>10</v>
      </c>
      <c r="B11" s="477">
        <f>ROUND(+'1K'!E16,4)</f>
        <v>0.86260000000000003</v>
      </c>
      <c r="C11" s="456">
        <f>ROUND(+Mile!E16,4)</f>
        <v>0.85450000000000004</v>
      </c>
      <c r="D11" s="57">
        <f>ROUND(+'3K'!E16,4)</f>
        <v>0.84379999999999999</v>
      </c>
      <c r="E11" s="57">
        <f>ROUND(+'5K'!E16,4)</f>
        <v>0.83509999999999995</v>
      </c>
      <c r="F11" s="57">
        <f>ROUND(+'6K'!E16,4)</f>
        <v>0.83460000000000001</v>
      </c>
      <c r="G11" s="57">
        <f>ROUND(+'4MI'!E16,4)</f>
        <v>0.83440000000000003</v>
      </c>
      <c r="H11" s="57">
        <f>ROUND(+'8K'!$E16,4)</f>
        <v>0.83389999999999997</v>
      </c>
      <c r="I11" s="57">
        <f>ROUND(+'5MI'!E16,4)</f>
        <v>0.83389999999999997</v>
      </c>
      <c r="J11" s="57">
        <f>ROUND(+'10K'!$E16,4)</f>
        <v>0.83330000000000004</v>
      </c>
      <c r="K11" s="57">
        <f>ROUND(+'7MI'!$E16,4)</f>
        <v>0.82550000000000001</v>
      </c>
      <c r="L11" s="57">
        <f>ROUND(+'12K'!$E16,4)</f>
        <v>0.82140000000000002</v>
      </c>
      <c r="M11" s="57">
        <f>ROUND(+'15K'!$E16,4)</f>
        <v>0.80679999999999996</v>
      </c>
      <c r="N11" s="57">
        <f>ROUND(+'10MI'!$E16,4)</f>
        <v>0.80220000000000002</v>
      </c>
      <c r="O11" s="57">
        <f>ROUND(+'20K'!$E16,4)</f>
        <v>0.78800000000000003</v>
      </c>
      <c r="P11" s="57">
        <f>ROUND(+H.Marathon!$E16,4)</f>
        <v>0.78449999999999998</v>
      </c>
      <c r="Q11" s="57">
        <f>ROUND(+'25K'!$E16,4)</f>
        <v>0.77449999999999997</v>
      </c>
      <c r="R11" s="57">
        <f>ROUND(+'30K'!$E16,4)</f>
        <v>0.76380000000000003</v>
      </c>
      <c r="S11" s="57">
        <f>ROUND(+Marathon!$E16,4)</f>
        <v>0.74380000000000002</v>
      </c>
      <c r="T11" s="57">
        <f>ROUND(+Marathon!$E16,4)</f>
        <v>0.74380000000000002</v>
      </c>
      <c r="U11" s="57">
        <f>ROUND(+Marathon!$E16,4)</f>
        <v>0.74380000000000002</v>
      </c>
      <c r="V11" s="57">
        <f>ROUND(+Marathon!$E16,4)</f>
        <v>0.74380000000000002</v>
      </c>
      <c r="W11" s="57">
        <f>ROUND(+Marathon!$E16,4)</f>
        <v>0.74380000000000002</v>
      </c>
      <c r="X11" s="57">
        <f>ROUND(+Marathon!$E16,4)</f>
        <v>0.74380000000000002</v>
      </c>
      <c r="Y11" s="57">
        <f>ROUND(+Marathon!$E16,4)</f>
        <v>0.74380000000000002</v>
      </c>
      <c r="Z11" s="46"/>
    </row>
    <row r="12" spans="1:26">
      <c r="A12" s="469">
        <v>11</v>
      </c>
      <c r="B12" s="476">
        <f>ROUND(+'1K'!E17,4)</f>
        <v>0.88400000000000001</v>
      </c>
      <c r="C12" s="457">
        <f>ROUND(+Mile!E17,4)</f>
        <v>0.87680000000000002</v>
      </c>
      <c r="D12" s="54">
        <f>ROUND(+'3K'!E17,4)</f>
        <v>0.86739999999999995</v>
      </c>
      <c r="E12" s="54">
        <f>ROUND(+'5K'!E17,4)</f>
        <v>0.85960000000000003</v>
      </c>
      <c r="F12" s="54">
        <f>ROUND(+'6K'!E17,4)</f>
        <v>0.85899999999999999</v>
      </c>
      <c r="G12" s="54">
        <f>ROUND(+'4MI'!E17,4)</f>
        <v>0.85880000000000001</v>
      </c>
      <c r="H12" s="54">
        <f>ROUND(+'8K'!$E17,4)</f>
        <v>0.85809999999999997</v>
      </c>
      <c r="I12" s="54">
        <f>ROUND(+'5MI'!E17,4)</f>
        <v>0.85809999999999997</v>
      </c>
      <c r="J12" s="54">
        <f>ROUND(+'10K'!$E17,4)</f>
        <v>0.85740000000000005</v>
      </c>
      <c r="K12" s="54">
        <f>ROUND(+'7MI'!$E17,4)</f>
        <v>0.85040000000000004</v>
      </c>
      <c r="L12" s="55">
        <f>ROUND(+'12K'!$E17,4)</f>
        <v>0.84670000000000001</v>
      </c>
      <c r="M12" s="54">
        <f>ROUND(+'15K'!$E17,4)</f>
        <v>0.8337</v>
      </c>
      <c r="N12" s="54">
        <f>ROUND(+'10MI'!$E17,4)</f>
        <v>0.82950000000000002</v>
      </c>
      <c r="O12" s="54">
        <f>ROUND(+'20K'!$E17,4)</f>
        <v>0.81679999999999997</v>
      </c>
      <c r="P12" s="54">
        <f>ROUND(+H.Marathon!$E17,4)</f>
        <v>0.81369999999999998</v>
      </c>
      <c r="Q12" s="54">
        <f>ROUND(+'25K'!$E17,4)</f>
        <v>0.80420000000000003</v>
      </c>
      <c r="R12" s="54">
        <f>ROUND(+'30K'!$E17,4)</f>
        <v>0.79410000000000003</v>
      </c>
      <c r="S12" s="54">
        <f>ROUND(+Marathon!$E17,4)</f>
        <v>0.77510000000000001</v>
      </c>
      <c r="T12" s="54">
        <f>ROUND(+Marathon!$E17,4)</f>
        <v>0.77510000000000001</v>
      </c>
      <c r="U12" s="54">
        <f>ROUND(+Marathon!$E17,4)</f>
        <v>0.77510000000000001</v>
      </c>
      <c r="V12" s="54">
        <f>ROUND(+Marathon!$E17,4)</f>
        <v>0.77510000000000001</v>
      </c>
      <c r="W12" s="54">
        <f>ROUND(+Marathon!$E17,4)</f>
        <v>0.77510000000000001</v>
      </c>
      <c r="X12" s="54">
        <f>ROUND(+Marathon!$E17,4)</f>
        <v>0.77510000000000001</v>
      </c>
      <c r="Y12" s="54">
        <f>ROUND(+Marathon!$E17,4)</f>
        <v>0.77510000000000001</v>
      </c>
      <c r="Z12" s="46"/>
    </row>
    <row r="13" spans="1:26">
      <c r="A13" s="469">
        <v>12</v>
      </c>
      <c r="B13" s="476">
        <f>ROUND(+'1K'!E18,4)</f>
        <v>0.90400000000000003</v>
      </c>
      <c r="C13" s="457">
        <f>ROUND(+Mile!E18,4)</f>
        <v>0.89770000000000005</v>
      </c>
      <c r="D13" s="54">
        <f>ROUND(+'3K'!E18,4)</f>
        <v>0.88949999999999996</v>
      </c>
      <c r="E13" s="54">
        <f>ROUND(+'5K'!E18,4)</f>
        <v>0.88270000000000004</v>
      </c>
      <c r="F13" s="54">
        <f>ROUND(+'6K'!E18,4)</f>
        <v>0.88190000000000002</v>
      </c>
      <c r="G13" s="54">
        <f>ROUND(+'4MI'!E18,4)</f>
        <v>0.88160000000000005</v>
      </c>
      <c r="H13" s="54">
        <f>ROUND(+'8K'!$E18,4)</f>
        <v>0.88070000000000004</v>
      </c>
      <c r="I13" s="54">
        <f>ROUND(+'5MI'!E18,4)</f>
        <v>0.88070000000000004</v>
      </c>
      <c r="J13" s="54">
        <f>ROUND(+'10K'!$E18,4)</f>
        <v>0.87980000000000003</v>
      </c>
      <c r="K13" s="54">
        <f>ROUND(+'7MI'!$E18,4)</f>
        <v>0.87360000000000004</v>
      </c>
      <c r="L13" s="55">
        <f>ROUND(+'12K'!$E18,4)</f>
        <v>0.87029999999999996</v>
      </c>
      <c r="M13" s="54">
        <f>ROUND(+'15K'!$E18,4)</f>
        <v>0.85860000000000003</v>
      </c>
      <c r="N13" s="54">
        <f>ROUND(+'10MI'!$E18,4)</f>
        <v>0.85489999999999999</v>
      </c>
      <c r="O13" s="54">
        <f>ROUND(+'20K'!$E18,4)</f>
        <v>0.84360000000000002</v>
      </c>
      <c r="P13" s="54">
        <f>ROUND(+H.Marathon!$E18,4)</f>
        <v>0.84079999999999999</v>
      </c>
      <c r="Q13" s="54">
        <f>ROUND(+'25K'!$E18,4)</f>
        <v>0.83160000000000001</v>
      </c>
      <c r="R13" s="54">
        <f>ROUND(+'30K'!$E18,4)</f>
        <v>0.82179999999999997</v>
      </c>
      <c r="S13" s="54">
        <f>ROUND(+Marathon!$E18,4)</f>
        <v>0.8034</v>
      </c>
      <c r="T13" s="54">
        <f>ROUND(+Marathon!$E18,4)</f>
        <v>0.8034</v>
      </c>
      <c r="U13" s="54">
        <f>ROUND(+Marathon!$E18,4)</f>
        <v>0.8034</v>
      </c>
      <c r="V13" s="54">
        <f>ROUND(+Marathon!$E18,4)</f>
        <v>0.8034</v>
      </c>
      <c r="W13" s="54">
        <f>ROUND(+Marathon!$E18,4)</f>
        <v>0.8034</v>
      </c>
      <c r="X13" s="54">
        <f>ROUND(+Marathon!$E18,4)</f>
        <v>0.8034</v>
      </c>
      <c r="Y13" s="54">
        <f>ROUND(+Marathon!$E18,4)</f>
        <v>0.8034</v>
      </c>
      <c r="Z13" s="46"/>
    </row>
    <row r="14" spans="1:26">
      <c r="A14" s="469">
        <v>13</v>
      </c>
      <c r="B14" s="476">
        <f>ROUND(+'1K'!E19,4)</f>
        <v>0.92269999999999996</v>
      </c>
      <c r="C14" s="457">
        <f>ROUND(+Mile!E19,4)</f>
        <v>0.91720000000000002</v>
      </c>
      <c r="D14" s="54">
        <f>ROUND(+'3K'!E19,4)</f>
        <v>0.91010000000000002</v>
      </c>
      <c r="E14" s="54">
        <f>ROUND(+'5K'!E19,4)</f>
        <v>0.9042</v>
      </c>
      <c r="F14" s="54">
        <f>ROUND(+'6K'!E19,4)</f>
        <v>0.9032</v>
      </c>
      <c r="G14" s="54">
        <f>ROUND(+'4MI'!E19,4)</f>
        <v>0.90280000000000005</v>
      </c>
      <c r="H14" s="54">
        <f>ROUND(+'8K'!$E19,4)</f>
        <v>0.90159999999999996</v>
      </c>
      <c r="I14" s="54">
        <f>ROUND(+'5MI'!E19,4)</f>
        <v>0.90159999999999996</v>
      </c>
      <c r="J14" s="54">
        <f>ROUND(+'10K'!$E19,4)</f>
        <v>0.90039999999999998</v>
      </c>
      <c r="K14" s="54">
        <f>ROUND(+'7MI'!$E19,4)</f>
        <v>0.89490000000000003</v>
      </c>
      <c r="L14" s="55">
        <f>ROUND(+'12K'!$E19,4)</f>
        <v>0.89200000000000002</v>
      </c>
      <c r="M14" s="54">
        <f>ROUND(+'15K'!$E19,4)</f>
        <v>0.88170000000000004</v>
      </c>
      <c r="N14" s="54">
        <f>ROUND(+'10MI'!$E19,4)</f>
        <v>0.87839999999999996</v>
      </c>
      <c r="O14" s="54">
        <f>ROUND(+'20K'!$E19,4)</f>
        <v>0.86839999999999995</v>
      </c>
      <c r="P14" s="54">
        <f>ROUND(+H.Marathon!$E19,4)</f>
        <v>0.8659</v>
      </c>
      <c r="Q14" s="54">
        <f>ROUND(+'25K'!$E19,4)</f>
        <v>0.85670000000000002</v>
      </c>
      <c r="R14" s="54">
        <f>ROUND(+'30K'!$E19,4)</f>
        <v>0.84689999999999999</v>
      </c>
      <c r="S14" s="54">
        <f>ROUND(+Marathon!$E19,4)</f>
        <v>0.82850000000000001</v>
      </c>
      <c r="T14" s="54">
        <f>ROUND(+Marathon!$E19,4)</f>
        <v>0.82850000000000001</v>
      </c>
      <c r="U14" s="54">
        <f>ROUND(+Marathon!$E19,4)</f>
        <v>0.82850000000000001</v>
      </c>
      <c r="V14" s="54">
        <f>ROUND(+Marathon!$E19,4)</f>
        <v>0.82850000000000001</v>
      </c>
      <c r="W14" s="54">
        <f>ROUND(+Marathon!$E19,4)</f>
        <v>0.82850000000000001</v>
      </c>
      <c r="X14" s="54">
        <f>ROUND(+Marathon!$E19,4)</f>
        <v>0.82850000000000001</v>
      </c>
      <c r="Y14" s="54">
        <f>ROUND(+Marathon!$E19,4)</f>
        <v>0.82850000000000001</v>
      </c>
      <c r="Z14" s="46"/>
    </row>
    <row r="15" spans="1:26">
      <c r="A15" s="469">
        <v>14</v>
      </c>
      <c r="B15" s="476">
        <f>ROUND(+'1K'!E20,4)</f>
        <v>0.93989999999999996</v>
      </c>
      <c r="C15" s="457">
        <f>ROUND(+Mile!E20,4)</f>
        <v>0.93530000000000002</v>
      </c>
      <c r="D15" s="54">
        <f>ROUND(+'3K'!E20,4)</f>
        <v>0.92930000000000001</v>
      </c>
      <c r="E15" s="54">
        <f>ROUND(+'5K'!E20,4)</f>
        <v>0.92430000000000001</v>
      </c>
      <c r="F15" s="54">
        <f>ROUND(+'6K'!E20,4)</f>
        <v>0.92290000000000005</v>
      </c>
      <c r="G15" s="54">
        <f>ROUND(+'4MI'!E20,4)</f>
        <v>0.9224</v>
      </c>
      <c r="H15" s="54">
        <f>ROUND(+'8K'!$E20,4)</f>
        <v>0.92079999999999995</v>
      </c>
      <c r="I15" s="54">
        <f>ROUND(+'5MI'!E20,4)</f>
        <v>0.92069999999999996</v>
      </c>
      <c r="J15" s="54">
        <f>ROUND(+'10K'!$E20,4)</f>
        <v>0.91910000000000003</v>
      </c>
      <c r="K15" s="54">
        <f>ROUND(+'7MI'!$E20,4)</f>
        <v>0.9143</v>
      </c>
      <c r="L15" s="55">
        <f>ROUND(+'12K'!$E20,4)</f>
        <v>0.91169999999999995</v>
      </c>
      <c r="M15" s="54">
        <f>ROUND(+'15K'!$E20,4)</f>
        <v>0.90280000000000005</v>
      </c>
      <c r="N15" s="54">
        <f>ROUND(+'10MI'!$E20,4)</f>
        <v>0.89990000000000003</v>
      </c>
      <c r="O15" s="54">
        <f>ROUND(+'20K'!$E20,4)</f>
        <v>0.89119999999999999</v>
      </c>
      <c r="P15" s="54">
        <f>ROUND(+H.Marathon!$E20,4)</f>
        <v>0.88900000000000001</v>
      </c>
      <c r="Q15" s="54">
        <f>ROUND(+'25K'!$E20,4)</f>
        <v>0.87960000000000005</v>
      </c>
      <c r="R15" s="54">
        <f>ROUND(+'30K'!$E20,4)</f>
        <v>0.86950000000000005</v>
      </c>
      <c r="S15" s="54">
        <f>ROUND(+Marathon!$E20,4)</f>
        <v>0.85060000000000002</v>
      </c>
      <c r="T15" s="54">
        <f>ROUND(+Marathon!$E20,4)</f>
        <v>0.85060000000000002</v>
      </c>
      <c r="U15" s="54">
        <f>ROUND(+Marathon!$E20,4)</f>
        <v>0.85060000000000002</v>
      </c>
      <c r="V15" s="54">
        <f>ROUND(+Marathon!$E20,4)</f>
        <v>0.85060000000000002</v>
      </c>
      <c r="W15" s="54">
        <f>ROUND(+Marathon!$E20,4)</f>
        <v>0.85060000000000002</v>
      </c>
      <c r="X15" s="54">
        <f>ROUND(+Marathon!$E20,4)</f>
        <v>0.85060000000000002</v>
      </c>
      <c r="Y15" s="54">
        <f>ROUND(+Marathon!$E20,4)</f>
        <v>0.85060000000000002</v>
      </c>
      <c r="Z15" s="46"/>
    </row>
    <row r="16" spans="1:26">
      <c r="A16" s="471">
        <v>15</v>
      </c>
      <c r="B16" s="477">
        <f>ROUND(+'1K'!E21,4)</f>
        <v>0.95569999999999999</v>
      </c>
      <c r="C16" s="456">
        <f>ROUND(+Mile!E21,4)</f>
        <v>0.95199999999999996</v>
      </c>
      <c r="D16" s="57">
        <f>ROUND(+'3K'!E21,4)</f>
        <v>0.94720000000000004</v>
      </c>
      <c r="E16" s="57">
        <f>ROUND(+'5K'!E21,4)</f>
        <v>0.94330000000000003</v>
      </c>
      <c r="F16" s="57">
        <f>ROUND(+'6K'!E21,4)</f>
        <v>0.94140000000000001</v>
      </c>
      <c r="G16" s="57">
        <f>ROUND(+'4MI'!E21,4)</f>
        <v>0.94059999999999999</v>
      </c>
      <c r="H16" s="57">
        <f>ROUND(+'8K'!$E21,4)</f>
        <v>0.93840000000000001</v>
      </c>
      <c r="I16" s="57">
        <f>ROUND(+'5MI'!E21,4)</f>
        <v>0.93830000000000002</v>
      </c>
      <c r="J16" s="57">
        <f>ROUND(+'10K'!$E21,4)</f>
        <v>0.93600000000000005</v>
      </c>
      <c r="K16" s="57">
        <f>ROUND(+'7MI'!$E21,4)</f>
        <v>0.93189999999999995</v>
      </c>
      <c r="L16" s="57">
        <f>ROUND(+'12K'!$E21,4)</f>
        <v>0.92969999999999997</v>
      </c>
      <c r="M16" s="57">
        <f>ROUND(+'15K'!$E21,4)</f>
        <v>0.92190000000000005</v>
      </c>
      <c r="N16" s="57">
        <f>ROUND(+'10MI'!$E21,4)</f>
        <v>0.9194</v>
      </c>
      <c r="O16" s="57">
        <f>ROUND(+'20K'!$E21,4)</f>
        <v>0.91190000000000004</v>
      </c>
      <c r="P16" s="57">
        <f>ROUND(+H.Marathon!$E21,4)</f>
        <v>0.91</v>
      </c>
      <c r="Q16" s="57">
        <f>ROUND(+'25K'!$E21,4)</f>
        <v>0.90010000000000001</v>
      </c>
      <c r="R16" s="57">
        <f>ROUND(+'30K'!$E21,4)</f>
        <v>0.88939999999999997</v>
      </c>
      <c r="S16" s="57">
        <f>ROUND(+Marathon!$E21,4)</f>
        <v>0.86950000000000005</v>
      </c>
      <c r="T16" s="57">
        <f>ROUND(+Marathon!$E21,4)</f>
        <v>0.86950000000000005</v>
      </c>
      <c r="U16" s="57">
        <f>ROUND(+Marathon!$E21,4)</f>
        <v>0.86950000000000005</v>
      </c>
      <c r="V16" s="57">
        <f>ROUND(+Marathon!$E21,4)</f>
        <v>0.86950000000000005</v>
      </c>
      <c r="W16" s="57">
        <f>ROUND(+Marathon!$E21,4)</f>
        <v>0.86950000000000005</v>
      </c>
      <c r="X16" s="57">
        <f>ROUND(+Marathon!$E21,4)</f>
        <v>0.86950000000000005</v>
      </c>
      <c r="Y16" s="57">
        <f>ROUND(+Marathon!$E21,4)</f>
        <v>0.86950000000000005</v>
      </c>
      <c r="Z16" s="46"/>
    </row>
    <row r="17" spans="1:26">
      <c r="A17" s="469">
        <v>16</v>
      </c>
      <c r="B17" s="476">
        <f>ROUND(+'1K'!E22,4)</f>
        <v>0.97040000000000004</v>
      </c>
      <c r="C17" s="457">
        <f>ROUND(+Mile!E22,4)</f>
        <v>0.96799999999999997</v>
      </c>
      <c r="D17" s="54">
        <f>ROUND(+'3K'!E22,4)</f>
        <v>0.96479999999999999</v>
      </c>
      <c r="E17" s="54">
        <f>ROUND(+'5K'!E22,4)</f>
        <v>0.96220000000000006</v>
      </c>
      <c r="F17" s="54">
        <f>ROUND(+'6K'!E22,4)</f>
        <v>0.95950000000000002</v>
      </c>
      <c r="G17" s="54">
        <f>ROUND(+'4MI'!E22,4)</f>
        <v>0.95850000000000002</v>
      </c>
      <c r="H17" s="54">
        <f>ROUND(+'8K'!$E22,4)</f>
        <v>0.95530000000000004</v>
      </c>
      <c r="I17" s="54">
        <f>ROUND(+'5MI'!E22,4)</f>
        <v>0.95520000000000005</v>
      </c>
      <c r="J17" s="54">
        <f>ROUND(+'10K'!$E22,4)</f>
        <v>0.95199999999999996</v>
      </c>
      <c r="K17" s="54">
        <f>ROUND(+'7MI'!$E22,4)</f>
        <v>0.94850000000000001</v>
      </c>
      <c r="L17" s="55">
        <f>ROUND(+'12K'!$E22,4)</f>
        <v>0.9466</v>
      </c>
      <c r="M17" s="54">
        <f>ROUND(+'15K'!$E22,4)</f>
        <v>0.94010000000000005</v>
      </c>
      <c r="N17" s="54">
        <f>ROUND(+'10MI'!$E22,4)</f>
        <v>0.93799999999999994</v>
      </c>
      <c r="O17" s="54">
        <f>ROUND(+'20K'!$E22,4)</f>
        <v>0.93159999999999998</v>
      </c>
      <c r="P17" s="54">
        <f>ROUND(+H.Marathon!$E22,4)</f>
        <v>0.93</v>
      </c>
      <c r="Q17" s="54">
        <f>ROUND(+'25K'!$E22,4)</f>
        <v>0.9194</v>
      </c>
      <c r="R17" s="54">
        <f>ROUND(+'30K'!$E22,4)</f>
        <v>0.90810000000000002</v>
      </c>
      <c r="S17" s="54">
        <f>ROUND(+Marathon!$E22,4)</f>
        <v>0.88690000000000002</v>
      </c>
      <c r="T17" s="54">
        <f>ROUND(+Marathon!$E22,4)</f>
        <v>0.88690000000000002</v>
      </c>
      <c r="U17" s="54">
        <f>ROUND(+Marathon!$E22,4)</f>
        <v>0.88690000000000002</v>
      </c>
      <c r="V17" s="54">
        <f>ROUND(+Marathon!$E22,4)</f>
        <v>0.88690000000000002</v>
      </c>
      <c r="W17" s="54">
        <f>ROUND(+Marathon!$E22,4)</f>
        <v>0.88690000000000002</v>
      </c>
      <c r="X17" s="54">
        <f>ROUND(+Marathon!$E22,4)</f>
        <v>0.88690000000000002</v>
      </c>
      <c r="Y17" s="54">
        <f>ROUND(+Marathon!$E22,4)</f>
        <v>0.88690000000000002</v>
      </c>
      <c r="Z17" s="46"/>
    </row>
    <row r="18" spans="1:26">
      <c r="A18" s="469">
        <v>17</v>
      </c>
      <c r="B18" s="476">
        <f>ROUND(+'1K'!E23,4)</f>
        <v>0.98519999999999996</v>
      </c>
      <c r="C18" s="457">
        <f>ROUND(+Mile!E23,4)</f>
        <v>0.98399999999999999</v>
      </c>
      <c r="D18" s="54">
        <f>ROUND(+'3K'!E23,4)</f>
        <v>0.98240000000000005</v>
      </c>
      <c r="E18" s="54">
        <f>ROUND(+'5K'!E23,4)</f>
        <v>0.98109999999999997</v>
      </c>
      <c r="F18" s="54">
        <f>ROUND(+'6K'!E23,4)</f>
        <v>0.97770000000000001</v>
      </c>
      <c r="G18" s="54">
        <f>ROUND(+'4MI'!E23,4)</f>
        <v>0.97629999999999995</v>
      </c>
      <c r="H18" s="54">
        <f>ROUND(+'8K'!$E23,4)</f>
        <v>0.97219999999999995</v>
      </c>
      <c r="I18" s="54">
        <f>ROUND(+'5MI'!E23,4)</f>
        <v>0.97209999999999996</v>
      </c>
      <c r="J18" s="54">
        <f>ROUND(+'10K'!$E23,4)</f>
        <v>0.96799999999999997</v>
      </c>
      <c r="K18" s="54">
        <f>ROUND(+'7MI'!$E23,4)</f>
        <v>0.96509999999999996</v>
      </c>
      <c r="L18" s="55">
        <f>ROUND(+'12K'!$E23,4)</f>
        <v>0.96360000000000001</v>
      </c>
      <c r="M18" s="54">
        <f>ROUND(+'15K'!$E23,4)</f>
        <v>0.95820000000000005</v>
      </c>
      <c r="N18" s="54">
        <f>ROUND(+'10MI'!$E23,4)</f>
        <v>0.95650000000000002</v>
      </c>
      <c r="O18" s="54">
        <f>ROUND(+'20K'!$E23,4)</f>
        <v>0.95130000000000003</v>
      </c>
      <c r="P18" s="54">
        <f>ROUND(+H.Marathon!$E23,4)</f>
        <v>0.95</v>
      </c>
      <c r="Q18" s="54">
        <f>ROUND(+'25K'!$E23,4)</f>
        <v>0.93879999999999997</v>
      </c>
      <c r="R18" s="54">
        <f>ROUND(+'30K'!$E23,4)</f>
        <v>0.92679999999999996</v>
      </c>
      <c r="S18" s="54">
        <f>ROUND(+Marathon!$E23,4)</f>
        <v>0.90429999999999999</v>
      </c>
      <c r="T18" s="54">
        <f>ROUND(+Marathon!$E23,4)</f>
        <v>0.90429999999999999</v>
      </c>
      <c r="U18" s="54">
        <f>ROUND(+Marathon!$E23,4)</f>
        <v>0.90429999999999999</v>
      </c>
      <c r="V18" s="54">
        <f>ROUND(+Marathon!$E23,4)</f>
        <v>0.90429999999999999</v>
      </c>
      <c r="W18" s="54">
        <f>ROUND(+Marathon!$E23,4)</f>
        <v>0.90429999999999999</v>
      </c>
      <c r="X18" s="54">
        <f>ROUND(+Marathon!$E23,4)</f>
        <v>0.90429999999999999</v>
      </c>
      <c r="Y18" s="54">
        <f>ROUND(+Marathon!$E23,4)</f>
        <v>0.90429999999999999</v>
      </c>
      <c r="Z18" s="46"/>
    </row>
    <row r="19" spans="1:26">
      <c r="A19" s="469">
        <v>18</v>
      </c>
      <c r="B19" s="476">
        <f>ROUND(+'1K'!E24,4)</f>
        <v>0.99629999999999996</v>
      </c>
      <c r="C19" s="457">
        <f>ROUND(+Mile!E24,4)</f>
        <v>0.996</v>
      </c>
      <c r="D19" s="54">
        <f>ROUND(+'3K'!E24,4)</f>
        <v>0.99560000000000004</v>
      </c>
      <c r="E19" s="54">
        <f>ROUND(+'5K'!E24,4)</f>
        <v>0.99529999999999996</v>
      </c>
      <c r="F19" s="54">
        <f>ROUND(+'6K'!E24,4)</f>
        <v>0.99180000000000001</v>
      </c>
      <c r="G19" s="54">
        <f>ROUND(+'4MI'!E24,4)</f>
        <v>0.99050000000000005</v>
      </c>
      <c r="H19" s="54">
        <f>ROUND(+'8K'!$E24,4)</f>
        <v>0.98629999999999995</v>
      </c>
      <c r="I19" s="54">
        <f>ROUND(+'5MI'!E24,4)</f>
        <v>0.98619999999999997</v>
      </c>
      <c r="J19" s="54">
        <f>ROUND(+'10K'!$E24,4)</f>
        <v>0.98199999999999998</v>
      </c>
      <c r="K19" s="54">
        <f>ROUND(+'7MI'!$E24,4)</f>
        <v>0.9798</v>
      </c>
      <c r="L19" s="55">
        <f>ROUND(+'12K'!$E24,4)</f>
        <v>0.97860000000000003</v>
      </c>
      <c r="M19" s="54">
        <f>ROUND(+'15K'!$E24,4)</f>
        <v>0.97440000000000004</v>
      </c>
      <c r="N19" s="54">
        <f>ROUND(+'10MI'!$E24,4)</f>
        <v>0.97309999999999997</v>
      </c>
      <c r="O19" s="54">
        <f>ROUND(+'20K'!$E24,4)</f>
        <v>0.96899999999999997</v>
      </c>
      <c r="P19" s="54">
        <f>ROUND(+H.Marathon!$E24,4)</f>
        <v>0.96799999999999997</v>
      </c>
      <c r="Q19" s="54">
        <f>ROUND(+'25K'!$E24,4)</f>
        <v>0.95669999999999999</v>
      </c>
      <c r="R19" s="54">
        <f>ROUND(+'30K'!$E24,4)</f>
        <v>0.94450000000000001</v>
      </c>
      <c r="S19" s="54">
        <f>ROUND(+Marathon!$E24,4)</f>
        <v>0.92169999999999996</v>
      </c>
      <c r="T19" s="54">
        <f>ROUND(+Marathon!$E24,4)</f>
        <v>0.92169999999999996</v>
      </c>
      <c r="U19" s="54">
        <f>ROUND(+Marathon!$E24,4)</f>
        <v>0.92169999999999996</v>
      </c>
      <c r="V19" s="54">
        <f>ROUND(+Marathon!$E24,4)</f>
        <v>0.92169999999999996</v>
      </c>
      <c r="W19" s="54">
        <f>ROUND(+Marathon!$E24,4)</f>
        <v>0.92169999999999996</v>
      </c>
      <c r="X19" s="54">
        <f>ROUND(+Marathon!$E24,4)</f>
        <v>0.92169999999999996</v>
      </c>
      <c r="Y19" s="54">
        <f>ROUND(+Marathon!$E24,4)</f>
        <v>0.92169999999999996</v>
      </c>
      <c r="Z19" s="46"/>
    </row>
    <row r="20" spans="1:26">
      <c r="A20" s="469">
        <v>19</v>
      </c>
      <c r="B20" s="476">
        <f>ROUND(+'1K'!E25,4)</f>
        <v>1</v>
      </c>
      <c r="C20" s="457">
        <f>ROUND(+Mile!E25,4)</f>
        <v>1</v>
      </c>
      <c r="D20" s="54">
        <f>ROUND(+'3K'!E25,4)</f>
        <v>1</v>
      </c>
      <c r="E20" s="54">
        <f>ROUND(+'5K'!E25,4)</f>
        <v>1</v>
      </c>
      <c r="F20" s="54">
        <f>ROUND(+'6K'!E25,4)</f>
        <v>0.99790000000000001</v>
      </c>
      <c r="G20" s="54">
        <f>ROUND(+'4MI'!E25,4)</f>
        <v>0.99709999999999999</v>
      </c>
      <c r="H20" s="54">
        <f>ROUND(+'8K'!$E25,4)</f>
        <v>0.99460000000000004</v>
      </c>
      <c r="I20" s="54">
        <f>ROUND(+'5MI'!E25,4)</f>
        <v>0.99450000000000005</v>
      </c>
      <c r="J20" s="54">
        <f>ROUND(+'10K'!$E25,4)</f>
        <v>0.99199999999999999</v>
      </c>
      <c r="K20" s="54">
        <f>ROUND(+'7MI'!$E25,4)</f>
        <v>0.99039999999999995</v>
      </c>
      <c r="L20" s="55">
        <f>ROUND(+'12K'!$E25,4)</f>
        <v>0.98960000000000004</v>
      </c>
      <c r="M20" s="54">
        <f>ROUND(+'15K'!$E25,4)</f>
        <v>0.98660000000000003</v>
      </c>
      <c r="N20" s="54">
        <f>ROUND(+'10MI'!$E25,4)</f>
        <v>0.98560000000000003</v>
      </c>
      <c r="O20" s="54">
        <f>ROUND(+'20K'!$E25,4)</f>
        <v>0.98270000000000002</v>
      </c>
      <c r="P20" s="54">
        <f>ROUND(+H.Marathon!$E25,4)</f>
        <v>0.98199999999999998</v>
      </c>
      <c r="Q20" s="54">
        <f>ROUND(+'25K'!$E25,4)</f>
        <v>0.97150000000000003</v>
      </c>
      <c r="R20" s="54">
        <f>ROUND(+'30K'!$E25,4)</f>
        <v>0.96020000000000005</v>
      </c>
      <c r="S20" s="54">
        <f>ROUND(+Marathon!$E25,4)</f>
        <v>0.93910000000000005</v>
      </c>
      <c r="T20" s="54">
        <f>ROUND(+Marathon!$E25,4)</f>
        <v>0.93910000000000005</v>
      </c>
      <c r="U20" s="54">
        <f>ROUND(+Marathon!$E25,4)</f>
        <v>0.93910000000000005</v>
      </c>
      <c r="V20" s="54">
        <f>ROUND(+Marathon!$E25,4)</f>
        <v>0.93910000000000005</v>
      </c>
      <c r="W20" s="54">
        <f>ROUND(+Marathon!$E25,4)</f>
        <v>0.93910000000000005</v>
      </c>
      <c r="X20" s="54">
        <f>ROUND(+Marathon!$E25,4)</f>
        <v>0.93910000000000005</v>
      </c>
      <c r="Y20" s="54">
        <f>ROUND(+Marathon!$E25,4)</f>
        <v>0.93910000000000005</v>
      </c>
      <c r="Z20" s="46"/>
    </row>
    <row r="21" spans="1:26">
      <c r="A21" s="471">
        <v>20</v>
      </c>
      <c r="B21" s="477">
        <f>ROUND(+'1K'!E26,4)</f>
        <v>1</v>
      </c>
      <c r="C21" s="456">
        <f>ROUND(+Mile!E26,4)</f>
        <v>1</v>
      </c>
      <c r="D21" s="57">
        <f>ROUND(+'3K'!E26,4)</f>
        <v>1</v>
      </c>
      <c r="E21" s="57">
        <f>ROUND(+'5K'!E26,4)</f>
        <v>1</v>
      </c>
      <c r="F21" s="57">
        <f>ROUND(+'6K'!E26,4)</f>
        <v>0.99950000000000006</v>
      </c>
      <c r="G21" s="57">
        <f>ROUND(+'4MI'!E26,4)</f>
        <v>0.99929999999999997</v>
      </c>
      <c r="H21" s="57">
        <f>ROUND(+'8K'!$E26,4)</f>
        <v>0.99860000000000004</v>
      </c>
      <c r="I21" s="57">
        <f>ROUND(+'5MI'!E26,4)</f>
        <v>0.99860000000000004</v>
      </c>
      <c r="J21" s="57">
        <f>ROUND(+'10K'!$E26,4)</f>
        <v>0.998</v>
      </c>
      <c r="K21" s="57">
        <f>ROUND(+'7MI'!$E26,4)</f>
        <v>0.997</v>
      </c>
      <c r="L21" s="57">
        <f>ROUND(+'12K'!$E26,4)</f>
        <v>0.99650000000000005</v>
      </c>
      <c r="M21" s="57">
        <f>ROUND(+'15K'!$E26,4)</f>
        <v>0.99470000000000003</v>
      </c>
      <c r="N21" s="57">
        <f>ROUND(+'10MI'!$E26,4)</f>
        <v>0.99419999999999997</v>
      </c>
      <c r="O21" s="57">
        <f>ROUND(+'20K'!$E26,4)</f>
        <v>0.99239999999999995</v>
      </c>
      <c r="P21" s="57">
        <f>ROUND(+H.Marathon!$E26,4)</f>
        <v>0.99199999999999999</v>
      </c>
      <c r="Q21" s="57">
        <f>ROUND(+'25K'!$E26,4)</f>
        <v>0.98299999999999998</v>
      </c>
      <c r="R21" s="57">
        <f>ROUND(+'30K'!$E26,4)</f>
        <v>0.97340000000000004</v>
      </c>
      <c r="S21" s="57">
        <f>ROUND(+Marathon!$E26,4)</f>
        <v>0.95530000000000004</v>
      </c>
      <c r="T21" s="57">
        <f>ROUND(+Marathon!$E26,4)</f>
        <v>0.95530000000000004</v>
      </c>
      <c r="U21" s="57">
        <f>ROUND(+Marathon!$E26,4)</f>
        <v>0.95530000000000004</v>
      </c>
      <c r="V21" s="57">
        <f>ROUND(+Marathon!$E26,4)</f>
        <v>0.95530000000000004</v>
      </c>
      <c r="W21" s="57">
        <f>ROUND(+Marathon!$E26,4)</f>
        <v>0.95530000000000004</v>
      </c>
      <c r="X21" s="57">
        <f>ROUND(+Marathon!$E26,4)</f>
        <v>0.95530000000000004</v>
      </c>
      <c r="Y21" s="57">
        <f>ROUND(+Marathon!$E26,4)</f>
        <v>0.95530000000000004</v>
      </c>
      <c r="Z21" s="46"/>
    </row>
    <row r="22" spans="1:26">
      <c r="A22" s="469">
        <v>21</v>
      </c>
      <c r="B22" s="476">
        <f>ROUND(+'1K'!E27,4)</f>
        <v>1</v>
      </c>
      <c r="C22" s="457">
        <f>ROUND(+Mile!E27,4)</f>
        <v>1</v>
      </c>
      <c r="D22" s="54">
        <f>ROUND(+'3K'!E27,4)</f>
        <v>1</v>
      </c>
      <c r="E22" s="54">
        <f>ROUND(+'5K'!E27,4)</f>
        <v>1</v>
      </c>
      <c r="F22" s="54">
        <f>ROUND(+'6K'!E27,4)</f>
        <v>1</v>
      </c>
      <c r="G22" s="54">
        <f>ROUND(+'4MI'!E27,4)</f>
        <v>1</v>
      </c>
      <c r="H22" s="54">
        <f>ROUND(+'8K'!$E27,4)</f>
        <v>1</v>
      </c>
      <c r="I22" s="54">
        <f>ROUND(+'5MI'!E27,4)</f>
        <v>1</v>
      </c>
      <c r="J22" s="54">
        <f>ROUND(+'10K'!$E27,4)</f>
        <v>1</v>
      </c>
      <c r="K22" s="54">
        <f>ROUND(+'7MI'!$E27,4)</f>
        <v>0.99970000000000003</v>
      </c>
      <c r="L22" s="55">
        <f>ROUND(+'12K'!$E27,4)</f>
        <v>0.99950000000000006</v>
      </c>
      <c r="M22" s="54">
        <f>ROUND(+'15K'!$E27,4)</f>
        <v>0.99890000000000001</v>
      </c>
      <c r="N22" s="54">
        <f>ROUND(+'10MI'!$E27,4)</f>
        <v>0.99870000000000003</v>
      </c>
      <c r="O22" s="54">
        <f>ROUND(+'20K'!$E27,4)</f>
        <v>0.99809999999999999</v>
      </c>
      <c r="P22" s="54">
        <f>ROUND(+H.Marathon!$E27,4)</f>
        <v>0.998</v>
      </c>
      <c r="Q22" s="54">
        <f>ROUND(+'25K'!$E27,4)</f>
        <v>0.9909</v>
      </c>
      <c r="R22" s="54">
        <f>ROUND(+'30K'!$E27,4)</f>
        <v>0.98319999999999996</v>
      </c>
      <c r="S22" s="54">
        <f>ROUND(+Marathon!$E27,4)</f>
        <v>0.96889999999999998</v>
      </c>
      <c r="T22" s="54">
        <f>ROUND(+Marathon!$E27,4)</f>
        <v>0.96889999999999998</v>
      </c>
      <c r="U22" s="54">
        <f>ROUND(+Marathon!$E27,4)</f>
        <v>0.96889999999999998</v>
      </c>
      <c r="V22" s="54">
        <f>ROUND(+Marathon!$E27,4)</f>
        <v>0.96889999999999998</v>
      </c>
      <c r="W22" s="54">
        <f>ROUND(+Marathon!$E27,4)</f>
        <v>0.96889999999999998</v>
      </c>
      <c r="X22" s="54">
        <f>ROUND(+Marathon!$E27,4)</f>
        <v>0.96889999999999998</v>
      </c>
      <c r="Y22" s="54">
        <f>ROUND(+Marathon!$E27,4)</f>
        <v>0.96889999999999998</v>
      </c>
      <c r="Z22" s="46"/>
    </row>
    <row r="23" spans="1:26">
      <c r="A23" s="469">
        <v>22</v>
      </c>
      <c r="B23" s="476">
        <f>ROUND(+'1K'!E28,4)</f>
        <v>1</v>
      </c>
      <c r="C23" s="457">
        <f>ROUND(+Mile!E28,4)</f>
        <v>1</v>
      </c>
      <c r="D23" s="54">
        <f>ROUND(+'3K'!E28,4)</f>
        <v>1</v>
      </c>
      <c r="E23" s="54">
        <f>ROUND(+'5K'!E28,4)</f>
        <v>1</v>
      </c>
      <c r="F23" s="54">
        <f>ROUND(+'6K'!E28,4)</f>
        <v>1</v>
      </c>
      <c r="G23" s="54">
        <f>ROUND(+'4MI'!E28,4)</f>
        <v>1</v>
      </c>
      <c r="H23" s="54">
        <f>ROUND(+'8K'!$E28,4)</f>
        <v>1</v>
      </c>
      <c r="I23" s="54">
        <f>ROUND(+'5MI'!E28,4)</f>
        <v>1</v>
      </c>
      <c r="J23" s="54">
        <f>ROUND(+'10K'!$E28,4)</f>
        <v>1</v>
      </c>
      <c r="K23" s="54">
        <f>ROUND(+'7MI'!$E28,4)</f>
        <v>1</v>
      </c>
      <c r="L23" s="55">
        <f>ROUND(+'12K'!$E28,4)</f>
        <v>1</v>
      </c>
      <c r="M23" s="54">
        <f>ROUND(+'15K'!$E28,4)</f>
        <v>1</v>
      </c>
      <c r="N23" s="54">
        <f>ROUND(+'10MI'!$E28,4)</f>
        <v>1</v>
      </c>
      <c r="O23" s="54">
        <f>ROUND(+'20K'!$E28,4)</f>
        <v>1</v>
      </c>
      <c r="P23" s="54">
        <f>ROUND(+H.Marathon!$E28,4)</f>
        <v>1</v>
      </c>
      <c r="Q23" s="54">
        <f>ROUND(+'25K'!$E28,4)</f>
        <v>0.99509999999999998</v>
      </c>
      <c r="R23" s="54">
        <f>ROUND(+'30K'!$E28,4)</f>
        <v>0.9899</v>
      </c>
      <c r="S23" s="54">
        <f>ROUND(+Marathon!$E28,4)</f>
        <v>0.98009999999999997</v>
      </c>
      <c r="T23" s="54">
        <f>ROUND(+Marathon!$E28,4)</f>
        <v>0.98009999999999997</v>
      </c>
      <c r="U23" s="54">
        <f>ROUND(+Marathon!$E28,4)</f>
        <v>0.98009999999999997</v>
      </c>
      <c r="V23" s="54">
        <f>ROUND(+Marathon!$E28,4)</f>
        <v>0.98009999999999997</v>
      </c>
      <c r="W23" s="54">
        <f>ROUND(+Marathon!$E28,4)</f>
        <v>0.98009999999999997</v>
      </c>
      <c r="X23" s="54">
        <f>ROUND(+Marathon!$E28,4)</f>
        <v>0.98009999999999997</v>
      </c>
      <c r="Y23" s="54">
        <f>ROUND(+Marathon!$E28,4)</f>
        <v>0.98009999999999997</v>
      </c>
      <c r="Z23" s="46"/>
    </row>
    <row r="24" spans="1:26">
      <c r="A24" s="469">
        <v>23</v>
      </c>
      <c r="B24" s="476">
        <f>ROUND(+'1K'!E29,4)</f>
        <v>1</v>
      </c>
      <c r="C24" s="457">
        <f>ROUND(+Mile!E29,4)</f>
        <v>1</v>
      </c>
      <c r="D24" s="54">
        <f>ROUND(+'3K'!E29,4)</f>
        <v>1</v>
      </c>
      <c r="E24" s="54">
        <f>ROUND(+'5K'!E29,4)</f>
        <v>1</v>
      </c>
      <c r="F24" s="54">
        <f>ROUND(+'6K'!E29,4)</f>
        <v>1</v>
      </c>
      <c r="G24" s="54">
        <f>ROUND(+'4MI'!E29,4)</f>
        <v>1</v>
      </c>
      <c r="H24" s="54">
        <f>ROUND(+'8K'!$E29,4)</f>
        <v>1</v>
      </c>
      <c r="I24" s="54">
        <f>ROUND(+'5MI'!E29,4)</f>
        <v>1</v>
      </c>
      <c r="J24" s="54">
        <f>ROUND(+'10K'!$E29,4)</f>
        <v>1</v>
      </c>
      <c r="K24" s="54">
        <f>ROUND(+'7MI'!$E29,4)</f>
        <v>1</v>
      </c>
      <c r="L24" s="55">
        <f>ROUND(+'12K'!$E29,4)</f>
        <v>1</v>
      </c>
      <c r="M24" s="54">
        <f>ROUND(+'15K'!$E29,4)</f>
        <v>1</v>
      </c>
      <c r="N24" s="54">
        <f>ROUND(+'10MI'!$E29,4)</f>
        <v>1</v>
      </c>
      <c r="O24" s="54">
        <f>ROUND(+'20K'!$E29,4)</f>
        <v>1</v>
      </c>
      <c r="P24" s="54">
        <f>ROUND(+H.Marathon!$E29,4)</f>
        <v>1</v>
      </c>
      <c r="Q24" s="54">
        <f>ROUND(+'25K'!$E29,4)</f>
        <v>0.99729999999999996</v>
      </c>
      <c r="R24" s="54">
        <f>ROUND(+'30K'!$E29,4)</f>
        <v>0.99429999999999996</v>
      </c>
      <c r="S24" s="54">
        <f>ROUND(+Marathon!$E29,4)</f>
        <v>0.98880000000000001</v>
      </c>
      <c r="T24" s="54">
        <f>ROUND(+Marathon!$E29,4)</f>
        <v>0.98880000000000001</v>
      </c>
      <c r="U24" s="54">
        <f>ROUND(+Marathon!$E29,4)</f>
        <v>0.98880000000000001</v>
      </c>
      <c r="V24" s="54">
        <f>ROUND(+Marathon!$E29,4)</f>
        <v>0.98880000000000001</v>
      </c>
      <c r="W24" s="54">
        <f>ROUND(+Marathon!$E29,4)</f>
        <v>0.98880000000000001</v>
      </c>
      <c r="X24" s="54">
        <f>ROUND(+Marathon!$E29,4)</f>
        <v>0.98880000000000001</v>
      </c>
      <c r="Y24" s="54">
        <f>ROUND(+Marathon!$E29,4)</f>
        <v>0.98880000000000001</v>
      </c>
      <c r="Z24" s="46"/>
    </row>
    <row r="25" spans="1:26">
      <c r="A25" s="469">
        <v>24</v>
      </c>
      <c r="B25" s="476">
        <f>ROUND(+'1K'!E30,4)</f>
        <v>1</v>
      </c>
      <c r="C25" s="457">
        <f>ROUND(+Mile!E30,4)</f>
        <v>1</v>
      </c>
      <c r="D25" s="54">
        <f>ROUND(+'3K'!E30,4)</f>
        <v>1</v>
      </c>
      <c r="E25" s="54">
        <f>ROUND(+'5K'!E30,4)</f>
        <v>1</v>
      </c>
      <c r="F25" s="54">
        <f>ROUND(+'6K'!E30,4)</f>
        <v>1</v>
      </c>
      <c r="G25" s="54">
        <f>ROUND(+'4MI'!E30,4)</f>
        <v>1</v>
      </c>
      <c r="H25" s="54">
        <f>ROUND(+'8K'!$E30,4)</f>
        <v>1</v>
      </c>
      <c r="I25" s="54">
        <f>ROUND(+'5MI'!E30,4)</f>
        <v>1</v>
      </c>
      <c r="J25" s="54">
        <f>ROUND(+'10K'!$E30,4)</f>
        <v>1</v>
      </c>
      <c r="K25" s="54">
        <f>ROUND(+'7MI'!$E30,4)</f>
        <v>1</v>
      </c>
      <c r="L25" s="55">
        <f>ROUND(+'12K'!$E30,4)</f>
        <v>1</v>
      </c>
      <c r="M25" s="54">
        <f>ROUND(+'15K'!$E30,4)</f>
        <v>1</v>
      </c>
      <c r="N25" s="54">
        <f>ROUND(+'10MI'!$E30,4)</f>
        <v>1</v>
      </c>
      <c r="O25" s="54">
        <f>ROUND(+'20K'!$E30,4)</f>
        <v>1</v>
      </c>
      <c r="P25" s="54">
        <f>ROUND(+H.Marathon!$E30,4)</f>
        <v>1</v>
      </c>
      <c r="Q25" s="54">
        <f>ROUND(+'25K'!$E30,4)</f>
        <v>0.99880000000000002</v>
      </c>
      <c r="R25" s="54">
        <f>ROUND(+'30K'!$E30,4)</f>
        <v>0.99750000000000005</v>
      </c>
      <c r="S25" s="54">
        <f>ROUND(+Marathon!$E30,4)</f>
        <v>0.995</v>
      </c>
      <c r="T25" s="54">
        <f>ROUND(+Marathon!$E30,4)</f>
        <v>0.995</v>
      </c>
      <c r="U25" s="54">
        <f>ROUND(+Marathon!$E30,4)</f>
        <v>0.995</v>
      </c>
      <c r="V25" s="54">
        <f>ROUND(+Marathon!$E30,4)</f>
        <v>0.995</v>
      </c>
      <c r="W25" s="54">
        <f>ROUND(+Marathon!$E30,4)</f>
        <v>0.995</v>
      </c>
      <c r="X25" s="54">
        <f>ROUND(+Marathon!$E30,4)</f>
        <v>0.995</v>
      </c>
      <c r="Y25" s="54">
        <f>ROUND(+Marathon!$E30,4)</f>
        <v>0.995</v>
      </c>
      <c r="Z25" s="46"/>
    </row>
    <row r="26" spans="1:26">
      <c r="A26" s="471">
        <v>25</v>
      </c>
      <c r="B26" s="477">
        <f>ROUND(+'1K'!E31,4)</f>
        <v>1</v>
      </c>
      <c r="C26" s="456">
        <f>ROUND(+Mile!E31,4)</f>
        <v>1</v>
      </c>
      <c r="D26" s="57">
        <f>ROUND(+'3K'!E31,4)</f>
        <v>1</v>
      </c>
      <c r="E26" s="57">
        <f>ROUND(+'5K'!E31,4)</f>
        <v>1</v>
      </c>
      <c r="F26" s="57">
        <f>ROUND(+'6K'!E31,4)</f>
        <v>1</v>
      </c>
      <c r="G26" s="57">
        <f>ROUND(+'4MI'!E31,4)</f>
        <v>1</v>
      </c>
      <c r="H26" s="57">
        <f>ROUND(+'8K'!$E31,4)</f>
        <v>1</v>
      </c>
      <c r="I26" s="57">
        <f>ROUND(+'5MI'!E31,4)</f>
        <v>1</v>
      </c>
      <c r="J26" s="57">
        <f>ROUND(+'10K'!$E31,4)</f>
        <v>1</v>
      </c>
      <c r="K26" s="57">
        <f>ROUND(+'7MI'!$E31,4)</f>
        <v>1</v>
      </c>
      <c r="L26" s="57">
        <f>ROUND(+'12K'!$E31,4)</f>
        <v>1</v>
      </c>
      <c r="M26" s="57">
        <f>ROUND(+'15K'!$E31,4)</f>
        <v>1</v>
      </c>
      <c r="N26" s="57">
        <f>ROUND(+'10MI'!$E31,4)</f>
        <v>1</v>
      </c>
      <c r="O26" s="57">
        <f>ROUND(+'20K'!$E31,4)</f>
        <v>1</v>
      </c>
      <c r="P26" s="57">
        <f>ROUND(+H.Marathon!$E31,4)</f>
        <v>1</v>
      </c>
      <c r="Q26" s="57">
        <f>ROUND(+'25K'!$E31,4)</f>
        <v>0.99970000000000003</v>
      </c>
      <c r="R26" s="57">
        <f>ROUND(+'30K'!$E31,4)</f>
        <v>0.99939999999999996</v>
      </c>
      <c r="S26" s="57">
        <f>ROUND(+Marathon!$E31,4)</f>
        <v>0.99880000000000002</v>
      </c>
      <c r="T26" s="57">
        <f>ROUND(+Marathon!$E31,4)</f>
        <v>0.99880000000000002</v>
      </c>
      <c r="U26" s="57">
        <f>ROUND(+Marathon!$E31,4)</f>
        <v>0.99880000000000002</v>
      </c>
      <c r="V26" s="57">
        <f>ROUND(+Marathon!$E31,4)</f>
        <v>0.99880000000000002</v>
      </c>
      <c r="W26" s="57">
        <f>ROUND(+Marathon!$E31,4)</f>
        <v>0.99880000000000002</v>
      </c>
      <c r="X26" s="57">
        <f>ROUND(+Marathon!$E31,4)</f>
        <v>0.99880000000000002</v>
      </c>
      <c r="Y26" s="57">
        <f>ROUND(+Marathon!$E31,4)</f>
        <v>0.99880000000000002</v>
      </c>
      <c r="Z26" s="46"/>
    </row>
    <row r="27" spans="1:26">
      <c r="A27" s="469">
        <v>26</v>
      </c>
      <c r="B27" s="476">
        <f>ROUND(+'1K'!E32,4)</f>
        <v>1</v>
      </c>
      <c r="C27" s="457">
        <f>ROUND(+Mile!E32,4)</f>
        <v>1</v>
      </c>
      <c r="D27" s="54">
        <f>ROUND(+'3K'!E32,4)</f>
        <v>1</v>
      </c>
      <c r="E27" s="54">
        <f>ROUND(+'5K'!E32,4)</f>
        <v>1</v>
      </c>
      <c r="F27" s="54">
        <f>ROUND(+'6K'!E32,4)</f>
        <v>1</v>
      </c>
      <c r="G27" s="54">
        <f>ROUND(+'4MI'!E32,4)</f>
        <v>1</v>
      </c>
      <c r="H27" s="54">
        <f>ROUND(+'8K'!$E32,4)</f>
        <v>1</v>
      </c>
      <c r="I27" s="54">
        <f>ROUND(+'5MI'!E32,4)</f>
        <v>1</v>
      </c>
      <c r="J27" s="54">
        <f>ROUND(+'10K'!$E32,4)</f>
        <v>1</v>
      </c>
      <c r="K27" s="54">
        <f>ROUND(+'7MI'!$E32,4)</f>
        <v>1</v>
      </c>
      <c r="L27" s="55">
        <f>ROUND(+'12K'!$E32,4)</f>
        <v>1</v>
      </c>
      <c r="M27" s="54">
        <f>ROUND(+'15K'!$E32,4)</f>
        <v>1</v>
      </c>
      <c r="N27" s="54">
        <f>ROUND(+'10MI'!$E32,4)</f>
        <v>1</v>
      </c>
      <c r="O27" s="54">
        <f>ROUND(+'20K'!$E32,4)</f>
        <v>1</v>
      </c>
      <c r="P27" s="54">
        <f>ROUND(+H.Marathon!$E32,4)</f>
        <v>1</v>
      </c>
      <c r="Q27" s="54">
        <f>ROUND(+'25K'!$E32,4)</f>
        <v>1</v>
      </c>
      <c r="R27" s="54">
        <f>ROUND(+'30K'!$E32,4)</f>
        <v>1</v>
      </c>
      <c r="S27" s="54">
        <f>ROUND(+Marathon!$E32,4)</f>
        <v>1</v>
      </c>
      <c r="T27" s="54">
        <f>ROUND(+Marathon!$E32,4)</f>
        <v>1</v>
      </c>
      <c r="U27" s="54">
        <f>ROUND(+Marathon!$E32,4)</f>
        <v>1</v>
      </c>
      <c r="V27" s="54">
        <f>ROUND(+Marathon!$E32,4)</f>
        <v>1</v>
      </c>
      <c r="W27" s="54">
        <f>ROUND(+Marathon!$E32,4)</f>
        <v>1</v>
      </c>
      <c r="X27" s="54">
        <f>ROUND(+Marathon!$E32,4)</f>
        <v>1</v>
      </c>
      <c r="Y27" s="54">
        <f>ROUND(+Marathon!$E32,4)</f>
        <v>1</v>
      </c>
      <c r="Z27" s="46"/>
    </row>
    <row r="28" spans="1:26">
      <c r="A28" s="469">
        <v>27</v>
      </c>
      <c r="B28" s="476">
        <f>ROUND(+'1K'!E33,4)</f>
        <v>1</v>
      </c>
      <c r="C28" s="457">
        <f>ROUND(+Mile!E33,4)</f>
        <v>1</v>
      </c>
      <c r="D28" s="54">
        <f>ROUND(+'3K'!E33,4)</f>
        <v>0.99980000000000002</v>
      </c>
      <c r="E28" s="54">
        <f>ROUND(+'5K'!E33,4)</f>
        <v>0.99970000000000003</v>
      </c>
      <c r="F28" s="54">
        <f>ROUND(+'6K'!E33,4)</f>
        <v>0.99980000000000002</v>
      </c>
      <c r="G28" s="54">
        <f>ROUND(+'4MI'!E33,4)</f>
        <v>0.99980000000000002</v>
      </c>
      <c r="H28" s="54">
        <f>ROUND(+'8K'!$E33,4)</f>
        <v>0.99990000000000001</v>
      </c>
      <c r="I28" s="54">
        <f>ROUND(+'5MI'!E33,4)</f>
        <v>0.99990000000000001</v>
      </c>
      <c r="J28" s="54">
        <f>ROUND(+'10K'!$E33,4)</f>
        <v>1</v>
      </c>
      <c r="K28" s="54">
        <f>ROUND(+'7MI'!$E33,4)</f>
        <v>1</v>
      </c>
      <c r="L28" s="55">
        <f>ROUND(+'12K'!$E33,4)</f>
        <v>1</v>
      </c>
      <c r="M28" s="54">
        <f>ROUND(+'15K'!$E33,4)</f>
        <v>1</v>
      </c>
      <c r="N28" s="54">
        <f>ROUND(+'10MI'!$E33,4)</f>
        <v>1</v>
      </c>
      <c r="O28" s="54">
        <f>ROUND(+'20K'!$E33,4)</f>
        <v>1</v>
      </c>
      <c r="P28" s="54">
        <f>ROUND(+H.Marathon!$E33,4)</f>
        <v>1</v>
      </c>
      <c r="Q28" s="54">
        <f>ROUND(+'25K'!$E33,4)</f>
        <v>1</v>
      </c>
      <c r="R28" s="54">
        <f>ROUND(+'30K'!$E33,4)</f>
        <v>1</v>
      </c>
      <c r="S28" s="54">
        <f>ROUND(+Marathon!$E33,4)</f>
        <v>1</v>
      </c>
      <c r="T28" s="54">
        <f>ROUND(+Marathon!$E33,4)</f>
        <v>1</v>
      </c>
      <c r="U28" s="54">
        <f>ROUND(+Marathon!$E33,4)</f>
        <v>1</v>
      </c>
      <c r="V28" s="54">
        <f>ROUND(+Marathon!$E33,4)</f>
        <v>1</v>
      </c>
      <c r="W28" s="54">
        <f>ROUND(+Marathon!$E33,4)</f>
        <v>1</v>
      </c>
      <c r="X28" s="54">
        <f>ROUND(+Marathon!$E33,4)</f>
        <v>1</v>
      </c>
      <c r="Y28" s="54">
        <f>ROUND(+Marathon!$E33,4)</f>
        <v>1</v>
      </c>
      <c r="Z28" s="46"/>
    </row>
    <row r="29" spans="1:26">
      <c r="A29" s="469">
        <v>28</v>
      </c>
      <c r="B29" s="476">
        <f>ROUND(+'1K'!E34,4)</f>
        <v>1</v>
      </c>
      <c r="C29" s="457">
        <f>ROUND(+Mile!E34,4)</f>
        <v>1</v>
      </c>
      <c r="D29" s="54">
        <f>ROUND(+'3K'!E34,4)</f>
        <v>0.99950000000000006</v>
      </c>
      <c r="E29" s="54">
        <f>ROUND(+'5K'!E34,4)</f>
        <v>0.999</v>
      </c>
      <c r="F29" s="54">
        <f>ROUND(+'6K'!E34,4)</f>
        <v>0.99919999999999998</v>
      </c>
      <c r="G29" s="54">
        <f>ROUND(+'4MI'!E34,4)</f>
        <v>0.99929999999999997</v>
      </c>
      <c r="H29" s="54">
        <f>ROUND(+'8K'!$E34,4)</f>
        <v>0.99950000000000006</v>
      </c>
      <c r="I29" s="54">
        <f>ROUND(+'5MI'!E34,4)</f>
        <v>0.99950000000000006</v>
      </c>
      <c r="J29" s="54">
        <f>ROUND(+'10K'!$E34,4)</f>
        <v>0.99980000000000002</v>
      </c>
      <c r="K29" s="54">
        <f>ROUND(+'7MI'!$E34,4)</f>
        <v>0.99980000000000002</v>
      </c>
      <c r="L29" s="55">
        <f>ROUND(+'12K'!$E34,4)</f>
        <v>0.99980000000000002</v>
      </c>
      <c r="M29" s="54">
        <f>ROUND(+'15K'!$E34,4)</f>
        <v>0.99980000000000002</v>
      </c>
      <c r="N29" s="54">
        <f>ROUND(+'10MI'!$E34,4)</f>
        <v>0.99980000000000002</v>
      </c>
      <c r="O29" s="54">
        <f>ROUND(+'20K'!$E34,4)</f>
        <v>0.99980000000000002</v>
      </c>
      <c r="P29" s="54">
        <f>ROUND(+H.Marathon!$E34,4)</f>
        <v>0.99980000000000002</v>
      </c>
      <c r="Q29" s="54">
        <f>ROUND(+'25K'!$E34,4)</f>
        <v>0.99980000000000002</v>
      </c>
      <c r="R29" s="54">
        <f>ROUND(+'30K'!$E34,4)</f>
        <v>0.99980000000000002</v>
      </c>
      <c r="S29" s="54">
        <f>ROUND(+Marathon!$E34,4)</f>
        <v>0.99980000000000002</v>
      </c>
      <c r="T29" s="54">
        <f>ROUND(+Marathon!$E34,4)</f>
        <v>0.99980000000000002</v>
      </c>
      <c r="U29" s="54">
        <f>ROUND(+Marathon!$E34,4)</f>
        <v>0.99980000000000002</v>
      </c>
      <c r="V29" s="54">
        <f>ROUND(+Marathon!$E34,4)</f>
        <v>0.99980000000000002</v>
      </c>
      <c r="W29" s="54">
        <f>ROUND(+Marathon!$E34,4)</f>
        <v>0.99980000000000002</v>
      </c>
      <c r="X29" s="54">
        <f>ROUND(+Marathon!$E34,4)</f>
        <v>0.99980000000000002</v>
      </c>
      <c r="Y29" s="54">
        <f>ROUND(+Marathon!$E34,4)</f>
        <v>0.99980000000000002</v>
      </c>
      <c r="Z29" s="46"/>
    </row>
    <row r="30" spans="1:26">
      <c r="A30" s="469">
        <v>29</v>
      </c>
      <c r="B30" s="476">
        <f>ROUND(+'1K'!E35,4)</f>
        <v>1</v>
      </c>
      <c r="C30" s="457">
        <f>ROUND(+Mile!E35,4)</f>
        <v>1</v>
      </c>
      <c r="D30" s="54">
        <f>ROUND(+'3K'!E35,4)</f>
        <v>0.99870000000000003</v>
      </c>
      <c r="E30" s="54">
        <f>ROUND(+'5K'!E35,4)</f>
        <v>0.99770000000000003</v>
      </c>
      <c r="F30" s="54">
        <f>ROUND(+'6K'!E35,4)</f>
        <v>0.99809999999999999</v>
      </c>
      <c r="G30" s="54">
        <f>ROUND(+'4MI'!E35,4)</f>
        <v>0.99819999999999998</v>
      </c>
      <c r="H30" s="54">
        <f>ROUND(+'8K'!$E35,4)</f>
        <v>0.99860000000000004</v>
      </c>
      <c r="I30" s="54">
        <f>ROUND(+'5MI'!E35,4)</f>
        <v>0.99870000000000003</v>
      </c>
      <c r="J30" s="54">
        <f>ROUND(+'10K'!$E35,4)</f>
        <v>0.99909999999999999</v>
      </c>
      <c r="K30" s="54">
        <f>ROUND(+'7MI'!$E35,4)</f>
        <v>0.99909999999999999</v>
      </c>
      <c r="L30" s="55">
        <f>ROUND(+'12K'!$E35,4)</f>
        <v>0.99909999999999999</v>
      </c>
      <c r="M30" s="54">
        <f>ROUND(+'15K'!$E35,4)</f>
        <v>0.99909999999999999</v>
      </c>
      <c r="N30" s="54">
        <f>ROUND(+'10MI'!$E35,4)</f>
        <v>0.99909999999999999</v>
      </c>
      <c r="O30" s="54">
        <f>ROUND(+'20K'!$E35,4)</f>
        <v>0.99909999999999999</v>
      </c>
      <c r="P30" s="54">
        <f>ROUND(+H.Marathon!$E35,4)</f>
        <v>0.99909999999999999</v>
      </c>
      <c r="Q30" s="54">
        <f>ROUND(+'25K'!$E35,4)</f>
        <v>0.99909999999999999</v>
      </c>
      <c r="R30" s="54">
        <f>ROUND(+'30K'!$E35,4)</f>
        <v>0.99919999999999998</v>
      </c>
      <c r="S30" s="54">
        <f>ROUND(+Marathon!$E35,4)</f>
        <v>0.99919999999999998</v>
      </c>
      <c r="T30" s="54">
        <f>ROUND(+Marathon!$E35,4)</f>
        <v>0.99919999999999998</v>
      </c>
      <c r="U30" s="54">
        <f>ROUND(+Marathon!$E35,4)</f>
        <v>0.99919999999999998</v>
      </c>
      <c r="V30" s="54">
        <f>ROUND(+Marathon!$E35,4)</f>
        <v>0.99919999999999998</v>
      </c>
      <c r="W30" s="54">
        <f>ROUND(+Marathon!$E35,4)</f>
        <v>0.99919999999999998</v>
      </c>
      <c r="X30" s="54">
        <f>ROUND(+Marathon!$E35,4)</f>
        <v>0.99919999999999998</v>
      </c>
      <c r="Y30" s="54">
        <f>ROUND(+Marathon!$E35,4)</f>
        <v>0.99919999999999998</v>
      </c>
      <c r="Z30" s="46"/>
    </row>
    <row r="31" spans="1:26">
      <c r="A31" s="471">
        <v>30</v>
      </c>
      <c r="B31" s="477">
        <f>ROUND(+'1K'!E36,4)</f>
        <v>1</v>
      </c>
      <c r="C31" s="456">
        <f>ROUND(+Mile!E36,4)</f>
        <v>1</v>
      </c>
      <c r="D31" s="57">
        <f>ROUND(+'3K'!E36,4)</f>
        <v>0.99770000000000003</v>
      </c>
      <c r="E31" s="57">
        <f>ROUND(+'5K'!E36,4)</f>
        <v>0.99590000000000001</v>
      </c>
      <c r="F31" s="57">
        <f>ROUND(+'6K'!E36,4)</f>
        <v>0.99650000000000005</v>
      </c>
      <c r="G31" s="57">
        <f>ROUND(+'4MI'!E36,4)</f>
        <v>0.99670000000000003</v>
      </c>
      <c r="H31" s="57">
        <f>ROUND(+'8K'!$E36,4)</f>
        <v>0.99729999999999996</v>
      </c>
      <c r="I31" s="57">
        <f>ROUND(+'5MI'!E36,4)</f>
        <v>0.99729999999999996</v>
      </c>
      <c r="J31" s="57">
        <f>ROUND(+'10K'!$E36,4)</f>
        <v>0.998</v>
      </c>
      <c r="K31" s="57">
        <f>ROUND(+'7MI'!$E36,4)</f>
        <v>0.998</v>
      </c>
      <c r="L31" s="57">
        <f>ROUND(+'12K'!$E36,4)</f>
        <v>0.998</v>
      </c>
      <c r="M31" s="57">
        <f>ROUND(+'15K'!$E36,4)</f>
        <v>0.99790000000000001</v>
      </c>
      <c r="N31" s="57">
        <f>ROUND(+'10MI'!$E36,4)</f>
        <v>0.99790000000000001</v>
      </c>
      <c r="O31" s="57">
        <f>ROUND(+'20K'!$E36,4)</f>
        <v>0.99790000000000001</v>
      </c>
      <c r="P31" s="57">
        <f>ROUND(+H.Marathon!$E36,4)</f>
        <v>0.99790000000000001</v>
      </c>
      <c r="Q31" s="57">
        <f>ROUND(+'25K'!$E36,4)</f>
        <v>0.998</v>
      </c>
      <c r="R31" s="57">
        <f>ROUND(+'30K'!$E36,4)</f>
        <v>0.99809999999999999</v>
      </c>
      <c r="S31" s="57">
        <f>ROUND(+Marathon!$E36,4)</f>
        <v>0.99829999999999997</v>
      </c>
      <c r="T31" s="57">
        <f>ROUND(+Marathon!$E36,4)</f>
        <v>0.99829999999999997</v>
      </c>
      <c r="U31" s="57">
        <f>ROUND(+Marathon!$E36,4)</f>
        <v>0.99829999999999997</v>
      </c>
      <c r="V31" s="57">
        <f>ROUND(+Marathon!$E36,4)</f>
        <v>0.99829999999999997</v>
      </c>
      <c r="W31" s="57">
        <f>ROUND(+Marathon!$E36,4)</f>
        <v>0.99829999999999997</v>
      </c>
      <c r="X31" s="57">
        <f>ROUND(+Marathon!$E36,4)</f>
        <v>0.99829999999999997</v>
      </c>
      <c r="Y31" s="57">
        <f>ROUND(+Marathon!$E36,4)</f>
        <v>0.99829999999999997</v>
      </c>
      <c r="Z31" s="46"/>
    </row>
    <row r="32" spans="1:26">
      <c r="A32" s="469">
        <v>31</v>
      </c>
      <c r="B32" s="476">
        <f>ROUND(+'1K'!E37,4)</f>
        <v>1</v>
      </c>
      <c r="C32" s="457">
        <f>ROUND(+Mile!E37,4)</f>
        <v>1</v>
      </c>
      <c r="D32" s="54">
        <f>ROUND(+'3K'!E37,4)</f>
        <v>0.99650000000000005</v>
      </c>
      <c r="E32" s="54">
        <f>ROUND(+'5K'!E37,4)</f>
        <v>0.99360000000000004</v>
      </c>
      <c r="F32" s="54">
        <f>ROUND(+'6K'!E37,4)</f>
        <v>0.99429999999999996</v>
      </c>
      <c r="G32" s="54">
        <f>ROUND(+'4MI'!E37,4)</f>
        <v>0.99460000000000004</v>
      </c>
      <c r="H32" s="54">
        <f>ROUND(+'8K'!$E37,4)</f>
        <v>0.99550000000000005</v>
      </c>
      <c r="I32" s="54">
        <f>ROUND(+'5MI'!E37,4)</f>
        <v>0.99550000000000005</v>
      </c>
      <c r="J32" s="54">
        <f>ROUND(+'10K'!$E37,4)</f>
        <v>0.99639999999999995</v>
      </c>
      <c r="K32" s="54">
        <f>ROUND(+'7MI'!$E37,4)</f>
        <v>0.99639999999999995</v>
      </c>
      <c r="L32" s="55">
        <f>ROUND(+'12K'!$E37,4)</f>
        <v>0.99639999999999995</v>
      </c>
      <c r="M32" s="54">
        <f>ROUND(+'15K'!$E37,4)</f>
        <v>0.99629999999999996</v>
      </c>
      <c r="N32" s="54">
        <f>ROUND(+'10MI'!$E37,4)</f>
        <v>0.99629999999999996</v>
      </c>
      <c r="O32" s="54">
        <f>ROUND(+'20K'!$E37,4)</f>
        <v>0.99619999999999997</v>
      </c>
      <c r="P32" s="54">
        <f>ROUND(+H.Marathon!$E37,4)</f>
        <v>0.99619999999999997</v>
      </c>
      <c r="Q32" s="54">
        <f>ROUND(+'25K'!$E37,4)</f>
        <v>0.99639999999999995</v>
      </c>
      <c r="R32" s="54">
        <f>ROUND(+'30K'!$E37,4)</f>
        <v>0.99660000000000004</v>
      </c>
      <c r="S32" s="54">
        <f>ROUND(+Marathon!$E37,4)</f>
        <v>0.997</v>
      </c>
      <c r="T32" s="54">
        <f>ROUND(+Marathon!$E37,4)</f>
        <v>0.997</v>
      </c>
      <c r="U32" s="54">
        <f>ROUND(+Marathon!$E37,4)</f>
        <v>0.997</v>
      </c>
      <c r="V32" s="54">
        <f>ROUND(+Marathon!$E37,4)</f>
        <v>0.997</v>
      </c>
      <c r="W32" s="54">
        <f>ROUND(+Marathon!$E37,4)</f>
        <v>0.997</v>
      </c>
      <c r="X32" s="54">
        <f>ROUND(+Marathon!$E37,4)</f>
        <v>0.997</v>
      </c>
      <c r="Y32" s="54">
        <f>ROUND(+Marathon!$E37,4)</f>
        <v>0.997</v>
      </c>
      <c r="Z32" s="46"/>
    </row>
    <row r="33" spans="1:26">
      <c r="A33" s="469">
        <v>32</v>
      </c>
      <c r="B33" s="476">
        <f>ROUND(+'1K'!E38,4)</f>
        <v>1</v>
      </c>
      <c r="C33" s="457">
        <f>ROUND(+Mile!E38,4)</f>
        <v>1</v>
      </c>
      <c r="D33" s="54">
        <f>ROUND(+'3K'!E38,4)</f>
        <v>0.99490000000000001</v>
      </c>
      <c r="E33" s="54">
        <f>ROUND(+'5K'!E38,4)</f>
        <v>0.99080000000000001</v>
      </c>
      <c r="F33" s="54">
        <f>ROUND(+'6K'!E38,4)</f>
        <v>0.99170000000000003</v>
      </c>
      <c r="G33" s="54">
        <f>ROUND(+'4MI'!E38,4)</f>
        <v>0.99209999999999998</v>
      </c>
      <c r="H33" s="54">
        <f>ROUND(+'8K'!$E38,4)</f>
        <v>0.99319999999999997</v>
      </c>
      <c r="I33" s="54">
        <f>ROUND(+'5MI'!E38,4)</f>
        <v>0.99329999999999996</v>
      </c>
      <c r="J33" s="54">
        <f>ROUND(+'10K'!$E38,4)</f>
        <v>0.99439999999999995</v>
      </c>
      <c r="K33" s="54">
        <f>ROUND(+'7MI'!$E38,4)</f>
        <v>0.99439999999999995</v>
      </c>
      <c r="L33" s="55">
        <f>ROUND(+'12K'!$E38,4)</f>
        <v>0.99429999999999996</v>
      </c>
      <c r="M33" s="54">
        <f>ROUND(+'15K'!$E38,4)</f>
        <v>0.99419999999999997</v>
      </c>
      <c r="N33" s="54">
        <f>ROUND(+'10MI'!$E38,4)</f>
        <v>0.99419999999999997</v>
      </c>
      <c r="O33" s="54">
        <f>ROUND(+'20K'!$E38,4)</f>
        <v>0.99409999999999998</v>
      </c>
      <c r="P33" s="54">
        <f>ROUND(+H.Marathon!$E38,4)</f>
        <v>0.99409999999999998</v>
      </c>
      <c r="Q33" s="54">
        <f>ROUND(+'25K'!$E38,4)</f>
        <v>0.99439999999999995</v>
      </c>
      <c r="R33" s="54">
        <f>ROUND(+'30K'!$E38,4)</f>
        <v>0.99470000000000003</v>
      </c>
      <c r="S33" s="54">
        <f>ROUND(+Marathon!$E38,4)</f>
        <v>0.99529999999999996</v>
      </c>
      <c r="T33" s="54">
        <f>ROUND(+Marathon!$E38,4)</f>
        <v>0.99529999999999996</v>
      </c>
      <c r="U33" s="54">
        <f>ROUND(+Marathon!$E38,4)</f>
        <v>0.99529999999999996</v>
      </c>
      <c r="V33" s="54">
        <f>ROUND(+Marathon!$E38,4)</f>
        <v>0.99529999999999996</v>
      </c>
      <c r="W33" s="54">
        <f>ROUND(+Marathon!$E38,4)</f>
        <v>0.99529999999999996</v>
      </c>
      <c r="X33" s="54">
        <f>ROUND(+Marathon!$E38,4)</f>
        <v>0.99529999999999996</v>
      </c>
      <c r="Y33" s="54">
        <f>ROUND(+Marathon!$E38,4)</f>
        <v>0.99529999999999996</v>
      </c>
      <c r="Z33" s="46"/>
    </row>
    <row r="34" spans="1:26">
      <c r="A34" s="469">
        <v>33</v>
      </c>
      <c r="B34" s="476">
        <f>ROUND(+'1K'!E39,4)</f>
        <v>1</v>
      </c>
      <c r="C34" s="457">
        <f>ROUND(+Mile!E39,4)</f>
        <v>1</v>
      </c>
      <c r="D34" s="54">
        <f>ROUND(+'3K'!E39,4)</f>
        <v>0.99309999999999998</v>
      </c>
      <c r="E34" s="54">
        <f>ROUND(+'5K'!E39,4)</f>
        <v>0.98750000000000004</v>
      </c>
      <c r="F34" s="54">
        <f>ROUND(+'6K'!E39,4)</f>
        <v>0.98870000000000002</v>
      </c>
      <c r="G34" s="54">
        <f>ROUND(+'4MI'!E39,4)</f>
        <v>0.98909999999999998</v>
      </c>
      <c r="H34" s="54">
        <f>ROUND(+'8K'!$E39,4)</f>
        <v>0.99060000000000004</v>
      </c>
      <c r="I34" s="54">
        <f>ROUND(+'5MI'!E39,4)</f>
        <v>0.99060000000000004</v>
      </c>
      <c r="J34" s="54">
        <f>ROUND(+'10K'!$E39,4)</f>
        <v>0.99199999999999999</v>
      </c>
      <c r="K34" s="54">
        <f>ROUND(+'7MI'!$E39,4)</f>
        <v>0.9919</v>
      </c>
      <c r="L34" s="55">
        <f>ROUND(+'12K'!$E39,4)</f>
        <v>0.9919</v>
      </c>
      <c r="M34" s="54">
        <f>ROUND(+'15K'!$E39,4)</f>
        <v>0.99170000000000003</v>
      </c>
      <c r="N34" s="54">
        <f>ROUND(+'10MI'!$E39,4)</f>
        <v>0.99170000000000003</v>
      </c>
      <c r="O34" s="54">
        <f>ROUND(+'20K'!$E39,4)</f>
        <v>0.99150000000000005</v>
      </c>
      <c r="P34" s="54">
        <f>ROUND(+H.Marathon!$E39,4)</f>
        <v>0.99150000000000005</v>
      </c>
      <c r="Q34" s="54">
        <f>ROUND(+'25K'!$E39,4)</f>
        <v>0.9919</v>
      </c>
      <c r="R34" s="54">
        <f>ROUND(+'30K'!$E39,4)</f>
        <v>0.99239999999999995</v>
      </c>
      <c r="S34" s="54">
        <f>ROUND(+Marathon!$E39,4)</f>
        <v>0.99319999999999997</v>
      </c>
      <c r="T34" s="54">
        <f>ROUND(+Marathon!$E39,4)</f>
        <v>0.99319999999999997</v>
      </c>
      <c r="U34" s="54">
        <f>ROUND(+Marathon!$E39,4)</f>
        <v>0.99319999999999997</v>
      </c>
      <c r="V34" s="54">
        <f>ROUND(+Marathon!$E39,4)</f>
        <v>0.99319999999999997</v>
      </c>
      <c r="W34" s="54">
        <f>ROUND(+Marathon!$E39,4)</f>
        <v>0.99319999999999997</v>
      </c>
      <c r="X34" s="54">
        <f>ROUND(+Marathon!$E39,4)</f>
        <v>0.99319999999999997</v>
      </c>
      <c r="Y34" s="54">
        <f>ROUND(+Marathon!$E39,4)</f>
        <v>0.99319999999999997</v>
      </c>
      <c r="Z34" s="46"/>
    </row>
    <row r="35" spans="1:26">
      <c r="A35" s="469">
        <v>34</v>
      </c>
      <c r="B35" s="476">
        <f>ROUND(+'1K'!E40,4)</f>
        <v>0.99990000000000001</v>
      </c>
      <c r="C35" s="457">
        <f>ROUND(+Mile!E40,4)</f>
        <v>1</v>
      </c>
      <c r="D35" s="54">
        <f>ROUND(+'3K'!E40,4)</f>
        <v>0.99099999999999999</v>
      </c>
      <c r="E35" s="54">
        <f>ROUND(+'5K'!E40,4)</f>
        <v>0.98360000000000003</v>
      </c>
      <c r="F35" s="54">
        <f>ROUND(+'6K'!E40,4)</f>
        <v>0.98499999999999999</v>
      </c>
      <c r="G35" s="54">
        <f>ROUND(+'4MI'!E40,4)</f>
        <v>0.98560000000000003</v>
      </c>
      <c r="H35" s="54">
        <f>ROUND(+'8K'!$E40,4)</f>
        <v>0.98729999999999996</v>
      </c>
      <c r="I35" s="54">
        <f>ROUND(+'5MI'!E40,4)</f>
        <v>0.98740000000000006</v>
      </c>
      <c r="J35" s="54">
        <f>ROUND(+'10K'!$E40,4)</f>
        <v>0.98909999999999998</v>
      </c>
      <c r="K35" s="54">
        <f>ROUND(+'7MI'!$E40,4)</f>
        <v>0.98899999999999999</v>
      </c>
      <c r="L35" s="55">
        <f>ROUND(+'12K'!$E40,4)</f>
        <v>0.9889</v>
      </c>
      <c r="M35" s="54">
        <f>ROUND(+'15K'!$E40,4)</f>
        <v>0.98870000000000002</v>
      </c>
      <c r="N35" s="54">
        <f>ROUND(+'10MI'!$E40,4)</f>
        <v>0.98870000000000002</v>
      </c>
      <c r="O35" s="54">
        <f>ROUND(+'20K'!$E40,4)</f>
        <v>0.98850000000000005</v>
      </c>
      <c r="P35" s="54">
        <f>ROUND(+H.Marathon!$E40,4)</f>
        <v>0.98839999999999995</v>
      </c>
      <c r="Q35" s="54">
        <f>ROUND(+'25K'!$E40,4)</f>
        <v>0.98899999999999999</v>
      </c>
      <c r="R35" s="54">
        <f>ROUND(+'30K'!$E40,4)</f>
        <v>0.98960000000000004</v>
      </c>
      <c r="S35" s="54">
        <f>ROUND(+Marathon!$E40,4)</f>
        <v>0.99070000000000003</v>
      </c>
      <c r="T35" s="54">
        <f>ROUND(+Marathon!$E40,4)</f>
        <v>0.99070000000000003</v>
      </c>
      <c r="U35" s="54">
        <f>ROUND(+Marathon!$E40,4)</f>
        <v>0.99070000000000003</v>
      </c>
      <c r="V35" s="54">
        <f>ROUND(+Marathon!$E40,4)</f>
        <v>0.99070000000000003</v>
      </c>
      <c r="W35" s="54">
        <f>ROUND(+Marathon!$E40,4)</f>
        <v>0.99070000000000003</v>
      </c>
      <c r="X35" s="54">
        <f>ROUND(+Marathon!$E40,4)</f>
        <v>0.99070000000000003</v>
      </c>
      <c r="Y35" s="54">
        <f>ROUND(+Marathon!$E40,4)</f>
        <v>0.99070000000000003</v>
      </c>
      <c r="Z35" s="46"/>
    </row>
    <row r="36" spans="1:26">
      <c r="A36" s="471">
        <v>35</v>
      </c>
      <c r="B36" s="477">
        <f>ROUND(+'1K'!E41,4)</f>
        <v>0.99809999999999999</v>
      </c>
      <c r="C36" s="456">
        <f>ROUND(+Mile!E41,4)</f>
        <v>0.99380000000000002</v>
      </c>
      <c r="D36" s="57">
        <f>ROUND(+'3K'!E41,4)</f>
        <v>0.98580000000000001</v>
      </c>
      <c r="E36" s="57">
        <f>ROUND(+'5K'!E41,4)</f>
        <v>0.97929999999999995</v>
      </c>
      <c r="F36" s="57">
        <f>ROUND(+'6K'!E41,4)</f>
        <v>0.98099999999999998</v>
      </c>
      <c r="G36" s="57">
        <f>ROUND(+'4MI'!E41,4)</f>
        <v>0.98160000000000003</v>
      </c>
      <c r="H36" s="57">
        <f>ROUND(+'8K'!$E41,4)</f>
        <v>0.98360000000000003</v>
      </c>
      <c r="I36" s="57">
        <f>ROUND(+'5MI'!E41,4)</f>
        <v>0.98370000000000002</v>
      </c>
      <c r="J36" s="57">
        <f>ROUND(+'10K'!$E41,4)</f>
        <v>0.98570000000000002</v>
      </c>
      <c r="K36" s="57">
        <f>ROUND(+'7MI'!$E41,4)</f>
        <v>0.98560000000000003</v>
      </c>
      <c r="L36" s="57">
        <f>ROUND(+'12K'!$E41,4)</f>
        <v>0.98550000000000004</v>
      </c>
      <c r="M36" s="57">
        <f>ROUND(+'15K'!$E41,4)</f>
        <v>0.98529999999999995</v>
      </c>
      <c r="N36" s="57">
        <f>ROUND(+'10MI'!$E41,4)</f>
        <v>0.98519999999999996</v>
      </c>
      <c r="O36" s="57">
        <f>ROUND(+'20K'!$E41,4)</f>
        <v>0.98499999999999999</v>
      </c>
      <c r="P36" s="57">
        <f>ROUND(+H.Marathon!$E41,4)</f>
        <v>0.9849</v>
      </c>
      <c r="Q36" s="57">
        <f>ROUND(+'25K'!$E41,4)</f>
        <v>0.98560000000000003</v>
      </c>
      <c r="R36" s="57">
        <f>ROUND(+'30K'!$E41,4)</f>
        <v>0.98640000000000005</v>
      </c>
      <c r="S36" s="57">
        <f>ROUND(+Marathon!$E41,4)</f>
        <v>0.9879</v>
      </c>
      <c r="T36" s="57">
        <f>ROUND(+Marathon!$E41,4)</f>
        <v>0.9879</v>
      </c>
      <c r="U36" s="57">
        <f>ROUND(+Marathon!$E41,4)</f>
        <v>0.9879</v>
      </c>
      <c r="V36" s="57">
        <f>ROUND(+Marathon!$E41,4)</f>
        <v>0.9879</v>
      </c>
      <c r="W36" s="57">
        <f>ROUND(+Marathon!$E41,4)</f>
        <v>0.9879</v>
      </c>
      <c r="X36" s="57">
        <f>ROUND(+Marathon!$E41,4)</f>
        <v>0.9879</v>
      </c>
      <c r="Y36" s="57">
        <f>ROUND(+Marathon!$E41,4)</f>
        <v>0.9879</v>
      </c>
      <c r="Z36" s="46"/>
    </row>
    <row r="37" spans="1:26">
      <c r="A37" s="469">
        <v>36</v>
      </c>
      <c r="B37" s="476">
        <f>ROUND(+'1K'!E42,4)</f>
        <v>0.99560000000000004</v>
      </c>
      <c r="C37" s="457">
        <f>ROUND(+Mile!E42,4)</f>
        <v>0.99109999999999998</v>
      </c>
      <c r="D37" s="54">
        <f>ROUND(+'3K'!E42,4)</f>
        <v>0.9819</v>
      </c>
      <c r="E37" s="54">
        <f>ROUND(+'5K'!E42,4)</f>
        <v>0.97440000000000004</v>
      </c>
      <c r="F37" s="54">
        <f>ROUND(+'6K'!E42,4)</f>
        <v>0.97640000000000005</v>
      </c>
      <c r="G37" s="54">
        <f>ROUND(+'4MI'!E42,4)</f>
        <v>0.97709999999999997</v>
      </c>
      <c r="H37" s="54">
        <f>ROUND(+'8K'!$E42,4)</f>
        <v>0.97950000000000004</v>
      </c>
      <c r="I37" s="54">
        <f>ROUND(+'5MI'!E42,4)</f>
        <v>0.97950000000000004</v>
      </c>
      <c r="J37" s="54">
        <f>ROUND(+'10K'!$E42,4)</f>
        <v>0.9819</v>
      </c>
      <c r="K37" s="54">
        <f>ROUND(+'7MI'!$E42,4)</f>
        <v>0.98170000000000002</v>
      </c>
      <c r="L37" s="55">
        <f>ROUND(+'12K'!$E42,4)</f>
        <v>0.98170000000000002</v>
      </c>
      <c r="M37" s="54">
        <f>ROUND(+'15K'!$E42,4)</f>
        <v>0.98140000000000005</v>
      </c>
      <c r="N37" s="54">
        <f>ROUND(+'10MI'!$E42,4)</f>
        <v>0.98129999999999995</v>
      </c>
      <c r="O37" s="54">
        <f>ROUND(+'20K'!$E42,4)</f>
        <v>0.98099999999999998</v>
      </c>
      <c r="P37" s="54">
        <f>ROUND(+H.Marathon!$E42,4)</f>
        <v>0.98089999999999999</v>
      </c>
      <c r="Q37" s="54">
        <f>ROUND(+'25K'!$E42,4)</f>
        <v>0.98180000000000001</v>
      </c>
      <c r="R37" s="54">
        <f>ROUND(+'30K'!$E42,4)</f>
        <v>0.98280000000000001</v>
      </c>
      <c r="S37" s="54">
        <f>ROUND(+Marathon!$E42,4)</f>
        <v>0.98470000000000002</v>
      </c>
      <c r="T37" s="54">
        <f>ROUND(+Marathon!$E42,4)</f>
        <v>0.98470000000000002</v>
      </c>
      <c r="U37" s="54">
        <f>ROUND(+Marathon!$E42,4)</f>
        <v>0.98470000000000002</v>
      </c>
      <c r="V37" s="54">
        <f>ROUND(+Marathon!$E42,4)</f>
        <v>0.98470000000000002</v>
      </c>
      <c r="W37" s="54">
        <f>ROUND(+Marathon!$E42,4)</f>
        <v>0.98470000000000002</v>
      </c>
      <c r="X37" s="54">
        <f>ROUND(+Marathon!$E42,4)</f>
        <v>0.98470000000000002</v>
      </c>
      <c r="Y37" s="54">
        <f>ROUND(+Marathon!$E42,4)</f>
        <v>0.98470000000000002</v>
      </c>
      <c r="Z37" s="46"/>
    </row>
    <row r="38" spans="1:26">
      <c r="A38" s="469">
        <v>37</v>
      </c>
      <c r="B38" s="476">
        <f>ROUND(+'1K'!E43,4)</f>
        <v>0.99270000000000003</v>
      </c>
      <c r="C38" s="457">
        <f>ROUND(+Mile!E43,4)</f>
        <v>0.98780000000000001</v>
      </c>
      <c r="D38" s="54">
        <f>ROUND(+'3K'!E43,4)</f>
        <v>0.97750000000000004</v>
      </c>
      <c r="E38" s="54">
        <f>ROUND(+'5K'!E43,4)</f>
        <v>0.96909999999999996</v>
      </c>
      <c r="F38" s="54">
        <f>ROUND(+'6K'!E43,4)</f>
        <v>0.97140000000000004</v>
      </c>
      <c r="G38" s="54">
        <f>ROUND(+'4MI'!E43,4)</f>
        <v>0.97219999999999995</v>
      </c>
      <c r="H38" s="54">
        <f>ROUND(+'8K'!$E43,4)</f>
        <v>0.97489999999999999</v>
      </c>
      <c r="I38" s="54">
        <f>ROUND(+'5MI'!E43,4)</f>
        <v>0.97499999999999998</v>
      </c>
      <c r="J38" s="54">
        <f>ROUND(+'10K'!$E43,4)</f>
        <v>0.97770000000000001</v>
      </c>
      <c r="K38" s="54">
        <f>ROUND(+'7MI'!$E43,4)</f>
        <v>0.97750000000000004</v>
      </c>
      <c r="L38" s="55">
        <f>ROUND(+'12K'!$E43,4)</f>
        <v>0.97740000000000005</v>
      </c>
      <c r="M38" s="54">
        <f>ROUND(+'15K'!$E43,4)</f>
        <v>0.97699999999999998</v>
      </c>
      <c r="N38" s="54">
        <f>ROUND(+'10MI'!$E43,4)</f>
        <v>0.97689999999999999</v>
      </c>
      <c r="O38" s="54">
        <f>ROUND(+'20K'!$E43,4)</f>
        <v>0.97650000000000003</v>
      </c>
      <c r="P38" s="54">
        <f>ROUND(+H.Marathon!$E43,4)</f>
        <v>0.97640000000000005</v>
      </c>
      <c r="Q38" s="54">
        <f>ROUND(+'25K'!$E43,4)</f>
        <v>0.97760000000000002</v>
      </c>
      <c r="R38" s="54">
        <f>ROUND(+'30K'!$E43,4)</f>
        <v>0.9788</v>
      </c>
      <c r="S38" s="54">
        <f>ROUND(+Marathon!$E43,4)</f>
        <v>0.98109999999999997</v>
      </c>
      <c r="T38" s="54">
        <f>ROUND(+Marathon!$E43,4)</f>
        <v>0.98109999999999997</v>
      </c>
      <c r="U38" s="54">
        <f>ROUND(+Marathon!$E43,4)</f>
        <v>0.98109999999999997</v>
      </c>
      <c r="V38" s="54">
        <f>ROUND(+Marathon!$E43,4)</f>
        <v>0.98109999999999997</v>
      </c>
      <c r="W38" s="54">
        <f>ROUND(+Marathon!$E43,4)</f>
        <v>0.98109999999999997</v>
      </c>
      <c r="X38" s="54">
        <f>ROUND(+Marathon!$E43,4)</f>
        <v>0.98109999999999997</v>
      </c>
      <c r="Y38" s="54">
        <f>ROUND(+Marathon!$E43,4)</f>
        <v>0.98109999999999997</v>
      </c>
      <c r="Z38" s="46"/>
    </row>
    <row r="39" spans="1:26">
      <c r="A39" s="469">
        <v>38</v>
      </c>
      <c r="B39" s="476">
        <f>ROUND(+'1K'!E44,4)</f>
        <v>0.99270000000000003</v>
      </c>
      <c r="C39" s="457">
        <f>ROUND(+Mile!E44,4)</f>
        <v>0.98399999999999999</v>
      </c>
      <c r="D39" s="54">
        <f>ROUND(+'3K'!E44,4)</f>
        <v>0.97260000000000002</v>
      </c>
      <c r="E39" s="54">
        <f>ROUND(+'5K'!E44,4)</f>
        <v>0.96319999999999995</v>
      </c>
      <c r="F39" s="54">
        <f>ROUND(+'6K'!E44,4)</f>
        <v>0.96579999999999999</v>
      </c>
      <c r="G39" s="54">
        <f>ROUND(+'4MI'!E44,4)</f>
        <v>0.96679999999999999</v>
      </c>
      <c r="H39" s="54">
        <f>ROUND(+'8K'!$E44,4)</f>
        <v>0.9698</v>
      </c>
      <c r="I39" s="54">
        <f>ROUND(+'5MI'!E44,4)</f>
        <v>0.96989999999999998</v>
      </c>
      <c r="J39" s="54">
        <f>ROUND(+'10K'!$E44,4)</f>
        <v>0.97299999999999998</v>
      </c>
      <c r="K39" s="54">
        <f>ROUND(+'7MI'!$E44,4)</f>
        <v>0.97270000000000001</v>
      </c>
      <c r="L39" s="55">
        <f>ROUND(+'12K'!$E44,4)</f>
        <v>0.97260000000000002</v>
      </c>
      <c r="M39" s="54">
        <f>ROUND(+'15K'!$E44,4)</f>
        <v>0.97209999999999996</v>
      </c>
      <c r="N39" s="54">
        <f>ROUND(+'10MI'!$E44,4)</f>
        <v>0.97199999999999998</v>
      </c>
      <c r="O39" s="54">
        <f>ROUND(+'20K'!$E44,4)</f>
        <v>0.97150000000000003</v>
      </c>
      <c r="P39" s="54">
        <f>ROUND(+H.Marathon!$E44,4)</f>
        <v>0.97140000000000004</v>
      </c>
      <c r="Q39" s="54">
        <f>ROUND(+'25K'!$E44,4)</f>
        <v>0.9728</v>
      </c>
      <c r="R39" s="54">
        <f>ROUND(+'30K'!$E44,4)</f>
        <v>0.97430000000000005</v>
      </c>
      <c r="S39" s="54">
        <f>ROUND(+Marathon!$E44,4)</f>
        <v>0.97709999999999997</v>
      </c>
      <c r="T39" s="54">
        <f>ROUND(+Marathon!$E44,4)</f>
        <v>0.97709999999999997</v>
      </c>
      <c r="U39" s="54">
        <f>ROUND(+Marathon!$E44,4)</f>
        <v>0.97709999999999997</v>
      </c>
      <c r="V39" s="54">
        <f>ROUND(+Marathon!$E44,4)</f>
        <v>0.97709999999999997</v>
      </c>
      <c r="W39" s="54">
        <f>ROUND(+Marathon!$E44,4)</f>
        <v>0.97709999999999997</v>
      </c>
      <c r="X39" s="54">
        <f>ROUND(+Marathon!$E44,4)</f>
        <v>0.97709999999999997</v>
      </c>
      <c r="Y39" s="54">
        <f>ROUND(+Marathon!$E44,4)</f>
        <v>0.97709999999999997</v>
      </c>
      <c r="Z39" s="46"/>
    </row>
    <row r="40" spans="1:26">
      <c r="A40" s="469">
        <v>39</v>
      </c>
      <c r="B40" s="476">
        <f>ROUND(+'1K'!E45,4)</f>
        <v>0.98929999999999996</v>
      </c>
      <c r="C40" s="457">
        <f>ROUND(+Mile!E45,4)</f>
        <v>0.97970000000000002</v>
      </c>
      <c r="D40" s="54">
        <f>ROUND(+'3K'!E45,4)</f>
        <v>0.96709999999999996</v>
      </c>
      <c r="E40" s="54">
        <f>ROUND(+'5K'!E45,4)</f>
        <v>0.95679999999999998</v>
      </c>
      <c r="F40" s="54">
        <f>ROUND(+'6K'!E45,4)</f>
        <v>0.9597</v>
      </c>
      <c r="G40" s="54">
        <f>ROUND(+'4MI'!E45,4)</f>
        <v>0.96079999999999999</v>
      </c>
      <c r="H40" s="54">
        <f>ROUND(+'8K'!$E45,4)</f>
        <v>0.96430000000000005</v>
      </c>
      <c r="I40" s="54">
        <f>ROUND(+'5MI'!E45,4)</f>
        <v>0.96440000000000003</v>
      </c>
      <c r="J40" s="54">
        <f>ROUND(+'10K'!$E45,4)</f>
        <v>0.96789999999999998</v>
      </c>
      <c r="K40" s="54">
        <f>ROUND(+'7MI'!$E45,4)</f>
        <v>0.96760000000000002</v>
      </c>
      <c r="L40" s="55">
        <f>ROUND(+'12K'!$E45,4)</f>
        <v>0.96740000000000004</v>
      </c>
      <c r="M40" s="54">
        <f>ROUND(+'15K'!$E45,4)</f>
        <v>0.96689999999999998</v>
      </c>
      <c r="N40" s="54">
        <f>ROUND(+'10MI'!$E45,4)</f>
        <v>0.9667</v>
      </c>
      <c r="O40" s="54">
        <f>ROUND(+'20K'!$E45,4)</f>
        <v>0.96609999999999996</v>
      </c>
      <c r="P40" s="54">
        <f>ROUND(+H.Marathon!$E45,4)</f>
        <v>0.96599999999999997</v>
      </c>
      <c r="Q40" s="54">
        <f>ROUND(+'25K'!$E45,4)</f>
        <v>0.96760000000000002</v>
      </c>
      <c r="R40" s="54">
        <f>ROUND(+'30K'!$E45,4)</f>
        <v>0.96940000000000004</v>
      </c>
      <c r="S40" s="54">
        <f>ROUND(+Marathon!$E45,4)</f>
        <v>0.97270000000000001</v>
      </c>
      <c r="T40" s="54">
        <f>ROUND(+Marathon!$E45,4)</f>
        <v>0.97270000000000001</v>
      </c>
      <c r="U40" s="54">
        <f>ROUND(+Marathon!$E45,4)</f>
        <v>0.97270000000000001</v>
      </c>
      <c r="V40" s="54">
        <f>ROUND(+Marathon!$E45,4)</f>
        <v>0.97270000000000001</v>
      </c>
      <c r="W40" s="54">
        <f>ROUND(+Marathon!$E45,4)</f>
        <v>0.97270000000000001</v>
      </c>
      <c r="X40" s="54">
        <f>ROUND(+Marathon!$E45,4)</f>
        <v>0.97270000000000001</v>
      </c>
      <c r="Y40" s="54">
        <f>ROUND(+Marathon!$E45,4)</f>
        <v>0.97270000000000001</v>
      </c>
      <c r="Z40" s="46"/>
    </row>
    <row r="41" spans="1:26">
      <c r="A41" s="471">
        <v>40</v>
      </c>
      <c r="B41" s="477">
        <f>ROUND(+'1K'!E46,4)</f>
        <v>0.98529999999999995</v>
      </c>
      <c r="C41" s="456">
        <f>ROUND(+Mile!E46,4)</f>
        <v>0.9748</v>
      </c>
      <c r="D41" s="57">
        <f>ROUND(+'3K'!E46,4)</f>
        <v>0.96109999999999995</v>
      </c>
      <c r="E41" s="57">
        <f>ROUND(+'5K'!E46,4)</f>
        <v>0.94989999999999997</v>
      </c>
      <c r="F41" s="57">
        <f>ROUND(+'6K'!E46,4)</f>
        <v>0.95320000000000005</v>
      </c>
      <c r="G41" s="57">
        <f>ROUND(+'4MI'!E46,4)</f>
        <v>0.95440000000000003</v>
      </c>
      <c r="H41" s="57">
        <f>ROUND(+'8K'!$E46,4)</f>
        <v>0.95830000000000004</v>
      </c>
      <c r="I41" s="57">
        <f>ROUND(+'5MI'!E46,4)</f>
        <v>0.95840000000000003</v>
      </c>
      <c r="J41" s="57">
        <f>ROUND(+'10K'!$E46,4)</f>
        <v>0.96230000000000004</v>
      </c>
      <c r="K41" s="57">
        <f>ROUND(+'7MI'!$E46,4)</f>
        <v>0.96189999999999998</v>
      </c>
      <c r="L41" s="57">
        <f>ROUND(+'12K'!$E46,4)</f>
        <v>0.96179999999999999</v>
      </c>
      <c r="M41" s="57">
        <f>ROUND(+'15K'!$E46,4)</f>
        <v>0.96109999999999995</v>
      </c>
      <c r="N41" s="57">
        <f>ROUND(+'10MI'!$E46,4)</f>
        <v>0.96089999999999998</v>
      </c>
      <c r="O41" s="57">
        <f>ROUND(+'20K'!$E46,4)</f>
        <v>0.96030000000000004</v>
      </c>
      <c r="P41" s="57">
        <f>ROUND(+H.Marathon!$E46,4)</f>
        <v>0.96009999999999995</v>
      </c>
      <c r="Q41" s="57">
        <f>ROUND(+'25K'!$E46,4)</f>
        <v>0.96199999999999997</v>
      </c>
      <c r="R41" s="57">
        <f>ROUND(+'30K'!$E46,4)</f>
        <v>0.96409999999999996</v>
      </c>
      <c r="S41" s="57">
        <f>ROUND(+Marathon!$E46,4)</f>
        <v>0.96799999999999997</v>
      </c>
      <c r="T41" s="57">
        <f>ROUND(+Marathon!$E46,4)</f>
        <v>0.96799999999999997</v>
      </c>
      <c r="U41" s="57">
        <f>ROUND(+Marathon!$E46,4)</f>
        <v>0.96799999999999997</v>
      </c>
      <c r="V41" s="57">
        <f>ROUND(+Marathon!$E46,4)</f>
        <v>0.96799999999999997</v>
      </c>
      <c r="W41" s="57">
        <f>ROUND(+Marathon!$E46,4)</f>
        <v>0.96799999999999997</v>
      </c>
      <c r="X41" s="57">
        <f>ROUND(+Marathon!$E46,4)</f>
        <v>0.96799999999999997</v>
      </c>
      <c r="Y41" s="57">
        <f>ROUND(+Marathon!$E46,4)</f>
        <v>0.96799999999999997</v>
      </c>
      <c r="Z41" s="46"/>
    </row>
    <row r="42" spans="1:26">
      <c r="A42" s="469">
        <v>41</v>
      </c>
      <c r="B42" s="476">
        <f>ROUND(+'1K'!E47,4)</f>
        <v>0.98080000000000001</v>
      </c>
      <c r="C42" s="457">
        <f>ROUND(+Mile!E47,4)</f>
        <v>0.96950000000000003</v>
      </c>
      <c r="D42" s="54">
        <f>ROUND(+'3K'!E47,4)</f>
        <v>0.95469999999999999</v>
      </c>
      <c r="E42" s="54">
        <f>ROUND(+'5K'!E47,4)</f>
        <v>0.9425</v>
      </c>
      <c r="F42" s="54">
        <f>ROUND(+'6K'!E47,4)</f>
        <v>0.94610000000000005</v>
      </c>
      <c r="G42" s="54">
        <f>ROUND(+'4MI'!E47,4)</f>
        <v>0.94750000000000001</v>
      </c>
      <c r="H42" s="54">
        <f>ROUND(+'8K'!$E47,4)</f>
        <v>0.95189999999999997</v>
      </c>
      <c r="I42" s="54">
        <f>ROUND(+'5MI'!E47,4)</f>
        <v>0.95199999999999996</v>
      </c>
      <c r="J42" s="54">
        <f>ROUND(+'10K'!$E47,4)</f>
        <v>0.95630000000000004</v>
      </c>
      <c r="K42" s="54">
        <f>ROUND(+'7MI'!$E47,4)</f>
        <v>0.95589999999999997</v>
      </c>
      <c r="L42" s="55">
        <f>ROUND(+'12K'!$E47,4)</f>
        <v>0.95569999999999999</v>
      </c>
      <c r="M42" s="54">
        <f>ROUND(+'15K'!$E47,4)</f>
        <v>0.95489999999999997</v>
      </c>
      <c r="N42" s="54">
        <f>ROUND(+'10MI'!$E47,4)</f>
        <v>0.9546</v>
      </c>
      <c r="O42" s="54">
        <f>ROUND(+'20K'!$E47,4)</f>
        <v>0.95389999999999997</v>
      </c>
      <c r="P42" s="54">
        <f>ROUND(+H.Marathon!$E47,4)</f>
        <v>0.95369999999999999</v>
      </c>
      <c r="Q42" s="54">
        <f>ROUND(+'25K'!$E47,4)</f>
        <v>0.95599999999999996</v>
      </c>
      <c r="R42" s="54">
        <f>ROUND(+'30K'!$E47,4)</f>
        <v>0.95840000000000003</v>
      </c>
      <c r="S42" s="54">
        <f>ROUND(+Marathon!$E47,4)</f>
        <v>0.96289999999999998</v>
      </c>
      <c r="T42" s="54">
        <f>ROUND(+Marathon!$E47,4)</f>
        <v>0.96289999999999998</v>
      </c>
      <c r="U42" s="54">
        <f>ROUND(+Marathon!$E47,4)</f>
        <v>0.96289999999999998</v>
      </c>
      <c r="V42" s="54">
        <f>ROUND(+Marathon!$E47,4)</f>
        <v>0.96289999999999998</v>
      </c>
      <c r="W42" s="54">
        <f>ROUND(+Marathon!$E47,4)</f>
        <v>0.96289999999999998</v>
      </c>
      <c r="X42" s="54">
        <f>ROUND(+Marathon!$E47,4)</f>
        <v>0.96289999999999998</v>
      </c>
      <c r="Y42" s="54">
        <f>ROUND(+Marathon!$E47,4)</f>
        <v>0.96289999999999998</v>
      </c>
      <c r="Z42" s="46"/>
    </row>
    <row r="43" spans="1:26">
      <c r="A43" s="469">
        <v>42</v>
      </c>
      <c r="B43" s="476">
        <f>ROUND(+'1K'!E48,4)</f>
        <v>0.9758</v>
      </c>
      <c r="C43" s="457">
        <f>ROUND(+Mile!E48,4)</f>
        <v>0.96360000000000001</v>
      </c>
      <c r="D43" s="54">
        <f>ROUND(+'3K'!E48,4)</f>
        <v>0.94769999999999999</v>
      </c>
      <c r="E43" s="54">
        <f>ROUND(+'5K'!E48,4)</f>
        <v>0.93459999999999999</v>
      </c>
      <c r="F43" s="54">
        <f>ROUND(+'6K'!E48,4)</f>
        <v>0.93859999999999999</v>
      </c>
      <c r="G43" s="54">
        <f>ROUND(+'4MI'!E48,4)</f>
        <v>0.94020000000000004</v>
      </c>
      <c r="H43" s="54">
        <f>ROUND(+'8K'!$E48,4)</f>
        <v>0.94499999999999995</v>
      </c>
      <c r="I43" s="54">
        <f>ROUND(+'5MI'!E48,4)</f>
        <v>0.94510000000000005</v>
      </c>
      <c r="J43" s="54">
        <f>ROUND(+'10K'!$E48,4)</f>
        <v>0.94989999999999997</v>
      </c>
      <c r="K43" s="54">
        <f>ROUND(+'7MI'!$E48,4)</f>
        <v>0.94940000000000002</v>
      </c>
      <c r="L43" s="55">
        <f>ROUND(+'12K'!$E48,4)</f>
        <v>0.94910000000000005</v>
      </c>
      <c r="M43" s="54">
        <f>ROUND(+'15K'!$E48,4)</f>
        <v>0.94820000000000004</v>
      </c>
      <c r="N43" s="54">
        <f>ROUND(+'10MI'!$E48,4)</f>
        <v>0.94789999999999996</v>
      </c>
      <c r="O43" s="54">
        <f>ROUND(+'20K'!$E48,4)</f>
        <v>0.94699999999999995</v>
      </c>
      <c r="P43" s="54">
        <f>ROUND(+H.Marathon!$E48,4)</f>
        <v>0.94679999999999997</v>
      </c>
      <c r="Q43" s="54">
        <f>ROUND(+'25K'!$E48,4)</f>
        <v>0.94940000000000002</v>
      </c>
      <c r="R43" s="54">
        <f>ROUND(+'30K'!$E48,4)</f>
        <v>0.95220000000000005</v>
      </c>
      <c r="S43" s="54">
        <f>ROUND(+Marathon!$E48,4)</f>
        <v>0.95740000000000003</v>
      </c>
      <c r="T43" s="54">
        <f>ROUND(+Marathon!$E48,4)</f>
        <v>0.95740000000000003</v>
      </c>
      <c r="U43" s="54">
        <f>ROUND(+Marathon!$E48,4)</f>
        <v>0.95740000000000003</v>
      </c>
      <c r="V43" s="54">
        <f>ROUND(+Marathon!$E48,4)</f>
        <v>0.95740000000000003</v>
      </c>
      <c r="W43" s="54">
        <f>ROUND(+Marathon!$E48,4)</f>
        <v>0.95740000000000003</v>
      </c>
      <c r="X43" s="54">
        <f>ROUND(+Marathon!$E48,4)</f>
        <v>0.95740000000000003</v>
      </c>
      <c r="Y43" s="54">
        <f>ROUND(+Marathon!$E48,4)</f>
        <v>0.95740000000000003</v>
      </c>
      <c r="Z43" s="46"/>
    </row>
    <row r="44" spans="1:26">
      <c r="A44" s="469">
        <v>43</v>
      </c>
      <c r="B44" s="476">
        <f>ROUND(+'1K'!E49,4)</f>
        <v>0.97040000000000004</v>
      </c>
      <c r="C44" s="457">
        <f>ROUND(+Mile!E49,4)</f>
        <v>0.95730000000000004</v>
      </c>
      <c r="D44" s="54">
        <f>ROUND(+'3K'!E49,4)</f>
        <v>0.94020000000000004</v>
      </c>
      <c r="E44" s="54">
        <f>ROUND(+'5K'!E49,4)</f>
        <v>0.92620000000000002</v>
      </c>
      <c r="F44" s="54">
        <f>ROUND(+'6K'!E49,4)</f>
        <v>0.93059999999999998</v>
      </c>
      <c r="G44" s="54">
        <f>ROUND(+'4MI'!E49,4)</f>
        <v>0.93230000000000002</v>
      </c>
      <c r="H44" s="54">
        <f>ROUND(+'8K'!$E49,4)</f>
        <v>0.9375</v>
      </c>
      <c r="I44" s="54">
        <f>ROUND(+'5MI'!E49,4)</f>
        <v>0.93769999999999998</v>
      </c>
      <c r="J44" s="54">
        <f>ROUND(+'10K'!$E49,4)</f>
        <v>0.94289999999999996</v>
      </c>
      <c r="K44" s="54">
        <f>ROUND(+'7MI'!$E49,4)</f>
        <v>0.94240000000000002</v>
      </c>
      <c r="L44" s="55">
        <f>ROUND(+'12K'!$E49,4)</f>
        <v>0.94210000000000005</v>
      </c>
      <c r="M44" s="54">
        <f>ROUND(+'15K'!$E49,4)</f>
        <v>0.94110000000000005</v>
      </c>
      <c r="N44" s="54">
        <f>ROUND(+'10MI'!$E49,4)</f>
        <v>0.94069999999999998</v>
      </c>
      <c r="O44" s="54">
        <f>ROUND(+'20K'!$E49,4)</f>
        <v>0.93969999999999998</v>
      </c>
      <c r="P44" s="54">
        <f>ROUND(+H.Marathon!$E49,4)</f>
        <v>0.9395</v>
      </c>
      <c r="Q44" s="54">
        <f>ROUND(+'25K'!$E49,4)</f>
        <v>0.94240000000000002</v>
      </c>
      <c r="R44" s="54">
        <f>ROUND(+'30K'!$E49,4)</f>
        <v>0.9456</v>
      </c>
      <c r="S44" s="54">
        <f>ROUND(+Marathon!$E49,4)</f>
        <v>0.95150000000000001</v>
      </c>
      <c r="T44" s="54">
        <f>ROUND(+Marathon!$E49,4)</f>
        <v>0.95150000000000001</v>
      </c>
      <c r="U44" s="54">
        <f>ROUND(+Marathon!$E49,4)</f>
        <v>0.95150000000000001</v>
      </c>
      <c r="V44" s="54">
        <f>ROUND(+Marathon!$E49,4)</f>
        <v>0.95150000000000001</v>
      </c>
      <c r="W44" s="54">
        <f>ROUND(+Marathon!$E49,4)</f>
        <v>0.95150000000000001</v>
      </c>
      <c r="X44" s="54">
        <f>ROUND(+Marathon!$E49,4)</f>
        <v>0.95150000000000001</v>
      </c>
      <c r="Y44" s="54">
        <f>ROUND(+Marathon!$E49,4)</f>
        <v>0.95150000000000001</v>
      </c>
      <c r="Z44" s="46"/>
    </row>
    <row r="45" spans="1:26">
      <c r="A45" s="469">
        <v>44</v>
      </c>
      <c r="B45" s="476">
        <f>ROUND(+'1K'!E50,4)</f>
        <v>0.96430000000000005</v>
      </c>
      <c r="C45" s="457">
        <f>ROUND(+Mile!E50,4)</f>
        <v>0.95040000000000002</v>
      </c>
      <c r="D45" s="54">
        <f>ROUND(+'3K'!E50,4)</f>
        <v>0.93220000000000003</v>
      </c>
      <c r="E45" s="54">
        <f>ROUND(+'5K'!E50,4)</f>
        <v>0.91720000000000002</v>
      </c>
      <c r="F45" s="54">
        <f>ROUND(+'6K'!E50,4)</f>
        <v>0.92200000000000004</v>
      </c>
      <c r="G45" s="54">
        <f>ROUND(+'4MI'!E50,4)</f>
        <v>0.92390000000000005</v>
      </c>
      <c r="H45" s="54">
        <f>ROUND(+'8K'!$E50,4)</f>
        <v>0.92969999999999997</v>
      </c>
      <c r="I45" s="54">
        <f>ROUND(+'5MI'!E50,4)</f>
        <v>0.92979999999999996</v>
      </c>
      <c r="J45" s="54">
        <f>ROUND(+'10K'!$E50,4)</f>
        <v>0.93559999999999999</v>
      </c>
      <c r="K45" s="54">
        <f>ROUND(+'7MI'!$E50,4)</f>
        <v>0.93500000000000005</v>
      </c>
      <c r="L45" s="55">
        <f>ROUND(+'12K'!$E50,4)</f>
        <v>0.93459999999999999</v>
      </c>
      <c r="M45" s="54">
        <f>ROUND(+'15K'!$E50,4)</f>
        <v>0.9335</v>
      </c>
      <c r="N45" s="54">
        <f>ROUND(+'10MI'!$E50,4)</f>
        <v>0.93310000000000004</v>
      </c>
      <c r="O45" s="54">
        <f>ROUND(+'20K'!$E50,4)</f>
        <v>0.93200000000000005</v>
      </c>
      <c r="P45" s="54">
        <f>ROUND(+H.Marathon!$E50,4)</f>
        <v>0.93169999999999997</v>
      </c>
      <c r="Q45" s="54">
        <f>ROUND(+'25K'!$E50,4)</f>
        <v>0.93500000000000005</v>
      </c>
      <c r="R45" s="54">
        <f>ROUND(+'30K'!$E50,4)</f>
        <v>0.93859999999999999</v>
      </c>
      <c r="S45" s="54">
        <f>ROUND(+Marathon!$E50,4)</f>
        <v>0.94530000000000003</v>
      </c>
      <c r="T45" s="54">
        <f>ROUND(+Marathon!$E50,4)</f>
        <v>0.94530000000000003</v>
      </c>
      <c r="U45" s="54">
        <f>ROUND(+Marathon!$E50,4)</f>
        <v>0.94530000000000003</v>
      </c>
      <c r="V45" s="54">
        <f>ROUND(+Marathon!$E50,4)</f>
        <v>0.94530000000000003</v>
      </c>
      <c r="W45" s="54">
        <f>ROUND(+Marathon!$E50,4)</f>
        <v>0.94530000000000003</v>
      </c>
      <c r="X45" s="54">
        <f>ROUND(+Marathon!$E50,4)</f>
        <v>0.94530000000000003</v>
      </c>
      <c r="Y45" s="54">
        <f>ROUND(+Marathon!$E50,4)</f>
        <v>0.94530000000000003</v>
      </c>
      <c r="Z45" s="46"/>
    </row>
    <row r="46" spans="1:26">
      <c r="A46" s="471">
        <v>45</v>
      </c>
      <c r="B46" s="477">
        <f>ROUND(+'1K'!E51,4)</f>
        <v>0.95779999999999998</v>
      </c>
      <c r="C46" s="456">
        <f>ROUND(+Mile!E51,4)</f>
        <v>0.94299999999999995</v>
      </c>
      <c r="D46" s="57">
        <f>ROUND(+'3K'!E51,4)</f>
        <v>0.92369999999999997</v>
      </c>
      <c r="E46" s="57">
        <f>ROUND(+'5K'!E51,4)</f>
        <v>0.90780000000000005</v>
      </c>
      <c r="F46" s="57">
        <f>ROUND(+'6K'!E51,4)</f>
        <v>0.91310000000000002</v>
      </c>
      <c r="G46" s="57">
        <f>ROUND(+'4MI'!E51,4)</f>
        <v>0.91510000000000002</v>
      </c>
      <c r="H46" s="57">
        <f>ROUND(+'8K'!$E51,4)</f>
        <v>0.9214</v>
      </c>
      <c r="I46" s="57">
        <f>ROUND(+'5MI'!E51,4)</f>
        <v>0.92149999999999999</v>
      </c>
      <c r="J46" s="57">
        <f>ROUND(+'10K'!$E51,4)</f>
        <v>0.92779999999999996</v>
      </c>
      <c r="K46" s="57">
        <f>ROUND(+'7MI'!$E51,4)</f>
        <v>0.92710000000000004</v>
      </c>
      <c r="L46" s="57">
        <f>ROUND(+'12K'!$E51,4)</f>
        <v>0.92669999999999997</v>
      </c>
      <c r="M46" s="57">
        <f>ROUND(+'15K'!$E51,4)</f>
        <v>0.9254</v>
      </c>
      <c r="N46" s="57">
        <f>ROUND(+'10MI'!$E51,4)</f>
        <v>0.92500000000000004</v>
      </c>
      <c r="O46" s="57">
        <f>ROUND(+'20K'!$E51,4)</f>
        <v>0.92369999999999997</v>
      </c>
      <c r="P46" s="57">
        <f>ROUND(+H.Marathon!$E51,4)</f>
        <v>0.9234</v>
      </c>
      <c r="Q46" s="57">
        <f>ROUND(+'25K'!$E51,4)</f>
        <v>0.92710000000000004</v>
      </c>
      <c r="R46" s="57">
        <f>ROUND(+'30K'!$E51,4)</f>
        <v>0.93110000000000004</v>
      </c>
      <c r="S46" s="57">
        <f>ROUND(+Marathon!$E51,4)</f>
        <v>0.93859999999999999</v>
      </c>
      <c r="T46" s="57">
        <f>ROUND(+Marathon!$E51,4)</f>
        <v>0.93859999999999999</v>
      </c>
      <c r="U46" s="57">
        <f>ROUND(+Marathon!$E51,4)</f>
        <v>0.93859999999999999</v>
      </c>
      <c r="V46" s="57">
        <f>ROUND(+Marathon!$E51,4)</f>
        <v>0.93859999999999999</v>
      </c>
      <c r="W46" s="57">
        <f>ROUND(+Marathon!$E51,4)</f>
        <v>0.93859999999999999</v>
      </c>
      <c r="X46" s="57">
        <f>ROUND(+Marathon!$E51,4)</f>
        <v>0.93859999999999999</v>
      </c>
      <c r="Y46" s="57">
        <f>ROUND(+Marathon!$E51,4)</f>
        <v>0.93859999999999999</v>
      </c>
      <c r="Z46" s="46"/>
    </row>
    <row r="47" spans="1:26">
      <c r="A47" s="469">
        <v>46</v>
      </c>
      <c r="B47" s="476">
        <f>ROUND(+'1K'!E52,4)</f>
        <v>0.95069999999999999</v>
      </c>
      <c r="C47" s="457">
        <f>ROUND(+Mile!E52,4)</f>
        <v>0.93510000000000004</v>
      </c>
      <c r="D47" s="54">
        <f>ROUND(+'3K'!E52,4)</f>
        <v>0.91469999999999996</v>
      </c>
      <c r="E47" s="54">
        <f>ROUND(+'5K'!E52,4)</f>
        <v>0.89800000000000002</v>
      </c>
      <c r="F47" s="54">
        <f>ROUND(+'6K'!E52,4)</f>
        <v>0.90369999999999995</v>
      </c>
      <c r="G47" s="54">
        <f>ROUND(+'4MI'!E52,4)</f>
        <v>0.90580000000000005</v>
      </c>
      <c r="H47" s="54">
        <f>ROUND(+'8K'!$E52,4)</f>
        <v>0.91259999999999997</v>
      </c>
      <c r="I47" s="54">
        <f>ROUND(+'5MI'!E52,4)</f>
        <v>0.91279999999999994</v>
      </c>
      <c r="J47" s="54">
        <f>ROUND(+'10K'!$E52,4)</f>
        <v>0.91949999999999998</v>
      </c>
      <c r="K47" s="54">
        <f>ROUND(+'7MI'!$E52,4)</f>
        <v>0.91869999999999996</v>
      </c>
      <c r="L47" s="55">
        <f>ROUND(+'12K'!$E52,4)</f>
        <v>0.91830000000000001</v>
      </c>
      <c r="M47" s="54">
        <f>ROUND(+'15K'!$E52,4)</f>
        <v>0.91690000000000005</v>
      </c>
      <c r="N47" s="54">
        <f>ROUND(+'10MI'!$E52,4)</f>
        <v>0.91639999999999999</v>
      </c>
      <c r="O47" s="54">
        <f>ROUND(+'20K'!$E52,4)</f>
        <v>0.91500000000000004</v>
      </c>
      <c r="P47" s="54">
        <f>ROUND(+H.Marathon!$E52,4)</f>
        <v>0.91469999999999996</v>
      </c>
      <c r="Q47" s="54">
        <f>ROUND(+'25K'!$E52,4)</f>
        <v>0.91879999999999995</v>
      </c>
      <c r="R47" s="54">
        <f>ROUND(+'30K'!$E52,4)</f>
        <v>0.92330000000000001</v>
      </c>
      <c r="S47" s="54">
        <f>ROUND(+Marathon!$E52,4)</f>
        <v>0.93159999999999998</v>
      </c>
      <c r="T47" s="54">
        <f>ROUND(+Marathon!$E52,4)</f>
        <v>0.93159999999999998</v>
      </c>
      <c r="U47" s="54">
        <f>ROUND(+Marathon!$E52,4)</f>
        <v>0.93159999999999998</v>
      </c>
      <c r="V47" s="54">
        <f>ROUND(+Marathon!$E52,4)</f>
        <v>0.93159999999999998</v>
      </c>
      <c r="W47" s="54">
        <f>ROUND(+Marathon!$E52,4)</f>
        <v>0.93159999999999998</v>
      </c>
      <c r="X47" s="54">
        <f>ROUND(+Marathon!$E52,4)</f>
        <v>0.93159999999999998</v>
      </c>
      <c r="Y47" s="54">
        <f>ROUND(+Marathon!$E52,4)</f>
        <v>0.93159999999999998</v>
      </c>
      <c r="Z47" s="46"/>
    </row>
    <row r="48" spans="1:26">
      <c r="A48" s="469">
        <v>47</v>
      </c>
      <c r="B48" s="476">
        <f>ROUND(+'1K'!E53,4)</f>
        <v>0.94269999999999998</v>
      </c>
      <c r="C48" s="457">
        <f>ROUND(+Mile!E53,4)</f>
        <v>0.92659999999999998</v>
      </c>
      <c r="D48" s="54">
        <f>ROUND(+'3K'!E53,4)</f>
        <v>0.90559999999999996</v>
      </c>
      <c r="E48" s="54">
        <f>ROUND(+'5K'!E53,4)</f>
        <v>0.88829999999999998</v>
      </c>
      <c r="F48" s="54">
        <f>ROUND(+'6K'!E53,4)</f>
        <v>0.89419999999999999</v>
      </c>
      <c r="G48" s="54">
        <f>ROUND(+'4MI'!E53,4)</f>
        <v>0.89649999999999996</v>
      </c>
      <c r="H48" s="54">
        <f>ROUND(+'8K'!$E53,4)</f>
        <v>0.90359999999999996</v>
      </c>
      <c r="I48" s="54">
        <f>ROUND(+'5MI'!E53,4)</f>
        <v>0.90380000000000005</v>
      </c>
      <c r="J48" s="54">
        <f>ROUND(+'10K'!$E53,4)</f>
        <v>0.91090000000000004</v>
      </c>
      <c r="K48" s="54">
        <f>ROUND(+'7MI'!$E53,4)</f>
        <v>0.91</v>
      </c>
      <c r="L48" s="55">
        <f>ROUND(+'12K'!$E53,4)</f>
        <v>0.90959999999999996</v>
      </c>
      <c r="M48" s="54">
        <f>ROUND(+'15K'!$E53,4)</f>
        <v>0.90800000000000003</v>
      </c>
      <c r="N48" s="54">
        <f>ROUND(+'10MI'!$E53,4)</f>
        <v>0.90749999999999997</v>
      </c>
      <c r="O48" s="54">
        <f>ROUND(+'20K'!$E53,4)</f>
        <v>0.90590000000000004</v>
      </c>
      <c r="P48" s="54">
        <f>ROUND(+H.Marathon!$E53,4)</f>
        <v>0.90549999999999997</v>
      </c>
      <c r="Q48" s="54">
        <f>ROUND(+'25K'!$E53,4)</f>
        <v>0.91010000000000002</v>
      </c>
      <c r="R48" s="54">
        <f>ROUND(+'30K'!$E53,4)</f>
        <v>0.91500000000000004</v>
      </c>
      <c r="S48" s="54">
        <f>ROUND(+Marathon!$E53,4)</f>
        <v>0.92420000000000002</v>
      </c>
      <c r="T48" s="54">
        <f>ROUND(+Marathon!$E53,4)</f>
        <v>0.92420000000000002</v>
      </c>
      <c r="U48" s="54">
        <f>ROUND(+Marathon!$E53,4)</f>
        <v>0.92420000000000002</v>
      </c>
      <c r="V48" s="54">
        <f>ROUND(+Marathon!$E53,4)</f>
        <v>0.92420000000000002</v>
      </c>
      <c r="W48" s="54">
        <f>ROUND(+Marathon!$E53,4)</f>
        <v>0.92420000000000002</v>
      </c>
      <c r="X48" s="54">
        <f>ROUND(+Marathon!$E53,4)</f>
        <v>0.92420000000000002</v>
      </c>
      <c r="Y48" s="54">
        <f>ROUND(+Marathon!$E53,4)</f>
        <v>0.92420000000000002</v>
      </c>
      <c r="Z48" s="46"/>
    </row>
    <row r="49" spans="1:26">
      <c r="A49" s="469">
        <v>48</v>
      </c>
      <c r="B49" s="476">
        <f>ROUND(+'1K'!E54,4)</f>
        <v>0.93410000000000004</v>
      </c>
      <c r="C49" s="457">
        <f>ROUND(+Mile!E54,4)</f>
        <v>0.91769999999999996</v>
      </c>
      <c r="D49" s="54">
        <f>ROUND(+'3K'!E54,4)</f>
        <v>0.8962</v>
      </c>
      <c r="E49" s="54">
        <f>ROUND(+'5K'!E54,4)</f>
        <v>0.87860000000000005</v>
      </c>
      <c r="F49" s="54">
        <f>ROUND(+'6K'!E54,4)</f>
        <v>0.88470000000000004</v>
      </c>
      <c r="G49" s="54">
        <f>ROUND(+'4MI'!E54,4)</f>
        <v>0.88700000000000001</v>
      </c>
      <c r="H49" s="54">
        <f>ROUND(+'8K'!$E54,4)</f>
        <v>0.89429999999999998</v>
      </c>
      <c r="I49" s="54">
        <f>ROUND(+'5MI'!E54,4)</f>
        <v>0.89449999999999996</v>
      </c>
      <c r="J49" s="54">
        <f>ROUND(+'10K'!$E54,4)</f>
        <v>0.90169999999999995</v>
      </c>
      <c r="K49" s="54">
        <f>ROUND(+'7MI'!$E54,4)</f>
        <v>0.90080000000000005</v>
      </c>
      <c r="L49" s="55">
        <f>ROUND(+'12K'!$E54,4)</f>
        <v>0.90029999999999999</v>
      </c>
      <c r="M49" s="54">
        <f>ROUND(+'15K'!$E54,4)</f>
        <v>0.89849999999999997</v>
      </c>
      <c r="N49" s="54">
        <f>ROUND(+'10MI'!$E54,4)</f>
        <v>0.89790000000000003</v>
      </c>
      <c r="O49" s="54">
        <f>ROUND(+'20K'!$E54,4)</f>
        <v>0.8962</v>
      </c>
      <c r="P49" s="54">
        <f>ROUND(+H.Marathon!$E54,4)</f>
        <v>0.89580000000000004</v>
      </c>
      <c r="Q49" s="54">
        <f>ROUND(+'25K'!$E54,4)</f>
        <v>0.90090000000000003</v>
      </c>
      <c r="R49" s="54">
        <f>ROUND(+'30K'!$E54,4)</f>
        <v>0.90629999999999999</v>
      </c>
      <c r="S49" s="54">
        <f>ROUND(+Marathon!$E54,4)</f>
        <v>0.91649999999999998</v>
      </c>
      <c r="T49" s="54">
        <f>ROUND(+Marathon!$E54,4)</f>
        <v>0.91649999999999998</v>
      </c>
      <c r="U49" s="54">
        <f>ROUND(+Marathon!$E54,4)</f>
        <v>0.91649999999999998</v>
      </c>
      <c r="V49" s="54">
        <f>ROUND(+Marathon!$E54,4)</f>
        <v>0.91649999999999998</v>
      </c>
      <c r="W49" s="54">
        <f>ROUND(+Marathon!$E54,4)</f>
        <v>0.91649999999999998</v>
      </c>
      <c r="X49" s="54">
        <f>ROUND(+Marathon!$E54,4)</f>
        <v>0.91649999999999998</v>
      </c>
      <c r="Y49" s="54">
        <f>ROUND(+Marathon!$E54,4)</f>
        <v>0.91649999999999998</v>
      </c>
      <c r="Z49" s="46"/>
    </row>
    <row r="50" spans="1:26">
      <c r="A50" s="469">
        <v>49</v>
      </c>
      <c r="B50" s="476">
        <f>ROUND(+'1K'!E55,4)</f>
        <v>0.92469999999999997</v>
      </c>
      <c r="C50" s="457">
        <f>ROUND(+Mile!E55,4)</f>
        <v>0.90820000000000001</v>
      </c>
      <c r="D50" s="54">
        <f>ROUND(+'3K'!E55,4)</f>
        <v>0.88660000000000005</v>
      </c>
      <c r="E50" s="54">
        <f>ROUND(+'5K'!E55,4)</f>
        <v>0.86890000000000001</v>
      </c>
      <c r="F50" s="54">
        <f>ROUND(+'6K'!E55,4)</f>
        <v>0.875</v>
      </c>
      <c r="G50" s="54">
        <f>ROUND(+'4MI'!E55,4)</f>
        <v>0.87739999999999996</v>
      </c>
      <c r="H50" s="54">
        <f>ROUND(+'8K'!$E55,4)</f>
        <v>0.88460000000000005</v>
      </c>
      <c r="I50" s="54">
        <f>ROUND(+'5MI'!E55,4)</f>
        <v>0.88480000000000003</v>
      </c>
      <c r="J50" s="54">
        <f>ROUND(+'10K'!$E55,4)</f>
        <v>0.8921</v>
      </c>
      <c r="K50" s="54">
        <f>ROUND(+'7MI'!$E55,4)</f>
        <v>0.8911</v>
      </c>
      <c r="L50" s="55">
        <f>ROUND(+'12K'!$E55,4)</f>
        <v>0.89049999999999996</v>
      </c>
      <c r="M50" s="54">
        <f>ROUND(+'15K'!$E55,4)</f>
        <v>0.88859999999999995</v>
      </c>
      <c r="N50" s="54">
        <f>ROUND(+'10MI'!$E55,4)</f>
        <v>0.88800000000000001</v>
      </c>
      <c r="O50" s="54">
        <f>ROUND(+'20K'!$E55,4)</f>
        <v>0.8861</v>
      </c>
      <c r="P50" s="54">
        <f>ROUND(+H.Marathon!$E55,4)</f>
        <v>0.88560000000000005</v>
      </c>
      <c r="Q50" s="54">
        <f>ROUND(+'25K'!$E55,4)</f>
        <v>0.89119999999999999</v>
      </c>
      <c r="R50" s="54">
        <f>ROUND(+'30K'!$E55,4)</f>
        <v>0.89710000000000001</v>
      </c>
      <c r="S50" s="54">
        <f>ROUND(+Marathon!$E55,4)</f>
        <v>0.9083</v>
      </c>
      <c r="T50" s="54">
        <f>ROUND(+Marathon!$E55,4)</f>
        <v>0.9083</v>
      </c>
      <c r="U50" s="54">
        <f>ROUND(+Marathon!$E55,4)</f>
        <v>0.9083</v>
      </c>
      <c r="V50" s="54">
        <f>ROUND(+Marathon!$E55,4)</f>
        <v>0.9083</v>
      </c>
      <c r="W50" s="54">
        <f>ROUND(+Marathon!$E55,4)</f>
        <v>0.9083</v>
      </c>
      <c r="X50" s="54">
        <f>ROUND(+Marathon!$E55,4)</f>
        <v>0.9083</v>
      </c>
      <c r="Y50" s="54">
        <f>ROUND(+Marathon!$E55,4)</f>
        <v>0.9083</v>
      </c>
      <c r="Z50" s="46"/>
    </row>
    <row r="51" spans="1:26">
      <c r="A51" s="471">
        <v>50</v>
      </c>
      <c r="B51" s="477">
        <f>ROUND(+'1K'!E56,4)</f>
        <v>0.91500000000000004</v>
      </c>
      <c r="C51" s="456">
        <f>ROUND(+Mile!E56,4)</f>
        <v>0.89849999999999997</v>
      </c>
      <c r="D51" s="57">
        <f>ROUND(+'3K'!E56,4)</f>
        <v>0.87690000000000001</v>
      </c>
      <c r="E51" s="57">
        <f>ROUND(+'5K'!E56,4)</f>
        <v>0.85919999999999996</v>
      </c>
      <c r="F51" s="57">
        <f>ROUND(+'6K'!E56,4)</f>
        <v>0.86519999999999997</v>
      </c>
      <c r="G51" s="57">
        <f>ROUND(+'4MI'!E56,4)</f>
        <v>0.86760000000000004</v>
      </c>
      <c r="H51" s="57">
        <f>ROUND(+'8K'!$E56,4)</f>
        <v>0.87480000000000002</v>
      </c>
      <c r="I51" s="57">
        <f>ROUND(+'5MI'!E56,4)</f>
        <v>0.875</v>
      </c>
      <c r="J51" s="57">
        <f>ROUND(+'10K'!$E56,4)</f>
        <v>0.88219999999999998</v>
      </c>
      <c r="K51" s="57">
        <f>ROUND(+'7MI'!$E56,4)</f>
        <v>0.88109999999999999</v>
      </c>
      <c r="L51" s="57">
        <f>ROUND(+'12K'!$E56,4)</f>
        <v>0.88049999999999995</v>
      </c>
      <c r="M51" s="57">
        <f>ROUND(+'15K'!$E56,4)</f>
        <v>0.87849999999999995</v>
      </c>
      <c r="N51" s="57">
        <f>ROUND(+'10MI'!$E56,4)</f>
        <v>0.87780000000000002</v>
      </c>
      <c r="O51" s="57">
        <f>ROUND(+'20K'!$E56,4)</f>
        <v>0.87580000000000002</v>
      </c>
      <c r="P51" s="57">
        <f>ROUND(+H.Marathon!$E56,4)</f>
        <v>0.87529999999999997</v>
      </c>
      <c r="Q51" s="57">
        <f>ROUND(+'25K'!$E56,4)</f>
        <v>0.88129999999999997</v>
      </c>
      <c r="R51" s="57">
        <f>ROUND(+'30K'!$E56,4)</f>
        <v>0.88770000000000004</v>
      </c>
      <c r="S51" s="57">
        <f>ROUND(+Marathon!$E56,4)</f>
        <v>0.89980000000000004</v>
      </c>
      <c r="T51" s="57">
        <f>ROUND(+Marathon!$E56,4)</f>
        <v>0.89980000000000004</v>
      </c>
      <c r="U51" s="57">
        <f>ROUND(+Marathon!$E56,4)</f>
        <v>0.89980000000000004</v>
      </c>
      <c r="V51" s="57">
        <f>ROUND(+Marathon!$E56,4)</f>
        <v>0.89980000000000004</v>
      </c>
      <c r="W51" s="57">
        <f>ROUND(+Marathon!$E56,4)</f>
        <v>0.89980000000000004</v>
      </c>
      <c r="X51" s="57">
        <f>ROUND(+Marathon!$E56,4)</f>
        <v>0.89980000000000004</v>
      </c>
      <c r="Y51" s="57">
        <f>ROUND(+Marathon!$E56,4)</f>
        <v>0.89980000000000004</v>
      </c>
      <c r="Z51" s="46"/>
    </row>
    <row r="52" spans="1:26">
      <c r="A52" s="469">
        <v>51</v>
      </c>
      <c r="B52" s="476">
        <f>ROUND(+'1K'!E57,4)</f>
        <v>0.90529999999999999</v>
      </c>
      <c r="C52" s="457">
        <f>ROUND(+Mile!E57,4)</f>
        <v>0.88880000000000003</v>
      </c>
      <c r="D52" s="54">
        <f>ROUND(+'3K'!E57,4)</f>
        <v>0.86719999999999997</v>
      </c>
      <c r="E52" s="54">
        <f>ROUND(+'5K'!E57,4)</f>
        <v>0.84950000000000003</v>
      </c>
      <c r="F52" s="54">
        <f>ROUND(+'6K'!E57,4)</f>
        <v>0.85550000000000004</v>
      </c>
      <c r="G52" s="54">
        <f>ROUND(+'4MI'!E57,4)</f>
        <v>0.85780000000000001</v>
      </c>
      <c r="H52" s="54">
        <f>ROUND(+'8K'!$E57,4)</f>
        <v>0.86499999999999999</v>
      </c>
      <c r="I52" s="54">
        <f>ROUND(+'5MI'!E57,4)</f>
        <v>0.86519999999999997</v>
      </c>
      <c r="J52" s="54">
        <f>ROUND(+'10K'!$E57,4)</f>
        <v>0.87229999999999996</v>
      </c>
      <c r="K52" s="54">
        <f>ROUND(+'7MI'!$E57,4)</f>
        <v>0.87109999999999999</v>
      </c>
      <c r="L52" s="55">
        <f>ROUND(+'12K'!$E57,4)</f>
        <v>0.87050000000000005</v>
      </c>
      <c r="M52" s="54">
        <f>ROUND(+'15K'!$E57,4)</f>
        <v>0.86829999999999996</v>
      </c>
      <c r="N52" s="54">
        <f>ROUND(+'10MI'!$E57,4)</f>
        <v>0.86760000000000004</v>
      </c>
      <c r="O52" s="54">
        <f>ROUND(+'20K'!$E57,4)</f>
        <v>0.86539999999999995</v>
      </c>
      <c r="P52" s="54">
        <f>ROUND(+H.Marathon!$E57,4)</f>
        <v>0.8649</v>
      </c>
      <c r="Q52" s="54">
        <f>ROUND(+'25K'!$E57,4)</f>
        <v>0.87129999999999996</v>
      </c>
      <c r="R52" s="54">
        <f>ROUND(+'30K'!$E57,4)</f>
        <v>0.87809999999999999</v>
      </c>
      <c r="S52" s="54">
        <f>ROUND(+Marathon!$E57,4)</f>
        <v>0.89090000000000003</v>
      </c>
      <c r="T52" s="54">
        <f>ROUND(+Marathon!$E57,4)</f>
        <v>0.89090000000000003</v>
      </c>
      <c r="U52" s="54">
        <f>ROUND(+Marathon!$E57,4)</f>
        <v>0.89090000000000003</v>
      </c>
      <c r="V52" s="54">
        <f>ROUND(+Marathon!$E57,4)</f>
        <v>0.89090000000000003</v>
      </c>
      <c r="W52" s="54">
        <f>ROUND(+Marathon!$E57,4)</f>
        <v>0.89090000000000003</v>
      </c>
      <c r="X52" s="54">
        <f>ROUND(+Marathon!$E57,4)</f>
        <v>0.89090000000000003</v>
      </c>
      <c r="Y52" s="54">
        <f>ROUND(+Marathon!$E57,4)</f>
        <v>0.89090000000000003</v>
      </c>
      <c r="Z52" s="46"/>
    </row>
    <row r="53" spans="1:26">
      <c r="A53" s="469">
        <v>52</v>
      </c>
      <c r="B53" s="476">
        <f>ROUND(+'1K'!E58,4)</f>
        <v>0.89559999999999995</v>
      </c>
      <c r="C53" s="457">
        <f>ROUND(+Mile!E58,4)</f>
        <v>0.87909999999999999</v>
      </c>
      <c r="D53" s="54">
        <f>ROUND(+'3K'!E58,4)</f>
        <v>0.85750000000000004</v>
      </c>
      <c r="E53" s="54">
        <f>ROUND(+'5K'!E58,4)</f>
        <v>0.83979999999999999</v>
      </c>
      <c r="F53" s="54">
        <f>ROUND(+'6K'!E58,4)</f>
        <v>0.84570000000000001</v>
      </c>
      <c r="G53" s="54">
        <f>ROUND(+'4MI'!E58,4)</f>
        <v>0.84799999999999998</v>
      </c>
      <c r="H53" s="54">
        <f>ROUND(+'8K'!$E58,4)</f>
        <v>0.85509999999999997</v>
      </c>
      <c r="I53" s="54">
        <f>ROUND(+'5MI'!E58,4)</f>
        <v>0.85519999999999996</v>
      </c>
      <c r="J53" s="54">
        <f>ROUND(+'10K'!$E58,4)</f>
        <v>0.86229999999999996</v>
      </c>
      <c r="K53" s="54">
        <f>ROUND(+'7MI'!$E58,4)</f>
        <v>0.86109999999999998</v>
      </c>
      <c r="L53" s="55">
        <f>ROUND(+'12K'!$E58,4)</f>
        <v>0.86040000000000005</v>
      </c>
      <c r="M53" s="54">
        <f>ROUND(+'15K'!$E58,4)</f>
        <v>0.85809999999999997</v>
      </c>
      <c r="N53" s="54">
        <f>ROUND(+'10MI'!$E58,4)</f>
        <v>0.85740000000000005</v>
      </c>
      <c r="O53" s="54">
        <f>ROUND(+'20K'!$E58,4)</f>
        <v>0.85519999999999996</v>
      </c>
      <c r="P53" s="54">
        <f>ROUND(+H.Marathon!$E58,4)</f>
        <v>0.85460000000000003</v>
      </c>
      <c r="Q53" s="54">
        <f>ROUND(+'25K'!$E58,4)</f>
        <v>0.86119999999999997</v>
      </c>
      <c r="R53" s="54">
        <f>ROUND(+'30K'!$E58,4)</f>
        <v>0.86829999999999996</v>
      </c>
      <c r="S53" s="54">
        <f>ROUND(+Marathon!$E58,4)</f>
        <v>0.88160000000000005</v>
      </c>
      <c r="T53" s="54">
        <f>ROUND(+Marathon!$E58,4)</f>
        <v>0.88160000000000005</v>
      </c>
      <c r="U53" s="54">
        <f>ROUND(+Marathon!$E58,4)</f>
        <v>0.88160000000000005</v>
      </c>
      <c r="V53" s="54">
        <f>ROUND(+Marathon!$E58,4)</f>
        <v>0.88160000000000005</v>
      </c>
      <c r="W53" s="54">
        <f>ROUND(+Marathon!$E58,4)</f>
        <v>0.88160000000000005</v>
      </c>
      <c r="X53" s="54">
        <f>ROUND(+Marathon!$E58,4)</f>
        <v>0.88160000000000005</v>
      </c>
      <c r="Y53" s="54">
        <f>ROUND(+Marathon!$E58,4)</f>
        <v>0.88160000000000005</v>
      </c>
      <c r="Z53" s="46"/>
    </row>
    <row r="54" spans="1:26">
      <c r="A54" s="469">
        <v>53</v>
      </c>
      <c r="B54" s="476">
        <f>ROUND(+'1K'!E59,4)</f>
        <v>0.88590000000000002</v>
      </c>
      <c r="C54" s="457">
        <f>ROUND(+Mile!E59,4)</f>
        <v>0.86939999999999995</v>
      </c>
      <c r="D54" s="54">
        <f>ROUND(+'3K'!E59,4)</f>
        <v>0.8478</v>
      </c>
      <c r="E54" s="54">
        <f>ROUND(+'5K'!E59,4)</f>
        <v>0.83009999999999995</v>
      </c>
      <c r="F54" s="54">
        <f>ROUND(+'6K'!E59,4)</f>
        <v>0.83599999999999997</v>
      </c>
      <c r="G54" s="54">
        <f>ROUND(+'4MI'!E59,4)</f>
        <v>0.83819999999999995</v>
      </c>
      <c r="H54" s="54">
        <f>ROUND(+'8K'!$E59,4)</f>
        <v>0.84519999999999995</v>
      </c>
      <c r="I54" s="54">
        <f>ROUND(+'5MI'!E59,4)</f>
        <v>0.84540000000000004</v>
      </c>
      <c r="J54" s="54">
        <f>ROUND(+'10K'!$E59,4)</f>
        <v>0.85240000000000005</v>
      </c>
      <c r="K54" s="54">
        <f>ROUND(+'7MI'!$E59,4)</f>
        <v>0.85109999999999997</v>
      </c>
      <c r="L54" s="55">
        <f>ROUND(+'12K'!$E59,4)</f>
        <v>0.85040000000000004</v>
      </c>
      <c r="M54" s="54">
        <f>ROUND(+'15K'!$E59,4)</f>
        <v>0.84789999999999999</v>
      </c>
      <c r="N54" s="54">
        <f>ROUND(+'10MI'!$E59,4)</f>
        <v>0.84719999999999995</v>
      </c>
      <c r="O54" s="54">
        <f>ROUND(+'20K'!$E59,4)</f>
        <v>0.8448</v>
      </c>
      <c r="P54" s="54">
        <f>ROUND(+H.Marathon!$E59,4)</f>
        <v>0.84419999999999995</v>
      </c>
      <c r="Q54" s="54">
        <f>ROUND(+'25K'!$E59,4)</f>
        <v>0.85099999999999998</v>
      </c>
      <c r="R54" s="54">
        <f>ROUND(+'30K'!$E59,4)</f>
        <v>0.85829999999999995</v>
      </c>
      <c r="S54" s="54">
        <f>ROUND(+Marathon!$E59,4)</f>
        <v>0.872</v>
      </c>
      <c r="T54" s="54">
        <f>ROUND(+Marathon!$E59,4)</f>
        <v>0.872</v>
      </c>
      <c r="U54" s="54">
        <f>ROUND(+Marathon!$E59,4)</f>
        <v>0.872</v>
      </c>
      <c r="V54" s="54">
        <f>ROUND(+Marathon!$E59,4)</f>
        <v>0.872</v>
      </c>
      <c r="W54" s="54">
        <f>ROUND(+Marathon!$E59,4)</f>
        <v>0.872</v>
      </c>
      <c r="X54" s="54">
        <f>ROUND(+Marathon!$E59,4)</f>
        <v>0.872</v>
      </c>
      <c r="Y54" s="54">
        <f>ROUND(+Marathon!$E59,4)</f>
        <v>0.872</v>
      </c>
      <c r="Z54" s="46"/>
    </row>
    <row r="55" spans="1:26">
      <c r="A55" s="469">
        <v>54</v>
      </c>
      <c r="B55" s="476">
        <f>ROUND(+'1K'!E60,4)</f>
        <v>0.87619999999999998</v>
      </c>
      <c r="C55" s="457">
        <f>ROUND(+Mile!E60,4)</f>
        <v>0.85970000000000002</v>
      </c>
      <c r="D55" s="54">
        <f>ROUND(+'3K'!E60,4)</f>
        <v>0.83809999999999996</v>
      </c>
      <c r="E55" s="54">
        <f>ROUND(+'5K'!E60,4)</f>
        <v>0.82040000000000002</v>
      </c>
      <c r="F55" s="54">
        <f>ROUND(+'6K'!E60,4)</f>
        <v>0.82620000000000005</v>
      </c>
      <c r="G55" s="54">
        <f>ROUND(+'4MI'!E60,4)</f>
        <v>0.82850000000000001</v>
      </c>
      <c r="H55" s="54">
        <f>ROUND(+'8K'!$E60,4)</f>
        <v>0.83540000000000003</v>
      </c>
      <c r="I55" s="54">
        <f>ROUND(+'5MI'!E60,4)</f>
        <v>0.83560000000000001</v>
      </c>
      <c r="J55" s="54">
        <f>ROUND(+'10K'!$E60,4)</f>
        <v>0.84250000000000003</v>
      </c>
      <c r="K55" s="54">
        <f>ROUND(+'7MI'!$E60,4)</f>
        <v>0.84109999999999996</v>
      </c>
      <c r="L55" s="55">
        <f>ROUND(+'12K'!$E60,4)</f>
        <v>0.84040000000000004</v>
      </c>
      <c r="M55" s="54">
        <f>ROUND(+'15K'!$E60,4)</f>
        <v>0.83779999999999999</v>
      </c>
      <c r="N55" s="54">
        <f>ROUND(+'10MI'!$E60,4)</f>
        <v>0.83699999999999997</v>
      </c>
      <c r="O55" s="54">
        <f>ROUND(+'20K'!$E60,4)</f>
        <v>0.83450000000000002</v>
      </c>
      <c r="P55" s="54">
        <f>ROUND(+H.Marathon!$E60,4)</f>
        <v>0.83389999999999997</v>
      </c>
      <c r="Q55" s="54">
        <f>ROUND(+'25K'!$E60,4)</f>
        <v>0.84079999999999999</v>
      </c>
      <c r="R55" s="54">
        <f>ROUND(+'30K'!$E60,4)</f>
        <v>0.84809999999999997</v>
      </c>
      <c r="S55" s="54">
        <f>ROUND(+Marathon!$E60,4)</f>
        <v>0.8619</v>
      </c>
      <c r="T55" s="54">
        <f>ROUND(+Marathon!$E60,4)</f>
        <v>0.8619</v>
      </c>
      <c r="U55" s="54">
        <f>ROUND(+Marathon!$E60,4)</f>
        <v>0.8619</v>
      </c>
      <c r="V55" s="54">
        <f>ROUND(+Marathon!$E60,4)</f>
        <v>0.8619</v>
      </c>
      <c r="W55" s="54">
        <f>ROUND(+Marathon!$E60,4)</f>
        <v>0.8619</v>
      </c>
      <c r="X55" s="54">
        <f>ROUND(+Marathon!$E60,4)</f>
        <v>0.8619</v>
      </c>
      <c r="Y55" s="54">
        <f>ROUND(+Marathon!$E60,4)</f>
        <v>0.8619</v>
      </c>
      <c r="Z55" s="46"/>
    </row>
    <row r="56" spans="1:26">
      <c r="A56" s="471">
        <v>55</v>
      </c>
      <c r="B56" s="477">
        <f>ROUND(+'1K'!E61,4)</f>
        <v>0.86650000000000005</v>
      </c>
      <c r="C56" s="456">
        <f>ROUND(+Mile!E61,4)</f>
        <v>0.85</v>
      </c>
      <c r="D56" s="57">
        <f>ROUND(+'3K'!E61,4)</f>
        <v>0.82840000000000003</v>
      </c>
      <c r="E56" s="57">
        <f>ROUND(+'5K'!E61,4)</f>
        <v>0.81069999999999998</v>
      </c>
      <c r="F56" s="57">
        <f>ROUND(+'6K'!E61,4)</f>
        <v>0.81640000000000001</v>
      </c>
      <c r="G56" s="57">
        <f>ROUND(+'4MI'!E61,4)</f>
        <v>0.81859999999999999</v>
      </c>
      <c r="H56" s="57">
        <f>ROUND(+'8K'!$E61,4)</f>
        <v>0.82550000000000001</v>
      </c>
      <c r="I56" s="57">
        <f>ROUND(+'5MI'!E61,4)</f>
        <v>0.82569999999999999</v>
      </c>
      <c r="J56" s="57">
        <f>ROUND(+'10K'!$E61,4)</f>
        <v>0.83250000000000002</v>
      </c>
      <c r="K56" s="57">
        <f>ROUND(+'7MI'!$E61,4)</f>
        <v>0.83109999999999995</v>
      </c>
      <c r="L56" s="57">
        <f>ROUND(+'12K'!$E61,4)</f>
        <v>0.83030000000000004</v>
      </c>
      <c r="M56" s="57">
        <f>ROUND(+'15K'!$E61,4)</f>
        <v>0.8276</v>
      </c>
      <c r="N56" s="57">
        <f>ROUND(+'10MI'!$E61,4)</f>
        <v>0.82679999999999998</v>
      </c>
      <c r="O56" s="57">
        <f>ROUND(+'20K'!$E61,4)</f>
        <v>0.82410000000000005</v>
      </c>
      <c r="P56" s="57">
        <f>ROUND(+H.Marathon!$E61,4)</f>
        <v>0.82350000000000001</v>
      </c>
      <c r="Q56" s="57">
        <f>ROUND(+'25K'!$E61,4)</f>
        <v>0.83040000000000003</v>
      </c>
      <c r="R56" s="57">
        <f>ROUND(+'30K'!$E61,4)</f>
        <v>0.8377</v>
      </c>
      <c r="S56" s="57">
        <f>ROUND(+Marathon!$E61,4)</f>
        <v>0.85150000000000003</v>
      </c>
      <c r="T56" s="57">
        <f>ROUND(+Marathon!$E61,4)</f>
        <v>0.85150000000000003</v>
      </c>
      <c r="U56" s="57">
        <f>ROUND(+Marathon!$E61,4)</f>
        <v>0.85150000000000003</v>
      </c>
      <c r="V56" s="57">
        <f>ROUND(+Marathon!$E61,4)</f>
        <v>0.85150000000000003</v>
      </c>
      <c r="W56" s="57">
        <f>ROUND(+Marathon!$E61,4)</f>
        <v>0.85150000000000003</v>
      </c>
      <c r="X56" s="57">
        <f>ROUND(+Marathon!$E61,4)</f>
        <v>0.85150000000000003</v>
      </c>
      <c r="Y56" s="57">
        <f>ROUND(+Marathon!$E61,4)</f>
        <v>0.85150000000000003</v>
      </c>
      <c r="Z56" s="46"/>
    </row>
    <row r="57" spans="1:26">
      <c r="A57" s="469">
        <v>56</v>
      </c>
      <c r="B57" s="476">
        <f>ROUND(+'1K'!E62,4)</f>
        <v>0.85680000000000001</v>
      </c>
      <c r="C57" s="457">
        <f>ROUND(+Mile!E62,4)</f>
        <v>0.84030000000000005</v>
      </c>
      <c r="D57" s="54">
        <f>ROUND(+'3K'!E62,4)</f>
        <v>0.81869999999999998</v>
      </c>
      <c r="E57" s="54">
        <f>ROUND(+'5K'!E62,4)</f>
        <v>0.80089999999999995</v>
      </c>
      <c r="F57" s="54">
        <f>ROUND(+'6K'!E62,4)</f>
        <v>0.80659999999999998</v>
      </c>
      <c r="G57" s="54">
        <f>ROUND(+'4MI'!E62,4)</f>
        <v>0.80879999999999996</v>
      </c>
      <c r="H57" s="54">
        <f>ROUND(+'8K'!$E62,4)</f>
        <v>0.81559999999999999</v>
      </c>
      <c r="I57" s="54">
        <f>ROUND(+'5MI'!E62,4)</f>
        <v>0.81579999999999997</v>
      </c>
      <c r="J57" s="54">
        <f>ROUND(+'10K'!$E62,4)</f>
        <v>0.8226</v>
      </c>
      <c r="K57" s="54">
        <f>ROUND(+'7MI'!$E62,4)</f>
        <v>0.82110000000000005</v>
      </c>
      <c r="L57" s="55">
        <f>ROUND(+'12K'!$E62,4)</f>
        <v>0.82030000000000003</v>
      </c>
      <c r="M57" s="54">
        <f>ROUND(+'15K'!$E62,4)</f>
        <v>0.8175</v>
      </c>
      <c r="N57" s="54">
        <f>ROUND(+'10MI'!$E62,4)</f>
        <v>0.81659999999999999</v>
      </c>
      <c r="O57" s="54">
        <f>ROUND(+'20K'!$E62,4)</f>
        <v>0.81389999999999996</v>
      </c>
      <c r="P57" s="54">
        <f>ROUND(+H.Marathon!$E62,4)</f>
        <v>0.81320000000000003</v>
      </c>
      <c r="Q57" s="54">
        <f>ROUND(+'25K'!$E62,4)</f>
        <v>0.81989999999999996</v>
      </c>
      <c r="R57" s="54">
        <f>ROUND(+'30K'!$E62,4)</f>
        <v>0.82720000000000005</v>
      </c>
      <c r="S57" s="54">
        <f>ROUND(+Marathon!$E62,4)</f>
        <v>0.8407</v>
      </c>
      <c r="T57" s="54">
        <f>ROUND(+Marathon!$E62,4)</f>
        <v>0.8407</v>
      </c>
      <c r="U57" s="54">
        <f>ROUND(+Marathon!$E62,4)</f>
        <v>0.8407</v>
      </c>
      <c r="V57" s="54">
        <f>ROUND(+Marathon!$E62,4)</f>
        <v>0.8407</v>
      </c>
      <c r="W57" s="54">
        <f>ROUND(+Marathon!$E62,4)</f>
        <v>0.8407</v>
      </c>
      <c r="X57" s="54">
        <f>ROUND(+Marathon!$E62,4)</f>
        <v>0.8407</v>
      </c>
      <c r="Y57" s="54">
        <f>ROUND(+Marathon!$E62,4)</f>
        <v>0.8407</v>
      </c>
      <c r="Z57" s="46"/>
    </row>
    <row r="58" spans="1:26">
      <c r="A58" s="469">
        <v>57</v>
      </c>
      <c r="B58" s="476">
        <f>ROUND(+'1K'!E63,4)</f>
        <v>0.84709999999999996</v>
      </c>
      <c r="C58" s="457">
        <f>ROUND(+Mile!E63,4)</f>
        <v>0.8306</v>
      </c>
      <c r="D58" s="54">
        <f>ROUND(+'3K'!E63,4)</f>
        <v>0.80900000000000005</v>
      </c>
      <c r="E58" s="54">
        <f>ROUND(+'5K'!E63,4)</f>
        <v>0.79120000000000001</v>
      </c>
      <c r="F58" s="54">
        <f>ROUND(+'6K'!E63,4)</f>
        <v>0.79679999999999995</v>
      </c>
      <c r="G58" s="54">
        <f>ROUND(+'4MI'!E63,4)</f>
        <v>0.79900000000000004</v>
      </c>
      <c r="H58" s="54">
        <f>ROUND(+'8K'!$E63,4)</f>
        <v>0.80569999999999997</v>
      </c>
      <c r="I58" s="54">
        <f>ROUND(+'5MI'!E63,4)</f>
        <v>0.80589999999999995</v>
      </c>
      <c r="J58" s="54">
        <f>ROUND(+'10K'!$E63,4)</f>
        <v>0.81259999999999999</v>
      </c>
      <c r="K58" s="54">
        <f>ROUND(+'7MI'!$E63,4)</f>
        <v>0.81100000000000005</v>
      </c>
      <c r="L58" s="55">
        <f>ROUND(+'12K'!$E63,4)</f>
        <v>0.81020000000000003</v>
      </c>
      <c r="M58" s="54">
        <f>ROUND(+'15K'!$E63,4)</f>
        <v>0.80730000000000002</v>
      </c>
      <c r="N58" s="54">
        <f>ROUND(+'10MI'!$E63,4)</f>
        <v>0.80640000000000001</v>
      </c>
      <c r="O58" s="54">
        <f>ROUND(+'20K'!$E63,4)</f>
        <v>0.80349999999999999</v>
      </c>
      <c r="P58" s="54">
        <f>ROUND(+H.Marathon!$E63,4)</f>
        <v>0.80279999999999996</v>
      </c>
      <c r="Q58" s="54">
        <f>ROUND(+'25K'!$E63,4)</f>
        <v>0.80940000000000001</v>
      </c>
      <c r="R58" s="54">
        <f>ROUND(+'30K'!$E63,4)</f>
        <v>0.8165</v>
      </c>
      <c r="S58" s="54">
        <f>ROUND(+Marathon!$E63,4)</f>
        <v>0.82969999999999999</v>
      </c>
      <c r="T58" s="54">
        <f>ROUND(+Marathon!$E63,4)</f>
        <v>0.82969999999999999</v>
      </c>
      <c r="U58" s="54">
        <f>ROUND(+Marathon!$E63,4)</f>
        <v>0.82969999999999999</v>
      </c>
      <c r="V58" s="54">
        <f>ROUND(+Marathon!$E63,4)</f>
        <v>0.82969999999999999</v>
      </c>
      <c r="W58" s="54">
        <f>ROUND(+Marathon!$E63,4)</f>
        <v>0.82969999999999999</v>
      </c>
      <c r="X58" s="54">
        <f>ROUND(+Marathon!$E63,4)</f>
        <v>0.82969999999999999</v>
      </c>
      <c r="Y58" s="54">
        <f>ROUND(+Marathon!$E63,4)</f>
        <v>0.82969999999999999</v>
      </c>
      <c r="Z58" s="46"/>
    </row>
    <row r="59" spans="1:26">
      <c r="A59" s="469">
        <v>58</v>
      </c>
      <c r="B59" s="476">
        <f>ROUND(+'1K'!E64,4)</f>
        <v>0.83740000000000003</v>
      </c>
      <c r="C59" s="457">
        <f>ROUND(+Mile!E64,4)</f>
        <v>0.82089999999999996</v>
      </c>
      <c r="D59" s="54">
        <f>ROUND(+'3K'!E64,4)</f>
        <v>0.79930000000000001</v>
      </c>
      <c r="E59" s="54">
        <f>ROUND(+'5K'!E64,4)</f>
        <v>0.78149999999999997</v>
      </c>
      <c r="F59" s="54">
        <f>ROUND(+'6K'!E64,4)</f>
        <v>0.78710000000000002</v>
      </c>
      <c r="G59" s="54">
        <f>ROUND(+'4MI'!E64,4)</f>
        <v>0.78920000000000001</v>
      </c>
      <c r="H59" s="54">
        <f>ROUND(+'8K'!$E64,4)</f>
        <v>0.79590000000000005</v>
      </c>
      <c r="I59" s="54">
        <f>ROUND(+'5MI'!E64,4)</f>
        <v>0.79610000000000003</v>
      </c>
      <c r="J59" s="54">
        <f>ROUND(+'10K'!$E64,4)</f>
        <v>0.80269999999999997</v>
      </c>
      <c r="K59" s="54">
        <f>ROUND(+'7MI'!$E64,4)</f>
        <v>0.80110000000000003</v>
      </c>
      <c r="L59" s="55">
        <f>ROUND(+'12K'!$E64,4)</f>
        <v>0.80020000000000002</v>
      </c>
      <c r="M59" s="54">
        <f>ROUND(+'15K'!$E64,4)</f>
        <v>0.79720000000000002</v>
      </c>
      <c r="N59" s="54">
        <f>ROUND(+'10MI'!$E64,4)</f>
        <v>0.79620000000000002</v>
      </c>
      <c r="O59" s="54">
        <f>ROUND(+'20K'!$E64,4)</f>
        <v>0.79320000000000002</v>
      </c>
      <c r="P59" s="54">
        <f>ROUND(+H.Marathon!$E64,4)</f>
        <v>0.79249999999999998</v>
      </c>
      <c r="Q59" s="54">
        <f>ROUND(+'25K'!$E64,4)</f>
        <v>0.79890000000000005</v>
      </c>
      <c r="R59" s="54">
        <f>ROUND(+'30K'!$E64,4)</f>
        <v>0.80579999999999996</v>
      </c>
      <c r="S59" s="54">
        <f>ROUND(+Marathon!$E64,4)</f>
        <v>0.81859999999999999</v>
      </c>
      <c r="T59" s="54">
        <f>ROUND(+Marathon!$E64,4)</f>
        <v>0.81859999999999999</v>
      </c>
      <c r="U59" s="54">
        <f>ROUND(+Marathon!$E64,4)</f>
        <v>0.81859999999999999</v>
      </c>
      <c r="V59" s="54">
        <f>ROUND(+Marathon!$E64,4)</f>
        <v>0.81859999999999999</v>
      </c>
      <c r="W59" s="54">
        <f>ROUND(+Marathon!$E64,4)</f>
        <v>0.81859999999999999</v>
      </c>
      <c r="X59" s="54">
        <f>ROUND(+Marathon!$E64,4)</f>
        <v>0.81859999999999999</v>
      </c>
      <c r="Y59" s="54">
        <f>ROUND(+Marathon!$E64,4)</f>
        <v>0.81859999999999999</v>
      </c>
      <c r="Z59" s="46"/>
    </row>
    <row r="60" spans="1:26">
      <c r="A60" s="469">
        <v>59</v>
      </c>
      <c r="B60" s="476">
        <f>ROUND(+'1K'!E65,4)</f>
        <v>0.8276</v>
      </c>
      <c r="C60" s="457">
        <f>ROUND(+Mile!E65,4)</f>
        <v>0.81110000000000004</v>
      </c>
      <c r="D60" s="54">
        <f>ROUND(+'3K'!E65,4)</f>
        <v>0.78949999999999998</v>
      </c>
      <c r="E60" s="54">
        <f>ROUND(+'5K'!E65,4)</f>
        <v>0.77180000000000004</v>
      </c>
      <c r="F60" s="54">
        <f>ROUND(+'6K'!E65,4)</f>
        <v>0.77729999999999999</v>
      </c>
      <c r="G60" s="54">
        <f>ROUND(+'4MI'!E65,4)</f>
        <v>0.77949999999999997</v>
      </c>
      <c r="H60" s="54">
        <f>ROUND(+'8K'!$E65,4)</f>
        <v>0.78600000000000003</v>
      </c>
      <c r="I60" s="54">
        <f>ROUND(+'5MI'!E65,4)</f>
        <v>0.78620000000000001</v>
      </c>
      <c r="J60" s="54">
        <f>ROUND(+'10K'!$E65,4)</f>
        <v>0.79279999999999995</v>
      </c>
      <c r="K60" s="54">
        <f>ROUND(+'7MI'!$E65,4)</f>
        <v>0.79110000000000003</v>
      </c>
      <c r="L60" s="55">
        <f>ROUND(+'12K'!$E65,4)</f>
        <v>0.79020000000000001</v>
      </c>
      <c r="M60" s="54">
        <f>ROUND(+'15K'!$E65,4)</f>
        <v>0.78700000000000003</v>
      </c>
      <c r="N60" s="54">
        <f>ROUND(+'10MI'!$E65,4)</f>
        <v>0.78600000000000003</v>
      </c>
      <c r="O60" s="54">
        <f>ROUND(+'20K'!$E65,4)</f>
        <v>0.78290000000000004</v>
      </c>
      <c r="P60" s="54">
        <f>ROUND(+H.Marathon!$E65,4)</f>
        <v>0.78210000000000002</v>
      </c>
      <c r="Q60" s="54">
        <f>ROUND(+'25K'!$E65,4)</f>
        <v>0.7883</v>
      </c>
      <c r="R60" s="54">
        <f>ROUND(+'30K'!$E65,4)</f>
        <v>0.79510000000000003</v>
      </c>
      <c r="S60" s="54">
        <f>ROUND(+Marathon!$E65,4)</f>
        <v>0.80759999999999998</v>
      </c>
      <c r="T60" s="54">
        <f>ROUND(+Marathon!$E65,4)</f>
        <v>0.80759999999999998</v>
      </c>
      <c r="U60" s="54">
        <f>ROUND(+Marathon!$E65,4)</f>
        <v>0.80759999999999998</v>
      </c>
      <c r="V60" s="54">
        <f>ROUND(+Marathon!$E65,4)</f>
        <v>0.80759999999999998</v>
      </c>
      <c r="W60" s="54">
        <f>ROUND(+Marathon!$E65,4)</f>
        <v>0.80759999999999998</v>
      </c>
      <c r="X60" s="54">
        <f>ROUND(+Marathon!$E65,4)</f>
        <v>0.80759999999999998</v>
      </c>
      <c r="Y60" s="54">
        <f>ROUND(+Marathon!$E65,4)</f>
        <v>0.80759999999999998</v>
      </c>
      <c r="Z60" s="46"/>
    </row>
    <row r="61" spans="1:26">
      <c r="A61" s="471">
        <v>60</v>
      </c>
      <c r="B61" s="477">
        <f>ROUND(+'1K'!E66,4)</f>
        <v>0.81789999999999996</v>
      </c>
      <c r="C61" s="456">
        <f>ROUND(+Mile!E66,4)</f>
        <v>0.8014</v>
      </c>
      <c r="D61" s="57">
        <f>ROUND(+'3K'!E66,4)</f>
        <v>0.77980000000000005</v>
      </c>
      <c r="E61" s="57">
        <f>ROUND(+'5K'!E66,4)</f>
        <v>0.7621</v>
      </c>
      <c r="F61" s="57">
        <f>ROUND(+'6K'!E66,4)</f>
        <v>0.76749999999999996</v>
      </c>
      <c r="G61" s="57">
        <f>ROUND(+'4MI'!E66,4)</f>
        <v>0.76959999999999995</v>
      </c>
      <c r="H61" s="57">
        <f>ROUND(+'8K'!$E66,4)</f>
        <v>0.77610000000000001</v>
      </c>
      <c r="I61" s="57">
        <f>ROUND(+'5MI'!E66,4)</f>
        <v>0.77629999999999999</v>
      </c>
      <c r="J61" s="57">
        <f>ROUND(+'10K'!$E66,4)</f>
        <v>0.78280000000000005</v>
      </c>
      <c r="K61" s="57">
        <f>ROUND(+'7MI'!$E66,4)</f>
        <v>0.78100000000000003</v>
      </c>
      <c r="L61" s="57">
        <f>ROUND(+'12K'!$E66,4)</f>
        <v>0.78010000000000002</v>
      </c>
      <c r="M61" s="57">
        <f>ROUND(+'15K'!$E66,4)</f>
        <v>0.77680000000000005</v>
      </c>
      <c r="N61" s="57">
        <f>ROUND(+'10MI'!$E66,4)</f>
        <v>0.77580000000000005</v>
      </c>
      <c r="O61" s="57">
        <f>ROUND(+'20K'!$E66,4)</f>
        <v>0.77259999999999995</v>
      </c>
      <c r="P61" s="57">
        <f>ROUND(+H.Marathon!$E66,4)</f>
        <v>0.77180000000000004</v>
      </c>
      <c r="Q61" s="57">
        <f>ROUND(+'25K'!$E66,4)</f>
        <v>0.77780000000000005</v>
      </c>
      <c r="R61" s="57">
        <f>ROUND(+'30K'!$E66,4)</f>
        <v>0.7843</v>
      </c>
      <c r="S61" s="57">
        <f>ROUND(+Marathon!$E66,4)</f>
        <v>0.79649999999999999</v>
      </c>
      <c r="T61" s="57">
        <f>ROUND(+Marathon!$E66,4)</f>
        <v>0.79649999999999999</v>
      </c>
      <c r="U61" s="57">
        <f>ROUND(+Marathon!$E66,4)</f>
        <v>0.79649999999999999</v>
      </c>
      <c r="V61" s="57">
        <f>ROUND(+Marathon!$E66,4)</f>
        <v>0.79649999999999999</v>
      </c>
      <c r="W61" s="57">
        <f>ROUND(+Marathon!$E66,4)</f>
        <v>0.79649999999999999</v>
      </c>
      <c r="X61" s="57">
        <f>ROUND(+Marathon!$E66,4)</f>
        <v>0.79649999999999999</v>
      </c>
      <c r="Y61" s="57">
        <f>ROUND(+Marathon!$E66,4)</f>
        <v>0.79649999999999999</v>
      </c>
      <c r="Z61" s="46"/>
    </row>
    <row r="62" spans="1:26">
      <c r="A62" s="469">
        <v>61</v>
      </c>
      <c r="B62" s="476">
        <f>ROUND(+'1K'!E67,4)</f>
        <v>0.80820000000000003</v>
      </c>
      <c r="C62" s="457">
        <f>ROUND(+Mile!E67,4)</f>
        <v>0.79169999999999996</v>
      </c>
      <c r="D62" s="54">
        <f>ROUND(+'3K'!E67,4)</f>
        <v>0.77010000000000001</v>
      </c>
      <c r="E62" s="54">
        <f>ROUND(+'5K'!E67,4)</f>
        <v>0.75239999999999996</v>
      </c>
      <c r="F62" s="54">
        <f>ROUND(+'6K'!E67,4)</f>
        <v>0.75780000000000003</v>
      </c>
      <c r="G62" s="54">
        <f>ROUND(+'4MI'!E67,4)</f>
        <v>0.75990000000000002</v>
      </c>
      <c r="H62" s="54">
        <f>ROUND(+'8K'!$E67,4)</f>
        <v>0.76629999999999998</v>
      </c>
      <c r="I62" s="54">
        <f>ROUND(+'5MI'!E67,4)</f>
        <v>0.76649999999999996</v>
      </c>
      <c r="J62" s="54">
        <f>ROUND(+'10K'!$E67,4)</f>
        <v>0.77290000000000003</v>
      </c>
      <c r="K62" s="54">
        <f>ROUND(+'7MI'!$E67,4)</f>
        <v>0.77110000000000001</v>
      </c>
      <c r="L62" s="55">
        <f>ROUND(+'12K'!$E67,4)</f>
        <v>0.77010000000000001</v>
      </c>
      <c r="M62" s="54">
        <f>ROUND(+'15K'!$E67,4)</f>
        <v>0.76670000000000005</v>
      </c>
      <c r="N62" s="54">
        <f>ROUND(+'10MI'!$E67,4)</f>
        <v>0.76559999999999995</v>
      </c>
      <c r="O62" s="54">
        <f>ROUND(+'20K'!$E67,4)</f>
        <v>0.76219999999999999</v>
      </c>
      <c r="P62" s="54">
        <f>ROUND(+H.Marathon!$E67,4)</f>
        <v>0.76139999999999997</v>
      </c>
      <c r="Q62" s="54">
        <f>ROUND(+'25K'!$E67,4)</f>
        <v>0.76729999999999998</v>
      </c>
      <c r="R62" s="54">
        <f>ROUND(+'30K'!$E67,4)</f>
        <v>0.77359999999999995</v>
      </c>
      <c r="S62" s="54">
        <f>ROUND(+Marathon!$E67,4)</f>
        <v>0.78539999999999999</v>
      </c>
      <c r="T62" s="54">
        <f>ROUND(+Marathon!$E67,4)</f>
        <v>0.78539999999999999</v>
      </c>
      <c r="U62" s="54">
        <f>ROUND(+Marathon!$E67,4)</f>
        <v>0.78539999999999999</v>
      </c>
      <c r="V62" s="54">
        <f>ROUND(+Marathon!$E67,4)</f>
        <v>0.78539999999999999</v>
      </c>
      <c r="W62" s="54">
        <f>ROUND(+Marathon!$E67,4)</f>
        <v>0.78539999999999999</v>
      </c>
      <c r="X62" s="54">
        <f>ROUND(+Marathon!$E67,4)</f>
        <v>0.78539999999999999</v>
      </c>
      <c r="Y62" s="54">
        <f>ROUND(+Marathon!$E67,4)</f>
        <v>0.78539999999999999</v>
      </c>
      <c r="Z62" s="46"/>
    </row>
    <row r="63" spans="1:26">
      <c r="A63" s="469">
        <v>62</v>
      </c>
      <c r="B63" s="476">
        <f>ROUND(+'1K'!E68,4)</f>
        <v>0.79849999999999999</v>
      </c>
      <c r="C63" s="457">
        <f>ROUND(+Mile!E68,4)</f>
        <v>0.78200000000000003</v>
      </c>
      <c r="D63" s="54">
        <f>ROUND(+'3K'!E68,4)</f>
        <v>0.76039999999999996</v>
      </c>
      <c r="E63" s="54">
        <f>ROUND(+'5K'!E68,4)</f>
        <v>0.74270000000000003</v>
      </c>
      <c r="F63" s="54">
        <f>ROUND(+'6K'!E68,4)</f>
        <v>0.748</v>
      </c>
      <c r="G63" s="54">
        <f>ROUND(+'4MI'!E68,4)</f>
        <v>0.75009999999999999</v>
      </c>
      <c r="H63" s="54">
        <f>ROUND(+'8K'!$E68,4)</f>
        <v>0.75639999999999996</v>
      </c>
      <c r="I63" s="54">
        <f>ROUND(+'5MI'!E68,4)</f>
        <v>0.75660000000000005</v>
      </c>
      <c r="J63" s="54">
        <f>ROUND(+'10K'!$E68,4)</f>
        <v>0.76290000000000002</v>
      </c>
      <c r="K63" s="54">
        <f>ROUND(+'7MI'!$E68,4)</f>
        <v>0.76100000000000001</v>
      </c>
      <c r="L63" s="55">
        <f>ROUND(+'12K'!$E68,4)</f>
        <v>0.76</v>
      </c>
      <c r="M63" s="54">
        <f>ROUND(+'15K'!$E68,4)</f>
        <v>0.75649999999999995</v>
      </c>
      <c r="N63" s="54">
        <f>ROUND(+'10MI'!$E68,4)</f>
        <v>0.75539999999999996</v>
      </c>
      <c r="O63" s="54">
        <f>ROUND(+'20K'!$E68,4)</f>
        <v>0.75190000000000001</v>
      </c>
      <c r="P63" s="54">
        <f>ROUND(+H.Marathon!$E68,4)</f>
        <v>0.75109999999999999</v>
      </c>
      <c r="Q63" s="54">
        <f>ROUND(+'25K'!$E68,4)</f>
        <v>0.75680000000000003</v>
      </c>
      <c r="R63" s="54">
        <f>ROUND(+'30K'!$E68,4)</f>
        <v>0.76290000000000002</v>
      </c>
      <c r="S63" s="54">
        <f>ROUND(+Marathon!$E68,4)</f>
        <v>0.77439999999999998</v>
      </c>
      <c r="T63" s="54">
        <f>ROUND(+Marathon!$E68,4)</f>
        <v>0.77439999999999998</v>
      </c>
      <c r="U63" s="54">
        <f>ROUND(+Marathon!$E68,4)</f>
        <v>0.77439999999999998</v>
      </c>
      <c r="V63" s="54">
        <f>ROUND(+Marathon!$E68,4)</f>
        <v>0.77439999999999998</v>
      </c>
      <c r="W63" s="54">
        <f>ROUND(+Marathon!$E68,4)</f>
        <v>0.77439999999999998</v>
      </c>
      <c r="X63" s="54">
        <f>ROUND(+Marathon!$E68,4)</f>
        <v>0.77439999999999998</v>
      </c>
      <c r="Y63" s="54">
        <f>ROUND(+Marathon!$E68,4)</f>
        <v>0.77439999999999998</v>
      </c>
      <c r="Z63" s="46"/>
    </row>
    <row r="64" spans="1:26">
      <c r="A64" s="469">
        <v>63</v>
      </c>
      <c r="B64" s="476">
        <f>ROUND(+'1K'!E69,4)</f>
        <v>0.78879999999999995</v>
      </c>
      <c r="C64" s="457">
        <f>ROUND(+Mile!E69,4)</f>
        <v>0.77229999999999999</v>
      </c>
      <c r="D64" s="54">
        <f>ROUND(+'3K'!E69,4)</f>
        <v>0.75070000000000003</v>
      </c>
      <c r="E64" s="54">
        <f>ROUND(+'5K'!E69,4)</f>
        <v>0.73299999999999998</v>
      </c>
      <c r="F64" s="54">
        <f>ROUND(+'6K'!E69,4)</f>
        <v>0.73829999999999996</v>
      </c>
      <c r="G64" s="54">
        <f>ROUND(+'4MI'!E69,4)</f>
        <v>0.74029999999999996</v>
      </c>
      <c r="H64" s="54">
        <f>ROUND(+'8K'!$E69,4)</f>
        <v>0.74660000000000004</v>
      </c>
      <c r="I64" s="54">
        <f>ROUND(+'5MI'!E69,4)</f>
        <v>0.74670000000000003</v>
      </c>
      <c r="J64" s="54">
        <f>ROUND(+'10K'!$E69,4)</f>
        <v>0.753</v>
      </c>
      <c r="K64" s="54">
        <f>ROUND(+'7MI'!$E69,4)</f>
        <v>0.751</v>
      </c>
      <c r="L64" s="55">
        <f>ROUND(+'12K'!$E69,4)</f>
        <v>0.75</v>
      </c>
      <c r="M64" s="54">
        <f>ROUND(+'15K'!$E69,4)</f>
        <v>0.74629999999999996</v>
      </c>
      <c r="N64" s="54">
        <f>ROUND(+'10MI'!$E69,4)</f>
        <v>0.74519999999999997</v>
      </c>
      <c r="O64" s="54">
        <f>ROUND(+'20K'!$E69,4)</f>
        <v>0.74160000000000004</v>
      </c>
      <c r="P64" s="54">
        <f>ROUND(+H.Marathon!$E69,4)</f>
        <v>0.74070000000000003</v>
      </c>
      <c r="Q64" s="54">
        <f>ROUND(+'25K'!$E69,4)</f>
        <v>0.74619999999999997</v>
      </c>
      <c r="R64" s="54">
        <f>ROUND(+'30K'!$E69,4)</f>
        <v>0.75219999999999998</v>
      </c>
      <c r="S64" s="54">
        <f>ROUND(+Marathon!$E69,4)</f>
        <v>0.76329999999999998</v>
      </c>
      <c r="T64" s="54">
        <f>ROUND(+Marathon!$E69,4)</f>
        <v>0.76329999999999998</v>
      </c>
      <c r="U64" s="54">
        <f>ROUND(+Marathon!$E69,4)</f>
        <v>0.76329999999999998</v>
      </c>
      <c r="V64" s="54">
        <f>ROUND(+Marathon!$E69,4)</f>
        <v>0.76329999999999998</v>
      </c>
      <c r="W64" s="54">
        <f>ROUND(+Marathon!$E69,4)</f>
        <v>0.76329999999999998</v>
      </c>
      <c r="X64" s="54">
        <f>ROUND(+Marathon!$E69,4)</f>
        <v>0.76329999999999998</v>
      </c>
      <c r="Y64" s="54">
        <f>ROUND(+Marathon!$E69,4)</f>
        <v>0.76329999999999998</v>
      </c>
      <c r="Z64" s="46"/>
    </row>
    <row r="65" spans="1:26">
      <c r="A65" s="469">
        <v>64</v>
      </c>
      <c r="B65" s="476">
        <f>ROUND(+'1K'!E70,4)</f>
        <v>0.77910000000000001</v>
      </c>
      <c r="C65" s="457">
        <f>ROUND(+Mile!E70,4)</f>
        <v>0.76259999999999994</v>
      </c>
      <c r="D65" s="54">
        <f>ROUND(+'3K'!E70,4)</f>
        <v>0.74099999999999999</v>
      </c>
      <c r="E65" s="54">
        <f>ROUND(+'5K'!E70,4)</f>
        <v>0.72330000000000005</v>
      </c>
      <c r="F65" s="54">
        <f>ROUND(+'6K'!E70,4)</f>
        <v>0.72850000000000004</v>
      </c>
      <c r="G65" s="54">
        <f>ROUND(+'4MI'!E70,4)</f>
        <v>0.73050000000000004</v>
      </c>
      <c r="H65" s="54">
        <f>ROUND(+'8K'!$E70,4)</f>
        <v>0.73670000000000002</v>
      </c>
      <c r="I65" s="54">
        <f>ROUND(+'5MI'!E70,4)</f>
        <v>0.7369</v>
      </c>
      <c r="J65" s="54">
        <f>ROUND(+'10K'!$E70,4)</f>
        <v>0.74309999999999998</v>
      </c>
      <c r="K65" s="54">
        <f>ROUND(+'7MI'!$E70,4)</f>
        <v>0.74109999999999998</v>
      </c>
      <c r="L65" s="55">
        <f>ROUND(+'12K'!$E70,4)</f>
        <v>0.74</v>
      </c>
      <c r="M65" s="54">
        <f>ROUND(+'15K'!$E70,4)</f>
        <v>0.73619999999999997</v>
      </c>
      <c r="N65" s="54">
        <f>ROUND(+'10MI'!$E70,4)</f>
        <v>0.73499999999999999</v>
      </c>
      <c r="O65" s="54">
        <f>ROUND(+'20K'!$E70,4)</f>
        <v>0.73129999999999995</v>
      </c>
      <c r="P65" s="54">
        <f>ROUND(+H.Marathon!$E70,4)</f>
        <v>0.73040000000000005</v>
      </c>
      <c r="Q65" s="54">
        <f>ROUND(+'25K'!$E70,4)</f>
        <v>0.73580000000000001</v>
      </c>
      <c r="R65" s="54">
        <f>ROUND(+'30K'!$E70,4)</f>
        <v>0.74150000000000005</v>
      </c>
      <c r="S65" s="54">
        <f>ROUND(+Marathon!$E70,4)</f>
        <v>0.75229999999999997</v>
      </c>
      <c r="T65" s="54">
        <f>ROUND(+Marathon!$E70,4)</f>
        <v>0.75229999999999997</v>
      </c>
      <c r="U65" s="54">
        <f>ROUND(+Marathon!$E70,4)</f>
        <v>0.75229999999999997</v>
      </c>
      <c r="V65" s="54">
        <f>ROUND(+Marathon!$E70,4)</f>
        <v>0.75229999999999997</v>
      </c>
      <c r="W65" s="54">
        <f>ROUND(+Marathon!$E70,4)</f>
        <v>0.75229999999999997</v>
      </c>
      <c r="X65" s="54">
        <f>ROUND(+Marathon!$E70,4)</f>
        <v>0.75229999999999997</v>
      </c>
      <c r="Y65" s="54">
        <f>ROUND(+Marathon!$E70,4)</f>
        <v>0.75229999999999997</v>
      </c>
      <c r="Z65" s="46"/>
    </row>
    <row r="66" spans="1:26">
      <c r="A66" s="471">
        <v>65</v>
      </c>
      <c r="B66" s="477">
        <f>ROUND(+'1K'!E71,4)</f>
        <v>0.76939999999999997</v>
      </c>
      <c r="C66" s="456">
        <f>ROUND(+Mile!E71,4)</f>
        <v>0.75290000000000001</v>
      </c>
      <c r="D66" s="57">
        <f>ROUND(+'3K'!E71,4)</f>
        <v>0.73129999999999995</v>
      </c>
      <c r="E66" s="57">
        <f>ROUND(+'5K'!E71,4)</f>
        <v>0.71360000000000001</v>
      </c>
      <c r="F66" s="57">
        <f>ROUND(+'6K'!E71,4)</f>
        <v>0.71870000000000001</v>
      </c>
      <c r="G66" s="57">
        <f>ROUND(+'4MI'!E71,4)</f>
        <v>0.72070000000000001</v>
      </c>
      <c r="H66" s="57">
        <f>ROUND(+'8K'!$E71,4)</f>
        <v>0.7268</v>
      </c>
      <c r="I66" s="57">
        <f>ROUND(+'5MI'!E71,4)</f>
        <v>0.72699999999999998</v>
      </c>
      <c r="J66" s="57">
        <f>ROUND(+'10K'!$E71,4)</f>
        <v>0.73309999999999997</v>
      </c>
      <c r="K66" s="57">
        <f>ROUND(+'7MI'!$E71,4)</f>
        <v>0.73099999999999998</v>
      </c>
      <c r="L66" s="57">
        <f>ROUND(+'12K'!$E71,4)</f>
        <v>0.72989999999999999</v>
      </c>
      <c r="M66" s="57">
        <f>ROUND(+'15K'!$E71,4)</f>
        <v>0.72599999999999998</v>
      </c>
      <c r="N66" s="57">
        <f>ROUND(+'10MI'!$E71,4)</f>
        <v>0.7248</v>
      </c>
      <c r="O66" s="57">
        <f>ROUND(+'20K'!$E71,4)</f>
        <v>0.72089999999999999</v>
      </c>
      <c r="P66" s="57">
        <f>ROUND(+H.Marathon!$E71,4)</f>
        <v>0.72</v>
      </c>
      <c r="Q66" s="57">
        <f>ROUND(+'25K'!$E71,4)</f>
        <v>0.72519999999999996</v>
      </c>
      <c r="R66" s="57">
        <f>ROUND(+'30K'!$E71,4)</f>
        <v>0.73080000000000001</v>
      </c>
      <c r="S66" s="57">
        <f>ROUND(+Marathon!$E71,4)</f>
        <v>0.74119999999999997</v>
      </c>
      <c r="T66" s="57">
        <f>ROUND(+Marathon!$E71,4)</f>
        <v>0.74119999999999997</v>
      </c>
      <c r="U66" s="57">
        <f>ROUND(+Marathon!$E71,4)</f>
        <v>0.74119999999999997</v>
      </c>
      <c r="V66" s="57">
        <f>ROUND(+Marathon!$E71,4)</f>
        <v>0.74119999999999997</v>
      </c>
      <c r="W66" s="57">
        <f>ROUND(+Marathon!$E71,4)</f>
        <v>0.74119999999999997</v>
      </c>
      <c r="X66" s="57">
        <f>ROUND(+Marathon!$E71,4)</f>
        <v>0.74119999999999997</v>
      </c>
      <c r="Y66" s="57">
        <f>ROUND(+Marathon!$E71,4)</f>
        <v>0.74119999999999997</v>
      </c>
      <c r="Z66" s="46"/>
    </row>
    <row r="67" spans="1:26">
      <c r="A67" s="469">
        <v>66</v>
      </c>
      <c r="B67" s="476">
        <f>ROUND(+'1K'!E72,4)</f>
        <v>0.75970000000000004</v>
      </c>
      <c r="C67" s="457">
        <f>ROUND(+Mile!E72,4)</f>
        <v>0.74319999999999997</v>
      </c>
      <c r="D67" s="54">
        <f>ROUND(+'3K'!E72,4)</f>
        <v>0.72160000000000002</v>
      </c>
      <c r="E67" s="54">
        <f>ROUND(+'5K'!E72,4)</f>
        <v>0.70379999999999998</v>
      </c>
      <c r="F67" s="54">
        <f>ROUND(+'6K'!E72,4)</f>
        <v>0.70889999999999997</v>
      </c>
      <c r="G67" s="54">
        <f>ROUND(+'4MI'!E72,4)</f>
        <v>0.71089999999999998</v>
      </c>
      <c r="H67" s="54">
        <f>ROUND(+'8K'!$E72,4)</f>
        <v>0.71699999999999997</v>
      </c>
      <c r="I67" s="54">
        <f>ROUND(+'5MI'!E72,4)</f>
        <v>0.71709999999999996</v>
      </c>
      <c r="J67" s="54">
        <f>ROUND(+'10K'!$E72,4)</f>
        <v>0.72319999999999995</v>
      </c>
      <c r="K67" s="54">
        <f>ROUND(+'7MI'!$E72,4)</f>
        <v>0.72099999999999997</v>
      </c>
      <c r="L67" s="55">
        <f>ROUND(+'12K'!$E72,4)</f>
        <v>0.71989999999999998</v>
      </c>
      <c r="M67" s="54">
        <f>ROUND(+'15K'!$E72,4)</f>
        <v>0.71589999999999998</v>
      </c>
      <c r="N67" s="54">
        <f>ROUND(+'10MI'!$E72,4)</f>
        <v>0.71460000000000001</v>
      </c>
      <c r="O67" s="54">
        <f>ROUND(+'20K'!$E72,4)</f>
        <v>0.7107</v>
      </c>
      <c r="P67" s="54">
        <f>ROUND(+H.Marathon!$E72,4)</f>
        <v>0.7097</v>
      </c>
      <c r="Q67" s="54">
        <f>ROUND(+'25K'!$E72,4)</f>
        <v>0.7147</v>
      </c>
      <c r="R67" s="54">
        <f>ROUND(+'30K'!$E72,4)</f>
        <v>0.72009999999999996</v>
      </c>
      <c r="S67" s="54">
        <f>ROUND(+Marathon!$E72,4)</f>
        <v>0.73009999999999997</v>
      </c>
      <c r="T67" s="54">
        <f>ROUND(+Marathon!$E72,4)</f>
        <v>0.73009999999999997</v>
      </c>
      <c r="U67" s="54">
        <f>ROUND(+Marathon!$E72,4)</f>
        <v>0.73009999999999997</v>
      </c>
      <c r="V67" s="54">
        <f>ROUND(+Marathon!$E72,4)</f>
        <v>0.73009999999999997</v>
      </c>
      <c r="W67" s="54">
        <f>ROUND(+Marathon!$E72,4)</f>
        <v>0.73009999999999997</v>
      </c>
      <c r="X67" s="54">
        <f>ROUND(+Marathon!$E72,4)</f>
        <v>0.73009999999999997</v>
      </c>
      <c r="Y67" s="54">
        <f>ROUND(+Marathon!$E72,4)</f>
        <v>0.73009999999999997</v>
      </c>
      <c r="Z67" s="46"/>
    </row>
    <row r="68" spans="1:26">
      <c r="A68" s="469">
        <v>67</v>
      </c>
      <c r="B68" s="476">
        <f>ROUND(+'1K'!E73,4)</f>
        <v>0.75</v>
      </c>
      <c r="C68" s="457">
        <f>ROUND(+Mile!E73,4)</f>
        <v>0.73350000000000004</v>
      </c>
      <c r="D68" s="54">
        <f>ROUND(+'3K'!E73,4)</f>
        <v>0.71189999999999998</v>
      </c>
      <c r="E68" s="54">
        <f>ROUND(+'5K'!E73,4)</f>
        <v>0.69410000000000005</v>
      </c>
      <c r="F68" s="54">
        <f>ROUND(+'6K'!E73,4)</f>
        <v>0.69910000000000005</v>
      </c>
      <c r="G68" s="54">
        <f>ROUND(+'4MI'!E73,4)</f>
        <v>0.70109999999999995</v>
      </c>
      <c r="H68" s="54">
        <f>ROUND(+'8K'!$E73,4)</f>
        <v>0.70709999999999995</v>
      </c>
      <c r="I68" s="54">
        <f>ROUND(+'5MI'!E73,4)</f>
        <v>0.70720000000000005</v>
      </c>
      <c r="J68" s="54">
        <f>ROUND(+'10K'!$E73,4)</f>
        <v>0.71319999999999995</v>
      </c>
      <c r="K68" s="54">
        <f>ROUND(+'7MI'!$E73,4)</f>
        <v>0.71099999999999997</v>
      </c>
      <c r="L68" s="55">
        <f>ROUND(+'12K'!$E73,4)</f>
        <v>0.70979999999999999</v>
      </c>
      <c r="M68" s="54">
        <f>ROUND(+'15K'!$E73,4)</f>
        <v>0.70569999999999999</v>
      </c>
      <c r="N68" s="54">
        <f>ROUND(+'10MI'!$E73,4)</f>
        <v>0.70430000000000004</v>
      </c>
      <c r="O68" s="54">
        <f>ROUND(+'20K'!$E73,4)</f>
        <v>0.70030000000000003</v>
      </c>
      <c r="P68" s="54">
        <f>ROUND(+H.Marathon!$E73,4)</f>
        <v>0.69930000000000003</v>
      </c>
      <c r="Q68" s="54">
        <f>ROUND(+'25K'!$E73,4)</f>
        <v>0.70409999999999995</v>
      </c>
      <c r="R68" s="54">
        <f>ROUND(+'30K'!$E73,4)</f>
        <v>0.70940000000000003</v>
      </c>
      <c r="S68" s="54">
        <f>ROUND(+Marathon!$E73,4)</f>
        <v>0.71909999999999996</v>
      </c>
      <c r="T68" s="54">
        <f>ROUND(+Marathon!$E73,4)</f>
        <v>0.71909999999999996</v>
      </c>
      <c r="U68" s="54">
        <f>ROUND(+Marathon!$E73,4)</f>
        <v>0.71909999999999996</v>
      </c>
      <c r="V68" s="54">
        <f>ROUND(+Marathon!$E73,4)</f>
        <v>0.71909999999999996</v>
      </c>
      <c r="W68" s="54">
        <f>ROUND(+Marathon!$E73,4)</f>
        <v>0.71909999999999996</v>
      </c>
      <c r="X68" s="54">
        <f>ROUND(+Marathon!$E73,4)</f>
        <v>0.71909999999999996</v>
      </c>
      <c r="Y68" s="54">
        <f>ROUND(+Marathon!$E73,4)</f>
        <v>0.71909999999999996</v>
      </c>
      <c r="Z68" s="46"/>
    </row>
    <row r="69" spans="1:26">
      <c r="A69" s="469">
        <v>68</v>
      </c>
      <c r="B69" s="476">
        <f>ROUND(+'1K'!E74,4)</f>
        <v>0.74029999999999996</v>
      </c>
      <c r="C69" s="457">
        <f>ROUND(+Mile!E74,4)</f>
        <v>0.7238</v>
      </c>
      <c r="D69" s="54">
        <f>ROUND(+'3K'!E74,4)</f>
        <v>0.70220000000000005</v>
      </c>
      <c r="E69" s="54">
        <f>ROUND(+'5K'!E74,4)</f>
        <v>0.68440000000000001</v>
      </c>
      <c r="F69" s="54">
        <f>ROUND(+'6K'!E74,4)</f>
        <v>0.68940000000000001</v>
      </c>
      <c r="G69" s="54">
        <f>ROUND(+'4MI'!E74,4)</f>
        <v>0.69130000000000003</v>
      </c>
      <c r="H69" s="54">
        <f>ROUND(+'8K'!$E74,4)</f>
        <v>0.69720000000000004</v>
      </c>
      <c r="I69" s="54">
        <f>ROUND(+'5MI'!E74,4)</f>
        <v>0.69740000000000002</v>
      </c>
      <c r="J69" s="54">
        <f>ROUND(+'10K'!$E74,4)</f>
        <v>0.70330000000000004</v>
      </c>
      <c r="K69" s="54">
        <f>ROUND(+'7MI'!$E74,4)</f>
        <v>0.70099999999999996</v>
      </c>
      <c r="L69" s="55">
        <f>ROUND(+'12K'!$E74,4)</f>
        <v>0.69979999999999998</v>
      </c>
      <c r="M69" s="54">
        <f>ROUND(+'15K'!$E74,4)</f>
        <v>0.69550000000000001</v>
      </c>
      <c r="N69" s="54">
        <f>ROUND(+'10MI'!$E74,4)</f>
        <v>0.69420000000000004</v>
      </c>
      <c r="O69" s="54">
        <f>ROUND(+'20K'!$E74,4)</f>
        <v>0.69</v>
      </c>
      <c r="P69" s="54">
        <f>ROUND(+H.Marathon!$E74,4)</f>
        <v>0.68899999999999995</v>
      </c>
      <c r="Q69" s="54">
        <f>ROUND(+'25K'!$E74,4)</f>
        <v>0.69369999999999998</v>
      </c>
      <c r="R69" s="54">
        <f>ROUND(+'30K'!$E74,4)</f>
        <v>0.6986</v>
      </c>
      <c r="S69" s="54">
        <f>ROUND(+Marathon!$E74,4)</f>
        <v>0.70799999999999996</v>
      </c>
      <c r="T69" s="54">
        <f>ROUND(+Marathon!$E74,4)</f>
        <v>0.70799999999999996</v>
      </c>
      <c r="U69" s="54">
        <f>ROUND(+Marathon!$E74,4)</f>
        <v>0.70799999999999996</v>
      </c>
      <c r="V69" s="54">
        <f>ROUND(+Marathon!$E74,4)</f>
        <v>0.70799999999999996</v>
      </c>
      <c r="W69" s="54">
        <f>ROUND(+Marathon!$E74,4)</f>
        <v>0.70799999999999996</v>
      </c>
      <c r="X69" s="54">
        <f>ROUND(+Marathon!$E74,4)</f>
        <v>0.70799999999999996</v>
      </c>
      <c r="Y69" s="54">
        <f>ROUND(+Marathon!$E74,4)</f>
        <v>0.70799999999999996</v>
      </c>
      <c r="Z69" s="46"/>
    </row>
    <row r="70" spans="1:26">
      <c r="A70" s="469">
        <v>69</v>
      </c>
      <c r="B70" s="476">
        <f>ROUND(+'1K'!E75,4)</f>
        <v>0.73050000000000004</v>
      </c>
      <c r="C70" s="457">
        <f>ROUND(+Mile!E75,4)</f>
        <v>0.71399999999999997</v>
      </c>
      <c r="D70" s="54">
        <f>ROUND(+'3K'!E75,4)</f>
        <v>0.69240000000000002</v>
      </c>
      <c r="E70" s="54">
        <f>ROUND(+'5K'!E75,4)</f>
        <v>0.67469999999999997</v>
      </c>
      <c r="F70" s="54">
        <f>ROUND(+'6K'!E75,4)</f>
        <v>0.67959999999999998</v>
      </c>
      <c r="G70" s="54">
        <f>ROUND(+'4MI'!E75,4)</f>
        <v>0.68149999999999999</v>
      </c>
      <c r="H70" s="54">
        <f>ROUND(+'8K'!$E75,4)</f>
        <v>0.68740000000000001</v>
      </c>
      <c r="I70" s="54">
        <f>ROUND(+'5MI'!E75,4)</f>
        <v>0.6875</v>
      </c>
      <c r="J70" s="54">
        <f>ROUND(+'10K'!$E75,4)</f>
        <v>0.69340000000000002</v>
      </c>
      <c r="K70" s="54">
        <f>ROUND(+'7MI'!$E75,4)</f>
        <v>0.69099999999999995</v>
      </c>
      <c r="L70" s="55">
        <f>ROUND(+'12K'!$E75,4)</f>
        <v>0.68979999999999997</v>
      </c>
      <c r="M70" s="54">
        <f>ROUND(+'15K'!$E75,4)</f>
        <v>0.68540000000000001</v>
      </c>
      <c r="N70" s="54">
        <f>ROUND(+'10MI'!$E75,4)</f>
        <v>0.68400000000000005</v>
      </c>
      <c r="O70" s="54">
        <f>ROUND(+'20K'!$E75,4)</f>
        <v>0.67969999999999997</v>
      </c>
      <c r="P70" s="54">
        <f>ROUND(+H.Marathon!$E75,4)</f>
        <v>0.67859999999999998</v>
      </c>
      <c r="Q70" s="54">
        <f>ROUND(+'25K'!$E75,4)</f>
        <v>0.68310000000000004</v>
      </c>
      <c r="R70" s="54">
        <f>ROUND(+'30K'!$E75,4)</f>
        <v>0.68789999999999996</v>
      </c>
      <c r="S70" s="54">
        <f>ROUND(+Marathon!$E75,4)</f>
        <v>0.69699999999999995</v>
      </c>
      <c r="T70" s="54">
        <f>ROUND(+Marathon!$E75,4)</f>
        <v>0.69699999999999995</v>
      </c>
      <c r="U70" s="54">
        <f>ROUND(+Marathon!$E75,4)</f>
        <v>0.69699999999999995</v>
      </c>
      <c r="V70" s="54">
        <f>ROUND(+Marathon!$E75,4)</f>
        <v>0.69699999999999995</v>
      </c>
      <c r="W70" s="54">
        <f>ROUND(+Marathon!$E75,4)</f>
        <v>0.69699999999999995</v>
      </c>
      <c r="X70" s="54">
        <f>ROUND(+Marathon!$E75,4)</f>
        <v>0.69699999999999995</v>
      </c>
      <c r="Y70" s="54">
        <f>ROUND(+Marathon!$E75,4)</f>
        <v>0.69699999999999995</v>
      </c>
      <c r="Z70" s="46"/>
    </row>
    <row r="71" spans="1:26">
      <c r="A71" s="471">
        <v>70</v>
      </c>
      <c r="B71" s="477">
        <f>ROUND(+'1K'!E76,4)</f>
        <v>0.7208</v>
      </c>
      <c r="C71" s="456">
        <f>ROUND(+Mile!E76,4)</f>
        <v>0.70430000000000004</v>
      </c>
      <c r="D71" s="57">
        <f>ROUND(+'3K'!E76,4)</f>
        <v>0.68269999999999997</v>
      </c>
      <c r="E71" s="57">
        <f>ROUND(+'5K'!E76,4)</f>
        <v>0.66500000000000004</v>
      </c>
      <c r="F71" s="57">
        <f>ROUND(+'6K'!E76,4)</f>
        <v>0.66979999999999995</v>
      </c>
      <c r="G71" s="57">
        <f>ROUND(+'4MI'!E76,4)</f>
        <v>0.67169999999999996</v>
      </c>
      <c r="H71" s="57">
        <f>ROUND(+'8K'!$E76,4)</f>
        <v>0.67749999999999999</v>
      </c>
      <c r="I71" s="57">
        <f>ROUND(+'5MI'!E76,4)</f>
        <v>0.67759999999999998</v>
      </c>
      <c r="J71" s="57">
        <f>ROUND(+'10K'!$E76,4)</f>
        <v>0.68340000000000001</v>
      </c>
      <c r="K71" s="57">
        <f>ROUND(+'7MI'!$E76,4)</f>
        <v>0.68100000000000005</v>
      </c>
      <c r="L71" s="57">
        <f>ROUND(+'12K'!$E76,4)</f>
        <v>0.67969999999999997</v>
      </c>
      <c r="M71" s="57">
        <f>ROUND(+'15K'!$E76,4)</f>
        <v>0.67520000000000002</v>
      </c>
      <c r="N71" s="57">
        <f>ROUND(+'10MI'!$E76,4)</f>
        <v>0.67379999999999995</v>
      </c>
      <c r="O71" s="57">
        <f>ROUND(+'20K'!$E76,4)</f>
        <v>0.6694</v>
      </c>
      <c r="P71" s="57">
        <f>ROUND(+H.Marathon!$E76,4)</f>
        <v>0.66830000000000001</v>
      </c>
      <c r="Q71" s="57">
        <f>ROUND(+'25K'!$E76,4)</f>
        <v>0.67259999999999998</v>
      </c>
      <c r="R71" s="57">
        <f>ROUND(+'30K'!$E76,4)</f>
        <v>0.67720000000000002</v>
      </c>
      <c r="S71" s="57">
        <f>ROUND(+Marathon!$E76,4)</f>
        <v>0.68589999999999995</v>
      </c>
      <c r="T71" s="57">
        <f>ROUND(+Marathon!$E76,4)</f>
        <v>0.68589999999999995</v>
      </c>
      <c r="U71" s="57">
        <f>ROUND(+Marathon!$E76,4)</f>
        <v>0.68589999999999995</v>
      </c>
      <c r="V71" s="57">
        <f>ROUND(+Marathon!$E76,4)</f>
        <v>0.68589999999999995</v>
      </c>
      <c r="W71" s="57">
        <f>ROUND(+Marathon!$E76,4)</f>
        <v>0.68589999999999995</v>
      </c>
      <c r="X71" s="57">
        <f>ROUND(+Marathon!$E76,4)</f>
        <v>0.68589999999999995</v>
      </c>
      <c r="Y71" s="57">
        <f>ROUND(+Marathon!$E76,4)</f>
        <v>0.68589999999999995</v>
      </c>
      <c r="Z71" s="46"/>
    </row>
    <row r="72" spans="1:26">
      <c r="A72" s="469">
        <v>71</v>
      </c>
      <c r="B72" s="476">
        <f>ROUND(+'1K'!E77,4)</f>
        <v>0.71109999999999995</v>
      </c>
      <c r="C72" s="457">
        <f>ROUND(+Mile!E77,4)</f>
        <v>0.6946</v>
      </c>
      <c r="D72" s="54">
        <f>ROUND(+'3K'!E77,4)</f>
        <v>0.67300000000000004</v>
      </c>
      <c r="E72" s="54">
        <f>ROUND(+'5K'!E77,4)</f>
        <v>0.65529999999999999</v>
      </c>
      <c r="F72" s="54">
        <f>ROUND(+'6K'!E77,4)</f>
        <v>0.66010000000000002</v>
      </c>
      <c r="G72" s="54">
        <f>ROUND(+'4MI'!E77,4)</f>
        <v>0.66190000000000004</v>
      </c>
      <c r="H72" s="54">
        <f>ROUND(+'8K'!$E77,4)</f>
        <v>0.66759999999999997</v>
      </c>
      <c r="I72" s="54">
        <f>ROUND(+'5MI'!E77,4)</f>
        <v>0.66779999999999995</v>
      </c>
      <c r="J72" s="54">
        <f>ROUND(+'10K'!$E77,4)</f>
        <v>0.67349999999999999</v>
      </c>
      <c r="K72" s="54">
        <f>ROUND(+'7MI'!$E77,4)</f>
        <v>0.67100000000000004</v>
      </c>
      <c r="L72" s="55">
        <f>ROUND(+'12K'!$E77,4)</f>
        <v>0.66969999999999996</v>
      </c>
      <c r="M72" s="54">
        <f>ROUND(+'15K'!$E77,4)</f>
        <v>0.66500000000000004</v>
      </c>
      <c r="N72" s="54">
        <f>ROUND(+'10MI'!$E77,4)</f>
        <v>0.66359999999999997</v>
      </c>
      <c r="O72" s="54">
        <f>ROUND(+'20K'!$E77,4)</f>
        <v>0.65900000000000003</v>
      </c>
      <c r="P72" s="54">
        <f>ROUND(+H.Marathon!$E77,4)</f>
        <v>0.65790000000000004</v>
      </c>
      <c r="Q72" s="54">
        <f>ROUND(+'25K'!$E77,4)</f>
        <v>0.66200000000000003</v>
      </c>
      <c r="R72" s="54">
        <f>ROUND(+'30K'!$E77,4)</f>
        <v>0.66649999999999998</v>
      </c>
      <c r="S72" s="54">
        <f>ROUND(+Marathon!$E77,4)</f>
        <v>0.67479999999999996</v>
      </c>
      <c r="T72" s="54">
        <f>ROUND(+Marathon!$E77,4)</f>
        <v>0.67479999999999996</v>
      </c>
      <c r="U72" s="54">
        <f>ROUND(+Marathon!$E77,4)</f>
        <v>0.67479999999999996</v>
      </c>
      <c r="V72" s="54">
        <f>ROUND(+Marathon!$E77,4)</f>
        <v>0.67479999999999996</v>
      </c>
      <c r="W72" s="54">
        <f>ROUND(+Marathon!$E77,4)</f>
        <v>0.67479999999999996</v>
      </c>
      <c r="X72" s="54">
        <f>ROUND(+Marathon!$E77,4)</f>
        <v>0.67479999999999996</v>
      </c>
      <c r="Y72" s="54">
        <f>ROUND(+Marathon!$E77,4)</f>
        <v>0.67479999999999996</v>
      </c>
      <c r="Z72" s="46"/>
    </row>
    <row r="73" spans="1:26">
      <c r="A73" s="469">
        <v>72</v>
      </c>
      <c r="B73" s="476">
        <f>ROUND(+'1K'!E78,4)</f>
        <v>0.70140000000000002</v>
      </c>
      <c r="C73" s="457">
        <f>ROUND(+Mile!E78,4)</f>
        <v>0.68489999999999995</v>
      </c>
      <c r="D73" s="54">
        <f>ROUND(+'3K'!E78,4)</f>
        <v>0.6633</v>
      </c>
      <c r="E73" s="54">
        <f>ROUND(+'5K'!E78,4)</f>
        <v>0.64559999999999995</v>
      </c>
      <c r="F73" s="54">
        <f>ROUND(+'6K'!E78,4)</f>
        <v>0.65029999999999999</v>
      </c>
      <c r="G73" s="54">
        <f>ROUND(+'4MI'!E78,4)</f>
        <v>0.65210000000000001</v>
      </c>
      <c r="H73" s="54">
        <f>ROUND(+'8K'!$E78,4)</f>
        <v>0.65769999999999995</v>
      </c>
      <c r="I73" s="54">
        <f>ROUND(+'5MI'!E78,4)</f>
        <v>0.65790000000000004</v>
      </c>
      <c r="J73" s="54">
        <f>ROUND(+'10K'!$E78,4)</f>
        <v>0.66349999999999998</v>
      </c>
      <c r="K73" s="54">
        <f>ROUND(+'7MI'!$E78,4)</f>
        <v>0.66100000000000003</v>
      </c>
      <c r="L73" s="55">
        <f>ROUND(+'12K'!$E78,4)</f>
        <v>0.65959999999999996</v>
      </c>
      <c r="M73" s="54">
        <f>ROUND(+'15K'!$E78,4)</f>
        <v>0.65490000000000004</v>
      </c>
      <c r="N73" s="54">
        <f>ROUND(+'10MI'!$E78,4)</f>
        <v>0.65339999999999998</v>
      </c>
      <c r="O73" s="54">
        <f>ROUND(+'20K'!$E78,4)</f>
        <v>0.64870000000000005</v>
      </c>
      <c r="P73" s="54">
        <f>ROUND(+H.Marathon!$E78,4)</f>
        <v>0.64759999999999995</v>
      </c>
      <c r="Q73" s="54">
        <f>ROUND(+'25K'!$E78,4)</f>
        <v>0.65159999999999996</v>
      </c>
      <c r="R73" s="54">
        <f>ROUND(+'30K'!$E78,4)</f>
        <v>0.65580000000000005</v>
      </c>
      <c r="S73" s="54">
        <f>ROUND(+Marathon!$E78,4)</f>
        <v>0.66379999999999995</v>
      </c>
      <c r="T73" s="54">
        <f>ROUND(+Marathon!$E78,4)</f>
        <v>0.66379999999999995</v>
      </c>
      <c r="U73" s="54">
        <f>ROUND(+Marathon!$E78,4)</f>
        <v>0.66379999999999995</v>
      </c>
      <c r="V73" s="54">
        <f>ROUND(+Marathon!$E78,4)</f>
        <v>0.66379999999999995</v>
      </c>
      <c r="W73" s="54">
        <f>ROUND(+Marathon!$E78,4)</f>
        <v>0.66379999999999995</v>
      </c>
      <c r="X73" s="54">
        <f>ROUND(+Marathon!$E78,4)</f>
        <v>0.66379999999999995</v>
      </c>
      <c r="Y73" s="54">
        <f>ROUND(+Marathon!$E78,4)</f>
        <v>0.66379999999999995</v>
      </c>
      <c r="Z73" s="46"/>
    </row>
    <row r="74" spans="1:26">
      <c r="A74" s="469">
        <v>73</v>
      </c>
      <c r="B74" s="476">
        <f>ROUND(+'1K'!E79,4)</f>
        <v>0.69169999999999998</v>
      </c>
      <c r="C74" s="457">
        <f>ROUND(+Mile!E79,4)</f>
        <v>0.67520000000000002</v>
      </c>
      <c r="D74" s="54">
        <f>ROUND(+'3K'!E79,4)</f>
        <v>0.65359999999999996</v>
      </c>
      <c r="E74" s="54">
        <f>ROUND(+'5K'!E79,4)</f>
        <v>0.63590000000000002</v>
      </c>
      <c r="F74" s="54">
        <f>ROUND(+'6K'!E79,4)</f>
        <v>0.64059999999999995</v>
      </c>
      <c r="G74" s="54">
        <f>ROUND(+'4MI'!E79,4)</f>
        <v>0.64239999999999997</v>
      </c>
      <c r="H74" s="54">
        <f>ROUND(+'8K'!$E79,4)</f>
        <v>0.64790000000000003</v>
      </c>
      <c r="I74" s="54">
        <f>ROUND(+'5MI'!E79,4)</f>
        <v>0.64810000000000001</v>
      </c>
      <c r="J74" s="54">
        <f>ROUND(+'10K'!$E79,4)</f>
        <v>0.65359999999999996</v>
      </c>
      <c r="K74" s="54">
        <f>ROUND(+'7MI'!$E79,4)</f>
        <v>0.65100000000000002</v>
      </c>
      <c r="L74" s="55">
        <f>ROUND(+'12K'!$E79,4)</f>
        <v>0.64959999999999996</v>
      </c>
      <c r="M74" s="54">
        <f>ROUND(+'15K'!$E79,4)</f>
        <v>0.64470000000000005</v>
      </c>
      <c r="N74" s="54">
        <f>ROUND(+'10MI'!$E79,4)</f>
        <v>0.6431</v>
      </c>
      <c r="O74" s="54">
        <f>ROUND(+'20K'!$E79,4)</f>
        <v>0.63839999999999997</v>
      </c>
      <c r="P74" s="54">
        <f>ROUND(+H.Marathon!$E79,4)</f>
        <v>0.63719999999999999</v>
      </c>
      <c r="Q74" s="54">
        <f>ROUND(+'25K'!$E79,4)</f>
        <v>0.64100000000000001</v>
      </c>
      <c r="R74" s="54">
        <f>ROUND(+'30K'!$E79,4)</f>
        <v>0.64510000000000001</v>
      </c>
      <c r="S74" s="54">
        <f>ROUND(+Marathon!$E79,4)</f>
        <v>0.65269999999999995</v>
      </c>
      <c r="T74" s="54">
        <f>ROUND(+Marathon!$E79,4)</f>
        <v>0.65269999999999995</v>
      </c>
      <c r="U74" s="54">
        <f>ROUND(+Marathon!$E79,4)</f>
        <v>0.65269999999999995</v>
      </c>
      <c r="V74" s="54">
        <f>ROUND(+Marathon!$E79,4)</f>
        <v>0.65269999999999995</v>
      </c>
      <c r="W74" s="54">
        <f>ROUND(+Marathon!$E79,4)</f>
        <v>0.65269999999999995</v>
      </c>
      <c r="X74" s="54">
        <f>ROUND(+Marathon!$E79,4)</f>
        <v>0.65269999999999995</v>
      </c>
      <c r="Y74" s="54">
        <f>ROUND(+Marathon!$E79,4)</f>
        <v>0.65269999999999995</v>
      </c>
      <c r="Z74" s="46"/>
    </row>
    <row r="75" spans="1:26">
      <c r="A75" s="469">
        <v>74</v>
      </c>
      <c r="B75" s="476">
        <f>ROUND(+'1K'!E80,4)</f>
        <v>0.68200000000000005</v>
      </c>
      <c r="C75" s="457">
        <f>ROUND(+Mile!E80,4)</f>
        <v>0.66549999999999998</v>
      </c>
      <c r="D75" s="54">
        <f>ROUND(+'3K'!E80,4)</f>
        <v>0.64390000000000003</v>
      </c>
      <c r="E75" s="54">
        <f>ROUND(+'5K'!E80,4)</f>
        <v>0.62619999999999998</v>
      </c>
      <c r="F75" s="54">
        <f>ROUND(+'6K'!E80,4)</f>
        <v>0.63080000000000003</v>
      </c>
      <c r="G75" s="54">
        <f>ROUND(+'4MI'!E80,4)</f>
        <v>0.63260000000000005</v>
      </c>
      <c r="H75" s="54">
        <f>ROUND(+'8K'!$E80,4)</f>
        <v>0.6381</v>
      </c>
      <c r="I75" s="54">
        <f>ROUND(+'5MI'!E80,4)</f>
        <v>0.63819999999999999</v>
      </c>
      <c r="J75" s="54">
        <f>ROUND(+'10K'!$E80,4)</f>
        <v>0.64370000000000005</v>
      </c>
      <c r="K75" s="54">
        <f>ROUND(+'7MI'!$E80,4)</f>
        <v>0.64100000000000001</v>
      </c>
      <c r="L75" s="55">
        <f>ROUND(+'12K'!$E80,4)</f>
        <v>0.63959999999999995</v>
      </c>
      <c r="M75" s="54">
        <f>ROUND(+'15K'!$E80,4)</f>
        <v>0.63460000000000005</v>
      </c>
      <c r="N75" s="54">
        <f>ROUND(+'10MI'!$E80,4)</f>
        <v>0.63300000000000001</v>
      </c>
      <c r="O75" s="54">
        <f>ROUND(+'20K'!$E80,4)</f>
        <v>0.62809999999999999</v>
      </c>
      <c r="P75" s="54">
        <f>ROUND(+H.Marathon!$E80,4)</f>
        <v>0.62690000000000001</v>
      </c>
      <c r="Q75" s="54">
        <f>ROUND(+'25K'!$E80,4)</f>
        <v>0.63039999999999996</v>
      </c>
      <c r="R75" s="54">
        <f>ROUND(+'30K'!$E80,4)</f>
        <v>0.63419999999999999</v>
      </c>
      <c r="S75" s="54">
        <f>ROUND(+Marathon!$E80,4)</f>
        <v>0.64129999999999998</v>
      </c>
      <c r="T75" s="54">
        <f>ROUND(+Marathon!$E80,4)</f>
        <v>0.64129999999999998</v>
      </c>
      <c r="U75" s="54">
        <f>ROUND(+Marathon!$E80,4)</f>
        <v>0.64129999999999998</v>
      </c>
      <c r="V75" s="54">
        <f>ROUND(+Marathon!$E80,4)</f>
        <v>0.64129999999999998</v>
      </c>
      <c r="W75" s="54">
        <f>ROUND(+Marathon!$E80,4)</f>
        <v>0.64129999999999998</v>
      </c>
      <c r="X75" s="54">
        <f>ROUND(+Marathon!$E80,4)</f>
        <v>0.64129999999999998</v>
      </c>
      <c r="Y75" s="54">
        <f>ROUND(+Marathon!$E80,4)</f>
        <v>0.64129999999999998</v>
      </c>
      <c r="Z75" s="46"/>
    </row>
    <row r="76" spans="1:26">
      <c r="A76" s="471">
        <v>75</v>
      </c>
      <c r="B76" s="477">
        <f>ROUND(+'1K'!E81,4)</f>
        <v>0.67230000000000001</v>
      </c>
      <c r="C76" s="456">
        <f>ROUND(+Mile!E81,4)</f>
        <v>0.65580000000000005</v>
      </c>
      <c r="D76" s="57">
        <f>ROUND(+'3K'!E81,4)</f>
        <v>0.63419999999999999</v>
      </c>
      <c r="E76" s="57">
        <f>ROUND(+'5K'!E81,4)</f>
        <v>0.61650000000000005</v>
      </c>
      <c r="F76" s="57">
        <f>ROUND(+'6K'!E81,4)</f>
        <v>0.621</v>
      </c>
      <c r="G76" s="57">
        <f>ROUND(+'4MI'!E81,4)</f>
        <v>0.62280000000000002</v>
      </c>
      <c r="H76" s="57">
        <f>ROUND(+'8K'!$E81,4)</f>
        <v>0.62819999999999998</v>
      </c>
      <c r="I76" s="57">
        <f>ROUND(+'5MI'!E81,4)</f>
        <v>0.62829999999999997</v>
      </c>
      <c r="J76" s="57">
        <f>ROUND(+'10K'!$E81,4)</f>
        <v>0.63370000000000004</v>
      </c>
      <c r="K76" s="57">
        <f>ROUND(+'7MI'!$E81,4)</f>
        <v>0.63100000000000001</v>
      </c>
      <c r="L76" s="57">
        <f>ROUND(+'12K'!$E81,4)</f>
        <v>0.62949999999999995</v>
      </c>
      <c r="M76" s="57">
        <f>ROUND(+'15K'!$E81,4)</f>
        <v>0.62439999999999996</v>
      </c>
      <c r="N76" s="57">
        <f>ROUND(+'10MI'!$E81,4)</f>
        <v>0.62270000000000003</v>
      </c>
      <c r="O76" s="57">
        <f>ROUND(+'20K'!$E81,4)</f>
        <v>0.61770000000000003</v>
      </c>
      <c r="P76" s="57">
        <f>ROUND(+H.Marathon!$E81,4)</f>
        <v>0.61650000000000005</v>
      </c>
      <c r="Q76" s="57">
        <f>ROUND(+'25K'!$E81,4)</f>
        <v>0.61960000000000004</v>
      </c>
      <c r="R76" s="57">
        <f>ROUND(+'30K'!$E81,4)</f>
        <v>0.62280000000000002</v>
      </c>
      <c r="S76" s="57">
        <f>ROUND(+Marathon!$E81,4)</f>
        <v>0.629</v>
      </c>
      <c r="T76" s="57">
        <f>ROUND(+Marathon!$E81,4)</f>
        <v>0.629</v>
      </c>
      <c r="U76" s="57">
        <f>ROUND(+Marathon!$E81,4)</f>
        <v>0.629</v>
      </c>
      <c r="V76" s="57">
        <f>ROUND(+Marathon!$E81,4)</f>
        <v>0.629</v>
      </c>
      <c r="W76" s="57">
        <f>ROUND(+Marathon!$E81,4)</f>
        <v>0.629</v>
      </c>
      <c r="X76" s="57">
        <f>ROUND(+Marathon!$E81,4)</f>
        <v>0.629</v>
      </c>
      <c r="Y76" s="57">
        <f>ROUND(+Marathon!$E81,4)</f>
        <v>0.629</v>
      </c>
      <c r="Z76" s="46"/>
    </row>
    <row r="77" spans="1:26">
      <c r="A77" s="469">
        <v>76</v>
      </c>
      <c r="B77" s="476">
        <f>ROUND(+'1K'!E82,4)</f>
        <v>0.66259999999999997</v>
      </c>
      <c r="C77" s="457">
        <f>ROUND(+Mile!E82,4)</f>
        <v>0.64610000000000001</v>
      </c>
      <c r="D77" s="54">
        <f>ROUND(+'3K'!E82,4)</f>
        <v>0.62450000000000006</v>
      </c>
      <c r="E77" s="54">
        <f>ROUND(+'5K'!E82,4)</f>
        <v>0.60670000000000002</v>
      </c>
      <c r="F77" s="54">
        <f>ROUND(+'6K'!E82,4)</f>
        <v>0.61109999999999998</v>
      </c>
      <c r="G77" s="54">
        <f>ROUND(+'4MI'!E82,4)</f>
        <v>0.61280000000000001</v>
      </c>
      <c r="H77" s="54">
        <f>ROUND(+'8K'!$E82,4)</f>
        <v>0.61799999999999999</v>
      </c>
      <c r="I77" s="54">
        <f>ROUND(+'5MI'!E82,4)</f>
        <v>0.61819999999999997</v>
      </c>
      <c r="J77" s="54">
        <f>ROUND(+'10K'!$E82,4)</f>
        <v>0.62339999999999995</v>
      </c>
      <c r="K77" s="54">
        <f>ROUND(+'7MI'!$E82,4)</f>
        <v>0.62060000000000004</v>
      </c>
      <c r="L77" s="55">
        <f>ROUND(+'12K'!$E82,4)</f>
        <v>0.61909999999999998</v>
      </c>
      <c r="M77" s="54">
        <f>ROUND(+'15K'!$E82,4)</f>
        <v>0.6139</v>
      </c>
      <c r="N77" s="54">
        <f>ROUND(+'10MI'!$E82,4)</f>
        <v>0.61219999999999997</v>
      </c>
      <c r="O77" s="54">
        <f>ROUND(+'20K'!$E82,4)</f>
        <v>0.60719999999999996</v>
      </c>
      <c r="P77" s="54">
        <f>ROUND(+H.Marathon!$E82,4)</f>
        <v>0.60589999999999999</v>
      </c>
      <c r="Q77" s="54">
        <f>ROUND(+'25K'!$E82,4)</f>
        <v>0.60829999999999995</v>
      </c>
      <c r="R77" s="54">
        <f>ROUND(+'30K'!$E82,4)</f>
        <v>0.61099999999999999</v>
      </c>
      <c r="S77" s="54">
        <f>ROUND(+Marathon!$E82,4)</f>
        <v>0.6159</v>
      </c>
      <c r="T77" s="54">
        <f>ROUND(+Marathon!$E82,4)</f>
        <v>0.6159</v>
      </c>
      <c r="U77" s="54">
        <f>ROUND(+Marathon!$E82,4)</f>
        <v>0.6159</v>
      </c>
      <c r="V77" s="54">
        <f>ROUND(+Marathon!$E82,4)</f>
        <v>0.6159</v>
      </c>
      <c r="W77" s="54">
        <f>ROUND(+Marathon!$E82,4)</f>
        <v>0.6159</v>
      </c>
      <c r="X77" s="54">
        <f>ROUND(+Marathon!$E82,4)</f>
        <v>0.6159</v>
      </c>
      <c r="Y77" s="54">
        <f>ROUND(+Marathon!$E82,4)</f>
        <v>0.6159</v>
      </c>
      <c r="Z77" s="46"/>
    </row>
    <row r="78" spans="1:26">
      <c r="A78" s="469">
        <v>77</v>
      </c>
      <c r="B78" s="476">
        <f>ROUND(+'1K'!E83,4)</f>
        <v>0.65290000000000004</v>
      </c>
      <c r="C78" s="457">
        <f>ROUND(+Mile!E83,4)</f>
        <v>0.63639999999999997</v>
      </c>
      <c r="D78" s="54">
        <f>ROUND(+'3K'!E83,4)</f>
        <v>0.61480000000000001</v>
      </c>
      <c r="E78" s="54">
        <f>ROUND(+'5K'!E83,4)</f>
        <v>0.59699999999999998</v>
      </c>
      <c r="F78" s="54">
        <f>ROUND(+'6K'!E83,4)</f>
        <v>0.60099999999999998</v>
      </c>
      <c r="G78" s="54">
        <f>ROUND(+'4MI'!E83,4)</f>
        <v>0.60260000000000002</v>
      </c>
      <c r="H78" s="54">
        <f>ROUND(+'8K'!$E83,4)</f>
        <v>0.60740000000000005</v>
      </c>
      <c r="I78" s="54">
        <f>ROUND(+'5MI'!E83,4)</f>
        <v>0.60750000000000004</v>
      </c>
      <c r="J78" s="54">
        <f>ROUND(+'10K'!$E83,4)</f>
        <v>0.61229999999999996</v>
      </c>
      <c r="K78" s="54">
        <f>ROUND(+'7MI'!$E83,4)</f>
        <v>0.60950000000000004</v>
      </c>
      <c r="L78" s="55">
        <f>ROUND(+'12K'!$E83,4)</f>
        <v>0.60799999999999998</v>
      </c>
      <c r="M78" s="54">
        <f>ROUND(+'15K'!$E83,4)</f>
        <v>0.60260000000000002</v>
      </c>
      <c r="N78" s="54">
        <f>ROUND(+'10MI'!$E83,4)</f>
        <v>0.60099999999999998</v>
      </c>
      <c r="O78" s="54">
        <f>ROUND(+'20K'!$E83,4)</f>
        <v>0.5958</v>
      </c>
      <c r="P78" s="54">
        <f>ROUND(+H.Marathon!$E83,4)</f>
        <v>0.59450000000000003</v>
      </c>
      <c r="Q78" s="54">
        <f>ROUND(+'25K'!$E83,4)</f>
        <v>0.59640000000000004</v>
      </c>
      <c r="R78" s="54">
        <f>ROUND(+'30K'!$E83,4)</f>
        <v>0.59840000000000004</v>
      </c>
      <c r="S78" s="54">
        <f>ROUND(+Marathon!$E83,4)</f>
        <v>0.60209999999999997</v>
      </c>
      <c r="T78" s="54">
        <f>ROUND(+Marathon!$E83,4)</f>
        <v>0.60209999999999997</v>
      </c>
      <c r="U78" s="54">
        <f>ROUND(+Marathon!$E83,4)</f>
        <v>0.60209999999999997</v>
      </c>
      <c r="V78" s="54">
        <f>ROUND(+Marathon!$E83,4)</f>
        <v>0.60209999999999997</v>
      </c>
      <c r="W78" s="54">
        <f>ROUND(+Marathon!$E83,4)</f>
        <v>0.60209999999999997</v>
      </c>
      <c r="X78" s="54">
        <f>ROUND(+Marathon!$E83,4)</f>
        <v>0.60209999999999997</v>
      </c>
      <c r="Y78" s="54">
        <f>ROUND(+Marathon!$E83,4)</f>
        <v>0.60209999999999997</v>
      </c>
      <c r="Z78" s="46"/>
    </row>
    <row r="79" spans="1:26">
      <c r="A79" s="469">
        <v>78</v>
      </c>
      <c r="B79" s="476">
        <f>ROUND(+'1K'!E84,4)</f>
        <v>0.64339999999999997</v>
      </c>
      <c r="C79" s="457">
        <f>ROUND(+Mile!E84,4)</f>
        <v>0.62670000000000003</v>
      </c>
      <c r="D79" s="54">
        <f>ROUND(+'3K'!E84,4)</f>
        <v>0.6048</v>
      </c>
      <c r="E79" s="54">
        <f>ROUND(+'5K'!E84,4)</f>
        <v>0.58679999999999999</v>
      </c>
      <c r="F79" s="54">
        <f>ROUND(+'6K'!E84,4)</f>
        <v>0.59040000000000004</v>
      </c>
      <c r="G79" s="54">
        <f>ROUND(+'4MI'!E84,4)</f>
        <v>0.59179999999999999</v>
      </c>
      <c r="H79" s="54">
        <f>ROUND(+'8K'!$E84,4)</f>
        <v>0.59609999999999996</v>
      </c>
      <c r="I79" s="54">
        <f>ROUND(+'5MI'!E84,4)</f>
        <v>0.59619999999999995</v>
      </c>
      <c r="J79" s="54">
        <f>ROUND(+'10K'!$E84,4)</f>
        <v>0.60050000000000003</v>
      </c>
      <c r="K79" s="54">
        <f>ROUND(+'7MI'!$E84,4)</f>
        <v>0.59760000000000002</v>
      </c>
      <c r="L79" s="55">
        <f>ROUND(+'12K'!$E84,4)</f>
        <v>0.59599999999999997</v>
      </c>
      <c r="M79" s="54">
        <f>ROUND(+'15K'!$E84,4)</f>
        <v>0.59060000000000001</v>
      </c>
      <c r="N79" s="54">
        <f>ROUND(+'10MI'!$E84,4)</f>
        <v>0.58879999999999999</v>
      </c>
      <c r="O79" s="54">
        <f>ROUND(+'20K'!$E84,4)</f>
        <v>0.58350000000000002</v>
      </c>
      <c r="P79" s="54">
        <f>ROUND(+H.Marathon!$E84,4)</f>
        <v>0.58220000000000005</v>
      </c>
      <c r="Q79" s="54">
        <f>ROUND(+'25K'!$E84,4)</f>
        <v>0.58350000000000002</v>
      </c>
      <c r="R79" s="54">
        <f>ROUND(+'30K'!$E84,4)</f>
        <v>0.58479999999999999</v>
      </c>
      <c r="S79" s="54">
        <f>ROUND(+Marathon!$E84,4)</f>
        <v>0.58740000000000003</v>
      </c>
      <c r="T79" s="54">
        <f>ROUND(+Marathon!$E84,4)</f>
        <v>0.58740000000000003</v>
      </c>
      <c r="U79" s="54">
        <f>ROUND(+Marathon!$E84,4)</f>
        <v>0.58740000000000003</v>
      </c>
      <c r="V79" s="54">
        <f>ROUND(+Marathon!$E84,4)</f>
        <v>0.58740000000000003</v>
      </c>
      <c r="W79" s="54">
        <f>ROUND(+Marathon!$E84,4)</f>
        <v>0.58740000000000003</v>
      </c>
      <c r="X79" s="54">
        <f>ROUND(+Marathon!$E84,4)</f>
        <v>0.58740000000000003</v>
      </c>
      <c r="Y79" s="54">
        <f>ROUND(+Marathon!$E84,4)</f>
        <v>0.58740000000000003</v>
      </c>
      <c r="Z79" s="46"/>
    </row>
    <row r="80" spans="1:26">
      <c r="A80" s="469">
        <v>79</v>
      </c>
      <c r="B80" s="476">
        <f>ROUND(+'1K'!E85,4)</f>
        <v>0.63400000000000001</v>
      </c>
      <c r="C80" s="457">
        <f>ROUND(+Mile!E85,4)</f>
        <v>0.61680000000000001</v>
      </c>
      <c r="D80" s="54">
        <f>ROUND(+'3K'!E85,4)</f>
        <v>0.59430000000000005</v>
      </c>
      <c r="E80" s="54">
        <f>ROUND(+'5K'!E85,4)</f>
        <v>0.57579999999999998</v>
      </c>
      <c r="F80" s="54">
        <f>ROUND(+'6K'!E85,4)</f>
        <v>0.57899999999999996</v>
      </c>
      <c r="G80" s="54">
        <f>ROUND(+'4MI'!E85,4)</f>
        <v>0.58020000000000005</v>
      </c>
      <c r="H80" s="54">
        <f>ROUND(+'8K'!$E85,4)</f>
        <v>0.58399999999999996</v>
      </c>
      <c r="I80" s="54">
        <f>ROUND(+'5MI'!E85,4)</f>
        <v>0.58409999999999995</v>
      </c>
      <c r="J80" s="54">
        <f>ROUND(+'10K'!$E85,4)</f>
        <v>0.58789999999999998</v>
      </c>
      <c r="K80" s="54">
        <f>ROUND(+'7MI'!$E85,4)</f>
        <v>0.58489999999999998</v>
      </c>
      <c r="L80" s="55">
        <f>ROUND(+'12K'!$E85,4)</f>
        <v>0.58330000000000004</v>
      </c>
      <c r="M80" s="54">
        <f>ROUND(+'15K'!$E85,4)</f>
        <v>0.57769999999999999</v>
      </c>
      <c r="N80" s="54">
        <f>ROUND(+'10MI'!$E85,4)</f>
        <v>0.57599999999999996</v>
      </c>
      <c r="O80" s="54">
        <f>ROUND(+'20K'!$E85,4)</f>
        <v>0.57050000000000001</v>
      </c>
      <c r="P80" s="54">
        <f>ROUND(+H.Marathon!$E85,4)</f>
        <v>0.56920000000000004</v>
      </c>
      <c r="Q80" s="54">
        <f>ROUND(+'25K'!$E85,4)</f>
        <v>0.56989999999999996</v>
      </c>
      <c r="R80" s="54">
        <f>ROUND(+'30K'!$E85,4)</f>
        <v>0.5706</v>
      </c>
      <c r="S80" s="54">
        <f>ROUND(+Marathon!$E85,4)</f>
        <v>0.57199999999999995</v>
      </c>
      <c r="T80" s="54">
        <f>ROUND(+Marathon!$E85,4)</f>
        <v>0.57199999999999995</v>
      </c>
      <c r="U80" s="54">
        <f>ROUND(+Marathon!$E85,4)</f>
        <v>0.57199999999999995</v>
      </c>
      <c r="V80" s="54">
        <f>ROUND(+Marathon!$E85,4)</f>
        <v>0.57199999999999995</v>
      </c>
      <c r="W80" s="54">
        <f>ROUND(+Marathon!$E85,4)</f>
        <v>0.57199999999999995</v>
      </c>
      <c r="X80" s="54">
        <f>ROUND(+Marathon!$E85,4)</f>
        <v>0.57199999999999995</v>
      </c>
      <c r="Y80" s="54">
        <f>ROUND(+Marathon!$E85,4)</f>
        <v>0.57199999999999995</v>
      </c>
      <c r="Z80" s="46"/>
    </row>
    <row r="81" spans="1:26">
      <c r="A81" s="471">
        <v>80</v>
      </c>
      <c r="B81" s="477">
        <f>ROUND(+'1K'!E86,4)</f>
        <v>0.62390000000000001</v>
      </c>
      <c r="C81" s="456">
        <f>ROUND(+Mile!E86,4)</f>
        <v>0.60619999999999996</v>
      </c>
      <c r="D81" s="57">
        <f>ROUND(+'3K'!E86,4)</f>
        <v>0.58299999999999996</v>
      </c>
      <c r="E81" s="57">
        <f>ROUND(+'5K'!E86,4)</f>
        <v>0.56399999999999995</v>
      </c>
      <c r="F81" s="57">
        <f>ROUND(+'6K'!E86,4)</f>
        <v>0.56679999999999997</v>
      </c>
      <c r="G81" s="57">
        <f>ROUND(+'4MI'!E86,4)</f>
        <v>0.56779999999999997</v>
      </c>
      <c r="H81" s="57">
        <f>ROUND(+'8K'!$E86,4)</f>
        <v>0.57110000000000005</v>
      </c>
      <c r="I81" s="57">
        <f>ROUND(+'5MI'!E86,4)</f>
        <v>0.57120000000000004</v>
      </c>
      <c r="J81" s="57">
        <f>ROUND(+'10K'!$E86,4)</f>
        <v>0.57450000000000001</v>
      </c>
      <c r="K81" s="57">
        <f>ROUND(+'7MI'!$E86,4)</f>
        <v>0.57150000000000001</v>
      </c>
      <c r="L81" s="57">
        <f>ROUND(+'12K'!$E86,4)</f>
        <v>0.56979999999999997</v>
      </c>
      <c r="M81" s="57">
        <f>ROUND(+'15K'!$E86,4)</f>
        <v>0.56410000000000005</v>
      </c>
      <c r="N81" s="57">
        <f>ROUND(+'10MI'!$E86,4)</f>
        <v>0.56230000000000002</v>
      </c>
      <c r="O81" s="57">
        <f>ROUND(+'20K'!$E86,4)</f>
        <v>0.55679999999999996</v>
      </c>
      <c r="P81" s="57">
        <f>ROUND(+H.Marathon!$E86,4)</f>
        <v>0.5554</v>
      </c>
      <c r="Q81" s="57">
        <f>ROUND(+'25K'!$E86,4)</f>
        <v>0.55549999999999999</v>
      </c>
      <c r="R81" s="57">
        <f>ROUND(+'30K'!$E86,4)</f>
        <v>0.55559999999999998</v>
      </c>
      <c r="S81" s="57">
        <f>ROUND(+Marathon!$E86,4)</f>
        <v>0.55569999999999997</v>
      </c>
      <c r="T81" s="57">
        <f>ROUND(+Marathon!$E86,4)</f>
        <v>0.55569999999999997</v>
      </c>
      <c r="U81" s="57">
        <f>ROUND(+Marathon!$E86,4)</f>
        <v>0.55569999999999997</v>
      </c>
      <c r="V81" s="57">
        <f>ROUND(+Marathon!$E86,4)</f>
        <v>0.55569999999999997</v>
      </c>
      <c r="W81" s="57">
        <f>ROUND(+Marathon!$E86,4)</f>
        <v>0.55569999999999997</v>
      </c>
      <c r="X81" s="57">
        <f>ROUND(+Marathon!$E86,4)</f>
        <v>0.55569999999999997</v>
      </c>
      <c r="Y81" s="57">
        <f>ROUND(+Marathon!$E86,4)</f>
        <v>0.55569999999999997</v>
      </c>
      <c r="Z81" s="46"/>
    </row>
    <row r="82" spans="1:26">
      <c r="A82" s="469">
        <v>81</v>
      </c>
      <c r="B82" s="476">
        <f>ROUND(+'1K'!E87,4)</f>
        <v>0.61270000000000002</v>
      </c>
      <c r="C82" s="457">
        <f>ROUND(+Mile!E87,4)</f>
        <v>0.59460000000000002</v>
      </c>
      <c r="D82" s="54">
        <f>ROUND(+'3K'!E87,4)</f>
        <v>0.57089999999999996</v>
      </c>
      <c r="E82" s="54">
        <f>ROUND(+'5K'!E87,4)</f>
        <v>0.55149999999999999</v>
      </c>
      <c r="F82" s="54">
        <f>ROUND(+'6K'!E87,4)</f>
        <v>0.55379999999999996</v>
      </c>
      <c r="G82" s="54">
        <f>ROUND(+'4MI'!E87,4)</f>
        <v>0.55469999999999997</v>
      </c>
      <c r="H82" s="54">
        <f>ROUND(+'8K'!$E87,4)</f>
        <v>0.5575</v>
      </c>
      <c r="I82" s="54">
        <f>ROUND(+'5MI'!E87,4)</f>
        <v>0.55759999999999998</v>
      </c>
      <c r="J82" s="54">
        <f>ROUND(+'10K'!$E87,4)</f>
        <v>0.56040000000000001</v>
      </c>
      <c r="K82" s="54">
        <f>ROUND(+'7MI'!$E87,4)</f>
        <v>0.55730000000000002</v>
      </c>
      <c r="L82" s="55">
        <f>ROUND(+'12K'!$E87,4)</f>
        <v>0.55559999999999998</v>
      </c>
      <c r="M82" s="54">
        <f>ROUND(+'15K'!$E87,4)</f>
        <v>0.54969999999999997</v>
      </c>
      <c r="N82" s="54">
        <f>ROUND(+'10MI'!$E87,4)</f>
        <v>0.54779999999999995</v>
      </c>
      <c r="O82" s="54">
        <f>ROUND(+'20K'!$E87,4)</f>
        <v>0.54210000000000003</v>
      </c>
      <c r="P82" s="54">
        <f>ROUND(+H.Marathon!$E87,4)</f>
        <v>0.54069999999999996</v>
      </c>
      <c r="Q82" s="54">
        <f>ROUND(+'25K'!$E87,4)</f>
        <v>0.54020000000000001</v>
      </c>
      <c r="R82" s="54">
        <f>ROUND(+'30K'!$E87,4)</f>
        <v>0.53959999999999997</v>
      </c>
      <c r="S82" s="54">
        <f>ROUND(+Marathon!$E87,4)</f>
        <v>0.53859999999999997</v>
      </c>
      <c r="T82" s="54">
        <f>ROUND(+Marathon!$E87,4)</f>
        <v>0.53859999999999997</v>
      </c>
      <c r="U82" s="54">
        <f>ROUND(+Marathon!$E87,4)</f>
        <v>0.53859999999999997</v>
      </c>
      <c r="V82" s="54">
        <f>ROUND(+Marathon!$E87,4)</f>
        <v>0.53859999999999997</v>
      </c>
      <c r="W82" s="54">
        <f>ROUND(+Marathon!$E87,4)</f>
        <v>0.53859999999999997</v>
      </c>
      <c r="X82" s="54">
        <f>ROUND(+Marathon!$E87,4)</f>
        <v>0.53859999999999997</v>
      </c>
      <c r="Y82" s="54">
        <f>ROUND(+Marathon!$E87,4)</f>
        <v>0.53859999999999997</v>
      </c>
      <c r="Z82" s="46"/>
    </row>
    <row r="83" spans="1:26">
      <c r="A83" s="469">
        <v>82</v>
      </c>
      <c r="B83" s="476">
        <f>ROUND(+'1K'!E88,4)</f>
        <v>0.60050000000000003</v>
      </c>
      <c r="C83" s="457">
        <f>ROUND(+Mile!E88,4)</f>
        <v>0.58209999999999995</v>
      </c>
      <c r="D83" s="54">
        <f>ROUND(+'3K'!E88,4)</f>
        <v>0.55800000000000005</v>
      </c>
      <c r="E83" s="54">
        <f>ROUND(+'5K'!E88,4)</f>
        <v>0.53820000000000001</v>
      </c>
      <c r="F83" s="54">
        <f>ROUND(+'6K'!E88,4)</f>
        <v>0.54010000000000002</v>
      </c>
      <c r="G83" s="54">
        <f>ROUND(+'4MI'!E88,4)</f>
        <v>0.54090000000000005</v>
      </c>
      <c r="H83" s="54">
        <f>ROUND(+'8K'!$E88,4)</f>
        <v>0.54310000000000003</v>
      </c>
      <c r="I83" s="54">
        <f>ROUND(+'5MI'!E88,4)</f>
        <v>0.54320000000000002</v>
      </c>
      <c r="J83" s="54">
        <f>ROUND(+'10K'!$E88,4)</f>
        <v>0.54549999999999998</v>
      </c>
      <c r="K83" s="54">
        <f>ROUND(+'7MI'!$E88,4)</f>
        <v>0.5423</v>
      </c>
      <c r="L83" s="55">
        <f>ROUND(+'12K'!$E88,4)</f>
        <v>0.54059999999999997</v>
      </c>
      <c r="M83" s="54">
        <f>ROUND(+'15K'!$E88,4)</f>
        <v>0.53449999999999998</v>
      </c>
      <c r="N83" s="54">
        <f>ROUND(+'10MI'!$E88,4)</f>
        <v>0.53259999999999996</v>
      </c>
      <c r="O83" s="54">
        <f>ROUND(+'20K'!$E88,4)</f>
        <v>0.52669999999999995</v>
      </c>
      <c r="P83" s="54">
        <f>ROUND(+H.Marathon!$E88,4)</f>
        <v>0.52529999999999999</v>
      </c>
      <c r="Q83" s="54">
        <f>ROUND(+'25K'!$E88,4)</f>
        <v>0.5242</v>
      </c>
      <c r="R83" s="54">
        <f>ROUND(+'30K'!$E88,4)</f>
        <v>0.52300000000000002</v>
      </c>
      <c r="S83" s="54">
        <f>ROUND(+Marathon!$E88,4)</f>
        <v>0.52080000000000004</v>
      </c>
      <c r="T83" s="54">
        <f>ROUND(+Marathon!$E88,4)</f>
        <v>0.52080000000000004</v>
      </c>
      <c r="U83" s="54">
        <f>ROUND(+Marathon!$E88,4)</f>
        <v>0.52080000000000004</v>
      </c>
      <c r="V83" s="54">
        <f>ROUND(+Marathon!$E88,4)</f>
        <v>0.52080000000000004</v>
      </c>
      <c r="W83" s="54">
        <f>ROUND(+Marathon!$E88,4)</f>
        <v>0.52080000000000004</v>
      </c>
      <c r="X83" s="54">
        <f>ROUND(+Marathon!$E88,4)</f>
        <v>0.52080000000000004</v>
      </c>
      <c r="Y83" s="54">
        <f>ROUND(+Marathon!$E88,4)</f>
        <v>0.52080000000000004</v>
      </c>
      <c r="Z83" s="46"/>
    </row>
    <row r="84" spans="1:26">
      <c r="A84" s="469">
        <v>83</v>
      </c>
      <c r="B84" s="476">
        <f>ROUND(+'1K'!E89,4)</f>
        <v>0.58720000000000006</v>
      </c>
      <c r="C84" s="457">
        <f>ROUND(+Mile!E89,4)</f>
        <v>0.56859999999999999</v>
      </c>
      <c r="D84" s="54">
        <f>ROUND(+'3K'!E89,4)</f>
        <v>0.54420000000000002</v>
      </c>
      <c r="E84" s="54">
        <f>ROUND(+'5K'!E89,4)</f>
        <v>0.5242</v>
      </c>
      <c r="F84" s="54">
        <f>ROUND(+'6K'!E89,4)</f>
        <v>0.52569999999999995</v>
      </c>
      <c r="G84" s="54">
        <f>ROUND(+'4MI'!E89,4)</f>
        <v>0.52629999999999999</v>
      </c>
      <c r="H84" s="54">
        <f>ROUND(+'8K'!$E89,4)</f>
        <v>0.52810000000000001</v>
      </c>
      <c r="I84" s="54">
        <f>ROUND(+'5MI'!E89,4)</f>
        <v>0.52810000000000001</v>
      </c>
      <c r="J84" s="54">
        <f>ROUND(+'10K'!$E89,4)</f>
        <v>0.52990000000000004</v>
      </c>
      <c r="K84" s="54">
        <f>ROUND(+'7MI'!$E89,4)</f>
        <v>0.52659999999999996</v>
      </c>
      <c r="L84" s="55">
        <f>ROUND(+'12K'!$E89,4)</f>
        <v>0.52480000000000004</v>
      </c>
      <c r="M84" s="54">
        <f>ROUND(+'15K'!$E89,4)</f>
        <v>0.51859999999999995</v>
      </c>
      <c r="N84" s="54">
        <f>ROUND(+'10MI'!$E89,4)</f>
        <v>0.51659999999999995</v>
      </c>
      <c r="O84" s="54">
        <f>ROUND(+'20K'!$E89,4)</f>
        <v>0.51060000000000005</v>
      </c>
      <c r="P84" s="54">
        <f>ROUND(+H.Marathon!$E89,4)</f>
        <v>0.5091</v>
      </c>
      <c r="Q84" s="54">
        <f>ROUND(+'25K'!$E89,4)</f>
        <v>0.50739999999999996</v>
      </c>
      <c r="R84" s="54">
        <f>ROUND(+'30K'!$E89,4)</f>
        <v>0.50549999999999995</v>
      </c>
      <c r="S84" s="54">
        <f>ROUND(+Marathon!$E89,4)</f>
        <v>0.50209999999999999</v>
      </c>
      <c r="T84" s="54">
        <f>ROUND(+Marathon!$E89,4)</f>
        <v>0.50209999999999999</v>
      </c>
      <c r="U84" s="54">
        <f>ROUND(+Marathon!$E89,4)</f>
        <v>0.50209999999999999</v>
      </c>
      <c r="V84" s="54">
        <f>ROUND(+Marathon!$E89,4)</f>
        <v>0.50209999999999999</v>
      </c>
      <c r="W84" s="54">
        <f>ROUND(+Marathon!$E89,4)</f>
        <v>0.50209999999999999</v>
      </c>
      <c r="X84" s="54">
        <f>ROUND(+Marathon!$E89,4)</f>
        <v>0.50209999999999999</v>
      </c>
      <c r="Y84" s="54">
        <f>ROUND(+Marathon!$E89,4)</f>
        <v>0.50209999999999999</v>
      </c>
      <c r="Z84" s="46"/>
    </row>
    <row r="85" spans="1:26">
      <c r="A85" s="469">
        <v>84</v>
      </c>
      <c r="B85" s="476">
        <f>ROUND(+'1K'!E90,4)</f>
        <v>0.57299999999999995</v>
      </c>
      <c r="C85" s="457">
        <f>ROUND(+Mile!E90,4)</f>
        <v>0.55420000000000003</v>
      </c>
      <c r="D85" s="54">
        <f>ROUND(+'3K'!E90,4)</f>
        <v>0.52959999999999996</v>
      </c>
      <c r="E85" s="54">
        <f>ROUND(+'5K'!E90,4)</f>
        <v>0.50939999999999996</v>
      </c>
      <c r="F85" s="54">
        <f>ROUND(+'6K'!E90,4)</f>
        <v>0.51049999999999995</v>
      </c>
      <c r="G85" s="54">
        <f>ROUND(+'4MI'!E90,4)</f>
        <v>0.51090000000000002</v>
      </c>
      <c r="H85" s="54">
        <f>ROUND(+'8K'!$E90,4)</f>
        <v>0.51219999999999999</v>
      </c>
      <c r="I85" s="54">
        <f>ROUND(+'5MI'!E90,4)</f>
        <v>0.51219999999999999</v>
      </c>
      <c r="J85" s="54">
        <f>ROUND(+'10K'!$E90,4)</f>
        <v>0.51349999999999996</v>
      </c>
      <c r="K85" s="54">
        <f>ROUND(+'7MI'!$E90,4)</f>
        <v>0.5101</v>
      </c>
      <c r="L85" s="55">
        <f>ROUND(+'12K'!$E90,4)</f>
        <v>0.50829999999999997</v>
      </c>
      <c r="M85" s="54">
        <f>ROUND(+'15K'!$E90,4)</f>
        <v>0.50190000000000001</v>
      </c>
      <c r="N85" s="54">
        <f>ROUND(+'10MI'!$E90,4)</f>
        <v>0.49990000000000001</v>
      </c>
      <c r="O85" s="54">
        <f>ROUND(+'20K'!$E90,4)</f>
        <v>0.49359999999999998</v>
      </c>
      <c r="P85" s="54">
        <f>ROUND(+H.Marathon!$E90,4)</f>
        <v>0.49209999999999998</v>
      </c>
      <c r="Q85" s="54">
        <f>ROUND(+'25K'!$E90,4)</f>
        <v>0.48980000000000001</v>
      </c>
      <c r="R85" s="54">
        <f>ROUND(+'30K'!$E90,4)</f>
        <v>0.48730000000000001</v>
      </c>
      <c r="S85" s="54">
        <f>ROUND(+Marathon!$E90,4)</f>
        <v>0.48270000000000002</v>
      </c>
      <c r="T85" s="54">
        <f>ROUND(+Marathon!$E90,4)</f>
        <v>0.48270000000000002</v>
      </c>
      <c r="U85" s="54">
        <f>ROUND(+Marathon!$E90,4)</f>
        <v>0.48270000000000002</v>
      </c>
      <c r="V85" s="54">
        <f>ROUND(+Marathon!$E90,4)</f>
        <v>0.48270000000000002</v>
      </c>
      <c r="W85" s="54">
        <f>ROUND(+Marathon!$E90,4)</f>
        <v>0.48270000000000002</v>
      </c>
      <c r="X85" s="54">
        <f>ROUND(+Marathon!$E90,4)</f>
        <v>0.48270000000000002</v>
      </c>
      <c r="Y85" s="54">
        <f>ROUND(+Marathon!$E90,4)</f>
        <v>0.48270000000000002</v>
      </c>
      <c r="Z85" s="46"/>
    </row>
    <row r="86" spans="1:26">
      <c r="A86" s="471">
        <v>85</v>
      </c>
      <c r="B86" s="477">
        <f>ROUND(+'1K'!E91,4)</f>
        <v>0.55769999999999997</v>
      </c>
      <c r="C86" s="456">
        <f>ROUND(+Mile!E91,4)</f>
        <v>0.53879999999999995</v>
      </c>
      <c r="D86" s="57">
        <f>ROUND(+'3K'!E91,4)</f>
        <v>0.5141</v>
      </c>
      <c r="E86" s="57">
        <f>ROUND(+'5K'!E91,4)</f>
        <v>0.49380000000000002</v>
      </c>
      <c r="F86" s="57">
        <f>ROUND(+'6K'!E91,4)</f>
        <v>0.4945</v>
      </c>
      <c r="G86" s="57">
        <f>ROUND(+'4MI'!E91,4)</f>
        <v>0.49469999999999997</v>
      </c>
      <c r="H86" s="57">
        <f>ROUND(+'8K'!$E91,4)</f>
        <v>0.4955</v>
      </c>
      <c r="I86" s="57">
        <f>ROUND(+'5MI'!E91,4)</f>
        <v>0.4955</v>
      </c>
      <c r="J86" s="57">
        <f>ROUND(+'10K'!$E91,4)</f>
        <v>0.49630000000000002</v>
      </c>
      <c r="K86" s="57">
        <f>ROUND(+'7MI'!$E91,4)</f>
        <v>0.49280000000000002</v>
      </c>
      <c r="L86" s="57">
        <f>ROUND(+'12K'!$E91,4)</f>
        <v>0.4909</v>
      </c>
      <c r="M86" s="57">
        <f>ROUND(+'15K'!$E91,4)</f>
        <v>0.48430000000000001</v>
      </c>
      <c r="N86" s="57">
        <f>ROUND(+'10MI'!$E91,4)</f>
        <v>0.48220000000000002</v>
      </c>
      <c r="O86" s="57">
        <f>ROUND(+'20K'!$E91,4)</f>
        <v>0.4758</v>
      </c>
      <c r="P86" s="57">
        <f>ROUND(+H.Marathon!$E91,4)</f>
        <v>0.47420000000000001</v>
      </c>
      <c r="Q86" s="57">
        <f>ROUND(+'25K'!$E91,4)</f>
        <v>0.4713</v>
      </c>
      <c r="R86" s="57">
        <f>ROUND(+'30K'!$E91,4)</f>
        <v>0.46820000000000001</v>
      </c>
      <c r="S86" s="57">
        <f>ROUND(+Marathon!$E91,4)</f>
        <v>0.46239999999999998</v>
      </c>
      <c r="T86" s="57">
        <f>ROUND(+Marathon!$E91,4)</f>
        <v>0.46239999999999998</v>
      </c>
      <c r="U86" s="57">
        <f>ROUND(+Marathon!$E91,4)</f>
        <v>0.46239999999999998</v>
      </c>
      <c r="V86" s="57">
        <f>ROUND(+Marathon!$E91,4)</f>
        <v>0.46239999999999998</v>
      </c>
      <c r="W86" s="57">
        <f>ROUND(+Marathon!$E91,4)</f>
        <v>0.46239999999999998</v>
      </c>
      <c r="X86" s="57">
        <f>ROUND(+Marathon!$E91,4)</f>
        <v>0.46239999999999998</v>
      </c>
      <c r="Y86" s="57">
        <f>ROUND(+Marathon!$E91,4)</f>
        <v>0.46239999999999998</v>
      </c>
      <c r="Z86" s="46"/>
    </row>
    <row r="87" spans="1:26">
      <c r="A87" s="469">
        <v>86</v>
      </c>
      <c r="B87" s="476">
        <f>ROUND(+'1K'!E92,4)</f>
        <v>0.54139999999999999</v>
      </c>
      <c r="C87" s="457">
        <f>ROUND(+Mile!E92,4)</f>
        <v>0.52249999999999996</v>
      </c>
      <c r="D87" s="54">
        <f>ROUND(+'3K'!E92,4)</f>
        <v>0.49780000000000002</v>
      </c>
      <c r="E87" s="54">
        <f>ROUND(+'5K'!E92,4)</f>
        <v>0.47749999999999998</v>
      </c>
      <c r="F87" s="54">
        <f>ROUND(+'6K'!E92,4)</f>
        <v>0.47770000000000001</v>
      </c>
      <c r="G87" s="54">
        <f>ROUND(+'4MI'!E92,4)</f>
        <v>0.4778</v>
      </c>
      <c r="H87" s="54">
        <f>ROUND(+'8K'!$E92,4)</f>
        <v>0.47810000000000002</v>
      </c>
      <c r="I87" s="54">
        <f>ROUND(+'5MI'!E92,4)</f>
        <v>0.47810000000000002</v>
      </c>
      <c r="J87" s="54">
        <f>ROUND(+'10K'!$E92,4)</f>
        <v>0.47839999999999999</v>
      </c>
      <c r="K87" s="54">
        <f>ROUND(+'7MI'!$E92,4)</f>
        <v>0.4748</v>
      </c>
      <c r="L87" s="55">
        <f>ROUND(+'12K'!$E92,4)</f>
        <v>0.4728</v>
      </c>
      <c r="M87" s="54">
        <f>ROUND(+'15K'!$E92,4)</f>
        <v>0.46600000000000003</v>
      </c>
      <c r="N87" s="54">
        <f>ROUND(+'10MI'!$E92,4)</f>
        <v>0.46389999999999998</v>
      </c>
      <c r="O87" s="54">
        <f>ROUND(+'20K'!$E92,4)</f>
        <v>0.4572</v>
      </c>
      <c r="P87" s="54">
        <f>ROUND(+H.Marathon!$E92,4)</f>
        <v>0.4556</v>
      </c>
      <c r="Q87" s="54">
        <f>ROUND(+'25K'!$E92,4)</f>
        <v>0.4521</v>
      </c>
      <c r="R87" s="54">
        <f>ROUND(+'30K'!$E92,4)</f>
        <v>0.44829999999999998</v>
      </c>
      <c r="S87" s="54">
        <f>ROUND(+Marathon!$E92,4)</f>
        <v>0.44130000000000003</v>
      </c>
      <c r="T87" s="54">
        <f>ROUND(+Marathon!$E92,4)</f>
        <v>0.44130000000000003</v>
      </c>
      <c r="U87" s="54">
        <f>ROUND(+Marathon!$E92,4)</f>
        <v>0.44130000000000003</v>
      </c>
      <c r="V87" s="54">
        <f>ROUND(+Marathon!$E92,4)</f>
        <v>0.44130000000000003</v>
      </c>
      <c r="W87" s="54">
        <f>ROUND(+Marathon!$E92,4)</f>
        <v>0.44130000000000003</v>
      </c>
      <c r="X87" s="54">
        <f>ROUND(+Marathon!$E92,4)</f>
        <v>0.44130000000000003</v>
      </c>
      <c r="Y87" s="54">
        <f>ROUND(+Marathon!$E92,4)</f>
        <v>0.44130000000000003</v>
      </c>
      <c r="Z87" s="46"/>
    </row>
    <row r="88" spans="1:26">
      <c r="A88" s="469">
        <v>87</v>
      </c>
      <c r="B88" s="476">
        <f>ROUND(+'1K'!E93,4)</f>
        <v>0.52410000000000001</v>
      </c>
      <c r="C88" s="457">
        <f>ROUND(+Mile!E93,4)</f>
        <v>0.50529999999999997</v>
      </c>
      <c r="D88" s="54">
        <f>ROUND(+'3K'!E93,4)</f>
        <v>0.48060000000000003</v>
      </c>
      <c r="E88" s="54">
        <f>ROUND(+'5K'!E93,4)</f>
        <v>0.46039999999999998</v>
      </c>
      <c r="F88" s="54">
        <f>ROUND(+'6K'!E93,4)</f>
        <v>0.4602</v>
      </c>
      <c r="G88" s="54">
        <f>ROUND(+'4MI'!E93,4)</f>
        <v>0.46010000000000001</v>
      </c>
      <c r="H88" s="54">
        <f>ROUND(+'8K'!$E93,4)</f>
        <v>0.45989999999999998</v>
      </c>
      <c r="I88" s="54">
        <f>ROUND(+'5MI'!E93,4)</f>
        <v>0.45989999999999998</v>
      </c>
      <c r="J88" s="54">
        <f>ROUND(+'10K'!$E93,4)</f>
        <v>0.4597</v>
      </c>
      <c r="K88" s="54">
        <f>ROUND(+'7MI'!$E93,4)</f>
        <v>0.45590000000000003</v>
      </c>
      <c r="L88" s="55">
        <f>ROUND(+'12K'!$E93,4)</f>
        <v>0.45400000000000001</v>
      </c>
      <c r="M88" s="54">
        <f>ROUND(+'15K'!$E93,4)</f>
        <v>0.44690000000000002</v>
      </c>
      <c r="N88" s="54">
        <f>ROUND(+'10MI'!$E93,4)</f>
        <v>0.44469999999999998</v>
      </c>
      <c r="O88" s="54">
        <f>ROUND(+'20K'!$E93,4)</f>
        <v>0.43790000000000001</v>
      </c>
      <c r="P88" s="54">
        <f>ROUND(+H.Marathon!$E93,4)</f>
        <v>0.43619999999999998</v>
      </c>
      <c r="Q88" s="54">
        <f>ROUND(+'25K'!$E93,4)</f>
        <v>0.43209999999999998</v>
      </c>
      <c r="R88" s="54">
        <f>ROUND(+'30K'!$E93,4)</f>
        <v>0.42770000000000002</v>
      </c>
      <c r="S88" s="54">
        <f>ROUND(+Marathon!$E93,4)</f>
        <v>0.41949999999999998</v>
      </c>
      <c r="T88" s="54">
        <f>ROUND(+Marathon!$E93,4)</f>
        <v>0.41949999999999998</v>
      </c>
      <c r="U88" s="54">
        <f>ROUND(+Marathon!$E93,4)</f>
        <v>0.41949999999999998</v>
      </c>
      <c r="V88" s="54">
        <f>ROUND(+Marathon!$E93,4)</f>
        <v>0.41949999999999998</v>
      </c>
      <c r="W88" s="54">
        <f>ROUND(+Marathon!$E93,4)</f>
        <v>0.41949999999999998</v>
      </c>
      <c r="X88" s="54">
        <f>ROUND(+Marathon!$E93,4)</f>
        <v>0.41949999999999998</v>
      </c>
      <c r="Y88" s="54">
        <f>ROUND(+Marathon!$E93,4)</f>
        <v>0.41949999999999998</v>
      </c>
      <c r="Z88" s="46"/>
    </row>
    <row r="89" spans="1:26">
      <c r="A89" s="469">
        <v>88</v>
      </c>
      <c r="B89" s="476">
        <f>ROUND(+'1K'!E94,4)</f>
        <v>0.50580000000000003</v>
      </c>
      <c r="C89" s="457">
        <f>ROUND(+Mile!E94,4)</f>
        <v>0.48709999999999998</v>
      </c>
      <c r="D89" s="54">
        <f>ROUND(+'3K'!E94,4)</f>
        <v>0.4627</v>
      </c>
      <c r="E89" s="54">
        <f>ROUND(+'5K'!E94,4)</f>
        <v>0.44259999999999999</v>
      </c>
      <c r="F89" s="54">
        <f>ROUND(+'6K'!E94,4)</f>
        <v>0.442</v>
      </c>
      <c r="G89" s="54">
        <f>ROUND(+'4MI'!E94,4)</f>
        <v>0.44180000000000003</v>
      </c>
      <c r="H89" s="54">
        <f>ROUND(+'8K'!$E94,4)</f>
        <v>0.441</v>
      </c>
      <c r="I89" s="54">
        <f>ROUND(+'5MI'!E94,4)</f>
        <v>0.441</v>
      </c>
      <c r="J89" s="54">
        <f>ROUND(+'10K'!$E94,4)</f>
        <v>0.44030000000000002</v>
      </c>
      <c r="K89" s="54">
        <f>ROUND(+'7MI'!$E94,4)</f>
        <v>0.43640000000000001</v>
      </c>
      <c r="L89" s="55">
        <f>ROUND(+'12K'!$E94,4)</f>
        <v>0.43430000000000002</v>
      </c>
      <c r="M89" s="54">
        <f>ROUND(+'15K'!$E94,4)</f>
        <v>0.42699999999999999</v>
      </c>
      <c r="N89" s="54">
        <f>ROUND(+'10MI'!$E94,4)</f>
        <v>0.42470000000000002</v>
      </c>
      <c r="O89" s="54">
        <f>ROUND(+'20K'!$E94,4)</f>
        <v>0.41760000000000003</v>
      </c>
      <c r="P89" s="54">
        <f>ROUND(+H.Marathon!$E94,4)</f>
        <v>0.41589999999999999</v>
      </c>
      <c r="Q89" s="54">
        <f>ROUND(+'25K'!$E94,4)</f>
        <v>0.41120000000000001</v>
      </c>
      <c r="R89" s="54">
        <f>ROUND(+'30K'!$E94,4)</f>
        <v>0.40620000000000001</v>
      </c>
      <c r="S89" s="54">
        <f>ROUND(+Marathon!$E94,4)</f>
        <v>0.39679999999999999</v>
      </c>
      <c r="T89" s="54">
        <f>ROUND(+Marathon!$E94,4)</f>
        <v>0.39679999999999999</v>
      </c>
      <c r="U89" s="54">
        <f>ROUND(+Marathon!$E94,4)</f>
        <v>0.39679999999999999</v>
      </c>
      <c r="V89" s="54">
        <f>ROUND(+Marathon!$E94,4)</f>
        <v>0.39679999999999999</v>
      </c>
      <c r="W89" s="54">
        <f>ROUND(+Marathon!$E94,4)</f>
        <v>0.39679999999999999</v>
      </c>
      <c r="X89" s="54">
        <f>ROUND(+Marathon!$E94,4)</f>
        <v>0.39679999999999999</v>
      </c>
      <c r="Y89" s="54">
        <f>ROUND(+Marathon!$E94,4)</f>
        <v>0.39679999999999999</v>
      </c>
      <c r="Z89" s="46"/>
    </row>
    <row r="90" spans="1:26">
      <c r="A90" s="469">
        <v>89</v>
      </c>
      <c r="B90" s="476">
        <f>ROUND(+'1K'!E95,4)</f>
        <v>0.48649999999999999</v>
      </c>
      <c r="C90" s="457">
        <f>ROUND(+Mile!E95,4)</f>
        <v>0.46800000000000003</v>
      </c>
      <c r="D90" s="54">
        <f>ROUND(+'3K'!E95,4)</f>
        <v>0.44379999999999997</v>
      </c>
      <c r="E90" s="54">
        <f>ROUND(+'5K'!E95,4)</f>
        <v>0.42399999999999999</v>
      </c>
      <c r="F90" s="54">
        <f>ROUND(+'6K'!E95,4)</f>
        <v>0.42299999999999999</v>
      </c>
      <c r="G90" s="54">
        <f>ROUND(+'4MI'!E95,4)</f>
        <v>0.42259999999999998</v>
      </c>
      <c r="H90" s="54">
        <f>ROUND(+'8K'!$E95,4)</f>
        <v>0.4214</v>
      </c>
      <c r="I90" s="54">
        <f>ROUND(+'5MI'!E95,4)</f>
        <v>0.42130000000000001</v>
      </c>
      <c r="J90" s="54">
        <f>ROUND(+'10K'!$E95,4)</f>
        <v>0.42009999999999997</v>
      </c>
      <c r="K90" s="54">
        <f>ROUND(+'7MI'!$E95,4)</f>
        <v>0.41610000000000003</v>
      </c>
      <c r="L90" s="55">
        <f>ROUND(+'12K'!$E95,4)</f>
        <v>0.41389999999999999</v>
      </c>
      <c r="M90" s="54">
        <f>ROUND(+'15K'!$E95,4)</f>
        <v>0.40639999999999998</v>
      </c>
      <c r="N90" s="54">
        <f>ROUND(+'10MI'!$E95,4)</f>
        <v>0.40400000000000003</v>
      </c>
      <c r="O90" s="54">
        <f>ROUND(+'20K'!$E95,4)</f>
        <v>0.3967</v>
      </c>
      <c r="P90" s="54">
        <f>ROUND(+H.Marathon!$E95,4)</f>
        <v>0.39489999999999997</v>
      </c>
      <c r="Q90" s="54">
        <f>ROUND(+'25K'!$E95,4)</f>
        <v>0.3896</v>
      </c>
      <c r="R90" s="54">
        <f>ROUND(+'30K'!$E95,4)</f>
        <v>0.38400000000000001</v>
      </c>
      <c r="S90" s="54">
        <f>ROUND(+Marathon!$E95,4)</f>
        <v>0.37340000000000001</v>
      </c>
      <c r="T90" s="54">
        <f>ROUND(+Marathon!$E95,4)</f>
        <v>0.37340000000000001</v>
      </c>
      <c r="U90" s="54">
        <f>ROUND(+Marathon!$E95,4)</f>
        <v>0.37340000000000001</v>
      </c>
      <c r="V90" s="54">
        <f>ROUND(+Marathon!$E95,4)</f>
        <v>0.37340000000000001</v>
      </c>
      <c r="W90" s="54">
        <f>ROUND(+Marathon!$E95,4)</f>
        <v>0.37340000000000001</v>
      </c>
      <c r="X90" s="54">
        <f>ROUND(+Marathon!$E95,4)</f>
        <v>0.37340000000000001</v>
      </c>
      <c r="Y90" s="54">
        <f>ROUND(+Marathon!$E95,4)</f>
        <v>0.37340000000000001</v>
      </c>
      <c r="Z90" s="46"/>
    </row>
    <row r="91" spans="1:26">
      <c r="A91" s="471">
        <v>90</v>
      </c>
      <c r="B91" s="477">
        <f>ROUND(+'1K'!E96,4)</f>
        <v>0.4662</v>
      </c>
      <c r="C91" s="456">
        <f>ROUND(+Mile!E96,4)</f>
        <v>0.44800000000000001</v>
      </c>
      <c r="D91" s="57">
        <f>ROUND(+'3K'!E96,4)</f>
        <v>0.42420000000000002</v>
      </c>
      <c r="E91" s="57">
        <f>ROUND(+'5K'!E96,4)</f>
        <v>0.40460000000000002</v>
      </c>
      <c r="F91" s="57">
        <f>ROUND(+'6K'!E96,4)</f>
        <v>0.4032</v>
      </c>
      <c r="G91" s="57">
        <f>ROUND(+'4MI'!E96,4)</f>
        <v>0.40260000000000001</v>
      </c>
      <c r="H91" s="57">
        <f>ROUND(+'8K'!$E96,4)</f>
        <v>0.40089999999999998</v>
      </c>
      <c r="I91" s="57">
        <f>ROUND(+'5MI'!E96,4)</f>
        <v>0.40079999999999999</v>
      </c>
      <c r="J91" s="57">
        <f>ROUND(+'10K'!$E96,4)</f>
        <v>0.39910000000000001</v>
      </c>
      <c r="K91" s="57">
        <f>ROUND(+'7MI'!$E96,4)</f>
        <v>0.39500000000000002</v>
      </c>
      <c r="L91" s="57">
        <f>ROUND(+'12K'!$E96,4)</f>
        <v>0.39279999999999998</v>
      </c>
      <c r="M91" s="57">
        <f>ROUND(+'15K'!$E96,4)</f>
        <v>0.38500000000000001</v>
      </c>
      <c r="N91" s="57">
        <f>ROUND(+'10MI'!$E96,4)</f>
        <v>0.38250000000000001</v>
      </c>
      <c r="O91" s="57">
        <f>ROUND(+'20K'!$E96,4)</f>
        <v>0.375</v>
      </c>
      <c r="P91" s="57">
        <f>ROUND(+H.Marathon!$E96,4)</f>
        <v>0.37309999999999999</v>
      </c>
      <c r="Q91" s="57">
        <f>ROUND(+'25K'!$E96,4)</f>
        <v>0.36720000000000003</v>
      </c>
      <c r="R91" s="57">
        <f>ROUND(+'30K'!$E96,4)</f>
        <v>0.3609</v>
      </c>
      <c r="S91" s="57">
        <f>ROUND(+Marathon!$E96,4)</f>
        <v>0.34910000000000002</v>
      </c>
      <c r="T91" s="57">
        <f>ROUND(+Marathon!$E96,4)</f>
        <v>0.34910000000000002</v>
      </c>
      <c r="U91" s="57">
        <f>ROUND(+Marathon!$E96,4)</f>
        <v>0.34910000000000002</v>
      </c>
      <c r="V91" s="57">
        <f>ROUND(+Marathon!$E96,4)</f>
        <v>0.34910000000000002</v>
      </c>
      <c r="W91" s="57">
        <f>ROUND(+Marathon!$E96,4)</f>
        <v>0.34910000000000002</v>
      </c>
      <c r="X91" s="57">
        <f>ROUND(+Marathon!$E96,4)</f>
        <v>0.34910000000000002</v>
      </c>
      <c r="Y91" s="57">
        <f>ROUND(+Marathon!$E96,4)</f>
        <v>0.34910000000000002</v>
      </c>
      <c r="Z91" s="46"/>
    </row>
    <row r="92" spans="1:26">
      <c r="A92" s="469">
        <v>91</v>
      </c>
      <c r="B92" s="476">
        <f>ROUND(+'1K'!E97,4)</f>
        <v>0.44479999999999997</v>
      </c>
      <c r="C92" s="457">
        <f>ROUND(+Mile!E97,4)</f>
        <v>0.42699999999999999</v>
      </c>
      <c r="D92" s="54">
        <f>ROUND(+'3K'!E97,4)</f>
        <v>0.4037</v>
      </c>
      <c r="E92" s="54">
        <f>ROUND(+'5K'!E97,4)</f>
        <v>0.38450000000000001</v>
      </c>
      <c r="F92" s="54">
        <f>ROUND(+'6K'!E97,4)</f>
        <v>0.3826</v>
      </c>
      <c r="G92" s="54">
        <f>ROUND(+'4MI'!E97,4)</f>
        <v>0.38190000000000002</v>
      </c>
      <c r="H92" s="54">
        <f>ROUND(+'8K'!$E97,4)</f>
        <v>0.37969999999999998</v>
      </c>
      <c r="I92" s="54">
        <f>ROUND(+'5MI'!E97,4)</f>
        <v>0.37959999999999999</v>
      </c>
      <c r="J92" s="54">
        <f>ROUND(+'10K'!$E97,4)</f>
        <v>0.37740000000000001</v>
      </c>
      <c r="K92" s="54">
        <f>ROUND(+'7MI'!$E97,4)</f>
        <v>0.37309999999999999</v>
      </c>
      <c r="L92" s="55">
        <f>ROUND(+'12K'!$E97,4)</f>
        <v>0.37080000000000002</v>
      </c>
      <c r="M92" s="54">
        <f>ROUND(+'15K'!$E97,4)</f>
        <v>0.36270000000000002</v>
      </c>
      <c r="N92" s="54">
        <f>ROUND(+'10MI'!$E97,4)</f>
        <v>0.36020000000000002</v>
      </c>
      <c r="O92" s="54">
        <f>ROUND(+'20K'!$E97,4)</f>
        <v>0.3523</v>
      </c>
      <c r="P92" s="54">
        <f>ROUND(+H.Marathon!$E97,4)</f>
        <v>0.35039999999999999</v>
      </c>
      <c r="Q92" s="54">
        <f>ROUND(+'25K'!$E97,4)</f>
        <v>0.34389999999999998</v>
      </c>
      <c r="R92" s="54">
        <f>ROUND(+'30K'!$E97,4)</f>
        <v>0.33700000000000002</v>
      </c>
      <c r="S92" s="54">
        <f>ROUND(+Marathon!$E97,4)</f>
        <v>0.32400000000000001</v>
      </c>
      <c r="T92" s="54">
        <f>ROUND(+Marathon!$E97,4)</f>
        <v>0.32400000000000001</v>
      </c>
      <c r="U92" s="54">
        <f>ROUND(+Marathon!$E97,4)</f>
        <v>0.32400000000000001</v>
      </c>
      <c r="V92" s="54">
        <f>ROUND(+Marathon!$E97,4)</f>
        <v>0.32400000000000001</v>
      </c>
      <c r="W92" s="54">
        <f>ROUND(+Marathon!$E97,4)</f>
        <v>0.32400000000000001</v>
      </c>
      <c r="X92" s="54">
        <f>ROUND(+Marathon!$E97,4)</f>
        <v>0.32400000000000001</v>
      </c>
      <c r="Y92" s="54">
        <f>ROUND(+Marathon!$E97,4)</f>
        <v>0.32400000000000001</v>
      </c>
      <c r="Z92" s="46"/>
    </row>
    <row r="93" spans="1:26">
      <c r="A93" s="469">
        <v>92</v>
      </c>
      <c r="B93" s="476">
        <f>ROUND(+'1K'!E98,4)</f>
        <v>0.42249999999999999</v>
      </c>
      <c r="C93" s="457">
        <f>ROUND(+Mile!E98,4)</f>
        <v>0.40510000000000002</v>
      </c>
      <c r="D93" s="54">
        <f>ROUND(+'3K'!E98,4)</f>
        <v>0.38229999999999997</v>
      </c>
      <c r="E93" s="54">
        <f>ROUND(+'5K'!E98,4)</f>
        <v>0.36359999999999998</v>
      </c>
      <c r="F93" s="54">
        <f>ROUND(+'6K'!E98,4)</f>
        <v>0.36130000000000001</v>
      </c>
      <c r="G93" s="54">
        <f>ROUND(+'4MI'!E98,4)</f>
        <v>0.3604</v>
      </c>
      <c r="H93" s="54">
        <f>ROUND(+'8K'!$E98,4)</f>
        <v>0.35770000000000002</v>
      </c>
      <c r="I93" s="54">
        <f>ROUND(+'5MI'!E98,4)</f>
        <v>0.35759999999999997</v>
      </c>
      <c r="J93" s="54">
        <f>ROUND(+'10K'!$E98,4)</f>
        <v>0.35489999999999999</v>
      </c>
      <c r="K93" s="54">
        <f>ROUND(+'7MI'!$E98,4)</f>
        <v>0.35039999999999999</v>
      </c>
      <c r="L93" s="55">
        <f>ROUND(+'12K'!$E98,4)</f>
        <v>0.34810000000000002</v>
      </c>
      <c r="M93" s="54">
        <f>ROUND(+'15K'!$E98,4)</f>
        <v>0.3397</v>
      </c>
      <c r="N93" s="54">
        <f>ROUND(+'10MI'!$E98,4)</f>
        <v>0.33710000000000001</v>
      </c>
      <c r="O93" s="54">
        <f>ROUND(+'20K'!$E98,4)</f>
        <v>0.32900000000000001</v>
      </c>
      <c r="P93" s="54">
        <f>ROUND(+H.Marathon!$E98,4)</f>
        <v>0.32700000000000001</v>
      </c>
      <c r="Q93" s="54">
        <f>ROUND(+'25K'!$E98,4)</f>
        <v>0.31990000000000002</v>
      </c>
      <c r="R93" s="54">
        <f>ROUND(+'30K'!$E98,4)</f>
        <v>0.31240000000000001</v>
      </c>
      <c r="S93" s="54">
        <f>ROUND(+Marathon!$E98,4)</f>
        <v>0.29820000000000002</v>
      </c>
      <c r="T93" s="54">
        <f>ROUND(+Marathon!$E98,4)</f>
        <v>0.29820000000000002</v>
      </c>
      <c r="U93" s="54">
        <f>ROUND(+Marathon!$E98,4)</f>
        <v>0.29820000000000002</v>
      </c>
      <c r="V93" s="54">
        <f>ROUND(+Marathon!$E98,4)</f>
        <v>0.29820000000000002</v>
      </c>
      <c r="W93" s="54">
        <f>ROUND(+Marathon!$E98,4)</f>
        <v>0.29820000000000002</v>
      </c>
      <c r="X93" s="54">
        <f>ROUND(+Marathon!$E98,4)</f>
        <v>0.29820000000000002</v>
      </c>
      <c r="Y93" s="54">
        <f>ROUND(+Marathon!$E98,4)</f>
        <v>0.29820000000000002</v>
      </c>
      <c r="Z93" s="46"/>
    </row>
    <row r="94" spans="1:26">
      <c r="A94" s="469">
        <v>93</v>
      </c>
      <c r="B94" s="476">
        <f>ROUND(+'1K'!E99,4)</f>
        <v>0.39910000000000001</v>
      </c>
      <c r="C94" s="457">
        <f>ROUND(+Mile!E99,4)</f>
        <v>0.38219999999999998</v>
      </c>
      <c r="D94" s="54">
        <f>ROUND(+'3K'!E99,4)</f>
        <v>0.36009999999999998</v>
      </c>
      <c r="E94" s="54">
        <f>ROUND(+'5K'!E99,4)</f>
        <v>0.34189999999999998</v>
      </c>
      <c r="F94" s="54">
        <f>ROUND(+'6K'!E99,4)</f>
        <v>0.3392</v>
      </c>
      <c r="G94" s="54">
        <f>ROUND(+'4MI'!E99,4)</f>
        <v>0.3382</v>
      </c>
      <c r="H94" s="54">
        <f>ROUND(+'8K'!$E99,4)</f>
        <v>0.33500000000000002</v>
      </c>
      <c r="I94" s="54">
        <f>ROUND(+'5MI'!E99,4)</f>
        <v>0.33489999999999998</v>
      </c>
      <c r="J94" s="54">
        <f>ROUND(+'10K'!$E99,4)</f>
        <v>0.33169999999999999</v>
      </c>
      <c r="K94" s="54">
        <f>ROUND(+'7MI'!$E99,4)</f>
        <v>0.3271</v>
      </c>
      <c r="L94" s="55">
        <f>ROUND(+'12K'!$E99,4)</f>
        <v>0.3246</v>
      </c>
      <c r="M94" s="54">
        <f>ROUND(+'15K'!$E99,4)</f>
        <v>0.316</v>
      </c>
      <c r="N94" s="54">
        <f>ROUND(+'10MI'!$E99,4)</f>
        <v>0.31330000000000002</v>
      </c>
      <c r="O94" s="54">
        <f>ROUND(+'20K'!$E99,4)</f>
        <v>0.3049</v>
      </c>
      <c r="P94" s="54">
        <f>ROUND(+H.Marathon!$E99,4)</f>
        <v>0.30280000000000001</v>
      </c>
      <c r="Q94" s="54">
        <f>ROUND(+'25K'!$E99,4)</f>
        <v>0.29509999999999997</v>
      </c>
      <c r="R94" s="54">
        <f>ROUND(+'30K'!$E99,4)</f>
        <v>0.28689999999999999</v>
      </c>
      <c r="S94" s="54">
        <f>ROUND(+Marathon!$E99,4)</f>
        <v>0.27150000000000002</v>
      </c>
      <c r="T94" s="54">
        <f>ROUND(+Marathon!$E99,4)</f>
        <v>0.27150000000000002</v>
      </c>
      <c r="U94" s="54">
        <f>ROUND(+Marathon!$E99,4)</f>
        <v>0.27150000000000002</v>
      </c>
      <c r="V94" s="54">
        <f>ROUND(+Marathon!$E99,4)</f>
        <v>0.27150000000000002</v>
      </c>
      <c r="W94" s="54">
        <f>ROUND(+Marathon!$E99,4)</f>
        <v>0.27150000000000002</v>
      </c>
      <c r="X94" s="54">
        <f>ROUND(+Marathon!$E99,4)</f>
        <v>0.27150000000000002</v>
      </c>
      <c r="Y94" s="54">
        <f>ROUND(+Marathon!$E99,4)</f>
        <v>0.27150000000000002</v>
      </c>
      <c r="Z94" s="46"/>
    </row>
    <row r="95" spans="1:26">
      <c r="A95" s="469">
        <v>94</v>
      </c>
      <c r="B95" s="476">
        <f>ROUND(+'1K'!E100,4)</f>
        <v>0.37469999999999998</v>
      </c>
      <c r="C95" s="457">
        <f>ROUND(+Mile!E100,4)</f>
        <v>0.3584</v>
      </c>
      <c r="D95" s="54">
        <f>ROUND(+'3K'!E100,4)</f>
        <v>0.33700000000000002</v>
      </c>
      <c r="E95" s="54">
        <f>ROUND(+'5K'!E100,4)</f>
        <v>0.31950000000000001</v>
      </c>
      <c r="F95" s="54">
        <f>ROUND(+'6K'!E100,4)</f>
        <v>0.31640000000000001</v>
      </c>
      <c r="G95" s="54">
        <f>ROUND(+'4MI'!E100,4)</f>
        <v>0.31519999999999998</v>
      </c>
      <c r="H95" s="54">
        <f>ROUND(+'8K'!$E100,4)</f>
        <v>0.3115</v>
      </c>
      <c r="I95" s="54">
        <f>ROUND(+'5MI'!E100,4)</f>
        <v>0.31140000000000001</v>
      </c>
      <c r="J95" s="54">
        <f>ROUND(+'10K'!$E100,4)</f>
        <v>0.30769999999999997</v>
      </c>
      <c r="K95" s="54">
        <f>ROUND(+'7MI'!$E100,4)</f>
        <v>0.3029</v>
      </c>
      <c r="L95" s="55">
        <f>ROUND(+'12K'!$E100,4)</f>
        <v>0.3004</v>
      </c>
      <c r="M95" s="54">
        <f>ROUND(+'15K'!$E100,4)</f>
        <v>0.29149999999999998</v>
      </c>
      <c r="N95" s="54">
        <f>ROUND(+'10MI'!$E100,4)</f>
        <v>0.28860000000000002</v>
      </c>
      <c r="O95" s="54">
        <f>ROUND(+'20K'!$E100,4)</f>
        <v>0.27989999999999998</v>
      </c>
      <c r="P95" s="54">
        <f>ROUND(+H.Marathon!$E100,4)</f>
        <v>0.27779999999999999</v>
      </c>
      <c r="Q95" s="54">
        <f>ROUND(+'25K'!$E100,4)</f>
        <v>0.26950000000000002</v>
      </c>
      <c r="R95" s="54">
        <f>ROUND(+'30K'!$E100,4)</f>
        <v>0.26069999999999999</v>
      </c>
      <c r="S95" s="54">
        <f>ROUND(+Marathon!$E100,4)</f>
        <v>0.24410000000000001</v>
      </c>
      <c r="T95" s="54">
        <f>ROUND(+Marathon!$E100,4)</f>
        <v>0.24410000000000001</v>
      </c>
      <c r="U95" s="54">
        <f>ROUND(+Marathon!$E100,4)</f>
        <v>0.24410000000000001</v>
      </c>
      <c r="V95" s="54">
        <f>ROUND(+Marathon!$E100,4)</f>
        <v>0.24410000000000001</v>
      </c>
      <c r="W95" s="54">
        <f>ROUND(+Marathon!$E100,4)</f>
        <v>0.24410000000000001</v>
      </c>
      <c r="X95" s="54">
        <f>ROUND(+Marathon!$E100,4)</f>
        <v>0.24410000000000001</v>
      </c>
      <c r="Y95" s="54">
        <f>ROUND(+Marathon!$E100,4)</f>
        <v>0.24410000000000001</v>
      </c>
      <c r="Z95" s="46"/>
    </row>
    <row r="96" spans="1:26">
      <c r="A96" s="471">
        <v>95</v>
      </c>
      <c r="B96" s="477">
        <f>ROUND(+'1K'!E101,4)</f>
        <v>0.34920000000000001</v>
      </c>
      <c r="C96" s="456">
        <f>ROUND(+Mile!E101,4)</f>
        <v>0.33360000000000001</v>
      </c>
      <c r="D96" s="57">
        <f>ROUND(+'3K'!E101,4)</f>
        <v>0.31319999999999998</v>
      </c>
      <c r="E96" s="57">
        <f>ROUND(+'5K'!E101,4)</f>
        <v>0.2964</v>
      </c>
      <c r="F96" s="57">
        <f>ROUND(+'6K'!E101,4)</f>
        <v>0.2928</v>
      </c>
      <c r="G96" s="57">
        <f>ROUND(+'4MI'!E101,4)</f>
        <v>0.29149999999999998</v>
      </c>
      <c r="H96" s="57">
        <f>ROUND(+'8K'!$E101,4)</f>
        <v>0.28720000000000001</v>
      </c>
      <c r="I96" s="57">
        <f>ROUND(+'5MI'!E101,4)</f>
        <v>0.28710000000000002</v>
      </c>
      <c r="J96" s="57">
        <f>ROUND(+'10K'!$E101,4)</f>
        <v>0.28289999999999998</v>
      </c>
      <c r="K96" s="57">
        <f>ROUND(+'7MI'!$E101,4)</f>
        <v>0.27800000000000002</v>
      </c>
      <c r="L96" s="57">
        <f>ROUND(+'12K'!$E101,4)</f>
        <v>0.27529999999999999</v>
      </c>
      <c r="M96" s="57">
        <f>ROUND(+'15K'!$E101,4)</f>
        <v>0.2661</v>
      </c>
      <c r="N96" s="57">
        <f>ROUND(+'10MI'!$E101,4)</f>
        <v>0.2631</v>
      </c>
      <c r="O96" s="57">
        <f>ROUND(+'20K'!$E101,4)</f>
        <v>0.25409999999999999</v>
      </c>
      <c r="P96" s="57">
        <f>ROUND(+H.Marathon!$E101,4)</f>
        <v>0.25190000000000001</v>
      </c>
      <c r="Q96" s="57">
        <f>ROUND(+'25K'!$E101,4)</f>
        <v>0.24310000000000001</v>
      </c>
      <c r="R96" s="57">
        <f>ROUND(+'30K'!$E101,4)</f>
        <v>0.2336</v>
      </c>
      <c r="S96" s="57">
        <f>ROUND(+Marathon!$E101,4)</f>
        <v>0.21579999999999999</v>
      </c>
      <c r="T96" s="57">
        <f>ROUND(+Marathon!$E101,4)</f>
        <v>0.21579999999999999</v>
      </c>
      <c r="U96" s="57">
        <f>ROUND(+Marathon!$E101,4)</f>
        <v>0.21579999999999999</v>
      </c>
      <c r="V96" s="57">
        <f>ROUND(+Marathon!$E101,4)</f>
        <v>0.21579999999999999</v>
      </c>
      <c r="W96" s="57">
        <f>ROUND(+Marathon!$E101,4)</f>
        <v>0.21579999999999999</v>
      </c>
      <c r="X96" s="57">
        <f>ROUND(+Marathon!$E101,4)</f>
        <v>0.21579999999999999</v>
      </c>
      <c r="Y96" s="57">
        <f>ROUND(+Marathon!$E101,4)</f>
        <v>0.21579999999999999</v>
      </c>
      <c r="Z96" s="46"/>
    </row>
    <row r="97" spans="1:26">
      <c r="A97" s="469">
        <v>96</v>
      </c>
      <c r="B97" s="476">
        <f>ROUND(+'1K'!E102,4)</f>
        <v>0.32279999999999998</v>
      </c>
      <c r="C97" s="457">
        <f>ROUND(+Mile!E102,4)</f>
        <v>0.30790000000000001</v>
      </c>
      <c r="D97" s="54">
        <f>ROUND(+'3K'!E102,4)</f>
        <v>0.28849999999999998</v>
      </c>
      <c r="E97" s="54">
        <f>ROUND(+'5K'!E102,4)</f>
        <v>0.27250000000000002</v>
      </c>
      <c r="F97" s="54">
        <f>ROUND(+'6K'!E102,4)</f>
        <v>0.26850000000000002</v>
      </c>
      <c r="G97" s="54">
        <f>ROUND(+'4MI'!E102,4)</f>
        <v>0.26700000000000002</v>
      </c>
      <c r="H97" s="54">
        <f>ROUND(+'8K'!$E102,4)</f>
        <v>0.26229999999999998</v>
      </c>
      <c r="I97" s="54">
        <f>ROUND(+'5MI'!E102,4)</f>
        <v>0.2621</v>
      </c>
      <c r="J97" s="54">
        <f>ROUND(+'10K'!$E102,4)</f>
        <v>0.25740000000000002</v>
      </c>
      <c r="K97" s="54">
        <f>ROUND(+'7MI'!$E102,4)</f>
        <v>0.25230000000000002</v>
      </c>
      <c r="L97" s="55">
        <f>ROUND(+'12K'!$E102,4)</f>
        <v>0.24959999999999999</v>
      </c>
      <c r="M97" s="54">
        <f>ROUND(+'15K'!$E102,4)</f>
        <v>0.24</v>
      </c>
      <c r="N97" s="54">
        <f>ROUND(+'10MI'!$E102,4)</f>
        <v>0.2369</v>
      </c>
      <c r="O97" s="54">
        <f>ROUND(+'20K'!$E102,4)</f>
        <v>0.2276</v>
      </c>
      <c r="P97" s="54">
        <f>ROUND(+H.Marathon!$E102,4)</f>
        <v>0.2253</v>
      </c>
      <c r="Q97" s="54">
        <f>ROUND(+'25K'!$E102,4)</f>
        <v>0.21579999999999999</v>
      </c>
      <c r="R97" s="54">
        <f>ROUND(+'30K'!$E102,4)</f>
        <v>0.20569999999999999</v>
      </c>
      <c r="S97" s="54">
        <f>ROUND(+Marathon!$E102,4)</f>
        <v>0.1867</v>
      </c>
      <c r="T97" s="54">
        <f>ROUND(+Marathon!$E102,4)</f>
        <v>0.1867</v>
      </c>
      <c r="U97" s="54">
        <f>ROUND(+Marathon!$E102,4)</f>
        <v>0.1867</v>
      </c>
      <c r="V97" s="54">
        <f>ROUND(+Marathon!$E102,4)</f>
        <v>0.1867</v>
      </c>
      <c r="W97" s="54">
        <f>ROUND(+Marathon!$E102,4)</f>
        <v>0.1867</v>
      </c>
      <c r="X97" s="54">
        <f>ROUND(+Marathon!$E102,4)</f>
        <v>0.1867</v>
      </c>
      <c r="Y97" s="54">
        <f>ROUND(+Marathon!$E102,4)</f>
        <v>0.1867</v>
      </c>
      <c r="Z97" s="46"/>
    </row>
    <row r="98" spans="1:26">
      <c r="A98" s="469">
        <v>97</v>
      </c>
      <c r="B98" s="476">
        <f>ROUND(+'1K'!E103,4)</f>
        <v>0.2954</v>
      </c>
      <c r="C98" s="457">
        <f>ROUND(+Mile!E103,4)</f>
        <v>0.28129999999999999</v>
      </c>
      <c r="D98" s="54">
        <f>ROUND(+'3K'!E103,4)</f>
        <v>0.26290000000000002</v>
      </c>
      <c r="E98" s="54">
        <f>ROUND(+'5K'!E103,4)</f>
        <v>0.24779999999999999</v>
      </c>
      <c r="F98" s="54">
        <f>ROUND(+'6K'!E103,4)</f>
        <v>0.24340000000000001</v>
      </c>
      <c r="G98" s="54">
        <f>ROUND(+'4MI'!E103,4)</f>
        <v>0.2417</v>
      </c>
      <c r="H98" s="54">
        <f>ROUND(+'8K'!$E103,4)</f>
        <v>0.23649999999999999</v>
      </c>
      <c r="I98" s="54">
        <f>ROUND(+'5MI'!E103,4)</f>
        <v>0.23630000000000001</v>
      </c>
      <c r="J98" s="54">
        <f>ROUND(+'10K'!$E103,4)</f>
        <v>0.2311</v>
      </c>
      <c r="K98" s="54">
        <f>ROUND(+'7MI'!$E103,4)</f>
        <v>0.2258</v>
      </c>
      <c r="L98" s="55">
        <f>ROUND(+'12K'!$E103,4)</f>
        <v>0.223</v>
      </c>
      <c r="M98" s="54">
        <f>ROUND(+'15K'!$E103,4)</f>
        <v>0.21310000000000001</v>
      </c>
      <c r="N98" s="54">
        <f>ROUND(+'10MI'!$E103,4)</f>
        <v>0.2099</v>
      </c>
      <c r="O98" s="54">
        <f>ROUND(+'20K'!$E103,4)</f>
        <v>0.20030000000000001</v>
      </c>
      <c r="P98" s="54">
        <f>ROUND(+H.Marathon!$E103,4)</f>
        <v>0.19789999999999999</v>
      </c>
      <c r="Q98" s="54">
        <f>ROUND(+'25K'!$E103,4)</f>
        <v>0.18790000000000001</v>
      </c>
      <c r="R98" s="54">
        <f>ROUND(+'30K'!$E103,4)</f>
        <v>0.17710000000000001</v>
      </c>
      <c r="S98" s="54">
        <f>ROUND(+Marathon!$E103,4)</f>
        <v>0.15690000000000001</v>
      </c>
      <c r="T98" s="54">
        <f>ROUND(+Marathon!$E103,4)</f>
        <v>0.15690000000000001</v>
      </c>
      <c r="U98" s="54">
        <f>ROUND(+Marathon!$E103,4)</f>
        <v>0.15690000000000001</v>
      </c>
      <c r="V98" s="54">
        <f>ROUND(+Marathon!$E103,4)</f>
        <v>0.15690000000000001</v>
      </c>
      <c r="W98" s="54">
        <f>ROUND(+Marathon!$E103,4)</f>
        <v>0.15690000000000001</v>
      </c>
      <c r="X98" s="54">
        <f>ROUND(+Marathon!$E103,4)</f>
        <v>0.15690000000000001</v>
      </c>
      <c r="Y98" s="54">
        <f>ROUND(+Marathon!$E103,4)</f>
        <v>0.15690000000000001</v>
      </c>
      <c r="Z98" s="46"/>
    </row>
    <row r="99" spans="1:26">
      <c r="A99" s="469">
        <v>98</v>
      </c>
      <c r="B99" s="476">
        <f>ROUND(+'1K'!E104,4)</f>
        <v>0.26690000000000003</v>
      </c>
      <c r="C99" s="457">
        <f>ROUND(+Mile!E104,4)</f>
        <v>0.25369999999999998</v>
      </c>
      <c r="D99" s="54">
        <f>ROUND(+'3K'!E104,4)</f>
        <v>0.2364</v>
      </c>
      <c r="E99" s="54">
        <f>ROUND(+'5K'!E104,4)</f>
        <v>0.2223</v>
      </c>
      <c r="F99" s="54">
        <f>ROUND(+'6K'!E104,4)</f>
        <v>0.2175</v>
      </c>
      <c r="G99" s="54">
        <f>ROUND(+'4MI'!E104,4)</f>
        <v>0.2157</v>
      </c>
      <c r="H99" s="54">
        <f>ROUND(+'8K'!$E104,4)</f>
        <v>0.21</v>
      </c>
      <c r="I99" s="54">
        <f>ROUND(+'5MI'!E104,4)</f>
        <v>0.20979999999999999</v>
      </c>
      <c r="J99" s="54">
        <f>ROUND(+'10K'!$E104,4)</f>
        <v>0.2041</v>
      </c>
      <c r="K99" s="54">
        <f>ROUND(+'7MI'!$E104,4)</f>
        <v>0.1986</v>
      </c>
      <c r="L99" s="55">
        <f>ROUND(+'12K'!$E104,4)</f>
        <v>0.19570000000000001</v>
      </c>
      <c r="M99" s="54">
        <f>ROUND(+'15K'!$E104,4)</f>
        <v>0.18540000000000001</v>
      </c>
      <c r="N99" s="54">
        <f>ROUND(+'10MI'!$E104,4)</f>
        <v>0.18210000000000001</v>
      </c>
      <c r="O99" s="54">
        <f>ROUND(+'20K'!$E104,4)</f>
        <v>0.1721</v>
      </c>
      <c r="P99" s="54">
        <f>ROUND(+H.Marathon!$E104,4)</f>
        <v>0.1696</v>
      </c>
      <c r="Q99" s="54">
        <f>ROUND(+'25K'!$E104,4)</f>
        <v>0.159</v>
      </c>
      <c r="R99" s="54">
        <f>ROUND(+'30K'!$E104,4)</f>
        <v>0.14760000000000001</v>
      </c>
      <c r="S99" s="54">
        <f>ROUND(+Marathon!$E104,4)</f>
        <v>0.12620000000000001</v>
      </c>
      <c r="T99" s="54">
        <f>ROUND(+Marathon!$E104,4)</f>
        <v>0.12620000000000001</v>
      </c>
      <c r="U99" s="54">
        <f>ROUND(+Marathon!$E104,4)</f>
        <v>0.12620000000000001</v>
      </c>
      <c r="V99" s="54">
        <f>ROUND(+Marathon!$E104,4)</f>
        <v>0.12620000000000001</v>
      </c>
      <c r="W99" s="54">
        <f>ROUND(+Marathon!$E104,4)</f>
        <v>0.12620000000000001</v>
      </c>
      <c r="X99" s="54">
        <f>ROUND(+Marathon!$E104,4)</f>
        <v>0.12620000000000001</v>
      </c>
      <c r="Y99" s="54">
        <f>ROUND(+Marathon!$E104,4)</f>
        <v>0.12620000000000001</v>
      </c>
      <c r="Z99" s="46"/>
    </row>
    <row r="100" spans="1:26">
      <c r="A100" s="469">
        <v>99</v>
      </c>
      <c r="B100" s="476">
        <f>ROUND(+'1K'!E105,4)</f>
        <v>0.2374</v>
      </c>
      <c r="C100" s="457">
        <f>ROUND(+Mile!E105,4)</f>
        <v>0.22520000000000001</v>
      </c>
      <c r="D100" s="54">
        <f>ROUND(+'3K'!E105,4)</f>
        <v>0.2092</v>
      </c>
      <c r="E100" s="54">
        <f>ROUND(+'5K'!E105,4)</f>
        <v>0.1961</v>
      </c>
      <c r="F100" s="54">
        <f>ROUND(+'6K'!E105,4)</f>
        <v>0.19089999999999999</v>
      </c>
      <c r="G100" s="54">
        <f>ROUND(+'4MI'!E105,4)</f>
        <v>0.18890000000000001</v>
      </c>
      <c r="H100" s="54">
        <f>ROUND(+'8K'!$E105,4)</f>
        <v>0.1827</v>
      </c>
      <c r="I100" s="54">
        <f>ROUND(+'5MI'!E105,4)</f>
        <v>0.1825</v>
      </c>
      <c r="J100" s="54">
        <f>ROUND(+'10K'!$E105,4)</f>
        <v>0.17630000000000001</v>
      </c>
      <c r="K100" s="54">
        <f>ROUND(+'7MI'!$E105,4)</f>
        <v>0.1706</v>
      </c>
      <c r="L100" s="55">
        <f>ROUND(+'12K'!$E105,4)</f>
        <v>0.1676</v>
      </c>
      <c r="M100" s="54">
        <f>ROUND(+'15K'!$E105,4)</f>
        <v>0.15690000000000001</v>
      </c>
      <c r="N100" s="54">
        <f>ROUND(+'10MI'!$E105,4)</f>
        <v>0.1535</v>
      </c>
      <c r="O100" s="54">
        <f>ROUND(+'20K'!$E105,4)</f>
        <v>0.14319999999999999</v>
      </c>
      <c r="P100" s="54">
        <f>ROUND(+H.Marathon!$E105,4)</f>
        <v>0.1406</v>
      </c>
      <c r="Q100" s="54">
        <f>ROUND(+'25K'!$E105,4)</f>
        <v>0.12939999999999999</v>
      </c>
      <c r="R100" s="54">
        <f>ROUND(+'30K'!$E105,4)</f>
        <v>0.1173</v>
      </c>
      <c r="S100" s="54">
        <f>ROUND(+Marathon!$E105,4)</f>
        <v>9.4799999999999995E-2</v>
      </c>
      <c r="T100" s="54">
        <f>ROUND(+Marathon!$E105,4)</f>
        <v>9.4799999999999995E-2</v>
      </c>
      <c r="U100" s="54">
        <f>ROUND(+Marathon!$E105,4)</f>
        <v>9.4799999999999995E-2</v>
      </c>
      <c r="V100" s="54">
        <f>ROUND(+Marathon!$E105,4)</f>
        <v>9.4799999999999995E-2</v>
      </c>
      <c r="W100" s="54">
        <f>ROUND(+Marathon!$E105,4)</f>
        <v>9.4799999999999995E-2</v>
      </c>
      <c r="X100" s="54">
        <f>ROUND(+Marathon!$E105,4)</f>
        <v>9.4799999999999995E-2</v>
      </c>
      <c r="Y100" s="54">
        <f>ROUND(+Marathon!$E105,4)</f>
        <v>9.4799999999999995E-2</v>
      </c>
      <c r="Z100" s="46"/>
    </row>
    <row r="101" spans="1:26" ht="15.75" thickBot="1">
      <c r="A101" s="472">
        <v>100</v>
      </c>
      <c r="B101" s="478">
        <f>ROUND(+'1K'!E106,4)</f>
        <v>0.20699999999999999</v>
      </c>
      <c r="C101" s="458">
        <f>ROUND(+Mile!E106,4)</f>
        <v>0.1958</v>
      </c>
      <c r="D101" s="458">
        <f>ROUND(+'3K'!E106,4)</f>
        <v>0.1812</v>
      </c>
      <c r="E101" s="57">
        <f>ROUND(+'5K'!E106,4)</f>
        <v>0.16919999999999999</v>
      </c>
      <c r="F101" s="57">
        <f>ROUND(+'6K'!E106,4)</f>
        <v>0.16350000000000001</v>
      </c>
      <c r="G101" s="57">
        <f>ROUND(+'4MI'!E106,4)</f>
        <v>0.16139999999999999</v>
      </c>
      <c r="H101" s="57">
        <f>ROUND(+'8K'!$E106,4)</f>
        <v>0.15459999999999999</v>
      </c>
      <c r="I101" s="57">
        <f>ROUND(+'5MI'!E106,4)</f>
        <v>0.15440000000000001</v>
      </c>
      <c r="J101" s="57">
        <f>ROUND(+'10K'!$E106,4)</f>
        <v>0.1477</v>
      </c>
      <c r="K101" s="57">
        <f>ROUND(+'7MI'!$E106,4)</f>
        <v>0.14180000000000001</v>
      </c>
      <c r="L101" s="57">
        <f>ROUND(+'12K'!$E106,4)</f>
        <v>0.13869999999999999</v>
      </c>
      <c r="M101" s="57">
        <f>ROUND(+'15K'!$E106,4)</f>
        <v>0.12770000000000001</v>
      </c>
      <c r="N101" s="57">
        <f>ROUND(+'10MI'!$E106,4)</f>
        <v>0.1242</v>
      </c>
      <c r="O101" s="57">
        <f>ROUND(+'20K'!$E106,4)</f>
        <v>0.1134</v>
      </c>
      <c r="P101" s="57">
        <f>ROUND(+H.Marathon!$E106,4)</f>
        <v>0.1108</v>
      </c>
      <c r="Q101" s="57">
        <f>ROUND(+'25K'!$E106,4)</f>
        <v>9.9000000000000005E-2</v>
      </c>
      <c r="R101" s="57">
        <f>ROUND(+'30K'!$E106,4)</f>
        <v>8.6300000000000002E-2</v>
      </c>
      <c r="S101" s="57">
        <f>ROUND(+Marathon!$E106,4)</f>
        <v>6.25E-2</v>
      </c>
      <c r="T101" s="57">
        <f>ROUND(+Marathon!$E106,4)</f>
        <v>6.25E-2</v>
      </c>
      <c r="U101" s="57">
        <f>ROUND(+Marathon!$E106,4)</f>
        <v>6.25E-2</v>
      </c>
      <c r="V101" s="57">
        <f>ROUND(+Marathon!$E106,4)</f>
        <v>6.25E-2</v>
      </c>
      <c r="W101" s="57">
        <f>ROUND(+Marathon!$E106,4)</f>
        <v>6.25E-2</v>
      </c>
      <c r="X101" s="57">
        <f>ROUND(+Marathon!$E106,4)</f>
        <v>6.25E-2</v>
      </c>
      <c r="Y101" s="57">
        <f>ROUND(+Marathon!$E106,4)</f>
        <v>6.25E-2</v>
      </c>
      <c r="Z101" s="46"/>
    </row>
    <row r="102" spans="1:26" ht="15.75">
      <c r="A102" s="452" t="s">
        <v>1772</v>
      </c>
      <c r="B102" s="452"/>
      <c r="C102" s="30"/>
      <c r="D102" s="30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6">
      <c r="A103" s="149" t="s">
        <v>934</v>
      </c>
      <c r="B103" s="149"/>
      <c r="C103" s="139"/>
      <c r="D103" s="139"/>
    </row>
    <row r="104" spans="1:26" ht="15.75">
      <c r="A104" s="150" t="s">
        <v>1771</v>
      </c>
      <c r="B104" s="150"/>
      <c r="C104" s="140"/>
      <c r="D104" s="140"/>
    </row>
    <row r="105" spans="1:26" ht="15.75">
      <c r="A105" s="150" t="s">
        <v>930</v>
      </c>
      <c r="B105" s="150"/>
      <c r="C105" s="141"/>
      <c r="D105" s="141"/>
    </row>
    <row r="106" spans="1:26" ht="15.75">
      <c r="A106" s="150" t="s">
        <v>2358</v>
      </c>
      <c r="B106" s="150"/>
      <c r="C106" s="142"/>
      <c r="D106" s="142"/>
    </row>
    <row r="107" spans="1:26" ht="15.75">
      <c r="A107" s="150" t="s">
        <v>2386</v>
      </c>
    </row>
  </sheetData>
  <hyperlinks>
    <hyperlink ref="A103" r:id="rId1" xr:uid="{06B722DB-6C73-44D8-84C5-3EBFD3AF2FA7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7"/>
  <sheetViews>
    <sheetView topLeftCell="A51" zoomScale="87" zoomScaleNormal="87" workbookViewId="0">
      <selection activeCell="A107" sqref="A107"/>
    </sheetView>
  </sheetViews>
  <sheetFormatPr defaultColWidth="9.6640625" defaultRowHeight="15"/>
  <cols>
    <col min="1" max="2" width="7.6640625" style="1" customWidth="1"/>
    <col min="3" max="5" width="7.109375" style="1" customWidth="1"/>
    <col min="6" max="6" width="7.33203125" style="1" customWidth="1"/>
    <col min="7" max="25" width="7.6640625" style="1" customWidth="1"/>
    <col min="26" max="16384" width="9.6640625" style="1"/>
  </cols>
  <sheetData>
    <row r="1" spans="1:26" ht="24" thickBot="1">
      <c r="A1" s="43" t="s">
        <v>2370</v>
      </c>
      <c r="B1" s="43"/>
      <c r="C1" s="43"/>
      <c r="D1" s="43"/>
    </row>
    <row r="2" spans="1:26" ht="15.75" thickBot="1">
      <c r="A2" s="44" t="s">
        <v>52</v>
      </c>
      <c r="B2" s="454" t="s">
        <v>2384</v>
      </c>
      <c r="C2" s="144" t="s">
        <v>931</v>
      </c>
      <c r="D2" s="45" t="s">
        <v>2385</v>
      </c>
      <c r="E2" s="45" t="s">
        <v>108</v>
      </c>
      <c r="F2" s="45" t="s">
        <v>109</v>
      </c>
      <c r="G2" s="45" t="s">
        <v>110</v>
      </c>
      <c r="H2" s="45" t="s">
        <v>111</v>
      </c>
      <c r="I2" s="45" t="s">
        <v>112</v>
      </c>
      <c r="J2" s="45" t="s">
        <v>113</v>
      </c>
      <c r="K2" s="45" t="s">
        <v>2353</v>
      </c>
      <c r="L2" s="45" t="s">
        <v>114</v>
      </c>
      <c r="M2" s="45" t="s">
        <v>115</v>
      </c>
      <c r="N2" s="45" t="s">
        <v>116</v>
      </c>
      <c r="O2" s="45" t="s">
        <v>117</v>
      </c>
      <c r="P2" s="45" t="s">
        <v>9</v>
      </c>
      <c r="Q2" s="45" t="s">
        <v>118</v>
      </c>
      <c r="R2" s="45" t="s">
        <v>119</v>
      </c>
      <c r="S2" s="45" t="s">
        <v>10</v>
      </c>
      <c r="T2" s="45" t="s">
        <v>80</v>
      </c>
      <c r="U2" s="45" t="s">
        <v>120</v>
      </c>
      <c r="V2" s="45" t="s">
        <v>121</v>
      </c>
      <c r="W2" s="45" t="s">
        <v>122</v>
      </c>
      <c r="X2" s="45" t="s">
        <v>123</v>
      </c>
      <c r="Y2" s="45" t="s">
        <v>124</v>
      </c>
      <c r="Z2" s="46"/>
    </row>
    <row r="3" spans="1:26">
      <c r="A3" s="453" t="s">
        <v>0</v>
      </c>
      <c r="B3" s="45">
        <f>Parameters!B13</f>
        <v>1</v>
      </c>
      <c r="C3" s="45">
        <f>Parameters!B14</f>
        <v>1.6093440000000001</v>
      </c>
      <c r="D3" s="45">
        <f>Parameters!B15</f>
        <v>3</v>
      </c>
      <c r="E3" s="45">
        <f>Parameters!B16</f>
        <v>5</v>
      </c>
      <c r="F3" s="45">
        <f>Parameters!B17</f>
        <v>6</v>
      </c>
      <c r="G3" s="45">
        <f>Parameters!B18</f>
        <v>6.4373760000000004</v>
      </c>
      <c r="H3" s="45">
        <f>Parameters!B19</f>
        <v>8</v>
      </c>
      <c r="I3" s="47">
        <f>Parameters!B20</f>
        <v>8.0467200000000005</v>
      </c>
      <c r="J3" s="45">
        <f>Parameters!B21</f>
        <v>10</v>
      </c>
      <c r="K3" s="47">
        <f>Parameters!B22</f>
        <v>11.265408000000001</v>
      </c>
      <c r="L3" s="45">
        <f>Parameters!B23</f>
        <v>12</v>
      </c>
      <c r="M3" s="45">
        <f>Parameters!B24</f>
        <v>15</v>
      </c>
      <c r="N3" s="45">
        <f>Parameters!B25</f>
        <v>16.093440000000001</v>
      </c>
      <c r="O3" s="45">
        <f>Parameters!B26</f>
        <v>20</v>
      </c>
      <c r="P3" s="45">
        <f>Parameters!B27</f>
        <v>21.0975</v>
      </c>
      <c r="Q3" s="45">
        <f>Parameters!B28</f>
        <v>25</v>
      </c>
      <c r="R3" s="45">
        <f>Parameters!B29</f>
        <v>30</v>
      </c>
      <c r="S3" s="45">
        <f>Parameters!B30</f>
        <v>42.195</v>
      </c>
      <c r="T3" s="479">
        <f>Parameters!$B31</f>
        <v>50</v>
      </c>
      <c r="U3" s="47">
        <f>Parameters!$B32</f>
        <v>80.467200000000005</v>
      </c>
      <c r="V3" s="479">
        <f>Parameters!$B33</f>
        <v>100</v>
      </c>
      <c r="W3" s="479">
        <f>Parameters!$B34</f>
        <v>150</v>
      </c>
      <c r="X3" s="47">
        <f>Parameters!$B35</f>
        <v>160.93440000000001</v>
      </c>
      <c r="Y3" s="479">
        <f>Parameters!$B36</f>
        <v>200</v>
      </c>
      <c r="Z3" s="46"/>
    </row>
    <row r="4" spans="1:26">
      <c r="A4" s="48" t="s">
        <v>106</v>
      </c>
      <c r="B4" s="49">
        <v>160</v>
      </c>
      <c r="C4" s="49">
        <v>261</v>
      </c>
      <c r="D4" s="49">
        <v>494.99999999999994</v>
      </c>
      <c r="E4" s="49">
        <f>'5K'!$E$5</f>
        <v>834</v>
      </c>
      <c r="F4" s="49">
        <f>'6K'!$E$5</f>
        <v>1008</v>
      </c>
      <c r="G4" s="49">
        <f>'4MI'!$E$5</f>
        <v>1087</v>
      </c>
      <c r="H4" s="49">
        <f>'8K'!$E$5</f>
        <v>1365</v>
      </c>
      <c r="I4" s="49">
        <f>'5MI'!$E$5</f>
        <v>1375</v>
      </c>
      <c r="J4" s="49">
        <f>'10K'!$E$5</f>
        <v>1726.0000000000002</v>
      </c>
      <c r="K4" s="49">
        <f>Parameters!H22</f>
        <v>1950</v>
      </c>
      <c r="L4" s="49">
        <f>'12K'!$E$5</f>
        <v>2084</v>
      </c>
      <c r="M4" s="49">
        <f>'15K'!$E$5</f>
        <v>2629</v>
      </c>
      <c r="N4" s="49">
        <f>'10MI'!$E$5</f>
        <v>2832</v>
      </c>
      <c r="O4" s="49">
        <f>'20K'!$E$5</f>
        <v>3557</v>
      </c>
      <c r="P4" s="49">
        <f>H.Marathon!$E$5</f>
        <v>3772</v>
      </c>
      <c r="Q4" s="49">
        <f>'25K'!$E$5</f>
        <v>4500</v>
      </c>
      <c r="R4" s="49">
        <f>'30K'!$E$5</f>
        <v>5450.0000000000009</v>
      </c>
      <c r="S4" s="49">
        <f>Marathon!$E$5</f>
        <v>7796</v>
      </c>
      <c r="T4" s="49">
        <f>Parameters!$H31</f>
        <v>9390</v>
      </c>
      <c r="U4" s="49">
        <f>Parameters!$H32</f>
        <v>17100</v>
      </c>
      <c r="V4" s="49">
        <f>Parameters!$H33</f>
        <v>23590.999999999996</v>
      </c>
      <c r="W4" s="49">
        <f>Parameters!$H34</f>
        <v>39700</v>
      </c>
      <c r="X4" s="49">
        <f>Parameters!$H35</f>
        <v>43500</v>
      </c>
      <c r="Y4" s="49">
        <f>Parameters!$H36</f>
        <v>57600</v>
      </c>
      <c r="Z4" s="46"/>
    </row>
    <row r="5" spans="1:26" ht="15.75" thickBot="1">
      <c r="A5" s="48" t="s">
        <v>107</v>
      </c>
      <c r="B5" s="50">
        <v>1.8518518518518519E-3</v>
      </c>
      <c r="C5" s="50">
        <v>3.0208333333333333E-3</v>
      </c>
      <c r="D5" s="50">
        <v>5.7291666666666663E-3</v>
      </c>
      <c r="E5" s="50">
        <f t="shared" ref="C5:Y5" si="0">E4/86400</f>
        <v>9.6527777777777775E-3</v>
      </c>
      <c r="F5" s="50">
        <f t="shared" si="0"/>
        <v>1.1666666666666667E-2</v>
      </c>
      <c r="G5" s="50">
        <f t="shared" si="0"/>
        <v>1.2581018518518519E-2</v>
      </c>
      <c r="H5" s="50">
        <f t="shared" si="0"/>
        <v>1.579861111111111E-2</v>
      </c>
      <c r="I5" s="50">
        <f t="shared" si="0"/>
        <v>1.5914351851851853E-2</v>
      </c>
      <c r="J5" s="50">
        <f t="shared" si="0"/>
        <v>1.9976851851851853E-2</v>
      </c>
      <c r="K5" s="50">
        <f>K4/86400</f>
        <v>2.2569444444444444E-2</v>
      </c>
      <c r="L5" s="50">
        <f t="shared" si="0"/>
        <v>2.4120370370370372E-2</v>
      </c>
      <c r="M5" s="50">
        <f t="shared" si="0"/>
        <v>3.0428240740740742E-2</v>
      </c>
      <c r="N5" s="50">
        <f t="shared" si="0"/>
        <v>3.2777777777777781E-2</v>
      </c>
      <c r="O5" s="50">
        <f t="shared" si="0"/>
        <v>4.116898148148148E-2</v>
      </c>
      <c r="P5" s="50">
        <f t="shared" si="0"/>
        <v>4.3657407407407409E-2</v>
      </c>
      <c r="Q5" s="50">
        <f t="shared" si="0"/>
        <v>5.2083333333333336E-2</v>
      </c>
      <c r="R5" s="50">
        <f t="shared" si="0"/>
        <v>6.307870370370372E-2</v>
      </c>
      <c r="S5" s="50">
        <f t="shared" si="0"/>
        <v>9.0231481481481482E-2</v>
      </c>
      <c r="T5" s="50">
        <f t="shared" si="0"/>
        <v>0.10868055555555556</v>
      </c>
      <c r="U5" s="50">
        <f t="shared" si="0"/>
        <v>0.19791666666666666</v>
      </c>
      <c r="V5" s="50">
        <f t="shared" si="0"/>
        <v>0.27304398148148146</v>
      </c>
      <c r="W5" s="50">
        <f t="shared" si="0"/>
        <v>0.45949074074074076</v>
      </c>
      <c r="X5" s="50">
        <f t="shared" si="0"/>
        <v>0.50347222222222221</v>
      </c>
      <c r="Y5" s="50">
        <f t="shared" si="0"/>
        <v>0.66666666666666663</v>
      </c>
      <c r="Z5" s="46"/>
    </row>
    <row r="6" spans="1:26">
      <c r="A6" s="52">
        <v>5</v>
      </c>
      <c r="B6" s="58">
        <f>ROUND(+B$4/+'Age Factors'!B6,0)</f>
        <v>218</v>
      </c>
      <c r="C6" s="58">
        <f>ROUND(+C$4/+'Age Factors'!C6,0)</f>
        <v>361</v>
      </c>
      <c r="D6" s="58">
        <f>ROUND(+D$4/+'Age Factors'!D6,0)</f>
        <v>703</v>
      </c>
      <c r="E6" s="58">
        <f>ROUND(+E$4/+'Age Factors'!E6,0)</f>
        <v>1208</v>
      </c>
      <c r="F6" s="59">
        <f>ROUND(+F$4/+'Age Factors'!F6,0)</f>
        <v>1463</v>
      </c>
      <c r="G6" s="59">
        <f>ROUND(+G$4/+'Age Factors'!G6,0)</f>
        <v>1579</v>
      </c>
      <c r="H6" s="59">
        <f>ROUND(+H$4/+'Age Factors'!H6,0)</f>
        <v>1988</v>
      </c>
      <c r="I6" s="59">
        <f>ROUND(+I$4/+'Age Factors'!I6,0)</f>
        <v>2002</v>
      </c>
      <c r="J6" s="59">
        <f>ROUND(+J$4/+'Age Factors'!J6,0)</f>
        <v>2520</v>
      </c>
      <c r="K6" s="434">
        <f>ROUND(+K$4/+'Age Factors'!K6,0)</f>
        <v>2899</v>
      </c>
      <c r="L6" s="59">
        <f>ROUND(+L$4/+'Age Factors'!L6,0)</f>
        <v>3128</v>
      </c>
      <c r="M6" s="59">
        <f>ROUND(+M$4/+'Age Factors'!M6,0)</f>
        <v>4087</v>
      </c>
      <c r="N6" s="59">
        <f>ROUND(+N$4/+'Age Factors'!N6,0)</f>
        <v>4454</v>
      </c>
      <c r="O6" s="59">
        <f>ROUND(+O$4/+'Age Factors'!O6,0)</f>
        <v>5798</v>
      </c>
      <c r="P6" s="59">
        <f>ROUND(+P$4/+'Age Factors'!P6,0)</f>
        <v>6204</v>
      </c>
      <c r="Q6" s="59">
        <f>ROUND(+Q$4/+'Age Factors'!Q6,0)</f>
        <v>7608</v>
      </c>
      <c r="R6" s="59">
        <f>ROUND(+R$4/+'Age Factors'!R6,0)</f>
        <v>9500</v>
      </c>
      <c r="S6" s="59">
        <f>ROUND(+S$4/+'Age Factors'!S6,0)</f>
        <v>14424</v>
      </c>
      <c r="T6" s="59">
        <f>ROUND(+T$4/+'Age Factors'!T6,0)</f>
        <v>17373</v>
      </c>
      <c r="U6" s="59">
        <f>ROUND(+U$4/+'Age Factors'!U6,0)</f>
        <v>31637</v>
      </c>
      <c r="V6" s="59">
        <f>ROUND(+V$4/+'Age Factors'!V6,0)</f>
        <v>43647</v>
      </c>
      <c r="W6" s="59">
        <f>ROUND(+W$4/+'Age Factors'!W6,0)</f>
        <v>73451</v>
      </c>
      <c r="X6" s="59">
        <f>ROUND(+X$4/+'Age Factors'!X6,0)</f>
        <v>80481</v>
      </c>
      <c r="Y6" s="59">
        <f>ROUND(+Y$4/+'Age Factors'!Y6,0)</f>
        <v>106568</v>
      </c>
      <c r="Z6" s="46"/>
    </row>
    <row r="7" spans="1:26">
      <c r="A7" s="48">
        <v>6</v>
      </c>
      <c r="B7" s="480">
        <f>ROUND(+B$4/+'Age Factors'!B7,0)</f>
        <v>210</v>
      </c>
      <c r="C7" s="49">
        <f>ROUND(+C$4/+'Age Factors'!C7,0)</f>
        <v>347</v>
      </c>
      <c r="D7" s="49">
        <f>ROUND(+D$4/+'Age Factors'!D7,0)</f>
        <v>673</v>
      </c>
      <c r="E7" s="49">
        <f>ROUND(+E$4/+'Age Factors'!E7,0)</f>
        <v>1155</v>
      </c>
      <c r="F7" s="49">
        <f>ROUND(+F$4/+'Age Factors'!F7,0)</f>
        <v>1398</v>
      </c>
      <c r="G7" s="49">
        <f>ROUND(+G$4/+'Age Factors'!G7,0)</f>
        <v>1508</v>
      </c>
      <c r="H7" s="49">
        <f>ROUND(+H$4/+'Age Factors'!H7,0)</f>
        <v>1897</v>
      </c>
      <c r="I7" s="49">
        <f>ROUND(+I$4/+'Age Factors'!I7,0)</f>
        <v>1911</v>
      </c>
      <c r="J7" s="49">
        <f>ROUND(+J$4/+'Age Factors'!J7,0)</f>
        <v>2403</v>
      </c>
      <c r="K7" s="433">
        <f>ROUND(+K$4/+'Age Factors'!K7,0)</f>
        <v>2758</v>
      </c>
      <c r="L7" s="49">
        <f>ROUND(+L$4/+'Age Factors'!L7,0)</f>
        <v>2973</v>
      </c>
      <c r="M7" s="49">
        <f>ROUND(+M$4/+'Age Factors'!M7,0)</f>
        <v>3867</v>
      </c>
      <c r="N7" s="49">
        <f>ROUND(+N$4/+'Age Factors'!N7,0)</f>
        <v>4207</v>
      </c>
      <c r="O7" s="49">
        <f>ROUND(+O$4/+'Age Factors'!O7,0)</f>
        <v>5451</v>
      </c>
      <c r="P7" s="49">
        <f>ROUND(+P$4/+'Age Factors'!P7,0)</f>
        <v>5826</v>
      </c>
      <c r="Q7" s="49">
        <f>ROUND(+Q$4/+'Age Factors'!Q7,0)</f>
        <v>7112</v>
      </c>
      <c r="R7" s="49">
        <f>ROUND(+R$4/+'Age Factors'!R7,0)</f>
        <v>8834</v>
      </c>
      <c r="S7" s="49">
        <f>ROUND(+S$4/+'Age Factors'!S7,0)</f>
        <v>13272</v>
      </c>
      <c r="T7" s="49">
        <f>ROUND(+T$4/+'Age Factors'!T7,0)</f>
        <v>15986</v>
      </c>
      <c r="U7" s="49">
        <f>ROUND(+U$4/+'Age Factors'!U7,0)</f>
        <v>29111</v>
      </c>
      <c r="V7" s="49">
        <f>ROUND(+V$4/+'Age Factors'!V7,0)</f>
        <v>40162</v>
      </c>
      <c r="W7" s="49">
        <f>ROUND(+W$4/+'Age Factors'!W7,0)</f>
        <v>67586</v>
      </c>
      <c r="X7" s="49">
        <f>ROUND(+X$4/+'Age Factors'!X7,0)</f>
        <v>74055</v>
      </c>
      <c r="Y7" s="49">
        <f>ROUND(+Y$4/+'Age Factors'!Y7,0)</f>
        <v>98059</v>
      </c>
      <c r="Z7" s="46"/>
    </row>
    <row r="8" spans="1:26">
      <c r="A8" s="48">
        <v>7</v>
      </c>
      <c r="B8" s="480">
        <f>ROUND(+B$4/+'Age Factors'!B8,0)</f>
        <v>202</v>
      </c>
      <c r="C8" s="49">
        <f>ROUND(+C$4/+'Age Factors'!C8,0)</f>
        <v>335</v>
      </c>
      <c r="D8" s="49">
        <f>ROUND(+D$4/+'Age Factors'!D8,0)</f>
        <v>647</v>
      </c>
      <c r="E8" s="49">
        <f>ROUND(+E$4/+'Age Factors'!E8,0)</f>
        <v>1108</v>
      </c>
      <c r="F8" s="49">
        <f>ROUND(+F$4/+'Age Factors'!F8,0)</f>
        <v>1341</v>
      </c>
      <c r="G8" s="49">
        <f>ROUND(+G$4/+'Age Factors'!G8,0)</f>
        <v>1446</v>
      </c>
      <c r="H8" s="49">
        <f>ROUND(+H$4/+'Age Factors'!H8,0)</f>
        <v>1818</v>
      </c>
      <c r="I8" s="49">
        <f>ROUND(+I$4/+'Age Factors'!I8,0)</f>
        <v>1832</v>
      </c>
      <c r="J8" s="49">
        <f>ROUND(+J$4/+'Age Factors'!J8,0)</f>
        <v>2302</v>
      </c>
      <c r="K8" s="433">
        <f>ROUND(+K$4/+'Age Factors'!K8,0)</f>
        <v>2637</v>
      </c>
      <c r="L8" s="49">
        <f>ROUND(+L$4/+'Age Factors'!L8,0)</f>
        <v>2840</v>
      </c>
      <c r="M8" s="49">
        <f>ROUND(+M$4/+'Age Factors'!M8,0)</f>
        <v>3680</v>
      </c>
      <c r="N8" s="49">
        <f>ROUND(+N$4/+'Age Factors'!N8,0)</f>
        <v>3998</v>
      </c>
      <c r="O8" s="49">
        <f>ROUND(+O$4/+'Age Factors'!O8,0)</f>
        <v>5160</v>
      </c>
      <c r="P8" s="49">
        <f>ROUND(+P$4/+'Age Factors'!P8,0)</f>
        <v>5509</v>
      </c>
      <c r="Q8" s="49">
        <f>ROUND(+Q$4/+'Age Factors'!Q8,0)</f>
        <v>6700</v>
      </c>
      <c r="R8" s="49">
        <f>ROUND(+R$4/+'Age Factors'!R8,0)</f>
        <v>8289</v>
      </c>
      <c r="S8" s="49">
        <f>ROUND(+S$4/+'Age Factors'!S8,0)</f>
        <v>12353</v>
      </c>
      <c r="T8" s="49">
        <f>ROUND(+T$4/+'Age Factors'!T8,0)</f>
        <v>14879</v>
      </c>
      <c r="U8" s="49">
        <f>ROUND(+U$4/+'Age Factors'!U8,0)</f>
        <v>27096</v>
      </c>
      <c r="V8" s="49">
        <f>ROUND(+V$4/+'Age Factors'!V8,0)</f>
        <v>37381</v>
      </c>
      <c r="W8" s="49">
        <f>ROUND(+W$4/+'Age Factors'!W8,0)</f>
        <v>62906</v>
      </c>
      <c r="X8" s="49">
        <f>ROUND(+X$4/+'Age Factors'!X8,0)</f>
        <v>68927</v>
      </c>
      <c r="Y8" s="49">
        <f>ROUND(+Y$4/+'Age Factors'!Y8,0)</f>
        <v>91269</v>
      </c>
      <c r="Z8" s="46"/>
    </row>
    <row r="9" spans="1:26">
      <c r="A9" s="48">
        <v>8</v>
      </c>
      <c r="B9" s="480">
        <f>ROUND(+B$4/+'Age Factors'!B9,0)</f>
        <v>196</v>
      </c>
      <c r="C9" s="49">
        <f>ROUND(+C$4/+'Age Factors'!C9,0)</f>
        <v>324</v>
      </c>
      <c r="D9" s="49">
        <f>ROUND(+D$4/+'Age Factors'!D9,0)</f>
        <v>625</v>
      </c>
      <c r="E9" s="49">
        <f>ROUND(+E$4/+'Age Factors'!E9,0)</f>
        <v>1067</v>
      </c>
      <c r="F9" s="49">
        <f>ROUND(+F$4/+'Age Factors'!F9,0)</f>
        <v>1291</v>
      </c>
      <c r="G9" s="49">
        <f>ROUND(+G$4/+'Age Factors'!G9,0)</f>
        <v>1392</v>
      </c>
      <c r="H9" s="49">
        <f>ROUND(+H$4/+'Age Factors'!H9,0)</f>
        <v>1750</v>
      </c>
      <c r="I9" s="49">
        <f>ROUND(+I$4/+'Age Factors'!I9,0)</f>
        <v>1763</v>
      </c>
      <c r="J9" s="49">
        <f>ROUND(+J$4/+'Age Factors'!J9,0)</f>
        <v>2215</v>
      </c>
      <c r="K9" s="433">
        <f>ROUND(+K$4/+'Age Factors'!K9,0)</f>
        <v>2533</v>
      </c>
      <c r="L9" s="49">
        <f>ROUND(+L$4/+'Age Factors'!L9,0)</f>
        <v>2725</v>
      </c>
      <c r="M9" s="49">
        <f>ROUND(+M$4/+'Age Factors'!M9,0)</f>
        <v>3519</v>
      </c>
      <c r="N9" s="49">
        <f>ROUND(+N$4/+'Age Factors'!N9,0)</f>
        <v>3819</v>
      </c>
      <c r="O9" s="49">
        <f>ROUND(+O$4/+'Age Factors'!O9,0)</f>
        <v>4911</v>
      </c>
      <c r="P9" s="49">
        <f>ROUND(+P$4/+'Age Factors'!P9,0)</f>
        <v>5239</v>
      </c>
      <c r="Q9" s="49">
        <f>ROUND(+Q$4/+'Age Factors'!Q9,0)</f>
        <v>6354</v>
      </c>
      <c r="R9" s="49">
        <f>ROUND(+R$4/+'Age Factors'!R9,0)</f>
        <v>7836</v>
      </c>
      <c r="S9" s="49">
        <f>ROUND(+S$4/+'Age Factors'!S9,0)</f>
        <v>11605</v>
      </c>
      <c r="T9" s="49">
        <f>ROUND(+T$4/+'Age Factors'!T9,0)</f>
        <v>13977</v>
      </c>
      <c r="U9" s="49">
        <f>ROUND(+U$4/+'Age Factors'!U9,0)</f>
        <v>25454</v>
      </c>
      <c r="V9" s="49">
        <f>ROUND(+V$4/+'Age Factors'!V9,0)</f>
        <v>35116</v>
      </c>
      <c r="W9" s="49">
        <f>ROUND(+W$4/+'Age Factors'!W9,0)</f>
        <v>59095</v>
      </c>
      <c r="X9" s="49">
        <f>ROUND(+X$4/+'Age Factors'!X9,0)</f>
        <v>64751</v>
      </c>
      <c r="Y9" s="49">
        <f>ROUND(+Y$4/+'Age Factors'!Y9,0)</f>
        <v>85740</v>
      </c>
      <c r="Z9" s="46"/>
    </row>
    <row r="10" spans="1:26">
      <c r="A10" s="48">
        <v>9</v>
      </c>
      <c r="B10" s="480">
        <f>ROUND(+B$4/+'Age Factors'!B10,0)</f>
        <v>190</v>
      </c>
      <c r="C10" s="49">
        <f>ROUND(+C$4/+'Age Factors'!C10,0)</f>
        <v>314</v>
      </c>
      <c r="D10" s="49">
        <f>ROUND(+D$4/+'Age Factors'!D10,0)</f>
        <v>604</v>
      </c>
      <c r="E10" s="49">
        <f>ROUND(+E$4/+'Age Factors'!E10,0)</f>
        <v>1031</v>
      </c>
      <c r="F10" s="49">
        <f>ROUND(+F$4/+'Age Factors'!F10,0)</f>
        <v>1247</v>
      </c>
      <c r="G10" s="49">
        <f>ROUND(+G$4/+'Age Factors'!G10,0)</f>
        <v>1345</v>
      </c>
      <c r="H10" s="49">
        <f>ROUND(+H$4/+'Age Factors'!H10,0)</f>
        <v>1690</v>
      </c>
      <c r="I10" s="49">
        <f>ROUND(+I$4/+'Age Factors'!I10,0)</f>
        <v>1702</v>
      </c>
      <c r="J10" s="49">
        <f>ROUND(+J$4/+'Age Factors'!J10,0)</f>
        <v>2138</v>
      </c>
      <c r="K10" s="433">
        <f>ROUND(+K$4/+'Age Factors'!K10,0)</f>
        <v>2442</v>
      </c>
      <c r="L10" s="49">
        <f>ROUND(+L$4/+'Age Factors'!L10,0)</f>
        <v>2625</v>
      </c>
      <c r="M10" s="49">
        <f>ROUND(+M$4/+'Age Factors'!M10,0)</f>
        <v>3380</v>
      </c>
      <c r="N10" s="49">
        <f>ROUND(+N$4/+'Age Factors'!N10,0)</f>
        <v>3665</v>
      </c>
      <c r="O10" s="49">
        <f>ROUND(+O$4/+'Age Factors'!O10,0)</f>
        <v>4698</v>
      </c>
      <c r="P10" s="49">
        <f>ROUND(+P$4/+'Age Factors'!P10,0)</f>
        <v>5007</v>
      </c>
      <c r="Q10" s="49">
        <f>ROUND(+Q$4/+'Age Factors'!Q10,0)</f>
        <v>6061</v>
      </c>
      <c r="R10" s="49">
        <f>ROUND(+R$4/+'Age Factors'!R10,0)</f>
        <v>7456</v>
      </c>
      <c r="S10" s="49">
        <f>ROUND(+S$4/+'Age Factors'!S10,0)</f>
        <v>10991</v>
      </c>
      <c r="T10" s="49">
        <f>ROUND(+T$4/+'Age Factors'!T10,0)</f>
        <v>13238</v>
      </c>
      <c r="U10" s="49">
        <f>ROUND(+U$4/+'Age Factors'!U10,0)</f>
        <v>24108</v>
      </c>
      <c r="V10" s="49">
        <f>ROUND(+V$4/+'Age Factors'!V10,0)</f>
        <v>33260</v>
      </c>
      <c r="W10" s="49">
        <f>ROUND(+W$4/+'Age Factors'!W10,0)</f>
        <v>55971</v>
      </c>
      <c r="X10" s="49">
        <f>ROUND(+X$4/+'Age Factors'!X10,0)</f>
        <v>61328</v>
      </c>
      <c r="Y10" s="49">
        <f>ROUND(+Y$4/+'Age Factors'!Y10,0)</f>
        <v>81207</v>
      </c>
      <c r="Z10" s="46"/>
    </row>
    <row r="11" spans="1:26">
      <c r="A11" s="56">
        <v>10</v>
      </c>
      <c r="B11" s="459">
        <f>ROUND(+B$4/+'Age Factors'!B11,0)</f>
        <v>185</v>
      </c>
      <c r="C11" s="60">
        <f>ROUND(+C$4/+'Age Factors'!C11,0)</f>
        <v>305</v>
      </c>
      <c r="D11" s="60">
        <f>ROUND(+D$4/+'Age Factors'!D11,0)</f>
        <v>587</v>
      </c>
      <c r="E11" s="60">
        <f>ROUND(+E$4/+'Age Factors'!E11,0)</f>
        <v>999</v>
      </c>
      <c r="F11" s="60">
        <f>ROUND(+F$4/+'Age Factors'!F11,0)</f>
        <v>1208</v>
      </c>
      <c r="G11" s="60">
        <f>ROUND(+G$4/+'Age Factors'!G11,0)</f>
        <v>1303</v>
      </c>
      <c r="H11" s="60">
        <f>ROUND(+H$4/+'Age Factors'!H11,0)</f>
        <v>1637</v>
      </c>
      <c r="I11" s="60">
        <f>ROUND(+I$4/+'Age Factors'!I11,0)</f>
        <v>1649</v>
      </c>
      <c r="J11" s="60">
        <f>ROUND(+J$4/+'Age Factors'!J11,0)</f>
        <v>2071</v>
      </c>
      <c r="K11" s="60">
        <f>ROUND(+K$4/+'Age Factors'!K11,0)</f>
        <v>2362</v>
      </c>
      <c r="L11" s="60">
        <f>ROUND(+L$4/+'Age Factors'!L11,0)</f>
        <v>2537</v>
      </c>
      <c r="M11" s="60">
        <f>ROUND(+M$4/+'Age Factors'!M11,0)</f>
        <v>3259</v>
      </c>
      <c r="N11" s="60">
        <f>ROUND(+N$4/+'Age Factors'!N11,0)</f>
        <v>3530</v>
      </c>
      <c r="O11" s="60">
        <f>ROUND(+O$4/+'Age Factors'!O11,0)</f>
        <v>4514</v>
      </c>
      <c r="P11" s="60">
        <f>ROUND(+P$4/+'Age Factors'!P11,0)</f>
        <v>4808</v>
      </c>
      <c r="Q11" s="60">
        <f>ROUND(+Q$4/+'Age Factors'!Q11,0)</f>
        <v>5810</v>
      </c>
      <c r="R11" s="60">
        <f>ROUND(+R$4/+'Age Factors'!R11,0)</f>
        <v>7135</v>
      </c>
      <c r="S11" s="60">
        <f>ROUND(+S$4/+'Age Factors'!S11,0)</f>
        <v>10481</v>
      </c>
      <c r="T11" s="60">
        <f>ROUND(+T$4/+'Age Factors'!T11,0)</f>
        <v>12624</v>
      </c>
      <c r="U11" s="60">
        <f>ROUND(+U$4/+'Age Factors'!U11,0)</f>
        <v>22990</v>
      </c>
      <c r="V11" s="60">
        <f>ROUND(+V$4/+'Age Factors'!V11,0)</f>
        <v>31717</v>
      </c>
      <c r="W11" s="60">
        <f>ROUND(+W$4/+'Age Factors'!W11,0)</f>
        <v>53375</v>
      </c>
      <c r="X11" s="60">
        <f>ROUND(+X$4/+'Age Factors'!X11,0)</f>
        <v>58483</v>
      </c>
      <c r="Y11" s="60">
        <f>ROUND(+Y$4/+'Age Factors'!Y11,0)</f>
        <v>77440</v>
      </c>
      <c r="Z11" s="46"/>
    </row>
    <row r="12" spans="1:26">
      <c r="A12" s="48">
        <v>11</v>
      </c>
      <c r="B12" s="480">
        <f>ROUND(+B$4/+'Age Factors'!B12,0)</f>
        <v>181</v>
      </c>
      <c r="C12" s="49">
        <f>ROUND(+C$4/+'Age Factors'!C12,0)</f>
        <v>298</v>
      </c>
      <c r="D12" s="49">
        <f>ROUND(+D$4/+'Age Factors'!D12,0)</f>
        <v>571</v>
      </c>
      <c r="E12" s="49">
        <f>ROUND(+E$4/+'Age Factors'!E12,0)</f>
        <v>970</v>
      </c>
      <c r="F12" s="49">
        <f>ROUND(+F$4/+'Age Factors'!F12,0)</f>
        <v>1173</v>
      </c>
      <c r="G12" s="49">
        <f>ROUND(+G$4/+'Age Factors'!G12,0)</f>
        <v>1266</v>
      </c>
      <c r="H12" s="49">
        <f>ROUND(+H$4/+'Age Factors'!H12,0)</f>
        <v>1591</v>
      </c>
      <c r="I12" s="49">
        <f>ROUND(+I$4/+'Age Factors'!I12,0)</f>
        <v>1602</v>
      </c>
      <c r="J12" s="49">
        <f>ROUND(+J$4/+'Age Factors'!J12,0)</f>
        <v>2013</v>
      </c>
      <c r="K12" s="49">
        <f>ROUND(+K$4/+'Age Factors'!K12,0)</f>
        <v>2293</v>
      </c>
      <c r="L12" s="49">
        <f>ROUND(+L$4/+'Age Factors'!L12,0)</f>
        <v>2461</v>
      </c>
      <c r="M12" s="49">
        <f>ROUND(+M$4/+'Age Factors'!M12,0)</f>
        <v>3153</v>
      </c>
      <c r="N12" s="49">
        <f>ROUND(+N$4/+'Age Factors'!N12,0)</f>
        <v>3414</v>
      </c>
      <c r="O12" s="49">
        <f>ROUND(+O$4/+'Age Factors'!O12,0)</f>
        <v>4355</v>
      </c>
      <c r="P12" s="49">
        <f>ROUND(+P$4/+'Age Factors'!P12,0)</f>
        <v>4636</v>
      </c>
      <c r="Q12" s="49">
        <f>ROUND(+Q$4/+'Age Factors'!Q12,0)</f>
        <v>5596</v>
      </c>
      <c r="R12" s="49">
        <f>ROUND(+R$4/+'Age Factors'!R12,0)</f>
        <v>6863</v>
      </c>
      <c r="S12" s="49">
        <f>ROUND(+S$4/+'Age Factors'!S12,0)</f>
        <v>10058</v>
      </c>
      <c r="T12" s="49">
        <f>ROUND(+T$4/+'Age Factors'!T12,0)</f>
        <v>12115</v>
      </c>
      <c r="U12" s="49">
        <f>ROUND(+U$4/+'Age Factors'!U12,0)</f>
        <v>22062</v>
      </c>
      <c r="V12" s="49">
        <f>ROUND(+V$4/+'Age Factors'!V12,0)</f>
        <v>30436</v>
      </c>
      <c r="W12" s="49">
        <f>ROUND(+W$4/+'Age Factors'!W12,0)</f>
        <v>51219</v>
      </c>
      <c r="X12" s="49">
        <f>ROUND(+X$4/+'Age Factors'!X12,0)</f>
        <v>56122</v>
      </c>
      <c r="Y12" s="49">
        <f>ROUND(+Y$4/+'Age Factors'!Y12,0)</f>
        <v>74313</v>
      </c>
      <c r="Z12" s="46"/>
    </row>
    <row r="13" spans="1:26">
      <c r="A13" s="48">
        <v>12</v>
      </c>
      <c r="B13" s="480">
        <f>ROUND(+B$4/+'Age Factors'!B13,0)</f>
        <v>177</v>
      </c>
      <c r="C13" s="49">
        <f>ROUND(+C$4/+'Age Factors'!C13,0)</f>
        <v>291</v>
      </c>
      <c r="D13" s="49">
        <f>ROUND(+D$4/+'Age Factors'!D13,0)</f>
        <v>556</v>
      </c>
      <c r="E13" s="49">
        <f>ROUND(+E$4/+'Age Factors'!E13,0)</f>
        <v>945</v>
      </c>
      <c r="F13" s="49">
        <f>ROUND(+F$4/+'Age Factors'!F13,0)</f>
        <v>1143</v>
      </c>
      <c r="G13" s="49">
        <f>ROUND(+G$4/+'Age Factors'!G13,0)</f>
        <v>1233</v>
      </c>
      <c r="H13" s="49">
        <f>ROUND(+H$4/+'Age Factors'!H13,0)</f>
        <v>1550</v>
      </c>
      <c r="I13" s="49">
        <f>ROUND(+I$4/+'Age Factors'!I13,0)</f>
        <v>1561</v>
      </c>
      <c r="J13" s="49">
        <f>ROUND(+J$4/+'Age Factors'!J13,0)</f>
        <v>1962</v>
      </c>
      <c r="K13" s="49">
        <f>ROUND(+K$4/+'Age Factors'!K13,0)</f>
        <v>2232</v>
      </c>
      <c r="L13" s="49">
        <f>ROUND(+L$4/+'Age Factors'!L13,0)</f>
        <v>2395</v>
      </c>
      <c r="M13" s="49">
        <f>ROUND(+M$4/+'Age Factors'!M13,0)</f>
        <v>3062</v>
      </c>
      <c r="N13" s="49">
        <f>ROUND(+N$4/+'Age Factors'!N13,0)</f>
        <v>3313</v>
      </c>
      <c r="O13" s="49">
        <f>ROUND(+O$4/+'Age Factors'!O13,0)</f>
        <v>4216</v>
      </c>
      <c r="P13" s="49">
        <f>ROUND(+P$4/+'Age Factors'!P13,0)</f>
        <v>4486</v>
      </c>
      <c r="Q13" s="49">
        <f>ROUND(+Q$4/+'Age Factors'!Q13,0)</f>
        <v>5411</v>
      </c>
      <c r="R13" s="49">
        <f>ROUND(+R$4/+'Age Factors'!R13,0)</f>
        <v>6632</v>
      </c>
      <c r="S13" s="49">
        <f>ROUND(+S$4/+'Age Factors'!S13,0)</f>
        <v>9704</v>
      </c>
      <c r="T13" s="49">
        <f>ROUND(+T$4/+'Age Factors'!T13,0)</f>
        <v>11688</v>
      </c>
      <c r="U13" s="49">
        <f>ROUND(+U$4/+'Age Factors'!U13,0)</f>
        <v>21285</v>
      </c>
      <c r="V13" s="49">
        <f>ROUND(+V$4/+'Age Factors'!V13,0)</f>
        <v>29364</v>
      </c>
      <c r="W13" s="49">
        <f>ROUND(+W$4/+'Age Factors'!W13,0)</f>
        <v>49415</v>
      </c>
      <c r="X13" s="49">
        <f>ROUND(+X$4/+'Age Factors'!X13,0)</f>
        <v>54145</v>
      </c>
      <c r="Y13" s="49">
        <f>ROUND(+Y$4/+'Age Factors'!Y13,0)</f>
        <v>71695</v>
      </c>
      <c r="Z13" s="46"/>
    </row>
    <row r="14" spans="1:26">
      <c r="A14" s="48">
        <v>13</v>
      </c>
      <c r="B14" s="480">
        <f>ROUND(+B$4/+'Age Factors'!B14,0)</f>
        <v>173</v>
      </c>
      <c r="C14" s="49">
        <f>ROUND(+C$4/+'Age Factors'!C14,0)</f>
        <v>285</v>
      </c>
      <c r="D14" s="49">
        <f>ROUND(+D$4/+'Age Factors'!D14,0)</f>
        <v>544</v>
      </c>
      <c r="E14" s="49">
        <f>ROUND(+E$4/+'Age Factors'!E14,0)</f>
        <v>922</v>
      </c>
      <c r="F14" s="49">
        <f>ROUND(+F$4/+'Age Factors'!F14,0)</f>
        <v>1116</v>
      </c>
      <c r="G14" s="49">
        <f>ROUND(+G$4/+'Age Factors'!G14,0)</f>
        <v>1204</v>
      </c>
      <c r="H14" s="49">
        <f>ROUND(+H$4/+'Age Factors'!H14,0)</f>
        <v>1514</v>
      </c>
      <c r="I14" s="49">
        <f>ROUND(+I$4/+'Age Factors'!I14,0)</f>
        <v>1525</v>
      </c>
      <c r="J14" s="49">
        <f>ROUND(+J$4/+'Age Factors'!J14,0)</f>
        <v>1917</v>
      </c>
      <c r="K14" s="49">
        <f>ROUND(+K$4/+'Age Factors'!K14,0)</f>
        <v>2179</v>
      </c>
      <c r="L14" s="49">
        <f>ROUND(+L$4/+'Age Factors'!L14,0)</f>
        <v>2336</v>
      </c>
      <c r="M14" s="49">
        <f>ROUND(+M$4/+'Age Factors'!M14,0)</f>
        <v>2982</v>
      </c>
      <c r="N14" s="49">
        <f>ROUND(+N$4/+'Age Factors'!N14,0)</f>
        <v>3224</v>
      </c>
      <c r="O14" s="49">
        <f>ROUND(+O$4/+'Age Factors'!O14,0)</f>
        <v>4096</v>
      </c>
      <c r="P14" s="49">
        <f>ROUND(+P$4/+'Age Factors'!P14,0)</f>
        <v>4356</v>
      </c>
      <c r="Q14" s="49">
        <f>ROUND(+Q$4/+'Age Factors'!Q14,0)</f>
        <v>5253</v>
      </c>
      <c r="R14" s="49">
        <f>ROUND(+R$4/+'Age Factors'!R14,0)</f>
        <v>6435</v>
      </c>
      <c r="S14" s="49">
        <f>ROUND(+S$4/+'Age Factors'!S14,0)</f>
        <v>9410</v>
      </c>
      <c r="T14" s="49">
        <f>ROUND(+T$4/+'Age Factors'!T14,0)</f>
        <v>11334</v>
      </c>
      <c r="U14" s="49">
        <f>ROUND(+U$4/+'Age Factors'!U14,0)</f>
        <v>20640</v>
      </c>
      <c r="V14" s="49">
        <f>ROUND(+V$4/+'Age Factors'!V14,0)</f>
        <v>28474</v>
      </c>
      <c r="W14" s="49">
        <f>ROUND(+W$4/+'Age Factors'!W14,0)</f>
        <v>47918</v>
      </c>
      <c r="X14" s="49">
        <f>ROUND(+X$4/+'Age Factors'!X14,0)</f>
        <v>52505</v>
      </c>
      <c r="Y14" s="49">
        <f>ROUND(+Y$4/+'Age Factors'!Y14,0)</f>
        <v>69523</v>
      </c>
      <c r="Z14" s="46"/>
    </row>
    <row r="15" spans="1:26">
      <c r="A15" s="48">
        <v>14</v>
      </c>
      <c r="B15" s="480">
        <f>ROUND(+B$4/+'Age Factors'!B15,0)</f>
        <v>170</v>
      </c>
      <c r="C15" s="49">
        <f>ROUND(+C$4/+'Age Factors'!C15,0)</f>
        <v>279</v>
      </c>
      <c r="D15" s="49">
        <f>ROUND(+D$4/+'Age Factors'!D15,0)</f>
        <v>533</v>
      </c>
      <c r="E15" s="49">
        <f>ROUND(+E$4/+'Age Factors'!E15,0)</f>
        <v>902</v>
      </c>
      <c r="F15" s="49">
        <f>ROUND(+F$4/+'Age Factors'!F15,0)</f>
        <v>1092</v>
      </c>
      <c r="G15" s="49">
        <f>ROUND(+G$4/+'Age Factors'!G15,0)</f>
        <v>1178</v>
      </c>
      <c r="H15" s="49">
        <f>ROUND(+H$4/+'Age Factors'!H15,0)</f>
        <v>1482</v>
      </c>
      <c r="I15" s="49">
        <f>ROUND(+I$4/+'Age Factors'!I15,0)</f>
        <v>1493</v>
      </c>
      <c r="J15" s="49">
        <f>ROUND(+J$4/+'Age Factors'!J15,0)</f>
        <v>1878</v>
      </c>
      <c r="K15" s="49">
        <f>ROUND(+K$4/+'Age Factors'!K15,0)</f>
        <v>2133</v>
      </c>
      <c r="L15" s="49">
        <f>ROUND(+L$4/+'Age Factors'!L15,0)</f>
        <v>2286</v>
      </c>
      <c r="M15" s="49">
        <f>ROUND(+M$4/+'Age Factors'!M15,0)</f>
        <v>2912</v>
      </c>
      <c r="N15" s="49">
        <f>ROUND(+N$4/+'Age Factors'!N15,0)</f>
        <v>3147</v>
      </c>
      <c r="O15" s="49">
        <f>ROUND(+O$4/+'Age Factors'!O15,0)</f>
        <v>3991</v>
      </c>
      <c r="P15" s="49">
        <f>ROUND(+P$4/+'Age Factors'!P15,0)</f>
        <v>4243</v>
      </c>
      <c r="Q15" s="49">
        <f>ROUND(+Q$4/+'Age Factors'!Q15,0)</f>
        <v>5116</v>
      </c>
      <c r="R15" s="49">
        <f>ROUND(+R$4/+'Age Factors'!R15,0)</f>
        <v>6268</v>
      </c>
      <c r="S15" s="49">
        <f>ROUND(+S$4/+'Age Factors'!S15,0)</f>
        <v>9165</v>
      </c>
      <c r="T15" s="49">
        <f>ROUND(+T$4/+'Age Factors'!T15,0)</f>
        <v>11039</v>
      </c>
      <c r="U15" s="49">
        <f>ROUND(+U$4/+'Age Factors'!U15,0)</f>
        <v>20103</v>
      </c>
      <c r="V15" s="49">
        <f>ROUND(+V$4/+'Age Factors'!V15,0)</f>
        <v>27735</v>
      </c>
      <c r="W15" s="49">
        <f>ROUND(+W$4/+'Age Factors'!W15,0)</f>
        <v>46673</v>
      </c>
      <c r="X15" s="49">
        <f>ROUND(+X$4/+'Age Factors'!X15,0)</f>
        <v>51140</v>
      </c>
      <c r="Y15" s="49">
        <f>ROUND(+Y$4/+'Age Factors'!Y15,0)</f>
        <v>67717</v>
      </c>
      <c r="Z15" s="46"/>
    </row>
    <row r="16" spans="1:26">
      <c r="A16" s="56">
        <v>15</v>
      </c>
      <c r="B16" s="459">
        <f>ROUND(+B$4/+'Age Factors'!B16,0)</f>
        <v>167</v>
      </c>
      <c r="C16" s="60">
        <f>ROUND(+C$4/+'Age Factors'!C16,0)</f>
        <v>274</v>
      </c>
      <c r="D16" s="60">
        <f>ROUND(+D$4/+'Age Factors'!D16,0)</f>
        <v>523</v>
      </c>
      <c r="E16" s="60">
        <f>ROUND(+E$4/+'Age Factors'!E16,0)</f>
        <v>884</v>
      </c>
      <c r="F16" s="60">
        <f>ROUND(+F$4/+'Age Factors'!F16,0)</f>
        <v>1071</v>
      </c>
      <c r="G16" s="60">
        <f>ROUND(+G$4/+'Age Factors'!G16,0)</f>
        <v>1156</v>
      </c>
      <c r="H16" s="60">
        <f>ROUND(+H$4/+'Age Factors'!H16,0)</f>
        <v>1455</v>
      </c>
      <c r="I16" s="60">
        <f>ROUND(+I$4/+'Age Factors'!I16,0)</f>
        <v>1465</v>
      </c>
      <c r="J16" s="60">
        <f>ROUND(+J$4/+'Age Factors'!J16,0)</f>
        <v>1844</v>
      </c>
      <c r="K16" s="60">
        <f>ROUND(+K$4/+'Age Factors'!K16,0)</f>
        <v>2092</v>
      </c>
      <c r="L16" s="60">
        <f>ROUND(+L$4/+'Age Factors'!L16,0)</f>
        <v>2242</v>
      </c>
      <c r="M16" s="60">
        <f>ROUND(+M$4/+'Age Factors'!M16,0)</f>
        <v>2852</v>
      </c>
      <c r="N16" s="60">
        <f>ROUND(+N$4/+'Age Factors'!N16,0)</f>
        <v>3080</v>
      </c>
      <c r="O16" s="60">
        <f>ROUND(+O$4/+'Age Factors'!O16,0)</f>
        <v>3901</v>
      </c>
      <c r="P16" s="60">
        <f>ROUND(+P$4/+'Age Factors'!P16,0)</f>
        <v>4145</v>
      </c>
      <c r="Q16" s="60">
        <f>ROUND(+Q$4/+'Age Factors'!Q16,0)</f>
        <v>4999</v>
      </c>
      <c r="R16" s="60">
        <f>ROUND(+R$4/+'Age Factors'!R16,0)</f>
        <v>6128</v>
      </c>
      <c r="S16" s="60">
        <f>ROUND(+S$4/+'Age Factors'!S16,0)</f>
        <v>8966</v>
      </c>
      <c r="T16" s="60">
        <f>ROUND(+T$4/+'Age Factors'!T16,0)</f>
        <v>10799</v>
      </c>
      <c r="U16" s="60">
        <f>ROUND(+U$4/+'Age Factors'!U16,0)</f>
        <v>19666</v>
      </c>
      <c r="V16" s="60">
        <f>ROUND(+V$4/+'Age Factors'!V16,0)</f>
        <v>27132</v>
      </c>
      <c r="W16" s="60">
        <f>ROUND(+W$4/+'Age Factors'!W16,0)</f>
        <v>45658</v>
      </c>
      <c r="X16" s="60">
        <f>ROUND(+X$4/+'Age Factors'!X16,0)</f>
        <v>50029</v>
      </c>
      <c r="Y16" s="60">
        <f>ROUND(+Y$4/+'Age Factors'!Y16,0)</f>
        <v>66245</v>
      </c>
      <c r="Z16" s="46"/>
    </row>
    <row r="17" spans="1:26">
      <c r="A17" s="48">
        <v>16</v>
      </c>
      <c r="B17" s="480">
        <f>ROUND(+B$4/+'Age Factors'!B17,0)</f>
        <v>165</v>
      </c>
      <c r="C17" s="49">
        <f>ROUND(+C$4/+'Age Factors'!C17,0)</f>
        <v>270</v>
      </c>
      <c r="D17" s="49">
        <f>ROUND(+D$4/+'Age Factors'!D17,0)</f>
        <v>513</v>
      </c>
      <c r="E17" s="49">
        <f>ROUND(+E$4/+'Age Factors'!E17,0)</f>
        <v>867</v>
      </c>
      <c r="F17" s="49">
        <f>ROUND(+F$4/+'Age Factors'!F17,0)</f>
        <v>1051</v>
      </c>
      <c r="G17" s="49">
        <f>ROUND(+G$4/+'Age Factors'!G17,0)</f>
        <v>1134</v>
      </c>
      <c r="H17" s="49">
        <f>ROUND(+H$4/+'Age Factors'!H17,0)</f>
        <v>1429</v>
      </c>
      <c r="I17" s="49">
        <f>ROUND(+I$4/+'Age Factors'!I17,0)</f>
        <v>1439</v>
      </c>
      <c r="J17" s="49">
        <f>ROUND(+J$4/+'Age Factors'!J17,0)</f>
        <v>1813</v>
      </c>
      <c r="K17" s="49">
        <f>ROUND(+K$4/+'Age Factors'!K17,0)</f>
        <v>2056</v>
      </c>
      <c r="L17" s="49">
        <f>ROUND(+L$4/+'Age Factors'!L17,0)</f>
        <v>2202</v>
      </c>
      <c r="M17" s="49">
        <f>ROUND(+M$4/+'Age Factors'!M17,0)</f>
        <v>2797</v>
      </c>
      <c r="N17" s="49">
        <f>ROUND(+N$4/+'Age Factors'!N17,0)</f>
        <v>3019</v>
      </c>
      <c r="O17" s="49">
        <f>ROUND(+O$4/+'Age Factors'!O17,0)</f>
        <v>3818</v>
      </c>
      <c r="P17" s="49">
        <f>ROUND(+P$4/+'Age Factors'!P17,0)</f>
        <v>4056</v>
      </c>
      <c r="Q17" s="49">
        <f>ROUND(+Q$4/+'Age Factors'!Q17,0)</f>
        <v>4894</v>
      </c>
      <c r="R17" s="49">
        <f>ROUND(+R$4/+'Age Factors'!R17,0)</f>
        <v>6002</v>
      </c>
      <c r="S17" s="49">
        <f>ROUND(+S$4/+'Age Factors'!S17,0)</f>
        <v>8790</v>
      </c>
      <c r="T17" s="49">
        <f>ROUND(+T$4/+'Age Factors'!T17,0)</f>
        <v>10587</v>
      </c>
      <c r="U17" s="49">
        <f>ROUND(+U$4/+'Age Factors'!U17,0)</f>
        <v>19281</v>
      </c>
      <c r="V17" s="49">
        <f>ROUND(+V$4/+'Age Factors'!V17,0)</f>
        <v>26599</v>
      </c>
      <c r="W17" s="49">
        <f>ROUND(+W$4/+'Age Factors'!W17,0)</f>
        <v>44763</v>
      </c>
      <c r="X17" s="49">
        <f>ROUND(+X$4/+'Age Factors'!X17,0)</f>
        <v>49047</v>
      </c>
      <c r="Y17" s="49">
        <f>ROUND(+Y$4/+'Age Factors'!Y17,0)</f>
        <v>64945</v>
      </c>
      <c r="Z17" s="46"/>
    </row>
    <row r="18" spans="1:26">
      <c r="A18" s="48">
        <v>17</v>
      </c>
      <c r="B18" s="480">
        <f>ROUND(+B$4/+'Age Factors'!B18,0)</f>
        <v>162</v>
      </c>
      <c r="C18" s="49">
        <f>ROUND(+C$4/+'Age Factors'!C18,0)</f>
        <v>265</v>
      </c>
      <c r="D18" s="49">
        <f>ROUND(+D$4/+'Age Factors'!D18,0)</f>
        <v>504</v>
      </c>
      <c r="E18" s="49">
        <f>ROUND(+E$4/+'Age Factors'!E18,0)</f>
        <v>850</v>
      </c>
      <c r="F18" s="49">
        <f>ROUND(+F$4/+'Age Factors'!F18,0)</f>
        <v>1031</v>
      </c>
      <c r="G18" s="49">
        <f>ROUND(+G$4/+'Age Factors'!G18,0)</f>
        <v>1113</v>
      </c>
      <c r="H18" s="49">
        <f>ROUND(+H$4/+'Age Factors'!H18,0)</f>
        <v>1404</v>
      </c>
      <c r="I18" s="49">
        <f>ROUND(+I$4/+'Age Factors'!I18,0)</f>
        <v>1414</v>
      </c>
      <c r="J18" s="49">
        <f>ROUND(+J$4/+'Age Factors'!J18,0)</f>
        <v>1783</v>
      </c>
      <c r="K18" s="49">
        <f>ROUND(+K$4/+'Age Factors'!K18,0)</f>
        <v>2021</v>
      </c>
      <c r="L18" s="49">
        <f>ROUND(+L$4/+'Age Factors'!L18,0)</f>
        <v>2163</v>
      </c>
      <c r="M18" s="49">
        <f>ROUND(+M$4/+'Age Factors'!M18,0)</f>
        <v>2744</v>
      </c>
      <c r="N18" s="49">
        <f>ROUND(+N$4/+'Age Factors'!N18,0)</f>
        <v>2961</v>
      </c>
      <c r="O18" s="49">
        <f>ROUND(+O$4/+'Age Factors'!O18,0)</f>
        <v>3739</v>
      </c>
      <c r="P18" s="49">
        <f>ROUND(+P$4/+'Age Factors'!P18,0)</f>
        <v>3971</v>
      </c>
      <c r="Q18" s="49">
        <f>ROUND(+Q$4/+'Age Factors'!Q18,0)</f>
        <v>4793</v>
      </c>
      <c r="R18" s="49">
        <f>ROUND(+R$4/+'Age Factors'!R18,0)</f>
        <v>5880</v>
      </c>
      <c r="S18" s="49">
        <f>ROUND(+S$4/+'Age Factors'!S18,0)</f>
        <v>8621</v>
      </c>
      <c r="T18" s="49">
        <f>ROUND(+T$4/+'Age Factors'!T18,0)</f>
        <v>10384</v>
      </c>
      <c r="U18" s="49">
        <f>ROUND(+U$4/+'Age Factors'!U18,0)</f>
        <v>18910</v>
      </c>
      <c r="V18" s="49">
        <f>ROUND(+V$4/+'Age Factors'!V18,0)</f>
        <v>26088</v>
      </c>
      <c r="W18" s="49">
        <f>ROUND(+W$4/+'Age Factors'!W18,0)</f>
        <v>43901</v>
      </c>
      <c r="X18" s="49">
        <f>ROUND(+X$4/+'Age Factors'!X18,0)</f>
        <v>48104</v>
      </c>
      <c r="Y18" s="49">
        <f>ROUND(+Y$4/+'Age Factors'!Y18,0)</f>
        <v>63696</v>
      </c>
      <c r="Z18" s="46"/>
    </row>
    <row r="19" spans="1:26">
      <c r="A19" s="48">
        <v>18</v>
      </c>
      <c r="B19" s="480">
        <f>ROUND(+B$4/+'Age Factors'!B19,0)</f>
        <v>161</v>
      </c>
      <c r="C19" s="49">
        <f>ROUND(+C$4/+'Age Factors'!C19,0)</f>
        <v>262</v>
      </c>
      <c r="D19" s="49">
        <f>ROUND(+D$4/+'Age Factors'!D19,0)</f>
        <v>497</v>
      </c>
      <c r="E19" s="49">
        <f>ROUND(+E$4/+'Age Factors'!E19,0)</f>
        <v>838</v>
      </c>
      <c r="F19" s="49">
        <f>ROUND(+F$4/+'Age Factors'!F19,0)</f>
        <v>1016</v>
      </c>
      <c r="G19" s="49">
        <f>ROUND(+G$4/+'Age Factors'!G19,0)</f>
        <v>1097</v>
      </c>
      <c r="H19" s="49">
        <f>ROUND(+H$4/+'Age Factors'!H19,0)</f>
        <v>1384</v>
      </c>
      <c r="I19" s="49">
        <f>ROUND(+I$4/+'Age Factors'!I19,0)</f>
        <v>1394</v>
      </c>
      <c r="J19" s="49">
        <f>ROUND(+J$4/+'Age Factors'!J19,0)</f>
        <v>1758</v>
      </c>
      <c r="K19" s="49">
        <f>ROUND(+K$4/+'Age Factors'!K19,0)</f>
        <v>1990</v>
      </c>
      <c r="L19" s="49">
        <f>ROUND(+L$4/+'Age Factors'!L19,0)</f>
        <v>2130</v>
      </c>
      <c r="M19" s="49">
        <f>ROUND(+M$4/+'Age Factors'!M19,0)</f>
        <v>2698</v>
      </c>
      <c r="N19" s="49">
        <f>ROUND(+N$4/+'Age Factors'!N19,0)</f>
        <v>2910</v>
      </c>
      <c r="O19" s="49">
        <f>ROUND(+O$4/+'Age Factors'!O19,0)</f>
        <v>3671</v>
      </c>
      <c r="P19" s="49">
        <f>ROUND(+P$4/+'Age Factors'!P19,0)</f>
        <v>3897</v>
      </c>
      <c r="Q19" s="49">
        <f>ROUND(+Q$4/+'Age Factors'!Q19,0)</f>
        <v>4704</v>
      </c>
      <c r="R19" s="49">
        <f>ROUND(+R$4/+'Age Factors'!R19,0)</f>
        <v>5770</v>
      </c>
      <c r="S19" s="49">
        <f>ROUND(+S$4/+'Age Factors'!S19,0)</f>
        <v>8458</v>
      </c>
      <c r="T19" s="49">
        <f>ROUND(+T$4/+'Age Factors'!T19,0)</f>
        <v>10188</v>
      </c>
      <c r="U19" s="49">
        <f>ROUND(+U$4/+'Age Factors'!U19,0)</f>
        <v>18553</v>
      </c>
      <c r="V19" s="49">
        <f>ROUND(+V$4/+'Age Factors'!V19,0)</f>
        <v>25595</v>
      </c>
      <c r="W19" s="49">
        <f>ROUND(+W$4/+'Age Factors'!W19,0)</f>
        <v>43073</v>
      </c>
      <c r="X19" s="49">
        <f>ROUND(+X$4/+'Age Factors'!X19,0)</f>
        <v>47195</v>
      </c>
      <c r="Y19" s="49">
        <f>ROUND(+Y$4/+'Age Factors'!Y19,0)</f>
        <v>62493</v>
      </c>
      <c r="Z19" s="46"/>
    </row>
    <row r="20" spans="1:26">
      <c r="A20" s="48">
        <v>19</v>
      </c>
      <c r="B20" s="480">
        <f>ROUND(+B$4/+'Age Factors'!B20,0)</f>
        <v>160</v>
      </c>
      <c r="C20" s="49">
        <f>ROUND(+C$4/+'Age Factors'!C20,0)</f>
        <v>261</v>
      </c>
      <c r="D20" s="49">
        <f>ROUND(+D$4/+'Age Factors'!D20,0)</f>
        <v>495</v>
      </c>
      <c r="E20" s="49">
        <f>ROUND(+E$4/+'Age Factors'!E20,0)</f>
        <v>834</v>
      </c>
      <c r="F20" s="49">
        <f>ROUND(+F$4/+'Age Factors'!F20,0)</f>
        <v>1010</v>
      </c>
      <c r="G20" s="49">
        <f>ROUND(+G$4/+'Age Factors'!G20,0)</f>
        <v>1090</v>
      </c>
      <c r="H20" s="49">
        <f>ROUND(+H$4/+'Age Factors'!H20,0)</f>
        <v>1372</v>
      </c>
      <c r="I20" s="49">
        <f>ROUND(+I$4/+'Age Factors'!I20,0)</f>
        <v>1383</v>
      </c>
      <c r="J20" s="49">
        <f>ROUND(+J$4/+'Age Factors'!J20,0)</f>
        <v>1740</v>
      </c>
      <c r="K20" s="49">
        <f>ROUND(+K$4/+'Age Factors'!K20,0)</f>
        <v>1969</v>
      </c>
      <c r="L20" s="49">
        <f>ROUND(+L$4/+'Age Factors'!L20,0)</f>
        <v>2106</v>
      </c>
      <c r="M20" s="49">
        <f>ROUND(+M$4/+'Age Factors'!M20,0)</f>
        <v>2665</v>
      </c>
      <c r="N20" s="49">
        <f>ROUND(+N$4/+'Age Factors'!N20,0)</f>
        <v>2873</v>
      </c>
      <c r="O20" s="49">
        <f>ROUND(+O$4/+'Age Factors'!O20,0)</f>
        <v>3620</v>
      </c>
      <c r="P20" s="49">
        <f>ROUND(+P$4/+'Age Factors'!P20,0)</f>
        <v>3841</v>
      </c>
      <c r="Q20" s="49">
        <f>ROUND(+Q$4/+'Age Factors'!Q20,0)</f>
        <v>4632</v>
      </c>
      <c r="R20" s="49">
        <f>ROUND(+R$4/+'Age Factors'!R20,0)</f>
        <v>5676</v>
      </c>
      <c r="S20" s="49">
        <f>ROUND(+S$4/+'Age Factors'!S20,0)</f>
        <v>8302</v>
      </c>
      <c r="T20" s="49">
        <f>ROUND(+T$4/+'Age Factors'!T20,0)</f>
        <v>9999</v>
      </c>
      <c r="U20" s="49">
        <f>ROUND(+U$4/+'Age Factors'!U20,0)</f>
        <v>18209</v>
      </c>
      <c r="V20" s="49">
        <f>ROUND(+V$4/+'Age Factors'!V20,0)</f>
        <v>25121</v>
      </c>
      <c r="W20" s="49">
        <f>ROUND(+W$4/+'Age Factors'!W20,0)</f>
        <v>42275</v>
      </c>
      <c r="X20" s="49">
        <f>ROUND(+X$4/+'Age Factors'!X20,0)</f>
        <v>46321</v>
      </c>
      <c r="Y20" s="49">
        <f>ROUND(+Y$4/+'Age Factors'!Y20,0)</f>
        <v>61335</v>
      </c>
      <c r="Z20" s="46"/>
    </row>
    <row r="21" spans="1:26">
      <c r="A21" s="56">
        <v>20</v>
      </c>
      <c r="B21" s="459">
        <f>ROUND(+B$4/+'Age Factors'!B21,0)</f>
        <v>160</v>
      </c>
      <c r="C21" s="60">
        <f>ROUND(+C$4/+'Age Factors'!C21,0)</f>
        <v>261</v>
      </c>
      <c r="D21" s="60">
        <f>ROUND(+D$4/+'Age Factors'!D21,0)</f>
        <v>495</v>
      </c>
      <c r="E21" s="60">
        <f>ROUND(+E$4/+'Age Factors'!E21,0)</f>
        <v>834</v>
      </c>
      <c r="F21" s="60">
        <f>ROUND(+F$4/+'Age Factors'!F21,0)</f>
        <v>1009</v>
      </c>
      <c r="G21" s="60">
        <f>ROUND(+G$4/+'Age Factors'!G21,0)</f>
        <v>1088</v>
      </c>
      <c r="H21" s="60">
        <f>ROUND(+H$4/+'Age Factors'!H21,0)</f>
        <v>1367</v>
      </c>
      <c r="I21" s="60">
        <f>ROUND(+I$4/+'Age Factors'!I21,0)</f>
        <v>1377</v>
      </c>
      <c r="J21" s="60">
        <f>ROUND(+J$4/+'Age Factors'!J21,0)</f>
        <v>1729</v>
      </c>
      <c r="K21" s="60">
        <f>ROUND(+K$4/+'Age Factors'!K21,0)</f>
        <v>1956</v>
      </c>
      <c r="L21" s="60">
        <f>ROUND(+L$4/+'Age Factors'!L21,0)</f>
        <v>2091</v>
      </c>
      <c r="M21" s="60">
        <f>ROUND(+M$4/+'Age Factors'!M21,0)</f>
        <v>2643</v>
      </c>
      <c r="N21" s="60">
        <f>ROUND(+N$4/+'Age Factors'!N21,0)</f>
        <v>2849</v>
      </c>
      <c r="O21" s="60">
        <f>ROUND(+O$4/+'Age Factors'!O21,0)</f>
        <v>3584</v>
      </c>
      <c r="P21" s="60">
        <f>ROUND(+P$4/+'Age Factors'!P21,0)</f>
        <v>3802</v>
      </c>
      <c r="Q21" s="60">
        <f>ROUND(+Q$4/+'Age Factors'!Q21,0)</f>
        <v>4578</v>
      </c>
      <c r="R21" s="60">
        <f>ROUND(+R$4/+'Age Factors'!R21,0)</f>
        <v>5599</v>
      </c>
      <c r="S21" s="60">
        <f>ROUND(+S$4/+'Age Factors'!S21,0)</f>
        <v>8161</v>
      </c>
      <c r="T21" s="60">
        <f>ROUND(+T$4/+'Age Factors'!T21,0)</f>
        <v>9829</v>
      </c>
      <c r="U21" s="60">
        <f>ROUND(+U$4/+'Age Factors'!U21,0)</f>
        <v>17900</v>
      </c>
      <c r="V21" s="60">
        <f>ROUND(+V$4/+'Age Factors'!V21,0)</f>
        <v>24695</v>
      </c>
      <c r="W21" s="60">
        <f>ROUND(+W$4/+'Age Factors'!W21,0)</f>
        <v>41558</v>
      </c>
      <c r="X21" s="60">
        <f>ROUND(+X$4/+'Age Factors'!X21,0)</f>
        <v>45535</v>
      </c>
      <c r="Y21" s="60">
        <f>ROUND(+Y$4/+'Age Factors'!Y21,0)</f>
        <v>60295</v>
      </c>
      <c r="Z21" s="46"/>
    </row>
    <row r="22" spans="1:26">
      <c r="A22" s="48">
        <v>21</v>
      </c>
      <c r="B22" s="480">
        <f>ROUND(+B$4/+'Age Factors'!B22,0)</f>
        <v>160</v>
      </c>
      <c r="C22" s="49">
        <f>ROUND(+C$4/+'Age Factors'!C22,0)</f>
        <v>261</v>
      </c>
      <c r="D22" s="49">
        <f>ROUND(+D$4/+'Age Factors'!D22,0)</f>
        <v>495</v>
      </c>
      <c r="E22" s="49">
        <f>ROUND(+E$4/+'Age Factors'!E22,0)</f>
        <v>834</v>
      </c>
      <c r="F22" s="49">
        <f>ROUND(+F$4/+'Age Factors'!F22,0)</f>
        <v>1008</v>
      </c>
      <c r="G22" s="49">
        <f>ROUND(+G$4/+'Age Factors'!G22,0)</f>
        <v>1087</v>
      </c>
      <c r="H22" s="49">
        <f>ROUND(+H$4/+'Age Factors'!H22,0)</f>
        <v>1365</v>
      </c>
      <c r="I22" s="49">
        <f>ROUND(+I$4/+'Age Factors'!I22,0)</f>
        <v>1375</v>
      </c>
      <c r="J22" s="49">
        <f>ROUND(+J$4/+'Age Factors'!J22,0)</f>
        <v>1726</v>
      </c>
      <c r="K22" s="49">
        <f>ROUND(+K$4/+'Age Factors'!K22,0)</f>
        <v>1951</v>
      </c>
      <c r="L22" s="49">
        <f>ROUND(+L$4/+'Age Factors'!L22,0)</f>
        <v>2085</v>
      </c>
      <c r="M22" s="49">
        <f>ROUND(+M$4/+'Age Factors'!M22,0)</f>
        <v>2632</v>
      </c>
      <c r="N22" s="49">
        <f>ROUND(+N$4/+'Age Factors'!N22,0)</f>
        <v>2836</v>
      </c>
      <c r="O22" s="49">
        <f>ROUND(+O$4/+'Age Factors'!O22,0)</f>
        <v>3564</v>
      </c>
      <c r="P22" s="49">
        <f>ROUND(+P$4/+'Age Factors'!P22,0)</f>
        <v>3780</v>
      </c>
      <c r="Q22" s="49">
        <f>ROUND(+Q$4/+'Age Factors'!Q22,0)</f>
        <v>4541</v>
      </c>
      <c r="R22" s="49">
        <f>ROUND(+R$4/+'Age Factors'!R22,0)</f>
        <v>5543</v>
      </c>
      <c r="S22" s="49">
        <f>ROUND(+S$4/+'Age Factors'!S22,0)</f>
        <v>8046</v>
      </c>
      <c r="T22" s="49">
        <f>ROUND(+T$4/+'Age Factors'!T22,0)</f>
        <v>9691</v>
      </c>
      <c r="U22" s="49">
        <f>ROUND(+U$4/+'Age Factors'!U22,0)</f>
        <v>17649</v>
      </c>
      <c r="V22" s="49">
        <f>ROUND(+V$4/+'Age Factors'!V22,0)</f>
        <v>24348</v>
      </c>
      <c r="W22" s="49">
        <f>ROUND(+W$4/+'Age Factors'!W22,0)</f>
        <v>40974</v>
      </c>
      <c r="X22" s="49">
        <f>ROUND(+X$4/+'Age Factors'!X22,0)</f>
        <v>44896</v>
      </c>
      <c r="Y22" s="49">
        <f>ROUND(+Y$4/+'Age Factors'!Y22,0)</f>
        <v>59449</v>
      </c>
      <c r="Z22" s="46"/>
    </row>
    <row r="23" spans="1:26">
      <c r="A23" s="48">
        <v>22</v>
      </c>
      <c r="B23" s="480">
        <f>ROUND(+B$4/+'Age Factors'!B23,0)</f>
        <v>160</v>
      </c>
      <c r="C23" s="49">
        <f>ROUND(+C$4/+'Age Factors'!C23,0)</f>
        <v>261</v>
      </c>
      <c r="D23" s="49">
        <f>ROUND(+D$4/+'Age Factors'!D23,0)</f>
        <v>495</v>
      </c>
      <c r="E23" s="49">
        <f>ROUND(+E$4/+'Age Factors'!E23,0)</f>
        <v>834</v>
      </c>
      <c r="F23" s="49">
        <f>ROUND(+F$4/+'Age Factors'!F23,0)</f>
        <v>1008</v>
      </c>
      <c r="G23" s="49">
        <f>ROUND(+G$4/+'Age Factors'!G23,0)</f>
        <v>1087</v>
      </c>
      <c r="H23" s="49">
        <f>ROUND(+H$4/+'Age Factors'!H23,0)</f>
        <v>1365</v>
      </c>
      <c r="I23" s="49">
        <f>ROUND(+I$4/+'Age Factors'!I23,0)</f>
        <v>1375</v>
      </c>
      <c r="J23" s="49">
        <f>ROUND(+J$4/+'Age Factors'!J23,0)</f>
        <v>1726</v>
      </c>
      <c r="K23" s="49">
        <f>ROUND(+K$4/+'Age Factors'!K23,0)</f>
        <v>1950</v>
      </c>
      <c r="L23" s="49">
        <f>ROUND(+L$4/+'Age Factors'!L23,0)</f>
        <v>2084</v>
      </c>
      <c r="M23" s="49">
        <f>ROUND(+M$4/+'Age Factors'!M23,0)</f>
        <v>2629</v>
      </c>
      <c r="N23" s="49">
        <f>ROUND(+N$4/+'Age Factors'!N23,0)</f>
        <v>2832</v>
      </c>
      <c r="O23" s="49">
        <f>ROUND(+O$4/+'Age Factors'!O23,0)</f>
        <v>3557</v>
      </c>
      <c r="P23" s="49">
        <f>ROUND(+P$4/+'Age Factors'!P23,0)</f>
        <v>3772</v>
      </c>
      <c r="Q23" s="49">
        <f>ROUND(+Q$4/+'Age Factors'!Q23,0)</f>
        <v>4522</v>
      </c>
      <c r="R23" s="49">
        <f>ROUND(+R$4/+'Age Factors'!R23,0)</f>
        <v>5506</v>
      </c>
      <c r="S23" s="49">
        <f>ROUND(+S$4/+'Age Factors'!S23,0)</f>
        <v>7954</v>
      </c>
      <c r="T23" s="49">
        <f>ROUND(+T$4/+'Age Factors'!T23,0)</f>
        <v>9581</v>
      </c>
      <c r="U23" s="49">
        <f>ROUND(+U$4/+'Age Factors'!U23,0)</f>
        <v>17447</v>
      </c>
      <c r="V23" s="49">
        <f>ROUND(+V$4/+'Age Factors'!V23,0)</f>
        <v>24070</v>
      </c>
      <c r="W23" s="49">
        <f>ROUND(+W$4/+'Age Factors'!W23,0)</f>
        <v>40506</v>
      </c>
      <c r="X23" s="49">
        <f>ROUND(+X$4/+'Age Factors'!X23,0)</f>
        <v>44383</v>
      </c>
      <c r="Y23" s="49">
        <f>ROUND(+Y$4/+'Age Factors'!Y23,0)</f>
        <v>58770</v>
      </c>
      <c r="Z23" s="46"/>
    </row>
    <row r="24" spans="1:26">
      <c r="A24" s="48">
        <v>23</v>
      </c>
      <c r="B24" s="480">
        <f>ROUND(+B$4/+'Age Factors'!B24,0)</f>
        <v>160</v>
      </c>
      <c r="C24" s="49">
        <f>ROUND(+C$4/+'Age Factors'!C24,0)</f>
        <v>261</v>
      </c>
      <c r="D24" s="49">
        <f>ROUND(+D$4/+'Age Factors'!D24,0)</f>
        <v>495</v>
      </c>
      <c r="E24" s="49">
        <f>ROUND(+E$4/+'Age Factors'!E24,0)</f>
        <v>834</v>
      </c>
      <c r="F24" s="49">
        <f>ROUND(+F$4/+'Age Factors'!F24,0)</f>
        <v>1008</v>
      </c>
      <c r="G24" s="49">
        <f>ROUND(+G$4/+'Age Factors'!G24,0)</f>
        <v>1087</v>
      </c>
      <c r="H24" s="49">
        <f>ROUND(+H$4/+'Age Factors'!H24,0)</f>
        <v>1365</v>
      </c>
      <c r="I24" s="49">
        <f>ROUND(+I$4/+'Age Factors'!I24,0)</f>
        <v>1375</v>
      </c>
      <c r="J24" s="49">
        <f>ROUND(+J$4/+'Age Factors'!J24,0)</f>
        <v>1726</v>
      </c>
      <c r="K24" s="49">
        <f>ROUND(+K$4/+'Age Factors'!K24,0)</f>
        <v>1950</v>
      </c>
      <c r="L24" s="49">
        <f>ROUND(+L$4/+'Age Factors'!L24,0)</f>
        <v>2084</v>
      </c>
      <c r="M24" s="49">
        <f>ROUND(+M$4/+'Age Factors'!M24,0)</f>
        <v>2629</v>
      </c>
      <c r="N24" s="49">
        <f>ROUND(+N$4/+'Age Factors'!N24,0)</f>
        <v>2832</v>
      </c>
      <c r="O24" s="49">
        <f>ROUND(+O$4/+'Age Factors'!O24,0)</f>
        <v>3557</v>
      </c>
      <c r="P24" s="49">
        <f>ROUND(+P$4/+'Age Factors'!P24,0)</f>
        <v>3772</v>
      </c>
      <c r="Q24" s="49">
        <f>ROUND(+Q$4/+'Age Factors'!Q24,0)</f>
        <v>4512</v>
      </c>
      <c r="R24" s="49">
        <f>ROUND(+R$4/+'Age Factors'!R24,0)</f>
        <v>5481</v>
      </c>
      <c r="S24" s="49">
        <f>ROUND(+S$4/+'Age Factors'!S24,0)</f>
        <v>7884</v>
      </c>
      <c r="T24" s="49">
        <f>ROUND(+T$4/+'Age Factors'!T24,0)</f>
        <v>9496</v>
      </c>
      <c r="U24" s="49">
        <f>ROUND(+U$4/+'Age Factors'!U24,0)</f>
        <v>17294</v>
      </c>
      <c r="V24" s="49">
        <f>ROUND(+V$4/+'Age Factors'!V24,0)</f>
        <v>23858</v>
      </c>
      <c r="W24" s="49">
        <f>ROUND(+W$4/+'Age Factors'!W24,0)</f>
        <v>40150</v>
      </c>
      <c r="X24" s="49">
        <f>ROUND(+X$4/+'Age Factors'!X24,0)</f>
        <v>43993</v>
      </c>
      <c r="Y24" s="49">
        <f>ROUND(+Y$4/+'Age Factors'!Y24,0)</f>
        <v>58252</v>
      </c>
      <c r="Z24" s="46"/>
    </row>
    <row r="25" spans="1:26">
      <c r="A25" s="48">
        <v>24</v>
      </c>
      <c r="B25" s="480">
        <f>ROUND(+B$4/+'Age Factors'!B25,0)</f>
        <v>160</v>
      </c>
      <c r="C25" s="49">
        <f>ROUND(+C$4/+'Age Factors'!C25,0)</f>
        <v>261</v>
      </c>
      <c r="D25" s="49">
        <f>ROUND(+D$4/+'Age Factors'!D25,0)</f>
        <v>495</v>
      </c>
      <c r="E25" s="49">
        <f>ROUND(+E$4/+'Age Factors'!E25,0)</f>
        <v>834</v>
      </c>
      <c r="F25" s="49">
        <f>ROUND(+F$4/+'Age Factors'!F25,0)</f>
        <v>1008</v>
      </c>
      <c r="G25" s="49">
        <f>ROUND(+G$4/+'Age Factors'!G25,0)</f>
        <v>1087</v>
      </c>
      <c r="H25" s="49">
        <f>ROUND(+H$4/+'Age Factors'!H25,0)</f>
        <v>1365</v>
      </c>
      <c r="I25" s="49">
        <f>ROUND(+I$4/+'Age Factors'!I25,0)</f>
        <v>1375</v>
      </c>
      <c r="J25" s="49">
        <f>ROUND(+J$4/+'Age Factors'!J25,0)</f>
        <v>1726</v>
      </c>
      <c r="K25" s="49">
        <f>ROUND(+K$4/+'Age Factors'!K25,0)</f>
        <v>1950</v>
      </c>
      <c r="L25" s="49">
        <f>ROUND(+L$4/+'Age Factors'!L25,0)</f>
        <v>2084</v>
      </c>
      <c r="M25" s="49">
        <f>ROUND(+M$4/+'Age Factors'!M25,0)</f>
        <v>2629</v>
      </c>
      <c r="N25" s="49">
        <f>ROUND(+N$4/+'Age Factors'!N25,0)</f>
        <v>2832</v>
      </c>
      <c r="O25" s="49">
        <f>ROUND(+O$4/+'Age Factors'!O25,0)</f>
        <v>3557</v>
      </c>
      <c r="P25" s="49">
        <f>ROUND(+P$4/+'Age Factors'!P25,0)</f>
        <v>3772</v>
      </c>
      <c r="Q25" s="49">
        <f>ROUND(+Q$4/+'Age Factors'!Q25,0)</f>
        <v>4505</v>
      </c>
      <c r="R25" s="49">
        <f>ROUND(+R$4/+'Age Factors'!R25,0)</f>
        <v>5464</v>
      </c>
      <c r="S25" s="49">
        <f>ROUND(+S$4/+'Age Factors'!S25,0)</f>
        <v>7835</v>
      </c>
      <c r="T25" s="49">
        <f>ROUND(+T$4/+'Age Factors'!T25,0)</f>
        <v>9437</v>
      </c>
      <c r="U25" s="49">
        <f>ROUND(+U$4/+'Age Factors'!U25,0)</f>
        <v>17186</v>
      </c>
      <c r="V25" s="49">
        <f>ROUND(+V$4/+'Age Factors'!V25,0)</f>
        <v>23710</v>
      </c>
      <c r="W25" s="49">
        <f>ROUND(+W$4/+'Age Factors'!W25,0)</f>
        <v>39899</v>
      </c>
      <c r="X25" s="49">
        <f>ROUND(+X$4/+'Age Factors'!X25,0)</f>
        <v>43719</v>
      </c>
      <c r="Y25" s="49">
        <f>ROUND(+Y$4/+'Age Factors'!Y25,0)</f>
        <v>57889</v>
      </c>
      <c r="Z25" s="46"/>
    </row>
    <row r="26" spans="1:26">
      <c r="A26" s="56">
        <v>25</v>
      </c>
      <c r="B26" s="459">
        <f>ROUND(+B$4/+'Age Factors'!B26,0)</f>
        <v>160</v>
      </c>
      <c r="C26" s="60">
        <f>ROUND(+C$4/+'Age Factors'!C26,0)</f>
        <v>261</v>
      </c>
      <c r="D26" s="60">
        <f>ROUND(+D$4/+'Age Factors'!D26,0)</f>
        <v>495</v>
      </c>
      <c r="E26" s="60">
        <f>ROUND(+E$4/+'Age Factors'!E26,0)</f>
        <v>834</v>
      </c>
      <c r="F26" s="60">
        <f>ROUND(+F$4/+'Age Factors'!F26,0)</f>
        <v>1008</v>
      </c>
      <c r="G26" s="60">
        <f>ROUND(+G$4/+'Age Factors'!G26,0)</f>
        <v>1087</v>
      </c>
      <c r="H26" s="60">
        <f>ROUND(+H$4/+'Age Factors'!H26,0)</f>
        <v>1365</v>
      </c>
      <c r="I26" s="60">
        <f>ROUND(+I$4/+'Age Factors'!I26,0)</f>
        <v>1375</v>
      </c>
      <c r="J26" s="60">
        <f>ROUND(+J$4/+'Age Factors'!J26,0)</f>
        <v>1726</v>
      </c>
      <c r="K26" s="60">
        <f>ROUND(+K$4/+'Age Factors'!K26,0)</f>
        <v>1950</v>
      </c>
      <c r="L26" s="60">
        <f>ROUND(+L$4/+'Age Factors'!L26,0)</f>
        <v>2084</v>
      </c>
      <c r="M26" s="60">
        <f>ROUND(+M$4/+'Age Factors'!M26,0)</f>
        <v>2629</v>
      </c>
      <c r="N26" s="60">
        <f>ROUND(+N$4/+'Age Factors'!N26,0)</f>
        <v>2832</v>
      </c>
      <c r="O26" s="60">
        <f>ROUND(+O$4/+'Age Factors'!O26,0)</f>
        <v>3557</v>
      </c>
      <c r="P26" s="60">
        <f>ROUND(+P$4/+'Age Factors'!P26,0)</f>
        <v>3772</v>
      </c>
      <c r="Q26" s="60">
        <f>ROUND(+Q$4/+'Age Factors'!Q26,0)</f>
        <v>4501</v>
      </c>
      <c r="R26" s="60">
        <f>ROUND(+R$4/+'Age Factors'!R26,0)</f>
        <v>5453</v>
      </c>
      <c r="S26" s="60">
        <f>ROUND(+S$4/+'Age Factors'!S26,0)</f>
        <v>7805</v>
      </c>
      <c r="T26" s="60">
        <f>ROUND(+T$4/+'Age Factors'!T26,0)</f>
        <v>9401</v>
      </c>
      <c r="U26" s="60">
        <f>ROUND(+U$4/+'Age Factors'!U26,0)</f>
        <v>17121</v>
      </c>
      <c r="V26" s="60">
        <f>ROUND(+V$4/+'Age Factors'!V26,0)</f>
        <v>23619</v>
      </c>
      <c r="W26" s="60">
        <f>ROUND(+W$4/+'Age Factors'!W26,0)</f>
        <v>39748</v>
      </c>
      <c r="X26" s="60">
        <f>ROUND(+X$4/+'Age Factors'!X26,0)</f>
        <v>43552</v>
      </c>
      <c r="Y26" s="60">
        <f>ROUND(+Y$4/+'Age Factors'!Y26,0)</f>
        <v>57669</v>
      </c>
      <c r="Z26" s="46"/>
    </row>
    <row r="27" spans="1:26">
      <c r="A27" s="48">
        <v>26</v>
      </c>
      <c r="B27" s="480">
        <f>ROUND(+B$4/+'Age Factors'!B27,0)</f>
        <v>160</v>
      </c>
      <c r="C27" s="49">
        <f>ROUND(+C$4/+'Age Factors'!C27,0)</f>
        <v>261</v>
      </c>
      <c r="D27" s="49">
        <f>ROUND(+D$4/+'Age Factors'!D27,0)</f>
        <v>495</v>
      </c>
      <c r="E27" s="49">
        <f>ROUND(+E$4/+'Age Factors'!E27,0)</f>
        <v>834</v>
      </c>
      <c r="F27" s="49">
        <f>ROUND(+F$4/+'Age Factors'!F27,0)</f>
        <v>1008</v>
      </c>
      <c r="G27" s="49">
        <f>ROUND(+G$4/+'Age Factors'!G27,0)</f>
        <v>1087</v>
      </c>
      <c r="H27" s="49">
        <f>ROUND(+H$4/+'Age Factors'!H27,0)</f>
        <v>1365</v>
      </c>
      <c r="I27" s="49">
        <f>ROUND(+I$4/+'Age Factors'!I27,0)</f>
        <v>1375</v>
      </c>
      <c r="J27" s="49">
        <f>ROUND(+J$4/+'Age Factors'!J27,0)</f>
        <v>1726</v>
      </c>
      <c r="K27" s="49">
        <f>ROUND(+K$4/+'Age Factors'!K27,0)</f>
        <v>1950</v>
      </c>
      <c r="L27" s="49">
        <f>ROUND(+L$4/+'Age Factors'!L27,0)</f>
        <v>2084</v>
      </c>
      <c r="M27" s="49">
        <f>ROUND(+M$4/+'Age Factors'!M27,0)</f>
        <v>2629</v>
      </c>
      <c r="N27" s="49">
        <f>ROUND(+N$4/+'Age Factors'!N27,0)</f>
        <v>2832</v>
      </c>
      <c r="O27" s="49">
        <f>ROUND(+O$4/+'Age Factors'!O27,0)</f>
        <v>3557</v>
      </c>
      <c r="P27" s="49">
        <f>ROUND(+P$4/+'Age Factors'!P27,0)</f>
        <v>3772</v>
      </c>
      <c r="Q27" s="49">
        <f>ROUND(+Q$4/+'Age Factors'!Q27,0)</f>
        <v>4500</v>
      </c>
      <c r="R27" s="49">
        <f>ROUND(+R$4/+'Age Factors'!R27,0)</f>
        <v>5450</v>
      </c>
      <c r="S27" s="49">
        <f>ROUND(+S$4/+'Age Factors'!S27,0)</f>
        <v>7796</v>
      </c>
      <c r="T27" s="49">
        <f>ROUND(+T$4/+'Age Factors'!T27,0)</f>
        <v>9390</v>
      </c>
      <c r="U27" s="49">
        <f>ROUND(+U$4/+'Age Factors'!U27,0)</f>
        <v>17100</v>
      </c>
      <c r="V27" s="49">
        <f>ROUND(+V$4/+'Age Factors'!V27,0)</f>
        <v>23591</v>
      </c>
      <c r="W27" s="49">
        <f>ROUND(+W$4/+'Age Factors'!W27,0)</f>
        <v>39700</v>
      </c>
      <c r="X27" s="49">
        <f>ROUND(+X$4/+'Age Factors'!X27,0)</f>
        <v>43500</v>
      </c>
      <c r="Y27" s="49">
        <f>ROUND(+Y$4/+'Age Factors'!Y27,0)</f>
        <v>57600</v>
      </c>
      <c r="Z27" s="46"/>
    </row>
    <row r="28" spans="1:26">
      <c r="A28" s="48">
        <v>27</v>
      </c>
      <c r="B28" s="480">
        <f>ROUND(+B$4/+'Age Factors'!B28,0)</f>
        <v>160</v>
      </c>
      <c r="C28" s="49">
        <f>ROUND(+C$4/+'Age Factors'!C28,0)</f>
        <v>261</v>
      </c>
      <c r="D28" s="49">
        <f>ROUND(+D$4/+'Age Factors'!D28,0)</f>
        <v>495</v>
      </c>
      <c r="E28" s="49">
        <f>ROUND(+E$4/+'Age Factors'!E28,0)</f>
        <v>834</v>
      </c>
      <c r="F28" s="49">
        <f>ROUND(+F$4/+'Age Factors'!F28,0)</f>
        <v>1008</v>
      </c>
      <c r="G28" s="49">
        <f>ROUND(+G$4/+'Age Factors'!G28,0)</f>
        <v>1087</v>
      </c>
      <c r="H28" s="49">
        <f>ROUND(+H$4/+'Age Factors'!H28,0)</f>
        <v>1365</v>
      </c>
      <c r="I28" s="49">
        <f>ROUND(+I$4/+'Age Factors'!I28,0)</f>
        <v>1375</v>
      </c>
      <c r="J28" s="49">
        <f>ROUND(+J$4/+'Age Factors'!J28,0)</f>
        <v>1726</v>
      </c>
      <c r="K28" s="49">
        <f>ROUND(+K$4/+'Age Factors'!K28,0)</f>
        <v>1950</v>
      </c>
      <c r="L28" s="49">
        <f>ROUND(+L$4/+'Age Factors'!L28,0)</f>
        <v>2084</v>
      </c>
      <c r="M28" s="49">
        <f>ROUND(+M$4/+'Age Factors'!M28,0)</f>
        <v>2629</v>
      </c>
      <c r="N28" s="49">
        <f>ROUND(+N$4/+'Age Factors'!N28,0)</f>
        <v>2832</v>
      </c>
      <c r="O28" s="49">
        <f>ROUND(+O$4/+'Age Factors'!O28,0)</f>
        <v>3557</v>
      </c>
      <c r="P28" s="49">
        <f>ROUND(+P$4/+'Age Factors'!P28,0)</f>
        <v>3772</v>
      </c>
      <c r="Q28" s="49">
        <f>ROUND(+Q$4/+'Age Factors'!Q28,0)</f>
        <v>4500</v>
      </c>
      <c r="R28" s="49">
        <f>ROUND(+R$4/+'Age Factors'!R28,0)</f>
        <v>5450</v>
      </c>
      <c r="S28" s="49">
        <f>ROUND(+S$4/+'Age Factors'!S28,0)</f>
        <v>7796</v>
      </c>
      <c r="T28" s="49">
        <f>ROUND(+T$4/+'Age Factors'!T28,0)</f>
        <v>9390</v>
      </c>
      <c r="U28" s="49">
        <f>ROUND(+U$4/+'Age Factors'!U28,0)</f>
        <v>17100</v>
      </c>
      <c r="V28" s="49">
        <f>ROUND(+V$4/+'Age Factors'!V28,0)</f>
        <v>23591</v>
      </c>
      <c r="W28" s="49">
        <f>ROUND(+W$4/+'Age Factors'!W28,0)</f>
        <v>39700</v>
      </c>
      <c r="X28" s="49">
        <f>ROUND(+X$4/+'Age Factors'!X28,0)</f>
        <v>43500</v>
      </c>
      <c r="Y28" s="49">
        <f>ROUND(+Y$4/+'Age Factors'!Y28,0)</f>
        <v>57600</v>
      </c>
      <c r="Z28" s="46"/>
    </row>
    <row r="29" spans="1:26">
      <c r="A29" s="48">
        <v>28</v>
      </c>
      <c r="B29" s="480">
        <f>ROUND(+B$4/+'Age Factors'!B29,0)</f>
        <v>160</v>
      </c>
      <c r="C29" s="49">
        <f>ROUND(+C$4/+'Age Factors'!C29,0)</f>
        <v>261</v>
      </c>
      <c r="D29" s="49">
        <f>ROUND(+D$4/+'Age Factors'!D29,0)</f>
        <v>495</v>
      </c>
      <c r="E29" s="49">
        <f>ROUND(+E$4/+'Age Factors'!E29,0)</f>
        <v>835</v>
      </c>
      <c r="F29" s="49">
        <f>ROUND(+F$4/+'Age Factors'!F29,0)</f>
        <v>1009</v>
      </c>
      <c r="G29" s="49">
        <f>ROUND(+G$4/+'Age Factors'!G29,0)</f>
        <v>1088</v>
      </c>
      <c r="H29" s="49">
        <f>ROUND(+H$4/+'Age Factors'!H29,0)</f>
        <v>1366</v>
      </c>
      <c r="I29" s="49">
        <f>ROUND(+I$4/+'Age Factors'!I29,0)</f>
        <v>1376</v>
      </c>
      <c r="J29" s="49">
        <f>ROUND(+J$4/+'Age Factors'!J29,0)</f>
        <v>1726</v>
      </c>
      <c r="K29" s="49">
        <f>ROUND(+K$4/+'Age Factors'!K29,0)</f>
        <v>1950</v>
      </c>
      <c r="L29" s="49">
        <f>ROUND(+L$4/+'Age Factors'!L29,0)</f>
        <v>2084</v>
      </c>
      <c r="M29" s="49">
        <f>ROUND(+M$4/+'Age Factors'!M29,0)</f>
        <v>2630</v>
      </c>
      <c r="N29" s="49">
        <f>ROUND(+N$4/+'Age Factors'!N29,0)</f>
        <v>2833</v>
      </c>
      <c r="O29" s="49">
        <f>ROUND(+O$4/+'Age Factors'!O29,0)</f>
        <v>3558</v>
      </c>
      <c r="P29" s="49">
        <f>ROUND(+P$4/+'Age Factors'!P29,0)</f>
        <v>3773</v>
      </c>
      <c r="Q29" s="49">
        <f>ROUND(+Q$4/+'Age Factors'!Q29,0)</f>
        <v>4501</v>
      </c>
      <c r="R29" s="49">
        <f>ROUND(+R$4/+'Age Factors'!R29,0)</f>
        <v>5451</v>
      </c>
      <c r="S29" s="49">
        <f>ROUND(+S$4/+'Age Factors'!S29,0)</f>
        <v>7798</v>
      </c>
      <c r="T29" s="49">
        <f>ROUND(+T$4/+'Age Factors'!T29,0)</f>
        <v>9392</v>
      </c>
      <c r="U29" s="49">
        <f>ROUND(+U$4/+'Age Factors'!U29,0)</f>
        <v>17103</v>
      </c>
      <c r="V29" s="49">
        <f>ROUND(+V$4/+'Age Factors'!V29,0)</f>
        <v>23596</v>
      </c>
      <c r="W29" s="49">
        <f>ROUND(+W$4/+'Age Factors'!W29,0)</f>
        <v>39708</v>
      </c>
      <c r="X29" s="49">
        <f>ROUND(+X$4/+'Age Factors'!X29,0)</f>
        <v>43509</v>
      </c>
      <c r="Y29" s="49">
        <f>ROUND(+Y$4/+'Age Factors'!Y29,0)</f>
        <v>57612</v>
      </c>
      <c r="Z29" s="46"/>
    </row>
    <row r="30" spans="1:26">
      <c r="A30" s="48">
        <v>29</v>
      </c>
      <c r="B30" s="480">
        <f>ROUND(+B$4/+'Age Factors'!B30,0)</f>
        <v>160</v>
      </c>
      <c r="C30" s="49">
        <f>ROUND(+C$4/+'Age Factors'!C30,0)</f>
        <v>261</v>
      </c>
      <c r="D30" s="49">
        <f>ROUND(+D$4/+'Age Factors'!D30,0)</f>
        <v>496</v>
      </c>
      <c r="E30" s="49">
        <f>ROUND(+E$4/+'Age Factors'!E30,0)</f>
        <v>836</v>
      </c>
      <c r="F30" s="49">
        <f>ROUND(+F$4/+'Age Factors'!F30,0)</f>
        <v>1010</v>
      </c>
      <c r="G30" s="49">
        <f>ROUND(+G$4/+'Age Factors'!G30,0)</f>
        <v>1089</v>
      </c>
      <c r="H30" s="49">
        <f>ROUND(+H$4/+'Age Factors'!H30,0)</f>
        <v>1367</v>
      </c>
      <c r="I30" s="49">
        <f>ROUND(+I$4/+'Age Factors'!I30,0)</f>
        <v>1377</v>
      </c>
      <c r="J30" s="49">
        <f>ROUND(+J$4/+'Age Factors'!J30,0)</f>
        <v>1728</v>
      </c>
      <c r="K30" s="49">
        <f>ROUND(+K$4/+'Age Factors'!K30,0)</f>
        <v>1952</v>
      </c>
      <c r="L30" s="49">
        <f>ROUND(+L$4/+'Age Factors'!L30,0)</f>
        <v>2086</v>
      </c>
      <c r="M30" s="49">
        <f>ROUND(+M$4/+'Age Factors'!M30,0)</f>
        <v>2631</v>
      </c>
      <c r="N30" s="49">
        <f>ROUND(+N$4/+'Age Factors'!N30,0)</f>
        <v>2835</v>
      </c>
      <c r="O30" s="49">
        <f>ROUND(+O$4/+'Age Factors'!O30,0)</f>
        <v>3560</v>
      </c>
      <c r="P30" s="49">
        <f>ROUND(+P$4/+'Age Factors'!P30,0)</f>
        <v>3775</v>
      </c>
      <c r="Q30" s="49">
        <f>ROUND(+Q$4/+'Age Factors'!Q30,0)</f>
        <v>4504</v>
      </c>
      <c r="R30" s="49">
        <f>ROUND(+R$4/+'Age Factors'!R30,0)</f>
        <v>5454</v>
      </c>
      <c r="S30" s="49">
        <f>ROUND(+S$4/+'Age Factors'!S30,0)</f>
        <v>7802</v>
      </c>
      <c r="T30" s="49">
        <f>ROUND(+T$4/+'Age Factors'!T30,0)</f>
        <v>9398</v>
      </c>
      <c r="U30" s="49">
        <f>ROUND(+U$4/+'Age Factors'!U30,0)</f>
        <v>17114</v>
      </c>
      <c r="V30" s="49">
        <f>ROUND(+V$4/+'Age Factors'!V30,0)</f>
        <v>23610</v>
      </c>
      <c r="W30" s="49">
        <f>ROUND(+W$4/+'Age Factors'!W30,0)</f>
        <v>39732</v>
      </c>
      <c r="X30" s="49">
        <f>ROUND(+X$4/+'Age Factors'!X30,0)</f>
        <v>43535</v>
      </c>
      <c r="Y30" s="49">
        <f>ROUND(+Y$4/+'Age Factors'!Y30,0)</f>
        <v>57646</v>
      </c>
      <c r="Z30" s="46"/>
    </row>
    <row r="31" spans="1:26">
      <c r="A31" s="56">
        <v>30</v>
      </c>
      <c r="B31" s="459">
        <f>ROUND(+B$4/+'Age Factors'!B31,0)</f>
        <v>160</v>
      </c>
      <c r="C31" s="60">
        <f>ROUND(+C$4/+'Age Factors'!C31,0)</f>
        <v>261</v>
      </c>
      <c r="D31" s="60">
        <f>ROUND(+D$4/+'Age Factors'!D31,0)</f>
        <v>496</v>
      </c>
      <c r="E31" s="60">
        <f>ROUND(+E$4/+'Age Factors'!E31,0)</f>
        <v>837</v>
      </c>
      <c r="F31" s="60">
        <f>ROUND(+F$4/+'Age Factors'!F31,0)</f>
        <v>1012</v>
      </c>
      <c r="G31" s="60">
        <f>ROUND(+G$4/+'Age Factors'!G31,0)</f>
        <v>1091</v>
      </c>
      <c r="H31" s="60">
        <f>ROUND(+H$4/+'Age Factors'!H31,0)</f>
        <v>1369</v>
      </c>
      <c r="I31" s="60">
        <f>ROUND(+I$4/+'Age Factors'!I31,0)</f>
        <v>1379</v>
      </c>
      <c r="J31" s="60">
        <f>ROUND(+J$4/+'Age Factors'!J31,0)</f>
        <v>1729</v>
      </c>
      <c r="K31" s="60">
        <f>ROUND(+K$4/+'Age Factors'!K31,0)</f>
        <v>1954</v>
      </c>
      <c r="L31" s="60">
        <f>ROUND(+L$4/+'Age Factors'!L31,0)</f>
        <v>2088</v>
      </c>
      <c r="M31" s="60">
        <f>ROUND(+M$4/+'Age Factors'!M31,0)</f>
        <v>2635</v>
      </c>
      <c r="N31" s="60">
        <f>ROUND(+N$4/+'Age Factors'!N31,0)</f>
        <v>2838</v>
      </c>
      <c r="O31" s="60">
        <f>ROUND(+O$4/+'Age Factors'!O31,0)</f>
        <v>3564</v>
      </c>
      <c r="P31" s="60">
        <f>ROUND(+P$4/+'Age Factors'!P31,0)</f>
        <v>3780</v>
      </c>
      <c r="Q31" s="60">
        <f>ROUND(+Q$4/+'Age Factors'!Q31,0)</f>
        <v>4509</v>
      </c>
      <c r="R31" s="60">
        <f>ROUND(+R$4/+'Age Factors'!R31,0)</f>
        <v>5460</v>
      </c>
      <c r="S31" s="60">
        <f>ROUND(+S$4/+'Age Factors'!S31,0)</f>
        <v>7809</v>
      </c>
      <c r="T31" s="60">
        <f>ROUND(+T$4/+'Age Factors'!T31,0)</f>
        <v>9406</v>
      </c>
      <c r="U31" s="60">
        <f>ROUND(+U$4/+'Age Factors'!U31,0)</f>
        <v>17129</v>
      </c>
      <c r="V31" s="60">
        <f>ROUND(+V$4/+'Age Factors'!V31,0)</f>
        <v>23631</v>
      </c>
      <c r="W31" s="60">
        <f>ROUND(+W$4/+'Age Factors'!W31,0)</f>
        <v>39768</v>
      </c>
      <c r="X31" s="60">
        <f>ROUND(+X$4/+'Age Factors'!X31,0)</f>
        <v>43574</v>
      </c>
      <c r="Y31" s="60">
        <f>ROUND(+Y$4/+'Age Factors'!Y31,0)</f>
        <v>57698</v>
      </c>
      <c r="Z31" s="46"/>
    </row>
    <row r="32" spans="1:26">
      <c r="A32" s="48">
        <v>31</v>
      </c>
      <c r="B32" s="480">
        <f>ROUND(+B$4/+'Age Factors'!B32,0)</f>
        <v>160</v>
      </c>
      <c r="C32" s="49">
        <f>ROUND(+C$4/+'Age Factors'!C32,0)</f>
        <v>261</v>
      </c>
      <c r="D32" s="49">
        <f>ROUND(+D$4/+'Age Factors'!D32,0)</f>
        <v>497</v>
      </c>
      <c r="E32" s="49">
        <f>ROUND(+E$4/+'Age Factors'!E32,0)</f>
        <v>839</v>
      </c>
      <c r="F32" s="49">
        <f>ROUND(+F$4/+'Age Factors'!F32,0)</f>
        <v>1014</v>
      </c>
      <c r="G32" s="49">
        <f>ROUND(+G$4/+'Age Factors'!G32,0)</f>
        <v>1093</v>
      </c>
      <c r="H32" s="49">
        <f>ROUND(+H$4/+'Age Factors'!H32,0)</f>
        <v>1371</v>
      </c>
      <c r="I32" s="49">
        <f>ROUND(+I$4/+'Age Factors'!I32,0)</f>
        <v>1381</v>
      </c>
      <c r="J32" s="49">
        <f>ROUND(+J$4/+'Age Factors'!J32,0)</f>
        <v>1732</v>
      </c>
      <c r="K32" s="49">
        <f>ROUND(+K$4/+'Age Factors'!K32,0)</f>
        <v>1957</v>
      </c>
      <c r="L32" s="49">
        <f>ROUND(+L$4/+'Age Factors'!L32,0)</f>
        <v>2092</v>
      </c>
      <c r="M32" s="49">
        <f>ROUND(+M$4/+'Age Factors'!M32,0)</f>
        <v>2639</v>
      </c>
      <c r="N32" s="49">
        <f>ROUND(+N$4/+'Age Factors'!N32,0)</f>
        <v>2843</v>
      </c>
      <c r="O32" s="49">
        <f>ROUND(+O$4/+'Age Factors'!O32,0)</f>
        <v>3571</v>
      </c>
      <c r="P32" s="49">
        <f>ROUND(+P$4/+'Age Factors'!P32,0)</f>
        <v>3786</v>
      </c>
      <c r="Q32" s="49">
        <f>ROUND(+Q$4/+'Age Factors'!Q32,0)</f>
        <v>4516</v>
      </c>
      <c r="R32" s="49">
        <f>ROUND(+R$4/+'Age Factors'!R32,0)</f>
        <v>5469</v>
      </c>
      <c r="S32" s="49">
        <f>ROUND(+S$4/+'Age Factors'!S32,0)</f>
        <v>7819</v>
      </c>
      <c r="T32" s="49">
        <f>ROUND(+T$4/+'Age Factors'!T32,0)</f>
        <v>9418</v>
      </c>
      <c r="U32" s="49">
        <f>ROUND(+U$4/+'Age Factors'!U32,0)</f>
        <v>17151</v>
      </c>
      <c r="V32" s="49">
        <f>ROUND(+V$4/+'Age Factors'!V32,0)</f>
        <v>23662</v>
      </c>
      <c r="W32" s="49">
        <f>ROUND(+W$4/+'Age Factors'!W32,0)</f>
        <v>39819</v>
      </c>
      <c r="X32" s="49">
        <f>ROUND(+X$4/+'Age Factors'!X32,0)</f>
        <v>43631</v>
      </c>
      <c r="Y32" s="49">
        <f>ROUND(+Y$4/+'Age Factors'!Y32,0)</f>
        <v>57773</v>
      </c>
      <c r="Z32" s="46"/>
    </row>
    <row r="33" spans="1:26">
      <c r="A33" s="48">
        <v>32</v>
      </c>
      <c r="B33" s="480">
        <f>ROUND(+B$4/+'Age Factors'!B33,0)</f>
        <v>160</v>
      </c>
      <c r="C33" s="49">
        <f>ROUND(+C$4/+'Age Factors'!C33,0)</f>
        <v>261</v>
      </c>
      <c r="D33" s="49">
        <f>ROUND(+D$4/+'Age Factors'!D33,0)</f>
        <v>498</v>
      </c>
      <c r="E33" s="49">
        <f>ROUND(+E$4/+'Age Factors'!E33,0)</f>
        <v>842</v>
      </c>
      <c r="F33" s="49">
        <f>ROUND(+F$4/+'Age Factors'!F33,0)</f>
        <v>1016</v>
      </c>
      <c r="G33" s="49">
        <f>ROUND(+G$4/+'Age Factors'!G33,0)</f>
        <v>1096</v>
      </c>
      <c r="H33" s="49">
        <f>ROUND(+H$4/+'Age Factors'!H33,0)</f>
        <v>1374</v>
      </c>
      <c r="I33" s="49">
        <f>ROUND(+I$4/+'Age Factors'!I33,0)</f>
        <v>1384</v>
      </c>
      <c r="J33" s="49">
        <f>ROUND(+J$4/+'Age Factors'!J33,0)</f>
        <v>1736</v>
      </c>
      <c r="K33" s="49">
        <f>ROUND(+K$4/+'Age Factors'!K33,0)</f>
        <v>1961</v>
      </c>
      <c r="L33" s="49">
        <f>ROUND(+L$4/+'Age Factors'!L33,0)</f>
        <v>2096</v>
      </c>
      <c r="M33" s="49">
        <f>ROUND(+M$4/+'Age Factors'!M33,0)</f>
        <v>2644</v>
      </c>
      <c r="N33" s="49">
        <f>ROUND(+N$4/+'Age Factors'!N33,0)</f>
        <v>2849</v>
      </c>
      <c r="O33" s="49">
        <f>ROUND(+O$4/+'Age Factors'!O33,0)</f>
        <v>3578</v>
      </c>
      <c r="P33" s="49">
        <f>ROUND(+P$4/+'Age Factors'!P33,0)</f>
        <v>3794</v>
      </c>
      <c r="Q33" s="49">
        <f>ROUND(+Q$4/+'Age Factors'!Q33,0)</f>
        <v>4525</v>
      </c>
      <c r="R33" s="49">
        <f>ROUND(+R$4/+'Age Factors'!R33,0)</f>
        <v>5479</v>
      </c>
      <c r="S33" s="49">
        <f>ROUND(+S$4/+'Age Factors'!S33,0)</f>
        <v>7833</v>
      </c>
      <c r="T33" s="49">
        <f>ROUND(+T$4/+'Age Factors'!T33,0)</f>
        <v>9434</v>
      </c>
      <c r="U33" s="49">
        <f>ROUND(+U$4/+'Age Factors'!U33,0)</f>
        <v>17181</v>
      </c>
      <c r="V33" s="49">
        <f>ROUND(+V$4/+'Age Factors'!V33,0)</f>
        <v>23702</v>
      </c>
      <c r="W33" s="49">
        <f>ROUND(+W$4/+'Age Factors'!W33,0)</f>
        <v>39887</v>
      </c>
      <c r="X33" s="49">
        <f>ROUND(+X$4/+'Age Factors'!X33,0)</f>
        <v>43705</v>
      </c>
      <c r="Y33" s="49">
        <f>ROUND(+Y$4/+'Age Factors'!Y33,0)</f>
        <v>57872</v>
      </c>
      <c r="Z33" s="46"/>
    </row>
    <row r="34" spans="1:26">
      <c r="A34" s="48">
        <v>33</v>
      </c>
      <c r="B34" s="480">
        <f>ROUND(+B$4/+'Age Factors'!B34,0)</f>
        <v>160</v>
      </c>
      <c r="C34" s="49">
        <f>ROUND(+C$4/+'Age Factors'!C34,0)</f>
        <v>261</v>
      </c>
      <c r="D34" s="49">
        <f>ROUND(+D$4/+'Age Factors'!D34,0)</f>
        <v>498</v>
      </c>
      <c r="E34" s="49">
        <f>ROUND(+E$4/+'Age Factors'!E34,0)</f>
        <v>845</v>
      </c>
      <c r="F34" s="49">
        <f>ROUND(+F$4/+'Age Factors'!F34,0)</f>
        <v>1020</v>
      </c>
      <c r="G34" s="49">
        <f>ROUND(+G$4/+'Age Factors'!G34,0)</f>
        <v>1099</v>
      </c>
      <c r="H34" s="49">
        <f>ROUND(+H$4/+'Age Factors'!H34,0)</f>
        <v>1378</v>
      </c>
      <c r="I34" s="49">
        <f>ROUND(+I$4/+'Age Factors'!I34,0)</f>
        <v>1388</v>
      </c>
      <c r="J34" s="49">
        <f>ROUND(+J$4/+'Age Factors'!J34,0)</f>
        <v>1740</v>
      </c>
      <c r="K34" s="49">
        <f>ROUND(+K$4/+'Age Factors'!K34,0)</f>
        <v>1966</v>
      </c>
      <c r="L34" s="49">
        <f>ROUND(+L$4/+'Age Factors'!L34,0)</f>
        <v>2101</v>
      </c>
      <c r="M34" s="49">
        <f>ROUND(+M$4/+'Age Factors'!M34,0)</f>
        <v>2651</v>
      </c>
      <c r="N34" s="49">
        <f>ROUND(+N$4/+'Age Factors'!N34,0)</f>
        <v>2856</v>
      </c>
      <c r="O34" s="49">
        <f>ROUND(+O$4/+'Age Factors'!O34,0)</f>
        <v>3587</v>
      </c>
      <c r="P34" s="49">
        <f>ROUND(+P$4/+'Age Factors'!P34,0)</f>
        <v>3804</v>
      </c>
      <c r="Q34" s="49">
        <f>ROUND(+Q$4/+'Age Factors'!Q34,0)</f>
        <v>4537</v>
      </c>
      <c r="R34" s="49">
        <f>ROUND(+R$4/+'Age Factors'!R34,0)</f>
        <v>5492</v>
      </c>
      <c r="S34" s="49">
        <f>ROUND(+S$4/+'Age Factors'!S34,0)</f>
        <v>7849</v>
      </c>
      <c r="T34" s="49">
        <f>ROUND(+T$4/+'Age Factors'!T34,0)</f>
        <v>9454</v>
      </c>
      <c r="U34" s="49">
        <f>ROUND(+U$4/+'Age Factors'!U34,0)</f>
        <v>17217</v>
      </c>
      <c r="V34" s="49">
        <f>ROUND(+V$4/+'Age Factors'!V34,0)</f>
        <v>23753</v>
      </c>
      <c r="W34" s="49">
        <f>ROUND(+W$4/+'Age Factors'!W34,0)</f>
        <v>39972</v>
      </c>
      <c r="X34" s="49">
        <f>ROUND(+X$4/+'Age Factors'!X34,0)</f>
        <v>43798</v>
      </c>
      <c r="Y34" s="49">
        <f>ROUND(+Y$4/+'Age Factors'!Y34,0)</f>
        <v>57994</v>
      </c>
      <c r="Z34" s="46"/>
    </row>
    <row r="35" spans="1:26">
      <c r="A35" s="48">
        <v>34</v>
      </c>
      <c r="B35" s="480">
        <f>ROUND(+B$4/+'Age Factors'!B35,0)</f>
        <v>160</v>
      </c>
      <c r="C35" s="49">
        <f>ROUND(+C$4/+'Age Factors'!C35,0)</f>
        <v>261</v>
      </c>
      <c r="D35" s="49">
        <f>ROUND(+D$4/+'Age Factors'!D35,0)</f>
        <v>499</v>
      </c>
      <c r="E35" s="49">
        <f>ROUND(+E$4/+'Age Factors'!E35,0)</f>
        <v>848</v>
      </c>
      <c r="F35" s="49">
        <f>ROUND(+F$4/+'Age Factors'!F35,0)</f>
        <v>1023</v>
      </c>
      <c r="G35" s="49">
        <f>ROUND(+G$4/+'Age Factors'!G35,0)</f>
        <v>1103</v>
      </c>
      <c r="H35" s="49">
        <f>ROUND(+H$4/+'Age Factors'!H35,0)</f>
        <v>1383</v>
      </c>
      <c r="I35" s="49">
        <f>ROUND(+I$4/+'Age Factors'!I35,0)</f>
        <v>1393</v>
      </c>
      <c r="J35" s="49">
        <f>ROUND(+J$4/+'Age Factors'!J35,0)</f>
        <v>1745</v>
      </c>
      <c r="K35" s="49">
        <f>ROUND(+K$4/+'Age Factors'!K35,0)</f>
        <v>1972</v>
      </c>
      <c r="L35" s="49">
        <f>ROUND(+L$4/+'Age Factors'!L35,0)</f>
        <v>2107</v>
      </c>
      <c r="M35" s="49">
        <f>ROUND(+M$4/+'Age Factors'!M35,0)</f>
        <v>2659</v>
      </c>
      <c r="N35" s="49">
        <f>ROUND(+N$4/+'Age Factors'!N35,0)</f>
        <v>2864</v>
      </c>
      <c r="O35" s="49">
        <f>ROUND(+O$4/+'Age Factors'!O35,0)</f>
        <v>3598</v>
      </c>
      <c r="P35" s="49">
        <f>ROUND(+P$4/+'Age Factors'!P35,0)</f>
        <v>3816</v>
      </c>
      <c r="Q35" s="49">
        <f>ROUND(+Q$4/+'Age Factors'!Q35,0)</f>
        <v>4550</v>
      </c>
      <c r="R35" s="49">
        <f>ROUND(+R$4/+'Age Factors'!R35,0)</f>
        <v>5507</v>
      </c>
      <c r="S35" s="49">
        <f>ROUND(+S$4/+'Age Factors'!S35,0)</f>
        <v>7869</v>
      </c>
      <c r="T35" s="49">
        <f>ROUND(+T$4/+'Age Factors'!T35,0)</f>
        <v>9478</v>
      </c>
      <c r="U35" s="49">
        <f>ROUND(+U$4/+'Age Factors'!U35,0)</f>
        <v>17261</v>
      </c>
      <c r="V35" s="49">
        <f>ROUND(+V$4/+'Age Factors'!V35,0)</f>
        <v>23812</v>
      </c>
      <c r="W35" s="49">
        <f>ROUND(+W$4/+'Age Factors'!W35,0)</f>
        <v>40073</v>
      </c>
      <c r="X35" s="49">
        <f>ROUND(+X$4/+'Age Factors'!X35,0)</f>
        <v>43908</v>
      </c>
      <c r="Y35" s="49">
        <f>ROUND(+Y$4/+'Age Factors'!Y35,0)</f>
        <v>58141</v>
      </c>
      <c r="Z35" s="46"/>
    </row>
    <row r="36" spans="1:26">
      <c r="A36" s="56">
        <v>35</v>
      </c>
      <c r="B36" s="459">
        <f>ROUND(+B$4/+'Age Factors'!B36,0)</f>
        <v>160</v>
      </c>
      <c r="C36" s="60">
        <f>ROUND(+C$4/+'Age Factors'!C36,0)</f>
        <v>263</v>
      </c>
      <c r="D36" s="60">
        <f>ROUND(+D$4/+'Age Factors'!D36,0)</f>
        <v>502</v>
      </c>
      <c r="E36" s="60">
        <f>ROUND(+E$4/+'Age Factors'!E36,0)</f>
        <v>852</v>
      </c>
      <c r="F36" s="60">
        <f>ROUND(+F$4/+'Age Factors'!F36,0)</f>
        <v>1028</v>
      </c>
      <c r="G36" s="60">
        <f>ROUND(+G$4/+'Age Factors'!G36,0)</f>
        <v>1107</v>
      </c>
      <c r="H36" s="60">
        <f>ROUND(+H$4/+'Age Factors'!H36,0)</f>
        <v>1388</v>
      </c>
      <c r="I36" s="60">
        <f>ROUND(+I$4/+'Age Factors'!I36,0)</f>
        <v>1398</v>
      </c>
      <c r="J36" s="60">
        <f>ROUND(+J$4/+'Age Factors'!J36,0)</f>
        <v>1751</v>
      </c>
      <c r="K36" s="60">
        <f>ROUND(+K$4/+'Age Factors'!K36,0)</f>
        <v>1978</v>
      </c>
      <c r="L36" s="60">
        <f>ROUND(+L$4/+'Age Factors'!L36,0)</f>
        <v>2115</v>
      </c>
      <c r="M36" s="60">
        <f>ROUND(+M$4/+'Age Factors'!M36,0)</f>
        <v>2668</v>
      </c>
      <c r="N36" s="60">
        <f>ROUND(+N$4/+'Age Factors'!N36,0)</f>
        <v>2875</v>
      </c>
      <c r="O36" s="60">
        <f>ROUND(+O$4/+'Age Factors'!O36,0)</f>
        <v>3611</v>
      </c>
      <c r="P36" s="60">
        <f>ROUND(+P$4/+'Age Factors'!P36,0)</f>
        <v>3830</v>
      </c>
      <c r="Q36" s="60">
        <f>ROUND(+Q$4/+'Age Factors'!Q36,0)</f>
        <v>4566</v>
      </c>
      <c r="R36" s="60">
        <f>ROUND(+R$4/+'Age Factors'!R36,0)</f>
        <v>5525</v>
      </c>
      <c r="S36" s="60">
        <f>ROUND(+S$4/+'Age Factors'!S36,0)</f>
        <v>7891</v>
      </c>
      <c r="T36" s="60">
        <f>ROUND(+T$4/+'Age Factors'!T36,0)</f>
        <v>9505</v>
      </c>
      <c r="U36" s="60">
        <f>ROUND(+U$4/+'Age Factors'!U36,0)</f>
        <v>17309</v>
      </c>
      <c r="V36" s="60">
        <f>ROUND(+V$4/+'Age Factors'!V36,0)</f>
        <v>23880</v>
      </c>
      <c r="W36" s="60">
        <f>ROUND(+W$4/+'Age Factors'!W36,0)</f>
        <v>40186</v>
      </c>
      <c r="X36" s="60">
        <f>ROUND(+X$4/+'Age Factors'!X36,0)</f>
        <v>44033</v>
      </c>
      <c r="Y36" s="60">
        <f>ROUND(+Y$4/+'Age Factors'!Y36,0)</f>
        <v>58305</v>
      </c>
      <c r="Z36" s="46"/>
    </row>
    <row r="37" spans="1:26">
      <c r="A37" s="48">
        <v>36</v>
      </c>
      <c r="B37" s="480">
        <f>ROUND(+B$4/+'Age Factors'!B37,0)</f>
        <v>161</v>
      </c>
      <c r="C37" s="49">
        <f>ROUND(+C$4/+'Age Factors'!C37,0)</f>
        <v>263</v>
      </c>
      <c r="D37" s="49">
        <f>ROUND(+D$4/+'Age Factors'!D37,0)</f>
        <v>504</v>
      </c>
      <c r="E37" s="49">
        <f>ROUND(+E$4/+'Age Factors'!E37,0)</f>
        <v>856</v>
      </c>
      <c r="F37" s="49">
        <f>ROUND(+F$4/+'Age Factors'!F37,0)</f>
        <v>1032</v>
      </c>
      <c r="G37" s="49">
        <f>ROUND(+G$4/+'Age Factors'!G37,0)</f>
        <v>1112</v>
      </c>
      <c r="H37" s="49">
        <f>ROUND(+H$4/+'Age Factors'!H37,0)</f>
        <v>1394</v>
      </c>
      <c r="I37" s="49">
        <f>ROUND(+I$4/+'Age Factors'!I37,0)</f>
        <v>1404</v>
      </c>
      <c r="J37" s="49">
        <f>ROUND(+J$4/+'Age Factors'!J37,0)</f>
        <v>1758</v>
      </c>
      <c r="K37" s="49">
        <f>ROUND(+K$4/+'Age Factors'!K37,0)</f>
        <v>1986</v>
      </c>
      <c r="L37" s="49">
        <f>ROUND(+L$4/+'Age Factors'!L37,0)</f>
        <v>2123</v>
      </c>
      <c r="M37" s="49">
        <f>ROUND(+M$4/+'Age Factors'!M37,0)</f>
        <v>2679</v>
      </c>
      <c r="N37" s="49">
        <f>ROUND(+N$4/+'Age Factors'!N37,0)</f>
        <v>2886</v>
      </c>
      <c r="O37" s="49">
        <f>ROUND(+O$4/+'Age Factors'!O37,0)</f>
        <v>3626</v>
      </c>
      <c r="P37" s="49">
        <f>ROUND(+P$4/+'Age Factors'!P37,0)</f>
        <v>3845</v>
      </c>
      <c r="Q37" s="49">
        <f>ROUND(+Q$4/+'Age Factors'!Q37,0)</f>
        <v>4583</v>
      </c>
      <c r="R37" s="49">
        <f>ROUND(+R$4/+'Age Factors'!R37,0)</f>
        <v>5545</v>
      </c>
      <c r="S37" s="49">
        <f>ROUND(+S$4/+'Age Factors'!S37,0)</f>
        <v>7917</v>
      </c>
      <c r="T37" s="49">
        <f>ROUND(+T$4/+'Age Factors'!T37,0)</f>
        <v>9536</v>
      </c>
      <c r="U37" s="49">
        <f>ROUND(+U$4/+'Age Factors'!U37,0)</f>
        <v>17366</v>
      </c>
      <c r="V37" s="49">
        <f>ROUND(+V$4/+'Age Factors'!V37,0)</f>
        <v>23958</v>
      </c>
      <c r="W37" s="49">
        <f>ROUND(+W$4/+'Age Factors'!W37,0)</f>
        <v>40317</v>
      </c>
      <c r="X37" s="49">
        <f>ROUND(+X$4/+'Age Factors'!X37,0)</f>
        <v>44176</v>
      </c>
      <c r="Y37" s="49">
        <f>ROUND(+Y$4/+'Age Factors'!Y37,0)</f>
        <v>58495</v>
      </c>
      <c r="Z37" s="46"/>
    </row>
    <row r="38" spans="1:26">
      <c r="A38" s="48">
        <v>37</v>
      </c>
      <c r="B38" s="480">
        <f>ROUND(+B$4/+'Age Factors'!B38,0)</f>
        <v>161</v>
      </c>
      <c r="C38" s="49">
        <f>ROUND(+C$4/+'Age Factors'!C38,0)</f>
        <v>264</v>
      </c>
      <c r="D38" s="49">
        <f>ROUND(+D$4/+'Age Factors'!D38,0)</f>
        <v>506</v>
      </c>
      <c r="E38" s="49">
        <f>ROUND(+E$4/+'Age Factors'!E38,0)</f>
        <v>861</v>
      </c>
      <c r="F38" s="49">
        <f>ROUND(+F$4/+'Age Factors'!F38,0)</f>
        <v>1038</v>
      </c>
      <c r="G38" s="49">
        <f>ROUND(+G$4/+'Age Factors'!G38,0)</f>
        <v>1118</v>
      </c>
      <c r="H38" s="49">
        <f>ROUND(+H$4/+'Age Factors'!H38,0)</f>
        <v>1400</v>
      </c>
      <c r="I38" s="49">
        <f>ROUND(+I$4/+'Age Factors'!I38,0)</f>
        <v>1410</v>
      </c>
      <c r="J38" s="49">
        <f>ROUND(+J$4/+'Age Factors'!J38,0)</f>
        <v>1765</v>
      </c>
      <c r="K38" s="49">
        <f>ROUND(+K$4/+'Age Factors'!K38,0)</f>
        <v>1995</v>
      </c>
      <c r="L38" s="49">
        <f>ROUND(+L$4/+'Age Factors'!L38,0)</f>
        <v>2132</v>
      </c>
      <c r="M38" s="49">
        <f>ROUND(+M$4/+'Age Factors'!M38,0)</f>
        <v>2691</v>
      </c>
      <c r="N38" s="49">
        <f>ROUND(+N$4/+'Age Factors'!N38,0)</f>
        <v>2899</v>
      </c>
      <c r="O38" s="49">
        <f>ROUND(+O$4/+'Age Factors'!O38,0)</f>
        <v>3643</v>
      </c>
      <c r="P38" s="49">
        <f>ROUND(+P$4/+'Age Factors'!P38,0)</f>
        <v>3863</v>
      </c>
      <c r="Q38" s="49">
        <f>ROUND(+Q$4/+'Age Factors'!Q38,0)</f>
        <v>4603</v>
      </c>
      <c r="R38" s="49">
        <f>ROUND(+R$4/+'Age Factors'!R38,0)</f>
        <v>5568</v>
      </c>
      <c r="S38" s="49">
        <f>ROUND(+S$4/+'Age Factors'!S38,0)</f>
        <v>7946</v>
      </c>
      <c r="T38" s="49">
        <f>ROUND(+T$4/+'Age Factors'!T38,0)</f>
        <v>9571</v>
      </c>
      <c r="U38" s="49">
        <f>ROUND(+U$4/+'Age Factors'!U38,0)</f>
        <v>17429</v>
      </c>
      <c r="V38" s="49">
        <f>ROUND(+V$4/+'Age Factors'!V38,0)</f>
        <v>24045</v>
      </c>
      <c r="W38" s="49">
        <f>ROUND(+W$4/+'Age Factors'!W38,0)</f>
        <v>40465</v>
      </c>
      <c r="X38" s="49">
        <f>ROUND(+X$4/+'Age Factors'!X38,0)</f>
        <v>44338</v>
      </c>
      <c r="Y38" s="49">
        <f>ROUND(+Y$4/+'Age Factors'!Y38,0)</f>
        <v>58710</v>
      </c>
      <c r="Z38" s="46"/>
    </row>
    <row r="39" spans="1:26">
      <c r="A39" s="48">
        <v>38</v>
      </c>
      <c r="B39" s="480">
        <f>ROUND(+B$4/+'Age Factors'!B39,0)</f>
        <v>161</v>
      </c>
      <c r="C39" s="49">
        <f>ROUND(+C$4/+'Age Factors'!C39,0)</f>
        <v>265</v>
      </c>
      <c r="D39" s="49">
        <f>ROUND(+D$4/+'Age Factors'!D39,0)</f>
        <v>509</v>
      </c>
      <c r="E39" s="49">
        <f>ROUND(+E$4/+'Age Factors'!E39,0)</f>
        <v>866</v>
      </c>
      <c r="F39" s="49">
        <f>ROUND(+F$4/+'Age Factors'!F39,0)</f>
        <v>1044</v>
      </c>
      <c r="G39" s="49">
        <f>ROUND(+G$4/+'Age Factors'!G39,0)</f>
        <v>1124</v>
      </c>
      <c r="H39" s="49">
        <f>ROUND(+H$4/+'Age Factors'!H39,0)</f>
        <v>1408</v>
      </c>
      <c r="I39" s="49">
        <f>ROUND(+I$4/+'Age Factors'!I39,0)</f>
        <v>1418</v>
      </c>
      <c r="J39" s="49">
        <f>ROUND(+J$4/+'Age Factors'!J39,0)</f>
        <v>1774</v>
      </c>
      <c r="K39" s="49">
        <f>ROUND(+K$4/+'Age Factors'!K39,0)</f>
        <v>2005</v>
      </c>
      <c r="L39" s="49">
        <f>ROUND(+L$4/+'Age Factors'!L39,0)</f>
        <v>2143</v>
      </c>
      <c r="M39" s="49">
        <f>ROUND(+M$4/+'Age Factors'!M39,0)</f>
        <v>2704</v>
      </c>
      <c r="N39" s="49">
        <f>ROUND(+N$4/+'Age Factors'!N39,0)</f>
        <v>2914</v>
      </c>
      <c r="O39" s="49">
        <f>ROUND(+O$4/+'Age Factors'!O39,0)</f>
        <v>3661</v>
      </c>
      <c r="P39" s="49">
        <f>ROUND(+P$4/+'Age Factors'!P39,0)</f>
        <v>3883</v>
      </c>
      <c r="Q39" s="49">
        <f>ROUND(+Q$4/+'Age Factors'!Q39,0)</f>
        <v>4626</v>
      </c>
      <c r="R39" s="49">
        <f>ROUND(+R$4/+'Age Factors'!R39,0)</f>
        <v>5594</v>
      </c>
      <c r="S39" s="49">
        <f>ROUND(+S$4/+'Age Factors'!S39,0)</f>
        <v>7979</v>
      </c>
      <c r="T39" s="49">
        <f>ROUND(+T$4/+'Age Factors'!T39,0)</f>
        <v>9610</v>
      </c>
      <c r="U39" s="49">
        <f>ROUND(+U$4/+'Age Factors'!U39,0)</f>
        <v>17501</v>
      </c>
      <c r="V39" s="49">
        <f>ROUND(+V$4/+'Age Factors'!V39,0)</f>
        <v>24144</v>
      </c>
      <c r="W39" s="49">
        <f>ROUND(+W$4/+'Age Factors'!W39,0)</f>
        <v>40630</v>
      </c>
      <c r="X39" s="49">
        <f>ROUND(+X$4/+'Age Factors'!X39,0)</f>
        <v>44519</v>
      </c>
      <c r="Y39" s="49">
        <f>ROUND(+Y$4/+'Age Factors'!Y39,0)</f>
        <v>58950</v>
      </c>
      <c r="Z39" s="46"/>
    </row>
    <row r="40" spans="1:26">
      <c r="A40" s="48">
        <v>39</v>
      </c>
      <c r="B40" s="480">
        <f>ROUND(+B$4/+'Age Factors'!B40,0)</f>
        <v>162</v>
      </c>
      <c r="C40" s="49">
        <f>ROUND(+C$4/+'Age Factors'!C40,0)</f>
        <v>266</v>
      </c>
      <c r="D40" s="49">
        <f>ROUND(+D$4/+'Age Factors'!D40,0)</f>
        <v>512</v>
      </c>
      <c r="E40" s="49">
        <f>ROUND(+E$4/+'Age Factors'!E40,0)</f>
        <v>872</v>
      </c>
      <c r="F40" s="49">
        <f>ROUND(+F$4/+'Age Factors'!F40,0)</f>
        <v>1050</v>
      </c>
      <c r="G40" s="49">
        <f>ROUND(+G$4/+'Age Factors'!G40,0)</f>
        <v>1131</v>
      </c>
      <c r="H40" s="49">
        <f>ROUND(+H$4/+'Age Factors'!H40,0)</f>
        <v>1416</v>
      </c>
      <c r="I40" s="49">
        <f>ROUND(+I$4/+'Age Factors'!I40,0)</f>
        <v>1426</v>
      </c>
      <c r="J40" s="49">
        <f>ROUND(+J$4/+'Age Factors'!J40,0)</f>
        <v>1783</v>
      </c>
      <c r="K40" s="49">
        <f>ROUND(+K$4/+'Age Factors'!K40,0)</f>
        <v>2015</v>
      </c>
      <c r="L40" s="49">
        <f>ROUND(+L$4/+'Age Factors'!L40,0)</f>
        <v>2154</v>
      </c>
      <c r="M40" s="49">
        <f>ROUND(+M$4/+'Age Factors'!M40,0)</f>
        <v>2719</v>
      </c>
      <c r="N40" s="49">
        <f>ROUND(+N$4/+'Age Factors'!N40,0)</f>
        <v>2930</v>
      </c>
      <c r="O40" s="49">
        <f>ROUND(+O$4/+'Age Factors'!O40,0)</f>
        <v>3682</v>
      </c>
      <c r="P40" s="49">
        <f>ROUND(+P$4/+'Age Factors'!P40,0)</f>
        <v>3905</v>
      </c>
      <c r="Q40" s="49">
        <f>ROUND(+Q$4/+'Age Factors'!Q40,0)</f>
        <v>4651</v>
      </c>
      <c r="R40" s="49">
        <f>ROUND(+R$4/+'Age Factors'!R40,0)</f>
        <v>5622</v>
      </c>
      <c r="S40" s="49">
        <f>ROUND(+S$4/+'Age Factors'!S40,0)</f>
        <v>8015</v>
      </c>
      <c r="T40" s="49">
        <f>ROUND(+T$4/+'Age Factors'!T40,0)</f>
        <v>9654</v>
      </c>
      <c r="U40" s="49">
        <f>ROUND(+U$4/+'Age Factors'!U40,0)</f>
        <v>17580</v>
      </c>
      <c r="V40" s="49">
        <f>ROUND(+V$4/+'Age Factors'!V40,0)</f>
        <v>24253</v>
      </c>
      <c r="W40" s="49">
        <f>ROUND(+W$4/+'Age Factors'!W40,0)</f>
        <v>40814</v>
      </c>
      <c r="X40" s="49">
        <f>ROUND(+X$4/+'Age Factors'!X40,0)</f>
        <v>44721</v>
      </c>
      <c r="Y40" s="49">
        <f>ROUND(+Y$4/+'Age Factors'!Y40,0)</f>
        <v>59217</v>
      </c>
      <c r="Z40" s="46"/>
    </row>
    <row r="41" spans="1:26">
      <c r="A41" s="56">
        <v>40</v>
      </c>
      <c r="B41" s="459">
        <f>ROUND(+B$4/+'Age Factors'!B41,0)</f>
        <v>162</v>
      </c>
      <c r="C41" s="60">
        <f>ROUND(+C$4/+'Age Factors'!C41,0)</f>
        <v>268</v>
      </c>
      <c r="D41" s="60">
        <f>ROUND(+D$4/+'Age Factors'!D41,0)</f>
        <v>515</v>
      </c>
      <c r="E41" s="60">
        <f>ROUND(+E$4/+'Age Factors'!E41,0)</f>
        <v>878</v>
      </c>
      <c r="F41" s="60">
        <f>ROUND(+F$4/+'Age Factors'!F41,0)</f>
        <v>1057</v>
      </c>
      <c r="G41" s="60">
        <f>ROUND(+G$4/+'Age Factors'!G41,0)</f>
        <v>1139</v>
      </c>
      <c r="H41" s="60">
        <f>ROUND(+H$4/+'Age Factors'!H41,0)</f>
        <v>1424</v>
      </c>
      <c r="I41" s="60">
        <f>ROUND(+I$4/+'Age Factors'!I41,0)</f>
        <v>1435</v>
      </c>
      <c r="J41" s="60">
        <f>ROUND(+J$4/+'Age Factors'!J41,0)</f>
        <v>1794</v>
      </c>
      <c r="K41" s="60">
        <f>ROUND(+K$4/+'Age Factors'!K41,0)</f>
        <v>2027</v>
      </c>
      <c r="L41" s="60">
        <f>ROUND(+L$4/+'Age Factors'!L41,0)</f>
        <v>2167</v>
      </c>
      <c r="M41" s="60">
        <f>ROUND(+M$4/+'Age Factors'!M41,0)</f>
        <v>2735</v>
      </c>
      <c r="N41" s="60">
        <f>ROUND(+N$4/+'Age Factors'!N41,0)</f>
        <v>2947</v>
      </c>
      <c r="O41" s="60">
        <f>ROUND(+O$4/+'Age Factors'!O41,0)</f>
        <v>3704</v>
      </c>
      <c r="P41" s="60">
        <f>ROUND(+P$4/+'Age Factors'!P41,0)</f>
        <v>3929</v>
      </c>
      <c r="Q41" s="60">
        <f>ROUND(+Q$4/+'Age Factors'!Q41,0)</f>
        <v>4678</v>
      </c>
      <c r="R41" s="60">
        <f>ROUND(+R$4/+'Age Factors'!R41,0)</f>
        <v>5653</v>
      </c>
      <c r="S41" s="60">
        <f>ROUND(+S$4/+'Age Factors'!S41,0)</f>
        <v>8054</v>
      </c>
      <c r="T41" s="60">
        <f>ROUND(+T$4/+'Age Factors'!T41,0)</f>
        <v>9700</v>
      </c>
      <c r="U41" s="60">
        <f>ROUND(+U$4/+'Age Factors'!U41,0)</f>
        <v>17665</v>
      </c>
      <c r="V41" s="60">
        <f>ROUND(+V$4/+'Age Factors'!V41,0)</f>
        <v>24371</v>
      </c>
      <c r="W41" s="60">
        <f>ROUND(+W$4/+'Age Factors'!W41,0)</f>
        <v>41012</v>
      </c>
      <c r="X41" s="60">
        <f>ROUND(+X$4/+'Age Factors'!X41,0)</f>
        <v>44938</v>
      </c>
      <c r="Y41" s="60">
        <f>ROUND(+Y$4/+'Age Factors'!Y41,0)</f>
        <v>59504</v>
      </c>
      <c r="Z41" s="46"/>
    </row>
    <row r="42" spans="1:26">
      <c r="A42" s="48">
        <v>41</v>
      </c>
      <c r="B42" s="480">
        <f>ROUND(+B$4/+'Age Factors'!B42,0)</f>
        <v>163</v>
      </c>
      <c r="C42" s="49">
        <f>ROUND(+C$4/+'Age Factors'!C42,0)</f>
        <v>269</v>
      </c>
      <c r="D42" s="49">
        <f>ROUND(+D$4/+'Age Factors'!D42,0)</f>
        <v>518</v>
      </c>
      <c r="E42" s="49">
        <f>ROUND(+E$4/+'Age Factors'!E42,0)</f>
        <v>885</v>
      </c>
      <c r="F42" s="49">
        <f>ROUND(+F$4/+'Age Factors'!F42,0)</f>
        <v>1065</v>
      </c>
      <c r="G42" s="49">
        <f>ROUND(+G$4/+'Age Factors'!G42,0)</f>
        <v>1147</v>
      </c>
      <c r="H42" s="49">
        <f>ROUND(+H$4/+'Age Factors'!H42,0)</f>
        <v>1434</v>
      </c>
      <c r="I42" s="49">
        <f>ROUND(+I$4/+'Age Factors'!I42,0)</f>
        <v>1444</v>
      </c>
      <c r="J42" s="49">
        <f>ROUND(+J$4/+'Age Factors'!J42,0)</f>
        <v>1805</v>
      </c>
      <c r="K42" s="49">
        <f>ROUND(+K$4/+'Age Factors'!K42,0)</f>
        <v>2040</v>
      </c>
      <c r="L42" s="49">
        <f>ROUND(+L$4/+'Age Factors'!L42,0)</f>
        <v>2181</v>
      </c>
      <c r="M42" s="49">
        <f>ROUND(+M$4/+'Age Factors'!M42,0)</f>
        <v>2753</v>
      </c>
      <c r="N42" s="49">
        <f>ROUND(+N$4/+'Age Factors'!N42,0)</f>
        <v>2967</v>
      </c>
      <c r="O42" s="49">
        <f>ROUND(+O$4/+'Age Factors'!O42,0)</f>
        <v>3729</v>
      </c>
      <c r="P42" s="49">
        <f>ROUND(+P$4/+'Age Factors'!P42,0)</f>
        <v>3955</v>
      </c>
      <c r="Q42" s="49">
        <f>ROUND(+Q$4/+'Age Factors'!Q42,0)</f>
        <v>4707</v>
      </c>
      <c r="R42" s="49">
        <f>ROUND(+R$4/+'Age Factors'!R42,0)</f>
        <v>5687</v>
      </c>
      <c r="S42" s="49">
        <f>ROUND(+S$4/+'Age Factors'!S42,0)</f>
        <v>8096</v>
      </c>
      <c r="T42" s="49">
        <f>ROUND(+T$4/+'Age Factors'!T42,0)</f>
        <v>9752</v>
      </c>
      <c r="U42" s="49">
        <f>ROUND(+U$4/+'Age Factors'!U42,0)</f>
        <v>17759</v>
      </c>
      <c r="V42" s="49">
        <f>ROUND(+V$4/+'Age Factors'!V42,0)</f>
        <v>24500</v>
      </c>
      <c r="W42" s="49">
        <f>ROUND(+W$4/+'Age Factors'!W42,0)</f>
        <v>41230</v>
      </c>
      <c r="X42" s="49">
        <f>ROUND(+X$4/+'Age Factors'!X42,0)</f>
        <v>45176</v>
      </c>
      <c r="Y42" s="49">
        <f>ROUND(+Y$4/+'Age Factors'!Y42,0)</f>
        <v>59819</v>
      </c>
      <c r="Z42" s="46"/>
    </row>
    <row r="43" spans="1:26">
      <c r="A43" s="48">
        <v>42</v>
      </c>
      <c r="B43" s="480">
        <f>ROUND(+B$4/+'Age Factors'!B43,0)</f>
        <v>164</v>
      </c>
      <c r="C43" s="49">
        <f>ROUND(+C$4/+'Age Factors'!C43,0)</f>
        <v>271</v>
      </c>
      <c r="D43" s="49">
        <f>ROUND(+D$4/+'Age Factors'!D43,0)</f>
        <v>522</v>
      </c>
      <c r="E43" s="49">
        <f>ROUND(+E$4/+'Age Factors'!E43,0)</f>
        <v>892</v>
      </c>
      <c r="F43" s="49">
        <f>ROUND(+F$4/+'Age Factors'!F43,0)</f>
        <v>1074</v>
      </c>
      <c r="G43" s="49">
        <f>ROUND(+G$4/+'Age Factors'!G43,0)</f>
        <v>1156</v>
      </c>
      <c r="H43" s="49">
        <f>ROUND(+H$4/+'Age Factors'!H43,0)</f>
        <v>1444</v>
      </c>
      <c r="I43" s="49">
        <f>ROUND(+I$4/+'Age Factors'!I43,0)</f>
        <v>1455</v>
      </c>
      <c r="J43" s="49">
        <f>ROUND(+J$4/+'Age Factors'!J43,0)</f>
        <v>1817</v>
      </c>
      <c r="K43" s="49">
        <f>ROUND(+K$4/+'Age Factors'!K43,0)</f>
        <v>2054</v>
      </c>
      <c r="L43" s="49">
        <f>ROUND(+L$4/+'Age Factors'!L43,0)</f>
        <v>2196</v>
      </c>
      <c r="M43" s="49">
        <f>ROUND(+M$4/+'Age Factors'!M43,0)</f>
        <v>2773</v>
      </c>
      <c r="N43" s="49">
        <f>ROUND(+N$4/+'Age Factors'!N43,0)</f>
        <v>2988</v>
      </c>
      <c r="O43" s="49">
        <f>ROUND(+O$4/+'Age Factors'!O43,0)</f>
        <v>3756</v>
      </c>
      <c r="P43" s="49">
        <f>ROUND(+P$4/+'Age Factors'!P43,0)</f>
        <v>3984</v>
      </c>
      <c r="Q43" s="49">
        <f>ROUND(+Q$4/+'Age Factors'!Q43,0)</f>
        <v>4740</v>
      </c>
      <c r="R43" s="49">
        <f>ROUND(+R$4/+'Age Factors'!R43,0)</f>
        <v>5724</v>
      </c>
      <c r="S43" s="49">
        <f>ROUND(+S$4/+'Age Factors'!S43,0)</f>
        <v>8143</v>
      </c>
      <c r="T43" s="49">
        <f>ROUND(+T$4/+'Age Factors'!T43,0)</f>
        <v>9808</v>
      </c>
      <c r="U43" s="49">
        <f>ROUND(+U$4/+'Age Factors'!U43,0)</f>
        <v>17861</v>
      </c>
      <c r="V43" s="49">
        <f>ROUND(+V$4/+'Age Factors'!V43,0)</f>
        <v>24641</v>
      </c>
      <c r="W43" s="49">
        <f>ROUND(+W$4/+'Age Factors'!W43,0)</f>
        <v>41466</v>
      </c>
      <c r="X43" s="49">
        <f>ROUND(+X$4/+'Age Factors'!X43,0)</f>
        <v>45436</v>
      </c>
      <c r="Y43" s="49">
        <f>ROUND(+Y$4/+'Age Factors'!Y43,0)</f>
        <v>60163</v>
      </c>
      <c r="Z43" s="46"/>
    </row>
    <row r="44" spans="1:26">
      <c r="A44" s="48">
        <v>43</v>
      </c>
      <c r="B44" s="480">
        <f>ROUND(+B$4/+'Age Factors'!B44,0)</f>
        <v>165</v>
      </c>
      <c r="C44" s="49">
        <f>ROUND(+C$4/+'Age Factors'!C44,0)</f>
        <v>273</v>
      </c>
      <c r="D44" s="49">
        <f>ROUND(+D$4/+'Age Factors'!D44,0)</f>
        <v>526</v>
      </c>
      <c r="E44" s="49">
        <f>ROUND(+E$4/+'Age Factors'!E44,0)</f>
        <v>900</v>
      </c>
      <c r="F44" s="49">
        <f>ROUND(+F$4/+'Age Factors'!F44,0)</f>
        <v>1083</v>
      </c>
      <c r="G44" s="49">
        <f>ROUND(+G$4/+'Age Factors'!G44,0)</f>
        <v>1166</v>
      </c>
      <c r="H44" s="49">
        <f>ROUND(+H$4/+'Age Factors'!H44,0)</f>
        <v>1456</v>
      </c>
      <c r="I44" s="49">
        <f>ROUND(+I$4/+'Age Factors'!I44,0)</f>
        <v>1466</v>
      </c>
      <c r="J44" s="49">
        <f>ROUND(+J$4/+'Age Factors'!J44,0)</f>
        <v>1831</v>
      </c>
      <c r="K44" s="49">
        <f>ROUND(+K$4/+'Age Factors'!K44,0)</f>
        <v>2069</v>
      </c>
      <c r="L44" s="49">
        <f>ROUND(+L$4/+'Age Factors'!L44,0)</f>
        <v>2212</v>
      </c>
      <c r="M44" s="49">
        <f>ROUND(+M$4/+'Age Factors'!M44,0)</f>
        <v>2794</v>
      </c>
      <c r="N44" s="49">
        <f>ROUND(+N$4/+'Age Factors'!N44,0)</f>
        <v>3011</v>
      </c>
      <c r="O44" s="49">
        <f>ROUND(+O$4/+'Age Factors'!O44,0)</f>
        <v>3785</v>
      </c>
      <c r="P44" s="49">
        <f>ROUND(+P$4/+'Age Factors'!P44,0)</f>
        <v>4015</v>
      </c>
      <c r="Q44" s="49">
        <f>ROUND(+Q$4/+'Age Factors'!Q44,0)</f>
        <v>4775</v>
      </c>
      <c r="R44" s="49">
        <f>ROUND(+R$4/+'Age Factors'!R44,0)</f>
        <v>5764</v>
      </c>
      <c r="S44" s="49">
        <f>ROUND(+S$4/+'Age Factors'!S44,0)</f>
        <v>8193</v>
      </c>
      <c r="T44" s="49">
        <f>ROUND(+T$4/+'Age Factors'!T44,0)</f>
        <v>9869</v>
      </c>
      <c r="U44" s="49">
        <f>ROUND(+U$4/+'Age Factors'!U44,0)</f>
        <v>17972</v>
      </c>
      <c r="V44" s="49">
        <f>ROUND(+V$4/+'Age Factors'!V44,0)</f>
        <v>24793</v>
      </c>
      <c r="W44" s="49">
        <f>ROUND(+W$4/+'Age Factors'!W44,0)</f>
        <v>41724</v>
      </c>
      <c r="X44" s="49">
        <f>ROUND(+X$4/+'Age Factors'!X44,0)</f>
        <v>45717</v>
      </c>
      <c r="Y44" s="49">
        <f>ROUND(+Y$4/+'Age Factors'!Y44,0)</f>
        <v>60536</v>
      </c>
      <c r="Z44" s="46"/>
    </row>
    <row r="45" spans="1:26">
      <c r="A45" s="48">
        <v>44</v>
      </c>
      <c r="B45" s="480">
        <f>ROUND(+B$4/+'Age Factors'!B45,0)</f>
        <v>166</v>
      </c>
      <c r="C45" s="49">
        <f>ROUND(+C$4/+'Age Factors'!C45,0)</f>
        <v>275</v>
      </c>
      <c r="D45" s="49">
        <f>ROUND(+D$4/+'Age Factors'!D45,0)</f>
        <v>531</v>
      </c>
      <c r="E45" s="49">
        <f>ROUND(+E$4/+'Age Factors'!E45,0)</f>
        <v>909</v>
      </c>
      <c r="F45" s="49">
        <f>ROUND(+F$4/+'Age Factors'!F45,0)</f>
        <v>1093</v>
      </c>
      <c r="G45" s="49">
        <f>ROUND(+G$4/+'Age Factors'!G45,0)</f>
        <v>1177</v>
      </c>
      <c r="H45" s="49">
        <f>ROUND(+H$4/+'Age Factors'!H45,0)</f>
        <v>1468</v>
      </c>
      <c r="I45" s="49">
        <f>ROUND(+I$4/+'Age Factors'!I45,0)</f>
        <v>1479</v>
      </c>
      <c r="J45" s="49">
        <f>ROUND(+J$4/+'Age Factors'!J45,0)</f>
        <v>1845</v>
      </c>
      <c r="K45" s="49">
        <f>ROUND(+K$4/+'Age Factors'!K45,0)</f>
        <v>2086</v>
      </c>
      <c r="L45" s="49">
        <f>ROUND(+L$4/+'Age Factors'!L45,0)</f>
        <v>2230</v>
      </c>
      <c r="M45" s="49">
        <f>ROUND(+M$4/+'Age Factors'!M45,0)</f>
        <v>2816</v>
      </c>
      <c r="N45" s="49">
        <f>ROUND(+N$4/+'Age Factors'!N45,0)</f>
        <v>3035</v>
      </c>
      <c r="O45" s="49">
        <f>ROUND(+O$4/+'Age Factors'!O45,0)</f>
        <v>3817</v>
      </c>
      <c r="P45" s="49">
        <f>ROUND(+P$4/+'Age Factors'!P45,0)</f>
        <v>4049</v>
      </c>
      <c r="Q45" s="49">
        <f>ROUND(+Q$4/+'Age Factors'!Q45,0)</f>
        <v>4813</v>
      </c>
      <c r="R45" s="49">
        <f>ROUND(+R$4/+'Age Factors'!R45,0)</f>
        <v>5807</v>
      </c>
      <c r="S45" s="49">
        <f>ROUND(+S$4/+'Age Factors'!S45,0)</f>
        <v>8247</v>
      </c>
      <c r="T45" s="49">
        <f>ROUND(+T$4/+'Age Factors'!T45,0)</f>
        <v>9933</v>
      </c>
      <c r="U45" s="49">
        <f>ROUND(+U$4/+'Age Factors'!U45,0)</f>
        <v>18089</v>
      </c>
      <c r="V45" s="49">
        <f>ROUND(+V$4/+'Age Factors'!V45,0)</f>
        <v>24956</v>
      </c>
      <c r="W45" s="49">
        <f>ROUND(+W$4/+'Age Factors'!W45,0)</f>
        <v>41997</v>
      </c>
      <c r="X45" s="49">
        <f>ROUND(+X$4/+'Age Factors'!X45,0)</f>
        <v>46017</v>
      </c>
      <c r="Y45" s="49">
        <f>ROUND(+Y$4/+'Age Factors'!Y45,0)</f>
        <v>60933</v>
      </c>
      <c r="Z45" s="46"/>
    </row>
    <row r="46" spans="1:26">
      <c r="A46" s="56">
        <v>45</v>
      </c>
      <c r="B46" s="459">
        <f>ROUND(+B$4/+'Age Factors'!B46,0)</f>
        <v>167</v>
      </c>
      <c r="C46" s="60">
        <f>ROUND(+C$4/+'Age Factors'!C46,0)</f>
        <v>277</v>
      </c>
      <c r="D46" s="60">
        <f>ROUND(+D$4/+'Age Factors'!D46,0)</f>
        <v>536</v>
      </c>
      <c r="E46" s="60">
        <f>ROUND(+E$4/+'Age Factors'!E46,0)</f>
        <v>919</v>
      </c>
      <c r="F46" s="60">
        <f>ROUND(+F$4/+'Age Factors'!F46,0)</f>
        <v>1104</v>
      </c>
      <c r="G46" s="60">
        <f>ROUND(+G$4/+'Age Factors'!G46,0)</f>
        <v>1188</v>
      </c>
      <c r="H46" s="60">
        <f>ROUND(+H$4/+'Age Factors'!H46,0)</f>
        <v>1481</v>
      </c>
      <c r="I46" s="60">
        <f>ROUND(+I$4/+'Age Factors'!I46,0)</f>
        <v>1492</v>
      </c>
      <c r="J46" s="60">
        <f>ROUND(+J$4/+'Age Factors'!J46,0)</f>
        <v>1860</v>
      </c>
      <c r="K46" s="60">
        <f>ROUND(+K$4/+'Age Factors'!K46,0)</f>
        <v>2103</v>
      </c>
      <c r="L46" s="60">
        <f>ROUND(+L$4/+'Age Factors'!L46,0)</f>
        <v>2249</v>
      </c>
      <c r="M46" s="60">
        <f>ROUND(+M$4/+'Age Factors'!M46,0)</f>
        <v>2841</v>
      </c>
      <c r="N46" s="60">
        <f>ROUND(+N$4/+'Age Factors'!N46,0)</f>
        <v>3062</v>
      </c>
      <c r="O46" s="60">
        <f>ROUND(+O$4/+'Age Factors'!O46,0)</f>
        <v>3851</v>
      </c>
      <c r="P46" s="60">
        <f>ROUND(+P$4/+'Age Factors'!P46,0)</f>
        <v>4085</v>
      </c>
      <c r="Q46" s="60">
        <f>ROUND(+Q$4/+'Age Factors'!Q46,0)</f>
        <v>4854</v>
      </c>
      <c r="R46" s="60">
        <f>ROUND(+R$4/+'Age Factors'!R46,0)</f>
        <v>5853</v>
      </c>
      <c r="S46" s="60">
        <f>ROUND(+S$4/+'Age Factors'!S46,0)</f>
        <v>8306</v>
      </c>
      <c r="T46" s="60">
        <f>ROUND(+T$4/+'Age Factors'!T46,0)</f>
        <v>10004</v>
      </c>
      <c r="U46" s="60">
        <f>ROUND(+U$4/+'Age Factors'!U46,0)</f>
        <v>18219</v>
      </c>
      <c r="V46" s="60">
        <f>ROUND(+V$4/+'Age Factors'!V46,0)</f>
        <v>25134</v>
      </c>
      <c r="W46" s="60">
        <f>ROUND(+W$4/+'Age Factors'!W46,0)</f>
        <v>42297</v>
      </c>
      <c r="X46" s="60">
        <f>ROUND(+X$4/+'Age Factors'!X46,0)</f>
        <v>46346</v>
      </c>
      <c r="Y46" s="60">
        <f>ROUND(+Y$4/+'Age Factors'!Y46,0)</f>
        <v>61368</v>
      </c>
      <c r="Z46" s="46"/>
    </row>
    <row r="47" spans="1:26">
      <c r="A47" s="48">
        <v>46</v>
      </c>
      <c r="B47" s="480">
        <f>ROUND(+B$4/+'Age Factors'!B47,0)</f>
        <v>168</v>
      </c>
      <c r="C47" s="49">
        <f>ROUND(+C$4/+'Age Factors'!C47,0)</f>
        <v>279</v>
      </c>
      <c r="D47" s="49">
        <f>ROUND(+D$4/+'Age Factors'!D47,0)</f>
        <v>541</v>
      </c>
      <c r="E47" s="49">
        <f>ROUND(+E$4/+'Age Factors'!E47,0)</f>
        <v>929</v>
      </c>
      <c r="F47" s="49">
        <f>ROUND(+F$4/+'Age Factors'!F47,0)</f>
        <v>1115</v>
      </c>
      <c r="G47" s="49">
        <f>ROUND(+G$4/+'Age Factors'!G47,0)</f>
        <v>1200</v>
      </c>
      <c r="H47" s="49">
        <f>ROUND(+H$4/+'Age Factors'!H47,0)</f>
        <v>1496</v>
      </c>
      <c r="I47" s="49">
        <f>ROUND(+I$4/+'Age Factors'!I47,0)</f>
        <v>1506</v>
      </c>
      <c r="J47" s="49">
        <f>ROUND(+J$4/+'Age Factors'!J47,0)</f>
        <v>1877</v>
      </c>
      <c r="K47" s="49">
        <f>ROUND(+K$4/+'Age Factors'!K47,0)</f>
        <v>2123</v>
      </c>
      <c r="L47" s="49">
        <f>ROUND(+L$4/+'Age Factors'!L47,0)</f>
        <v>2269</v>
      </c>
      <c r="M47" s="49">
        <f>ROUND(+M$4/+'Age Factors'!M47,0)</f>
        <v>2867</v>
      </c>
      <c r="N47" s="49">
        <f>ROUND(+N$4/+'Age Factors'!N47,0)</f>
        <v>3090</v>
      </c>
      <c r="O47" s="49">
        <f>ROUND(+O$4/+'Age Factors'!O47,0)</f>
        <v>3887</v>
      </c>
      <c r="P47" s="49">
        <f>ROUND(+P$4/+'Age Factors'!P47,0)</f>
        <v>4124</v>
      </c>
      <c r="Q47" s="49">
        <f>ROUND(+Q$4/+'Age Factors'!Q47,0)</f>
        <v>4898</v>
      </c>
      <c r="R47" s="49">
        <f>ROUND(+R$4/+'Age Factors'!R47,0)</f>
        <v>5903</v>
      </c>
      <c r="S47" s="49">
        <f>ROUND(+S$4/+'Age Factors'!S47,0)</f>
        <v>8368</v>
      </c>
      <c r="T47" s="49">
        <f>ROUND(+T$4/+'Age Factors'!T47,0)</f>
        <v>10079</v>
      </c>
      <c r="U47" s="49">
        <f>ROUND(+U$4/+'Age Factors'!U47,0)</f>
        <v>18356</v>
      </c>
      <c r="V47" s="49">
        <f>ROUND(+V$4/+'Age Factors'!V47,0)</f>
        <v>25323</v>
      </c>
      <c r="W47" s="49">
        <f>ROUND(+W$4/+'Age Factors'!W47,0)</f>
        <v>42615</v>
      </c>
      <c r="X47" s="49">
        <f>ROUND(+X$4/+'Age Factors'!X47,0)</f>
        <v>46694</v>
      </c>
      <c r="Y47" s="49">
        <f>ROUND(+Y$4/+'Age Factors'!Y47,0)</f>
        <v>61829</v>
      </c>
      <c r="Z47" s="46"/>
    </row>
    <row r="48" spans="1:26">
      <c r="A48" s="48">
        <v>47</v>
      </c>
      <c r="B48" s="480">
        <f>ROUND(+B$4/+'Age Factors'!B48,0)</f>
        <v>170</v>
      </c>
      <c r="C48" s="49">
        <f>ROUND(+C$4/+'Age Factors'!C48,0)</f>
        <v>282</v>
      </c>
      <c r="D48" s="49">
        <f>ROUND(+D$4/+'Age Factors'!D48,0)</f>
        <v>547</v>
      </c>
      <c r="E48" s="49">
        <f>ROUND(+E$4/+'Age Factors'!E48,0)</f>
        <v>939</v>
      </c>
      <c r="F48" s="49">
        <f>ROUND(+F$4/+'Age Factors'!F48,0)</f>
        <v>1127</v>
      </c>
      <c r="G48" s="49">
        <f>ROUND(+G$4/+'Age Factors'!G48,0)</f>
        <v>1212</v>
      </c>
      <c r="H48" s="49">
        <f>ROUND(+H$4/+'Age Factors'!H48,0)</f>
        <v>1511</v>
      </c>
      <c r="I48" s="49">
        <f>ROUND(+I$4/+'Age Factors'!I48,0)</f>
        <v>1521</v>
      </c>
      <c r="J48" s="49">
        <f>ROUND(+J$4/+'Age Factors'!J48,0)</f>
        <v>1895</v>
      </c>
      <c r="K48" s="49">
        <f>ROUND(+K$4/+'Age Factors'!K48,0)</f>
        <v>2143</v>
      </c>
      <c r="L48" s="49">
        <f>ROUND(+L$4/+'Age Factors'!L48,0)</f>
        <v>2291</v>
      </c>
      <c r="M48" s="49">
        <f>ROUND(+M$4/+'Age Factors'!M48,0)</f>
        <v>2895</v>
      </c>
      <c r="N48" s="49">
        <f>ROUND(+N$4/+'Age Factors'!N48,0)</f>
        <v>3121</v>
      </c>
      <c r="O48" s="49">
        <f>ROUND(+O$4/+'Age Factors'!O48,0)</f>
        <v>3926</v>
      </c>
      <c r="P48" s="49">
        <f>ROUND(+P$4/+'Age Factors'!P48,0)</f>
        <v>4166</v>
      </c>
      <c r="Q48" s="49">
        <f>ROUND(+Q$4/+'Age Factors'!Q48,0)</f>
        <v>4945</v>
      </c>
      <c r="R48" s="49">
        <f>ROUND(+R$4/+'Age Factors'!R48,0)</f>
        <v>5956</v>
      </c>
      <c r="S48" s="49">
        <f>ROUND(+S$4/+'Age Factors'!S48,0)</f>
        <v>8435</v>
      </c>
      <c r="T48" s="49">
        <f>ROUND(+T$4/+'Age Factors'!T48,0)</f>
        <v>10160</v>
      </c>
      <c r="U48" s="49">
        <f>ROUND(+U$4/+'Age Factors'!U48,0)</f>
        <v>18502</v>
      </c>
      <c r="V48" s="49">
        <f>ROUND(+V$4/+'Age Factors'!V48,0)</f>
        <v>25526</v>
      </c>
      <c r="W48" s="49">
        <f>ROUND(+W$4/+'Age Factors'!W48,0)</f>
        <v>42956</v>
      </c>
      <c r="X48" s="49">
        <f>ROUND(+X$4/+'Age Factors'!X48,0)</f>
        <v>47068</v>
      </c>
      <c r="Y48" s="49">
        <f>ROUND(+Y$4/+'Age Factors'!Y48,0)</f>
        <v>62324</v>
      </c>
      <c r="Z48" s="46"/>
    </row>
    <row r="49" spans="1:26">
      <c r="A49" s="48">
        <v>48</v>
      </c>
      <c r="B49" s="480">
        <f>ROUND(+B$4/+'Age Factors'!B49,0)</f>
        <v>171</v>
      </c>
      <c r="C49" s="49">
        <f>ROUND(+C$4/+'Age Factors'!C49,0)</f>
        <v>284</v>
      </c>
      <c r="D49" s="49">
        <f>ROUND(+D$4/+'Age Factors'!D49,0)</f>
        <v>552</v>
      </c>
      <c r="E49" s="49">
        <f>ROUND(+E$4/+'Age Factors'!E49,0)</f>
        <v>949</v>
      </c>
      <c r="F49" s="49">
        <f>ROUND(+F$4/+'Age Factors'!F49,0)</f>
        <v>1139</v>
      </c>
      <c r="G49" s="49">
        <f>ROUND(+G$4/+'Age Factors'!G49,0)</f>
        <v>1225</v>
      </c>
      <c r="H49" s="49">
        <f>ROUND(+H$4/+'Age Factors'!H49,0)</f>
        <v>1526</v>
      </c>
      <c r="I49" s="49">
        <f>ROUND(+I$4/+'Age Factors'!I49,0)</f>
        <v>1537</v>
      </c>
      <c r="J49" s="49">
        <f>ROUND(+J$4/+'Age Factors'!J49,0)</f>
        <v>1914</v>
      </c>
      <c r="K49" s="49">
        <f>ROUND(+K$4/+'Age Factors'!K49,0)</f>
        <v>2165</v>
      </c>
      <c r="L49" s="49">
        <f>ROUND(+L$4/+'Age Factors'!L49,0)</f>
        <v>2315</v>
      </c>
      <c r="M49" s="49">
        <f>ROUND(+M$4/+'Age Factors'!M49,0)</f>
        <v>2926</v>
      </c>
      <c r="N49" s="49">
        <f>ROUND(+N$4/+'Age Factors'!N49,0)</f>
        <v>3154</v>
      </c>
      <c r="O49" s="49">
        <f>ROUND(+O$4/+'Age Factors'!O49,0)</f>
        <v>3969</v>
      </c>
      <c r="P49" s="49">
        <f>ROUND(+P$4/+'Age Factors'!P49,0)</f>
        <v>4211</v>
      </c>
      <c r="Q49" s="49">
        <f>ROUND(+Q$4/+'Age Factors'!Q49,0)</f>
        <v>4995</v>
      </c>
      <c r="R49" s="49">
        <f>ROUND(+R$4/+'Age Factors'!R49,0)</f>
        <v>6013</v>
      </c>
      <c r="S49" s="49">
        <f>ROUND(+S$4/+'Age Factors'!S49,0)</f>
        <v>8506</v>
      </c>
      <c r="T49" s="49">
        <f>ROUND(+T$4/+'Age Factors'!T49,0)</f>
        <v>10245</v>
      </c>
      <c r="U49" s="49">
        <f>ROUND(+U$4/+'Age Factors'!U49,0)</f>
        <v>18658</v>
      </c>
      <c r="V49" s="49">
        <f>ROUND(+V$4/+'Age Factors'!V49,0)</f>
        <v>25740</v>
      </c>
      <c r="W49" s="49">
        <f>ROUND(+W$4/+'Age Factors'!W49,0)</f>
        <v>43317</v>
      </c>
      <c r="X49" s="49">
        <f>ROUND(+X$4/+'Age Factors'!X49,0)</f>
        <v>47463</v>
      </c>
      <c r="Y49" s="49">
        <f>ROUND(+Y$4/+'Age Factors'!Y49,0)</f>
        <v>62848</v>
      </c>
      <c r="Z49" s="46"/>
    </row>
    <row r="50" spans="1:26">
      <c r="A50" s="48">
        <v>49</v>
      </c>
      <c r="B50" s="480">
        <f>ROUND(+B$4/+'Age Factors'!B50,0)</f>
        <v>173</v>
      </c>
      <c r="C50" s="49">
        <f>ROUND(+C$4/+'Age Factors'!C50,0)</f>
        <v>287</v>
      </c>
      <c r="D50" s="49">
        <f>ROUND(+D$4/+'Age Factors'!D50,0)</f>
        <v>558</v>
      </c>
      <c r="E50" s="49">
        <f>ROUND(+E$4/+'Age Factors'!E50,0)</f>
        <v>960</v>
      </c>
      <c r="F50" s="49">
        <f>ROUND(+F$4/+'Age Factors'!F50,0)</f>
        <v>1152</v>
      </c>
      <c r="G50" s="49">
        <f>ROUND(+G$4/+'Age Factors'!G50,0)</f>
        <v>1239</v>
      </c>
      <c r="H50" s="49">
        <f>ROUND(+H$4/+'Age Factors'!H50,0)</f>
        <v>1543</v>
      </c>
      <c r="I50" s="49">
        <f>ROUND(+I$4/+'Age Factors'!I50,0)</f>
        <v>1554</v>
      </c>
      <c r="J50" s="49">
        <f>ROUND(+J$4/+'Age Factors'!J50,0)</f>
        <v>1935</v>
      </c>
      <c r="K50" s="49">
        <f>ROUND(+K$4/+'Age Factors'!K50,0)</f>
        <v>2188</v>
      </c>
      <c r="L50" s="49">
        <f>ROUND(+L$4/+'Age Factors'!L50,0)</f>
        <v>2340</v>
      </c>
      <c r="M50" s="49">
        <f>ROUND(+M$4/+'Age Factors'!M50,0)</f>
        <v>2959</v>
      </c>
      <c r="N50" s="49">
        <f>ROUND(+N$4/+'Age Factors'!N50,0)</f>
        <v>3189</v>
      </c>
      <c r="O50" s="49">
        <f>ROUND(+O$4/+'Age Factors'!O50,0)</f>
        <v>4014</v>
      </c>
      <c r="P50" s="49">
        <f>ROUND(+P$4/+'Age Factors'!P50,0)</f>
        <v>4259</v>
      </c>
      <c r="Q50" s="49">
        <f>ROUND(+Q$4/+'Age Factors'!Q50,0)</f>
        <v>5049</v>
      </c>
      <c r="R50" s="49">
        <f>ROUND(+R$4/+'Age Factors'!R50,0)</f>
        <v>6075</v>
      </c>
      <c r="S50" s="49">
        <f>ROUND(+S$4/+'Age Factors'!S50,0)</f>
        <v>8583</v>
      </c>
      <c r="T50" s="49">
        <f>ROUND(+T$4/+'Age Factors'!T50,0)</f>
        <v>10338</v>
      </c>
      <c r="U50" s="49">
        <f>ROUND(+U$4/+'Age Factors'!U50,0)</f>
        <v>18826</v>
      </c>
      <c r="V50" s="49">
        <f>ROUND(+V$4/+'Age Factors'!V50,0)</f>
        <v>25973</v>
      </c>
      <c r="W50" s="49">
        <f>ROUND(+W$4/+'Age Factors'!W50,0)</f>
        <v>43708</v>
      </c>
      <c r="X50" s="49">
        <f>ROUND(+X$4/+'Age Factors'!X50,0)</f>
        <v>47892</v>
      </c>
      <c r="Y50" s="49">
        <f>ROUND(+Y$4/+'Age Factors'!Y50,0)</f>
        <v>63415</v>
      </c>
      <c r="Z50" s="46"/>
    </row>
    <row r="51" spans="1:26">
      <c r="A51" s="56">
        <v>50</v>
      </c>
      <c r="B51" s="459">
        <f>ROUND(+B$4/+'Age Factors'!B51,0)</f>
        <v>175</v>
      </c>
      <c r="C51" s="60">
        <f>ROUND(+C$4/+'Age Factors'!C51,0)</f>
        <v>290</v>
      </c>
      <c r="D51" s="60">
        <f>ROUND(+D$4/+'Age Factors'!D51,0)</f>
        <v>564</v>
      </c>
      <c r="E51" s="60">
        <f>ROUND(+E$4/+'Age Factors'!E51,0)</f>
        <v>971</v>
      </c>
      <c r="F51" s="60">
        <f>ROUND(+F$4/+'Age Factors'!F51,0)</f>
        <v>1165</v>
      </c>
      <c r="G51" s="60">
        <f>ROUND(+G$4/+'Age Factors'!G51,0)</f>
        <v>1253</v>
      </c>
      <c r="H51" s="60">
        <f>ROUND(+H$4/+'Age Factors'!H51,0)</f>
        <v>1560</v>
      </c>
      <c r="I51" s="60">
        <f>ROUND(+I$4/+'Age Factors'!I51,0)</f>
        <v>1571</v>
      </c>
      <c r="J51" s="60">
        <f>ROUND(+J$4/+'Age Factors'!J51,0)</f>
        <v>1956</v>
      </c>
      <c r="K51" s="60">
        <f>ROUND(+K$4/+'Age Factors'!K51,0)</f>
        <v>2213</v>
      </c>
      <c r="L51" s="60">
        <f>ROUND(+L$4/+'Age Factors'!L51,0)</f>
        <v>2367</v>
      </c>
      <c r="M51" s="60">
        <f>ROUND(+M$4/+'Age Factors'!M51,0)</f>
        <v>2993</v>
      </c>
      <c r="N51" s="60">
        <f>ROUND(+N$4/+'Age Factors'!N51,0)</f>
        <v>3226</v>
      </c>
      <c r="O51" s="60">
        <f>ROUND(+O$4/+'Age Factors'!O51,0)</f>
        <v>4061</v>
      </c>
      <c r="P51" s="60">
        <f>ROUND(+P$4/+'Age Factors'!P51,0)</f>
        <v>4309</v>
      </c>
      <c r="Q51" s="60">
        <f>ROUND(+Q$4/+'Age Factors'!Q51,0)</f>
        <v>5106</v>
      </c>
      <c r="R51" s="60">
        <f>ROUND(+R$4/+'Age Factors'!R51,0)</f>
        <v>6139</v>
      </c>
      <c r="S51" s="60">
        <f>ROUND(+S$4/+'Age Factors'!S51,0)</f>
        <v>8664</v>
      </c>
      <c r="T51" s="60">
        <f>ROUND(+T$4/+'Age Factors'!T51,0)</f>
        <v>10436</v>
      </c>
      <c r="U51" s="60">
        <f>ROUND(+U$4/+'Age Factors'!U51,0)</f>
        <v>19004</v>
      </c>
      <c r="V51" s="60">
        <f>ROUND(+V$4/+'Age Factors'!V51,0)</f>
        <v>26218</v>
      </c>
      <c r="W51" s="60">
        <f>ROUND(+W$4/+'Age Factors'!W51,0)</f>
        <v>44121</v>
      </c>
      <c r="X51" s="60">
        <f>ROUND(+X$4/+'Age Factors'!X51,0)</f>
        <v>48344</v>
      </c>
      <c r="Y51" s="60">
        <f>ROUND(+Y$4/+'Age Factors'!Y51,0)</f>
        <v>64014</v>
      </c>
      <c r="Z51" s="46"/>
    </row>
    <row r="52" spans="1:26">
      <c r="A52" s="48">
        <v>51</v>
      </c>
      <c r="B52" s="480">
        <f>ROUND(+B$4/+'Age Factors'!B52,0)</f>
        <v>177</v>
      </c>
      <c r="C52" s="49">
        <f>ROUND(+C$4/+'Age Factors'!C52,0)</f>
        <v>294</v>
      </c>
      <c r="D52" s="49">
        <f>ROUND(+D$4/+'Age Factors'!D52,0)</f>
        <v>571</v>
      </c>
      <c r="E52" s="49">
        <f>ROUND(+E$4/+'Age Factors'!E52,0)</f>
        <v>982</v>
      </c>
      <c r="F52" s="49">
        <f>ROUND(+F$4/+'Age Factors'!F52,0)</f>
        <v>1178</v>
      </c>
      <c r="G52" s="49">
        <f>ROUND(+G$4/+'Age Factors'!G52,0)</f>
        <v>1267</v>
      </c>
      <c r="H52" s="49">
        <f>ROUND(+H$4/+'Age Factors'!H52,0)</f>
        <v>1578</v>
      </c>
      <c r="I52" s="49">
        <f>ROUND(+I$4/+'Age Factors'!I52,0)</f>
        <v>1589</v>
      </c>
      <c r="J52" s="49">
        <f>ROUND(+J$4/+'Age Factors'!J52,0)</f>
        <v>1979</v>
      </c>
      <c r="K52" s="49">
        <f>ROUND(+K$4/+'Age Factors'!K52,0)</f>
        <v>2239</v>
      </c>
      <c r="L52" s="49">
        <f>ROUND(+L$4/+'Age Factors'!L52,0)</f>
        <v>2394</v>
      </c>
      <c r="M52" s="49">
        <f>ROUND(+M$4/+'Age Factors'!M52,0)</f>
        <v>3028</v>
      </c>
      <c r="N52" s="49">
        <f>ROUND(+N$4/+'Age Factors'!N52,0)</f>
        <v>3264</v>
      </c>
      <c r="O52" s="49">
        <f>ROUND(+O$4/+'Age Factors'!O52,0)</f>
        <v>4110</v>
      </c>
      <c r="P52" s="49">
        <f>ROUND(+P$4/+'Age Factors'!P52,0)</f>
        <v>4361</v>
      </c>
      <c r="Q52" s="49">
        <f>ROUND(+Q$4/+'Age Factors'!Q52,0)</f>
        <v>5165</v>
      </c>
      <c r="R52" s="49">
        <f>ROUND(+R$4/+'Age Factors'!R52,0)</f>
        <v>6207</v>
      </c>
      <c r="S52" s="49">
        <f>ROUND(+S$4/+'Age Factors'!S52,0)</f>
        <v>8751</v>
      </c>
      <c r="T52" s="49">
        <f>ROUND(+T$4/+'Age Factors'!T52,0)</f>
        <v>10540</v>
      </c>
      <c r="U52" s="49">
        <f>ROUND(+U$4/+'Age Factors'!U52,0)</f>
        <v>19194</v>
      </c>
      <c r="V52" s="49">
        <f>ROUND(+V$4/+'Age Factors'!V52,0)</f>
        <v>26480</v>
      </c>
      <c r="W52" s="49">
        <f>ROUND(+W$4/+'Age Factors'!W52,0)</f>
        <v>44562</v>
      </c>
      <c r="X52" s="49">
        <f>ROUND(+X$4/+'Age Factors'!X52,0)</f>
        <v>48827</v>
      </c>
      <c r="Y52" s="49">
        <f>ROUND(+Y$4/+'Age Factors'!Y52,0)</f>
        <v>64654</v>
      </c>
      <c r="Z52" s="46"/>
    </row>
    <row r="53" spans="1:26">
      <c r="A53" s="48">
        <v>52</v>
      </c>
      <c r="B53" s="480">
        <f>ROUND(+B$4/+'Age Factors'!B53,0)</f>
        <v>179</v>
      </c>
      <c r="C53" s="49">
        <f>ROUND(+C$4/+'Age Factors'!C53,0)</f>
        <v>297</v>
      </c>
      <c r="D53" s="49">
        <f>ROUND(+D$4/+'Age Factors'!D53,0)</f>
        <v>577</v>
      </c>
      <c r="E53" s="49">
        <f>ROUND(+E$4/+'Age Factors'!E53,0)</f>
        <v>993</v>
      </c>
      <c r="F53" s="49">
        <f>ROUND(+F$4/+'Age Factors'!F53,0)</f>
        <v>1192</v>
      </c>
      <c r="G53" s="49">
        <f>ROUND(+G$4/+'Age Factors'!G53,0)</f>
        <v>1282</v>
      </c>
      <c r="H53" s="49">
        <f>ROUND(+H$4/+'Age Factors'!H53,0)</f>
        <v>1596</v>
      </c>
      <c r="I53" s="49">
        <f>ROUND(+I$4/+'Age Factors'!I53,0)</f>
        <v>1608</v>
      </c>
      <c r="J53" s="49">
        <f>ROUND(+J$4/+'Age Factors'!J53,0)</f>
        <v>2002</v>
      </c>
      <c r="K53" s="49">
        <f>ROUND(+K$4/+'Age Factors'!K53,0)</f>
        <v>2265</v>
      </c>
      <c r="L53" s="49">
        <f>ROUND(+L$4/+'Age Factors'!L53,0)</f>
        <v>2422</v>
      </c>
      <c r="M53" s="49">
        <f>ROUND(+M$4/+'Age Factors'!M53,0)</f>
        <v>3064</v>
      </c>
      <c r="N53" s="49">
        <f>ROUND(+N$4/+'Age Factors'!N53,0)</f>
        <v>3303</v>
      </c>
      <c r="O53" s="49">
        <f>ROUND(+O$4/+'Age Factors'!O53,0)</f>
        <v>4159</v>
      </c>
      <c r="P53" s="49">
        <f>ROUND(+P$4/+'Age Factors'!P53,0)</f>
        <v>4414</v>
      </c>
      <c r="Q53" s="49">
        <f>ROUND(+Q$4/+'Age Factors'!Q53,0)</f>
        <v>5225</v>
      </c>
      <c r="R53" s="49">
        <f>ROUND(+R$4/+'Age Factors'!R53,0)</f>
        <v>6277</v>
      </c>
      <c r="S53" s="49">
        <f>ROUND(+S$4/+'Age Factors'!S53,0)</f>
        <v>8843</v>
      </c>
      <c r="T53" s="49">
        <f>ROUND(+T$4/+'Age Factors'!T53,0)</f>
        <v>10651</v>
      </c>
      <c r="U53" s="49">
        <f>ROUND(+U$4/+'Age Factors'!U53,0)</f>
        <v>19397</v>
      </c>
      <c r="V53" s="49">
        <f>ROUND(+V$4/+'Age Factors'!V53,0)</f>
        <v>26759</v>
      </c>
      <c r="W53" s="49">
        <f>ROUND(+W$4/+'Age Factors'!W53,0)</f>
        <v>45032</v>
      </c>
      <c r="X53" s="49">
        <f>ROUND(+X$4/+'Age Factors'!X53,0)</f>
        <v>49342</v>
      </c>
      <c r="Y53" s="49">
        <f>ROUND(+Y$4/+'Age Factors'!Y53,0)</f>
        <v>65336</v>
      </c>
      <c r="Z53" s="46"/>
    </row>
    <row r="54" spans="1:26">
      <c r="A54" s="48">
        <v>53</v>
      </c>
      <c r="B54" s="480">
        <f>ROUND(+B$4/+'Age Factors'!B54,0)</f>
        <v>181</v>
      </c>
      <c r="C54" s="49">
        <f>ROUND(+C$4/+'Age Factors'!C54,0)</f>
        <v>300</v>
      </c>
      <c r="D54" s="49">
        <f>ROUND(+D$4/+'Age Factors'!D54,0)</f>
        <v>584</v>
      </c>
      <c r="E54" s="49">
        <f>ROUND(+E$4/+'Age Factors'!E54,0)</f>
        <v>1005</v>
      </c>
      <c r="F54" s="49">
        <f>ROUND(+F$4/+'Age Factors'!F54,0)</f>
        <v>1206</v>
      </c>
      <c r="G54" s="49">
        <f>ROUND(+G$4/+'Age Factors'!G54,0)</f>
        <v>1297</v>
      </c>
      <c r="H54" s="49">
        <f>ROUND(+H$4/+'Age Factors'!H54,0)</f>
        <v>1615</v>
      </c>
      <c r="I54" s="49">
        <f>ROUND(+I$4/+'Age Factors'!I54,0)</f>
        <v>1626</v>
      </c>
      <c r="J54" s="49">
        <f>ROUND(+J$4/+'Age Factors'!J54,0)</f>
        <v>2025</v>
      </c>
      <c r="K54" s="49">
        <f>ROUND(+K$4/+'Age Factors'!K54,0)</f>
        <v>2291</v>
      </c>
      <c r="L54" s="49">
        <f>ROUND(+L$4/+'Age Factors'!L54,0)</f>
        <v>2451</v>
      </c>
      <c r="M54" s="49">
        <f>ROUND(+M$4/+'Age Factors'!M54,0)</f>
        <v>3101</v>
      </c>
      <c r="N54" s="49">
        <f>ROUND(+N$4/+'Age Factors'!N54,0)</f>
        <v>3343</v>
      </c>
      <c r="O54" s="49">
        <f>ROUND(+O$4/+'Age Factors'!O54,0)</f>
        <v>4210</v>
      </c>
      <c r="P54" s="49">
        <f>ROUND(+P$4/+'Age Factors'!P54,0)</f>
        <v>4468</v>
      </c>
      <c r="Q54" s="49">
        <f>ROUND(+Q$4/+'Age Factors'!Q54,0)</f>
        <v>5288</v>
      </c>
      <c r="R54" s="49">
        <f>ROUND(+R$4/+'Age Factors'!R54,0)</f>
        <v>6350</v>
      </c>
      <c r="S54" s="49">
        <f>ROUND(+S$4/+'Age Factors'!S54,0)</f>
        <v>8940</v>
      </c>
      <c r="T54" s="49">
        <f>ROUND(+T$4/+'Age Factors'!T54,0)</f>
        <v>10768</v>
      </c>
      <c r="U54" s="49">
        <f>ROUND(+U$4/+'Age Factors'!U54,0)</f>
        <v>19610</v>
      </c>
      <c r="V54" s="49">
        <f>ROUND(+V$4/+'Age Factors'!V54,0)</f>
        <v>27054</v>
      </c>
      <c r="W54" s="49">
        <f>ROUND(+W$4/+'Age Factors'!W54,0)</f>
        <v>45528</v>
      </c>
      <c r="X54" s="49">
        <f>ROUND(+X$4/+'Age Factors'!X54,0)</f>
        <v>49885</v>
      </c>
      <c r="Y54" s="49">
        <f>ROUND(+Y$4/+'Age Factors'!Y54,0)</f>
        <v>66055</v>
      </c>
      <c r="Z54" s="46"/>
    </row>
    <row r="55" spans="1:26">
      <c r="A55" s="48">
        <v>54</v>
      </c>
      <c r="B55" s="480">
        <f>ROUND(+B$4/+'Age Factors'!B55,0)</f>
        <v>183</v>
      </c>
      <c r="C55" s="49">
        <f>ROUND(+C$4/+'Age Factors'!C55,0)</f>
        <v>304</v>
      </c>
      <c r="D55" s="49">
        <f>ROUND(+D$4/+'Age Factors'!D55,0)</f>
        <v>591</v>
      </c>
      <c r="E55" s="49">
        <f>ROUND(+E$4/+'Age Factors'!E55,0)</f>
        <v>1017</v>
      </c>
      <c r="F55" s="49">
        <f>ROUND(+F$4/+'Age Factors'!F55,0)</f>
        <v>1220</v>
      </c>
      <c r="G55" s="49">
        <f>ROUND(+G$4/+'Age Factors'!G55,0)</f>
        <v>1312</v>
      </c>
      <c r="H55" s="49">
        <f>ROUND(+H$4/+'Age Factors'!H55,0)</f>
        <v>1634</v>
      </c>
      <c r="I55" s="49">
        <f>ROUND(+I$4/+'Age Factors'!I55,0)</f>
        <v>1646</v>
      </c>
      <c r="J55" s="49">
        <f>ROUND(+J$4/+'Age Factors'!J55,0)</f>
        <v>2049</v>
      </c>
      <c r="K55" s="49">
        <f>ROUND(+K$4/+'Age Factors'!K55,0)</f>
        <v>2318</v>
      </c>
      <c r="L55" s="49">
        <f>ROUND(+L$4/+'Age Factors'!L55,0)</f>
        <v>2480</v>
      </c>
      <c r="M55" s="49">
        <f>ROUND(+M$4/+'Age Factors'!M55,0)</f>
        <v>3138</v>
      </c>
      <c r="N55" s="49">
        <f>ROUND(+N$4/+'Age Factors'!N55,0)</f>
        <v>3384</v>
      </c>
      <c r="O55" s="49">
        <f>ROUND(+O$4/+'Age Factors'!O55,0)</f>
        <v>4262</v>
      </c>
      <c r="P55" s="49">
        <f>ROUND(+P$4/+'Age Factors'!P55,0)</f>
        <v>4523</v>
      </c>
      <c r="Q55" s="49">
        <f>ROUND(+Q$4/+'Age Factors'!Q55,0)</f>
        <v>5352</v>
      </c>
      <c r="R55" s="49">
        <f>ROUND(+R$4/+'Age Factors'!R55,0)</f>
        <v>6426</v>
      </c>
      <c r="S55" s="49">
        <f>ROUND(+S$4/+'Age Factors'!S55,0)</f>
        <v>9045</v>
      </c>
      <c r="T55" s="49">
        <f>ROUND(+T$4/+'Age Factors'!T55,0)</f>
        <v>10895</v>
      </c>
      <c r="U55" s="49">
        <f>ROUND(+U$4/+'Age Factors'!U55,0)</f>
        <v>19840</v>
      </c>
      <c r="V55" s="49">
        <f>ROUND(+V$4/+'Age Factors'!V55,0)</f>
        <v>27371</v>
      </c>
      <c r="W55" s="49">
        <f>ROUND(+W$4/+'Age Factors'!W55,0)</f>
        <v>46061</v>
      </c>
      <c r="X55" s="49">
        <f>ROUND(+X$4/+'Age Factors'!X55,0)</f>
        <v>50470</v>
      </c>
      <c r="Y55" s="49">
        <f>ROUND(+Y$4/+'Age Factors'!Y55,0)</f>
        <v>66829</v>
      </c>
      <c r="Z55" s="46"/>
    </row>
    <row r="56" spans="1:26">
      <c r="A56" s="56">
        <v>55</v>
      </c>
      <c r="B56" s="459">
        <f>ROUND(+B$4/+'Age Factors'!B56,0)</f>
        <v>185</v>
      </c>
      <c r="C56" s="60">
        <f>ROUND(+C$4/+'Age Factors'!C56,0)</f>
        <v>307</v>
      </c>
      <c r="D56" s="60">
        <f>ROUND(+D$4/+'Age Factors'!D56,0)</f>
        <v>598</v>
      </c>
      <c r="E56" s="60">
        <f>ROUND(+E$4/+'Age Factors'!E56,0)</f>
        <v>1029</v>
      </c>
      <c r="F56" s="60">
        <f>ROUND(+F$4/+'Age Factors'!F56,0)</f>
        <v>1235</v>
      </c>
      <c r="G56" s="60">
        <f>ROUND(+G$4/+'Age Factors'!G56,0)</f>
        <v>1328</v>
      </c>
      <c r="H56" s="60">
        <f>ROUND(+H$4/+'Age Factors'!H56,0)</f>
        <v>1654</v>
      </c>
      <c r="I56" s="60">
        <f>ROUND(+I$4/+'Age Factors'!I56,0)</f>
        <v>1665</v>
      </c>
      <c r="J56" s="60">
        <f>ROUND(+J$4/+'Age Factors'!J56,0)</f>
        <v>2073</v>
      </c>
      <c r="K56" s="60">
        <f>ROUND(+K$4/+'Age Factors'!K56,0)</f>
        <v>2346</v>
      </c>
      <c r="L56" s="60">
        <f>ROUND(+L$4/+'Age Factors'!L56,0)</f>
        <v>2510</v>
      </c>
      <c r="M56" s="60">
        <f>ROUND(+M$4/+'Age Factors'!M56,0)</f>
        <v>3177</v>
      </c>
      <c r="N56" s="60">
        <f>ROUND(+N$4/+'Age Factors'!N56,0)</f>
        <v>3425</v>
      </c>
      <c r="O56" s="60">
        <f>ROUND(+O$4/+'Age Factors'!O56,0)</f>
        <v>4316</v>
      </c>
      <c r="P56" s="60">
        <f>ROUND(+P$4/+'Age Factors'!P56,0)</f>
        <v>4580</v>
      </c>
      <c r="Q56" s="60">
        <f>ROUND(+Q$4/+'Age Factors'!Q56,0)</f>
        <v>5419</v>
      </c>
      <c r="R56" s="60">
        <f>ROUND(+R$4/+'Age Factors'!R56,0)</f>
        <v>6506</v>
      </c>
      <c r="S56" s="60">
        <f>ROUND(+S$4/+'Age Factors'!S56,0)</f>
        <v>9156</v>
      </c>
      <c r="T56" s="60">
        <f>ROUND(+T$4/+'Age Factors'!T56,0)</f>
        <v>11028</v>
      </c>
      <c r="U56" s="60">
        <f>ROUND(+U$4/+'Age Factors'!U56,0)</f>
        <v>20082</v>
      </c>
      <c r="V56" s="60">
        <f>ROUND(+V$4/+'Age Factors'!V56,0)</f>
        <v>27705</v>
      </c>
      <c r="W56" s="60">
        <f>ROUND(+W$4/+'Age Factors'!W56,0)</f>
        <v>46624</v>
      </c>
      <c r="X56" s="60">
        <f>ROUND(+X$4/+'Age Factors'!X56,0)</f>
        <v>51086</v>
      </c>
      <c r="Y56" s="60">
        <f>ROUND(+Y$4/+'Age Factors'!Y56,0)</f>
        <v>67645</v>
      </c>
      <c r="Z56" s="46"/>
    </row>
    <row r="57" spans="1:26">
      <c r="A57" s="48">
        <v>56</v>
      </c>
      <c r="B57" s="480">
        <f>ROUND(+B$4/+'Age Factors'!B57,0)</f>
        <v>187</v>
      </c>
      <c r="C57" s="49">
        <f>ROUND(+C$4/+'Age Factors'!C57,0)</f>
        <v>311</v>
      </c>
      <c r="D57" s="49">
        <f>ROUND(+D$4/+'Age Factors'!D57,0)</f>
        <v>605</v>
      </c>
      <c r="E57" s="49">
        <f>ROUND(+E$4/+'Age Factors'!E57,0)</f>
        <v>1041</v>
      </c>
      <c r="F57" s="49">
        <f>ROUND(+F$4/+'Age Factors'!F57,0)</f>
        <v>1250</v>
      </c>
      <c r="G57" s="49">
        <f>ROUND(+G$4/+'Age Factors'!G57,0)</f>
        <v>1344</v>
      </c>
      <c r="H57" s="49">
        <f>ROUND(+H$4/+'Age Factors'!H57,0)</f>
        <v>1674</v>
      </c>
      <c r="I57" s="49">
        <f>ROUND(+I$4/+'Age Factors'!I57,0)</f>
        <v>1685</v>
      </c>
      <c r="J57" s="49">
        <f>ROUND(+J$4/+'Age Factors'!J57,0)</f>
        <v>2098</v>
      </c>
      <c r="K57" s="49">
        <f>ROUND(+K$4/+'Age Factors'!K57,0)</f>
        <v>2375</v>
      </c>
      <c r="L57" s="49">
        <f>ROUND(+L$4/+'Age Factors'!L57,0)</f>
        <v>2541</v>
      </c>
      <c r="M57" s="49">
        <f>ROUND(+M$4/+'Age Factors'!M57,0)</f>
        <v>3216</v>
      </c>
      <c r="N57" s="49">
        <f>ROUND(+N$4/+'Age Factors'!N57,0)</f>
        <v>3468</v>
      </c>
      <c r="O57" s="49">
        <f>ROUND(+O$4/+'Age Factors'!O57,0)</f>
        <v>4370</v>
      </c>
      <c r="P57" s="49">
        <f>ROUND(+P$4/+'Age Factors'!P57,0)</f>
        <v>4638</v>
      </c>
      <c r="Q57" s="49">
        <f>ROUND(+Q$4/+'Age Factors'!Q57,0)</f>
        <v>5488</v>
      </c>
      <c r="R57" s="49">
        <f>ROUND(+R$4/+'Age Factors'!R57,0)</f>
        <v>6588</v>
      </c>
      <c r="S57" s="49">
        <f>ROUND(+S$4/+'Age Factors'!S57,0)</f>
        <v>9273</v>
      </c>
      <c r="T57" s="49">
        <f>ROUND(+T$4/+'Age Factors'!T57,0)</f>
        <v>11169</v>
      </c>
      <c r="U57" s="49">
        <f>ROUND(+U$4/+'Age Factors'!U57,0)</f>
        <v>20340</v>
      </c>
      <c r="V57" s="49">
        <f>ROUND(+V$4/+'Age Factors'!V57,0)</f>
        <v>28061</v>
      </c>
      <c r="W57" s="49">
        <f>ROUND(+W$4/+'Age Factors'!W57,0)</f>
        <v>47223</v>
      </c>
      <c r="X57" s="49">
        <f>ROUND(+X$4/+'Age Factors'!X57,0)</f>
        <v>51743</v>
      </c>
      <c r="Y57" s="49">
        <f>ROUND(+Y$4/+'Age Factors'!Y57,0)</f>
        <v>68514</v>
      </c>
      <c r="Z57" s="46"/>
    </row>
    <row r="58" spans="1:26">
      <c r="A58" s="48">
        <v>57</v>
      </c>
      <c r="B58" s="480">
        <f>ROUND(+B$4/+'Age Factors'!B58,0)</f>
        <v>189</v>
      </c>
      <c r="C58" s="49">
        <f>ROUND(+C$4/+'Age Factors'!C58,0)</f>
        <v>314</v>
      </c>
      <c r="D58" s="49">
        <f>ROUND(+D$4/+'Age Factors'!D58,0)</f>
        <v>612</v>
      </c>
      <c r="E58" s="49">
        <f>ROUND(+E$4/+'Age Factors'!E58,0)</f>
        <v>1054</v>
      </c>
      <c r="F58" s="49">
        <f>ROUND(+F$4/+'Age Factors'!F58,0)</f>
        <v>1265</v>
      </c>
      <c r="G58" s="49">
        <f>ROUND(+G$4/+'Age Factors'!G58,0)</f>
        <v>1360</v>
      </c>
      <c r="H58" s="49">
        <f>ROUND(+H$4/+'Age Factors'!H58,0)</f>
        <v>1694</v>
      </c>
      <c r="I58" s="49">
        <f>ROUND(+I$4/+'Age Factors'!I58,0)</f>
        <v>1706</v>
      </c>
      <c r="J58" s="49">
        <f>ROUND(+J$4/+'Age Factors'!J58,0)</f>
        <v>2124</v>
      </c>
      <c r="K58" s="49">
        <f>ROUND(+K$4/+'Age Factors'!K58,0)</f>
        <v>2404</v>
      </c>
      <c r="L58" s="49">
        <f>ROUND(+L$4/+'Age Factors'!L58,0)</f>
        <v>2572</v>
      </c>
      <c r="M58" s="49">
        <f>ROUND(+M$4/+'Age Factors'!M58,0)</f>
        <v>3257</v>
      </c>
      <c r="N58" s="49">
        <f>ROUND(+N$4/+'Age Factors'!N58,0)</f>
        <v>3512</v>
      </c>
      <c r="O58" s="49">
        <f>ROUND(+O$4/+'Age Factors'!O58,0)</f>
        <v>4427</v>
      </c>
      <c r="P58" s="49">
        <f>ROUND(+P$4/+'Age Factors'!P58,0)</f>
        <v>4699</v>
      </c>
      <c r="Q58" s="49">
        <f>ROUND(+Q$4/+'Age Factors'!Q58,0)</f>
        <v>5560</v>
      </c>
      <c r="R58" s="49">
        <f>ROUND(+R$4/+'Age Factors'!R58,0)</f>
        <v>6675</v>
      </c>
      <c r="S58" s="49">
        <f>ROUND(+S$4/+'Age Factors'!S58,0)</f>
        <v>9396</v>
      </c>
      <c r="T58" s="49">
        <f>ROUND(+T$4/+'Age Factors'!T58,0)</f>
        <v>11317</v>
      </c>
      <c r="U58" s="49">
        <f>ROUND(+U$4/+'Age Factors'!U58,0)</f>
        <v>20610</v>
      </c>
      <c r="V58" s="49">
        <f>ROUND(+V$4/+'Age Factors'!V58,0)</f>
        <v>28433</v>
      </c>
      <c r="W58" s="49">
        <f>ROUND(+W$4/+'Age Factors'!W58,0)</f>
        <v>47849</v>
      </c>
      <c r="X58" s="49">
        <f>ROUND(+X$4/+'Age Factors'!X58,0)</f>
        <v>52429</v>
      </c>
      <c r="Y58" s="49">
        <f>ROUND(+Y$4/+'Age Factors'!Y58,0)</f>
        <v>69423</v>
      </c>
      <c r="Z58" s="46"/>
    </row>
    <row r="59" spans="1:26">
      <c r="A59" s="48">
        <v>58</v>
      </c>
      <c r="B59" s="480">
        <f>ROUND(+B$4/+'Age Factors'!B59,0)</f>
        <v>191</v>
      </c>
      <c r="C59" s="49">
        <f>ROUND(+C$4/+'Age Factors'!C59,0)</f>
        <v>318</v>
      </c>
      <c r="D59" s="49">
        <f>ROUND(+D$4/+'Age Factors'!D59,0)</f>
        <v>619</v>
      </c>
      <c r="E59" s="49">
        <f>ROUND(+E$4/+'Age Factors'!E59,0)</f>
        <v>1067</v>
      </c>
      <c r="F59" s="49">
        <f>ROUND(+F$4/+'Age Factors'!F59,0)</f>
        <v>1281</v>
      </c>
      <c r="G59" s="49">
        <f>ROUND(+G$4/+'Age Factors'!G59,0)</f>
        <v>1377</v>
      </c>
      <c r="H59" s="49">
        <f>ROUND(+H$4/+'Age Factors'!H59,0)</f>
        <v>1715</v>
      </c>
      <c r="I59" s="49">
        <f>ROUND(+I$4/+'Age Factors'!I59,0)</f>
        <v>1727</v>
      </c>
      <c r="J59" s="49">
        <f>ROUND(+J$4/+'Age Factors'!J59,0)</f>
        <v>2150</v>
      </c>
      <c r="K59" s="49">
        <f>ROUND(+K$4/+'Age Factors'!K59,0)</f>
        <v>2434</v>
      </c>
      <c r="L59" s="49">
        <f>ROUND(+L$4/+'Age Factors'!L59,0)</f>
        <v>2604</v>
      </c>
      <c r="M59" s="49">
        <f>ROUND(+M$4/+'Age Factors'!M59,0)</f>
        <v>3298</v>
      </c>
      <c r="N59" s="49">
        <f>ROUND(+N$4/+'Age Factors'!N59,0)</f>
        <v>3557</v>
      </c>
      <c r="O59" s="49">
        <f>ROUND(+O$4/+'Age Factors'!O59,0)</f>
        <v>4484</v>
      </c>
      <c r="P59" s="49">
        <f>ROUND(+P$4/+'Age Factors'!P59,0)</f>
        <v>4760</v>
      </c>
      <c r="Q59" s="49">
        <f>ROUND(+Q$4/+'Age Factors'!Q59,0)</f>
        <v>5633</v>
      </c>
      <c r="R59" s="49">
        <f>ROUND(+R$4/+'Age Factors'!R59,0)</f>
        <v>6763</v>
      </c>
      <c r="S59" s="49">
        <f>ROUND(+S$4/+'Age Factors'!S59,0)</f>
        <v>9524</v>
      </c>
      <c r="T59" s="49">
        <f>ROUND(+T$4/+'Age Factors'!T59,0)</f>
        <v>11471</v>
      </c>
      <c r="U59" s="49">
        <f>ROUND(+U$4/+'Age Factors'!U59,0)</f>
        <v>20889</v>
      </c>
      <c r="V59" s="49">
        <f>ROUND(+V$4/+'Age Factors'!V59,0)</f>
        <v>28819</v>
      </c>
      <c r="W59" s="49">
        <f>ROUND(+W$4/+'Age Factors'!W59,0)</f>
        <v>48497</v>
      </c>
      <c r="X59" s="49">
        <f>ROUND(+X$4/+'Age Factors'!X59,0)</f>
        <v>53140</v>
      </c>
      <c r="Y59" s="49">
        <f>ROUND(+Y$4/+'Age Factors'!Y59,0)</f>
        <v>70364</v>
      </c>
      <c r="Z59" s="46"/>
    </row>
    <row r="60" spans="1:26">
      <c r="A60" s="48">
        <v>59</v>
      </c>
      <c r="B60" s="480">
        <f>ROUND(+B$4/+'Age Factors'!B60,0)</f>
        <v>193</v>
      </c>
      <c r="C60" s="49">
        <f>ROUND(+C$4/+'Age Factors'!C60,0)</f>
        <v>322</v>
      </c>
      <c r="D60" s="49">
        <f>ROUND(+D$4/+'Age Factors'!D60,0)</f>
        <v>627</v>
      </c>
      <c r="E60" s="49">
        <f>ROUND(+E$4/+'Age Factors'!E60,0)</f>
        <v>1081</v>
      </c>
      <c r="F60" s="49">
        <f>ROUND(+F$4/+'Age Factors'!F60,0)</f>
        <v>1297</v>
      </c>
      <c r="G60" s="49">
        <f>ROUND(+G$4/+'Age Factors'!G60,0)</f>
        <v>1394</v>
      </c>
      <c r="H60" s="49">
        <f>ROUND(+H$4/+'Age Factors'!H60,0)</f>
        <v>1737</v>
      </c>
      <c r="I60" s="49">
        <f>ROUND(+I$4/+'Age Factors'!I60,0)</f>
        <v>1749</v>
      </c>
      <c r="J60" s="49">
        <f>ROUND(+J$4/+'Age Factors'!J60,0)</f>
        <v>2177</v>
      </c>
      <c r="K60" s="49">
        <f>ROUND(+K$4/+'Age Factors'!K60,0)</f>
        <v>2465</v>
      </c>
      <c r="L60" s="49">
        <f>ROUND(+L$4/+'Age Factors'!L60,0)</f>
        <v>2637</v>
      </c>
      <c r="M60" s="49">
        <f>ROUND(+M$4/+'Age Factors'!M60,0)</f>
        <v>3341</v>
      </c>
      <c r="N60" s="49">
        <f>ROUND(+N$4/+'Age Factors'!N60,0)</f>
        <v>3603</v>
      </c>
      <c r="O60" s="49">
        <f>ROUND(+O$4/+'Age Factors'!O60,0)</f>
        <v>4543</v>
      </c>
      <c r="P60" s="49">
        <f>ROUND(+P$4/+'Age Factors'!P60,0)</f>
        <v>4823</v>
      </c>
      <c r="Q60" s="49">
        <f>ROUND(+Q$4/+'Age Factors'!Q60,0)</f>
        <v>5708</v>
      </c>
      <c r="R60" s="49">
        <f>ROUND(+R$4/+'Age Factors'!R60,0)</f>
        <v>6854</v>
      </c>
      <c r="S60" s="49">
        <f>ROUND(+S$4/+'Age Factors'!S60,0)</f>
        <v>9653</v>
      </c>
      <c r="T60" s="49">
        <f>ROUND(+T$4/+'Age Factors'!T60,0)</f>
        <v>11627</v>
      </c>
      <c r="U60" s="49">
        <f>ROUND(+U$4/+'Age Factors'!U60,0)</f>
        <v>21174</v>
      </c>
      <c r="V60" s="49">
        <f>ROUND(+V$4/+'Age Factors'!V60,0)</f>
        <v>29211</v>
      </c>
      <c r="W60" s="49">
        <f>ROUND(+W$4/+'Age Factors'!W60,0)</f>
        <v>49158</v>
      </c>
      <c r="X60" s="49">
        <f>ROUND(+X$4/+'Age Factors'!X60,0)</f>
        <v>53863</v>
      </c>
      <c r="Y60" s="49">
        <f>ROUND(+Y$4/+'Age Factors'!Y60,0)</f>
        <v>71322</v>
      </c>
      <c r="Z60" s="46"/>
    </row>
    <row r="61" spans="1:26">
      <c r="A61" s="56">
        <v>60</v>
      </c>
      <c r="B61" s="459">
        <f>ROUND(+B$4/+'Age Factors'!B61,0)</f>
        <v>196</v>
      </c>
      <c r="C61" s="60">
        <f>ROUND(+C$4/+'Age Factors'!C61,0)</f>
        <v>326</v>
      </c>
      <c r="D61" s="60">
        <f>ROUND(+D$4/+'Age Factors'!D61,0)</f>
        <v>635</v>
      </c>
      <c r="E61" s="60">
        <f>ROUND(+E$4/+'Age Factors'!E61,0)</f>
        <v>1094</v>
      </c>
      <c r="F61" s="60">
        <f>ROUND(+F$4/+'Age Factors'!F61,0)</f>
        <v>1313</v>
      </c>
      <c r="G61" s="60">
        <f>ROUND(+G$4/+'Age Factors'!G61,0)</f>
        <v>1412</v>
      </c>
      <c r="H61" s="60">
        <f>ROUND(+H$4/+'Age Factors'!H61,0)</f>
        <v>1759</v>
      </c>
      <c r="I61" s="60">
        <f>ROUND(+I$4/+'Age Factors'!I61,0)</f>
        <v>1771</v>
      </c>
      <c r="J61" s="60">
        <f>ROUND(+J$4/+'Age Factors'!J61,0)</f>
        <v>2205</v>
      </c>
      <c r="K61" s="60">
        <f>ROUND(+K$4/+'Age Factors'!K61,0)</f>
        <v>2497</v>
      </c>
      <c r="L61" s="60">
        <f>ROUND(+L$4/+'Age Factors'!L61,0)</f>
        <v>2671</v>
      </c>
      <c r="M61" s="60">
        <f>ROUND(+M$4/+'Age Factors'!M61,0)</f>
        <v>3384</v>
      </c>
      <c r="N61" s="60">
        <f>ROUND(+N$4/+'Age Factors'!N61,0)</f>
        <v>3650</v>
      </c>
      <c r="O61" s="60">
        <f>ROUND(+O$4/+'Age Factors'!O61,0)</f>
        <v>4604</v>
      </c>
      <c r="P61" s="60">
        <f>ROUND(+P$4/+'Age Factors'!P61,0)</f>
        <v>4887</v>
      </c>
      <c r="Q61" s="60">
        <f>ROUND(+Q$4/+'Age Factors'!Q61,0)</f>
        <v>5786</v>
      </c>
      <c r="R61" s="60">
        <f>ROUND(+R$4/+'Age Factors'!R61,0)</f>
        <v>6949</v>
      </c>
      <c r="S61" s="60">
        <f>ROUND(+S$4/+'Age Factors'!S61,0)</f>
        <v>9788</v>
      </c>
      <c r="T61" s="60">
        <f>ROUND(+T$4/+'Age Factors'!T61,0)</f>
        <v>11789</v>
      </c>
      <c r="U61" s="60">
        <f>ROUND(+U$4/+'Age Factors'!U61,0)</f>
        <v>21469</v>
      </c>
      <c r="V61" s="60">
        <f>ROUND(+V$4/+'Age Factors'!V61,0)</f>
        <v>29618</v>
      </c>
      <c r="W61" s="60">
        <f>ROUND(+W$4/+'Age Factors'!W61,0)</f>
        <v>49843</v>
      </c>
      <c r="X61" s="60">
        <f>ROUND(+X$4/+'Age Factors'!X61,0)</f>
        <v>54614</v>
      </c>
      <c r="Y61" s="60">
        <f>ROUND(+Y$4/+'Age Factors'!Y61,0)</f>
        <v>72316</v>
      </c>
      <c r="Z61" s="46"/>
    </row>
    <row r="62" spans="1:26">
      <c r="A62" s="48">
        <v>61</v>
      </c>
      <c r="B62" s="480">
        <f>ROUND(+B$4/+'Age Factors'!B62,0)</f>
        <v>198</v>
      </c>
      <c r="C62" s="49">
        <f>ROUND(+C$4/+'Age Factors'!C62,0)</f>
        <v>330</v>
      </c>
      <c r="D62" s="49">
        <f>ROUND(+D$4/+'Age Factors'!D62,0)</f>
        <v>643</v>
      </c>
      <c r="E62" s="49">
        <f>ROUND(+E$4/+'Age Factors'!E62,0)</f>
        <v>1108</v>
      </c>
      <c r="F62" s="49">
        <f>ROUND(+F$4/+'Age Factors'!F62,0)</f>
        <v>1330</v>
      </c>
      <c r="G62" s="49">
        <f>ROUND(+G$4/+'Age Factors'!G62,0)</f>
        <v>1430</v>
      </c>
      <c r="H62" s="49">
        <f>ROUND(+H$4/+'Age Factors'!H62,0)</f>
        <v>1781</v>
      </c>
      <c r="I62" s="49">
        <f>ROUND(+I$4/+'Age Factors'!I62,0)</f>
        <v>1794</v>
      </c>
      <c r="J62" s="49">
        <f>ROUND(+J$4/+'Age Factors'!J62,0)</f>
        <v>2233</v>
      </c>
      <c r="K62" s="49">
        <f>ROUND(+K$4/+'Age Factors'!K62,0)</f>
        <v>2529</v>
      </c>
      <c r="L62" s="49">
        <f>ROUND(+L$4/+'Age Factors'!L62,0)</f>
        <v>2706</v>
      </c>
      <c r="M62" s="49">
        <f>ROUND(+M$4/+'Age Factors'!M62,0)</f>
        <v>3429</v>
      </c>
      <c r="N62" s="49">
        <f>ROUND(+N$4/+'Age Factors'!N62,0)</f>
        <v>3699</v>
      </c>
      <c r="O62" s="49">
        <f>ROUND(+O$4/+'Age Factors'!O62,0)</f>
        <v>4667</v>
      </c>
      <c r="P62" s="49">
        <f>ROUND(+P$4/+'Age Factors'!P62,0)</f>
        <v>4954</v>
      </c>
      <c r="Q62" s="49">
        <f>ROUND(+Q$4/+'Age Factors'!Q62,0)</f>
        <v>5865</v>
      </c>
      <c r="R62" s="49">
        <f>ROUND(+R$4/+'Age Factors'!R62,0)</f>
        <v>7045</v>
      </c>
      <c r="S62" s="49">
        <f>ROUND(+S$4/+'Age Factors'!S62,0)</f>
        <v>9926</v>
      </c>
      <c r="T62" s="49">
        <f>ROUND(+T$4/+'Age Factors'!T62,0)</f>
        <v>11956</v>
      </c>
      <c r="U62" s="49">
        <f>ROUND(+U$4/+'Age Factors'!U62,0)</f>
        <v>21772</v>
      </c>
      <c r="V62" s="49">
        <f>ROUND(+V$4/+'Age Factors'!V62,0)</f>
        <v>30037</v>
      </c>
      <c r="W62" s="49">
        <f>ROUND(+W$4/+'Age Factors'!W62,0)</f>
        <v>50547</v>
      </c>
      <c r="X62" s="49">
        <f>ROUND(+X$4/+'Age Factors'!X62,0)</f>
        <v>55386</v>
      </c>
      <c r="Y62" s="49">
        <f>ROUND(+Y$4/+'Age Factors'!Y62,0)</f>
        <v>73338</v>
      </c>
      <c r="Z62" s="46"/>
    </row>
    <row r="63" spans="1:26">
      <c r="A63" s="48">
        <v>62</v>
      </c>
      <c r="B63" s="480">
        <f>ROUND(+B$4/+'Age Factors'!B63,0)</f>
        <v>200</v>
      </c>
      <c r="C63" s="49">
        <f>ROUND(+C$4/+'Age Factors'!C63,0)</f>
        <v>334</v>
      </c>
      <c r="D63" s="49">
        <f>ROUND(+D$4/+'Age Factors'!D63,0)</f>
        <v>651</v>
      </c>
      <c r="E63" s="49">
        <f>ROUND(+E$4/+'Age Factors'!E63,0)</f>
        <v>1123</v>
      </c>
      <c r="F63" s="49">
        <f>ROUND(+F$4/+'Age Factors'!F63,0)</f>
        <v>1348</v>
      </c>
      <c r="G63" s="49">
        <f>ROUND(+G$4/+'Age Factors'!G63,0)</f>
        <v>1449</v>
      </c>
      <c r="H63" s="49">
        <f>ROUND(+H$4/+'Age Factors'!H63,0)</f>
        <v>1805</v>
      </c>
      <c r="I63" s="49">
        <f>ROUND(+I$4/+'Age Factors'!I63,0)</f>
        <v>1817</v>
      </c>
      <c r="J63" s="49">
        <f>ROUND(+J$4/+'Age Factors'!J63,0)</f>
        <v>2262</v>
      </c>
      <c r="K63" s="49">
        <f>ROUND(+K$4/+'Age Factors'!K63,0)</f>
        <v>2562</v>
      </c>
      <c r="L63" s="49">
        <f>ROUND(+L$4/+'Age Factors'!L63,0)</f>
        <v>2742</v>
      </c>
      <c r="M63" s="49">
        <f>ROUND(+M$4/+'Age Factors'!M63,0)</f>
        <v>3475</v>
      </c>
      <c r="N63" s="49">
        <f>ROUND(+N$4/+'Age Factors'!N63,0)</f>
        <v>3749</v>
      </c>
      <c r="O63" s="49">
        <f>ROUND(+O$4/+'Age Factors'!O63,0)</f>
        <v>4731</v>
      </c>
      <c r="P63" s="49">
        <f>ROUND(+P$4/+'Age Factors'!P63,0)</f>
        <v>5022</v>
      </c>
      <c r="Q63" s="49">
        <f>ROUND(+Q$4/+'Age Factors'!Q63,0)</f>
        <v>5946</v>
      </c>
      <c r="R63" s="49">
        <f>ROUND(+R$4/+'Age Factors'!R63,0)</f>
        <v>7144</v>
      </c>
      <c r="S63" s="49">
        <f>ROUND(+S$4/+'Age Factors'!S63,0)</f>
        <v>10067</v>
      </c>
      <c r="T63" s="49">
        <f>ROUND(+T$4/+'Age Factors'!T63,0)</f>
        <v>12126</v>
      </c>
      <c r="U63" s="49">
        <f>ROUND(+U$4/+'Age Factors'!U63,0)</f>
        <v>22082</v>
      </c>
      <c r="V63" s="49">
        <f>ROUND(+V$4/+'Age Factors'!V63,0)</f>
        <v>30464</v>
      </c>
      <c r="W63" s="49">
        <f>ROUND(+W$4/+'Age Factors'!W63,0)</f>
        <v>51265</v>
      </c>
      <c r="X63" s="49">
        <f>ROUND(+X$4/+'Age Factors'!X63,0)</f>
        <v>56173</v>
      </c>
      <c r="Y63" s="49">
        <f>ROUND(+Y$4/+'Age Factors'!Y63,0)</f>
        <v>74380</v>
      </c>
      <c r="Z63" s="46"/>
    </row>
    <row r="64" spans="1:26">
      <c r="A64" s="48">
        <v>63</v>
      </c>
      <c r="B64" s="480">
        <f>ROUND(+B$4/+'Age Factors'!B64,0)</f>
        <v>203</v>
      </c>
      <c r="C64" s="49">
        <f>ROUND(+C$4/+'Age Factors'!C64,0)</f>
        <v>338</v>
      </c>
      <c r="D64" s="49">
        <f>ROUND(+D$4/+'Age Factors'!D64,0)</f>
        <v>659</v>
      </c>
      <c r="E64" s="49">
        <f>ROUND(+E$4/+'Age Factors'!E64,0)</f>
        <v>1138</v>
      </c>
      <c r="F64" s="49">
        <f>ROUND(+F$4/+'Age Factors'!F64,0)</f>
        <v>1365</v>
      </c>
      <c r="G64" s="49">
        <f>ROUND(+G$4/+'Age Factors'!G64,0)</f>
        <v>1468</v>
      </c>
      <c r="H64" s="49">
        <f>ROUND(+H$4/+'Age Factors'!H64,0)</f>
        <v>1828</v>
      </c>
      <c r="I64" s="49">
        <f>ROUND(+I$4/+'Age Factors'!I64,0)</f>
        <v>1841</v>
      </c>
      <c r="J64" s="49">
        <f>ROUND(+J$4/+'Age Factors'!J64,0)</f>
        <v>2292</v>
      </c>
      <c r="K64" s="49">
        <f>ROUND(+K$4/+'Age Factors'!K64,0)</f>
        <v>2597</v>
      </c>
      <c r="L64" s="49">
        <f>ROUND(+L$4/+'Age Factors'!L64,0)</f>
        <v>2779</v>
      </c>
      <c r="M64" s="49">
        <f>ROUND(+M$4/+'Age Factors'!M64,0)</f>
        <v>3523</v>
      </c>
      <c r="N64" s="49">
        <f>ROUND(+N$4/+'Age Factors'!N64,0)</f>
        <v>3800</v>
      </c>
      <c r="O64" s="49">
        <f>ROUND(+O$4/+'Age Factors'!O64,0)</f>
        <v>4796</v>
      </c>
      <c r="P64" s="49">
        <f>ROUND(+P$4/+'Age Factors'!P64,0)</f>
        <v>5092</v>
      </c>
      <c r="Q64" s="49">
        <f>ROUND(+Q$4/+'Age Factors'!Q64,0)</f>
        <v>6031</v>
      </c>
      <c r="R64" s="49">
        <f>ROUND(+R$4/+'Age Factors'!R64,0)</f>
        <v>7245</v>
      </c>
      <c r="S64" s="49">
        <f>ROUND(+S$4/+'Age Factors'!S64,0)</f>
        <v>10214</v>
      </c>
      <c r="T64" s="49">
        <f>ROUND(+T$4/+'Age Factors'!T64,0)</f>
        <v>12302</v>
      </c>
      <c r="U64" s="49">
        <f>ROUND(+U$4/+'Age Factors'!U64,0)</f>
        <v>22403</v>
      </c>
      <c r="V64" s="49">
        <f>ROUND(+V$4/+'Age Factors'!V64,0)</f>
        <v>30907</v>
      </c>
      <c r="W64" s="49">
        <f>ROUND(+W$4/+'Age Factors'!W64,0)</f>
        <v>52011</v>
      </c>
      <c r="X64" s="49">
        <f>ROUND(+X$4/+'Age Factors'!X64,0)</f>
        <v>56989</v>
      </c>
      <c r="Y64" s="49">
        <f>ROUND(+Y$4/+'Age Factors'!Y64,0)</f>
        <v>75462</v>
      </c>
      <c r="Z64" s="46"/>
    </row>
    <row r="65" spans="1:26">
      <c r="A65" s="48">
        <v>64</v>
      </c>
      <c r="B65" s="480">
        <f>ROUND(+B$4/+'Age Factors'!B65,0)</f>
        <v>205</v>
      </c>
      <c r="C65" s="49">
        <f>ROUND(+C$4/+'Age Factors'!C65,0)</f>
        <v>342</v>
      </c>
      <c r="D65" s="49">
        <f>ROUND(+D$4/+'Age Factors'!D65,0)</f>
        <v>668</v>
      </c>
      <c r="E65" s="49">
        <f>ROUND(+E$4/+'Age Factors'!E65,0)</f>
        <v>1153</v>
      </c>
      <c r="F65" s="49">
        <f>ROUND(+F$4/+'Age Factors'!F65,0)</f>
        <v>1384</v>
      </c>
      <c r="G65" s="49">
        <f>ROUND(+G$4/+'Age Factors'!G65,0)</f>
        <v>1488</v>
      </c>
      <c r="H65" s="49">
        <f>ROUND(+H$4/+'Age Factors'!H65,0)</f>
        <v>1853</v>
      </c>
      <c r="I65" s="49">
        <f>ROUND(+I$4/+'Age Factors'!I65,0)</f>
        <v>1866</v>
      </c>
      <c r="J65" s="49">
        <f>ROUND(+J$4/+'Age Factors'!J65,0)</f>
        <v>2323</v>
      </c>
      <c r="K65" s="49">
        <f>ROUND(+K$4/+'Age Factors'!K65,0)</f>
        <v>2631</v>
      </c>
      <c r="L65" s="49">
        <f>ROUND(+L$4/+'Age Factors'!L65,0)</f>
        <v>2816</v>
      </c>
      <c r="M65" s="49">
        <f>ROUND(+M$4/+'Age Factors'!M65,0)</f>
        <v>3571</v>
      </c>
      <c r="N65" s="49">
        <f>ROUND(+N$4/+'Age Factors'!N65,0)</f>
        <v>3853</v>
      </c>
      <c r="O65" s="49">
        <f>ROUND(+O$4/+'Age Factors'!O65,0)</f>
        <v>4864</v>
      </c>
      <c r="P65" s="49">
        <f>ROUND(+P$4/+'Age Factors'!P65,0)</f>
        <v>5164</v>
      </c>
      <c r="Q65" s="49">
        <f>ROUND(+Q$4/+'Age Factors'!Q65,0)</f>
        <v>6116</v>
      </c>
      <c r="R65" s="49">
        <f>ROUND(+R$4/+'Age Factors'!R65,0)</f>
        <v>7350</v>
      </c>
      <c r="S65" s="49">
        <f>ROUND(+S$4/+'Age Factors'!S65,0)</f>
        <v>10363</v>
      </c>
      <c r="T65" s="49">
        <f>ROUND(+T$4/+'Age Factors'!T65,0)</f>
        <v>12482</v>
      </c>
      <c r="U65" s="49">
        <f>ROUND(+U$4/+'Age Factors'!U65,0)</f>
        <v>22730</v>
      </c>
      <c r="V65" s="49">
        <f>ROUND(+V$4/+'Age Factors'!V65,0)</f>
        <v>31359</v>
      </c>
      <c r="W65" s="49">
        <f>ROUND(+W$4/+'Age Factors'!W65,0)</f>
        <v>52772</v>
      </c>
      <c r="X65" s="49">
        <f>ROUND(+X$4/+'Age Factors'!X65,0)</f>
        <v>57823</v>
      </c>
      <c r="Y65" s="49">
        <f>ROUND(+Y$4/+'Age Factors'!Y65,0)</f>
        <v>76565</v>
      </c>
      <c r="Z65" s="46"/>
    </row>
    <row r="66" spans="1:26">
      <c r="A66" s="56">
        <v>65</v>
      </c>
      <c r="B66" s="459">
        <f>ROUND(+B$4/+'Age Factors'!B66,0)</f>
        <v>208</v>
      </c>
      <c r="C66" s="60">
        <f>ROUND(+C$4/+'Age Factors'!C66,0)</f>
        <v>347</v>
      </c>
      <c r="D66" s="60">
        <f>ROUND(+D$4/+'Age Factors'!D66,0)</f>
        <v>677</v>
      </c>
      <c r="E66" s="60">
        <f>ROUND(+E$4/+'Age Factors'!E66,0)</f>
        <v>1169</v>
      </c>
      <c r="F66" s="60">
        <f>ROUND(+F$4/+'Age Factors'!F66,0)</f>
        <v>1403</v>
      </c>
      <c r="G66" s="60">
        <f>ROUND(+G$4/+'Age Factors'!G66,0)</f>
        <v>1508</v>
      </c>
      <c r="H66" s="60">
        <f>ROUND(+H$4/+'Age Factors'!H66,0)</f>
        <v>1878</v>
      </c>
      <c r="I66" s="60">
        <f>ROUND(+I$4/+'Age Factors'!I66,0)</f>
        <v>1891</v>
      </c>
      <c r="J66" s="60">
        <f>ROUND(+J$4/+'Age Factors'!J66,0)</f>
        <v>2354</v>
      </c>
      <c r="K66" s="60">
        <f>ROUND(+K$4/+'Age Factors'!K66,0)</f>
        <v>2668</v>
      </c>
      <c r="L66" s="60">
        <f>ROUND(+L$4/+'Age Factors'!L66,0)</f>
        <v>2855</v>
      </c>
      <c r="M66" s="60">
        <f>ROUND(+M$4/+'Age Factors'!M66,0)</f>
        <v>3621</v>
      </c>
      <c r="N66" s="60">
        <f>ROUND(+N$4/+'Age Factors'!N66,0)</f>
        <v>3907</v>
      </c>
      <c r="O66" s="60">
        <f>ROUND(+O$4/+'Age Factors'!O66,0)</f>
        <v>4934</v>
      </c>
      <c r="P66" s="60">
        <f>ROUND(+P$4/+'Age Factors'!P66,0)</f>
        <v>5239</v>
      </c>
      <c r="Q66" s="60">
        <f>ROUND(+Q$4/+'Age Factors'!Q66,0)</f>
        <v>6205</v>
      </c>
      <c r="R66" s="60">
        <f>ROUND(+R$4/+'Age Factors'!R66,0)</f>
        <v>7458</v>
      </c>
      <c r="S66" s="60">
        <f>ROUND(+S$4/+'Age Factors'!S66,0)</f>
        <v>10518</v>
      </c>
      <c r="T66" s="60">
        <f>ROUND(+T$4/+'Age Factors'!T66,0)</f>
        <v>12669</v>
      </c>
      <c r="U66" s="60">
        <f>ROUND(+U$4/+'Age Factors'!U66,0)</f>
        <v>23071</v>
      </c>
      <c r="V66" s="60">
        <f>ROUND(+V$4/+'Age Factors'!V66,0)</f>
        <v>31828</v>
      </c>
      <c r="W66" s="60">
        <f>ROUND(+W$4/+'Age Factors'!W66,0)</f>
        <v>53562</v>
      </c>
      <c r="X66" s="60">
        <f>ROUND(+X$4/+'Age Factors'!X66,0)</f>
        <v>58689</v>
      </c>
      <c r="Y66" s="60">
        <f>ROUND(+Y$4/+'Age Factors'!Y66,0)</f>
        <v>77712</v>
      </c>
      <c r="Z66" s="46"/>
    </row>
    <row r="67" spans="1:26">
      <c r="A67" s="48">
        <v>66</v>
      </c>
      <c r="B67" s="480">
        <f>ROUND(+B$4/+'Age Factors'!B67,0)</f>
        <v>211</v>
      </c>
      <c r="C67" s="49">
        <f>ROUND(+C$4/+'Age Factors'!C67,0)</f>
        <v>351</v>
      </c>
      <c r="D67" s="49">
        <f>ROUND(+D$4/+'Age Factors'!D67,0)</f>
        <v>686</v>
      </c>
      <c r="E67" s="49">
        <f>ROUND(+E$4/+'Age Factors'!E67,0)</f>
        <v>1185</v>
      </c>
      <c r="F67" s="49">
        <f>ROUND(+F$4/+'Age Factors'!F67,0)</f>
        <v>1422</v>
      </c>
      <c r="G67" s="49">
        <f>ROUND(+G$4/+'Age Factors'!G67,0)</f>
        <v>1529</v>
      </c>
      <c r="H67" s="49">
        <f>ROUND(+H$4/+'Age Factors'!H67,0)</f>
        <v>1904</v>
      </c>
      <c r="I67" s="49">
        <f>ROUND(+I$4/+'Age Factors'!I67,0)</f>
        <v>1917</v>
      </c>
      <c r="J67" s="49">
        <f>ROUND(+J$4/+'Age Factors'!J67,0)</f>
        <v>2387</v>
      </c>
      <c r="K67" s="49">
        <f>ROUND(+K$4/+'Age Factors'!K67,0)</f>
        <v>2705</v>
      </c>
      <c r="L67" s="49">
        <f>ROUND(+L$4/+'Age Factors'!L67,0)</f>
        <v>2895</v>
      </c>
      <c r="M67" s="49">
        <f>ROUND(+M$4/+'Age Factors'!M67,0)</f>
        <v>3672</v>
      </c>
      <c r="N67" s="49">
        <f>ROUND(+N$4/+'Age Factors'!N67,0)</f>
        <v>3963</v>
      </c>
      <c r="O67" s="49">
        <f>ROUND(+O$4/+'Age Factors'!O67,0)</f>
        <v>5005</v>
      </c>
      <c r="P67" s="49">
        <f>ROUND(+P$4/+'Age Factors'!P67,0)</f>
        <v>5315</v>
      </c>
      <c r="Q67" s="49">
        <f>ROUND(+Q$4/+'Age Factors'!Q67,0)</f>
        <v>6296</v>
      </c>
      <c r="R67" s="49">
        <f>ROUND(+R$4/+'Age Factors'!R67,0)</f>
        <v>7568</v>
      </c>
      <c r="S67" s="49">
        <f>ROUND(+S$4/+'Age Factors'!S67,0)</f>
        <v>10678</v>
      </c>
      <c r="T67" s="49">
        <f>ROUND(+T$4/+'Age Factors'!T67,0)</f>
        <v>12861</v>
      </c>
      <c r="U67" s="49">
        <f>ROUND(+U$4/+'Age Factors'!U67,0)</f>
        <v>23421</v>
      </c>
      <c r="V67" s="49">
        <f>ROUND(+V$4/+'Age Factors'!V67,0)</f>
        <v>32312</v>
      </c>
      <c r="W67" s="49">
        <f>ROUND(+W$4/+'Age Factors'!W67,0)</f>
        <v>54376</v>
      </c>
      <c r="X67" s="49">
        <f>ROUND(+X$4/+'Age Factors'!X67,0)</f>
        <v>59581</v>
      </c>
      <c r="Y67" s="49">
        <f>ROUND(+Y$4/+'Age Factors'!Y67,0)</f>
        <v>78893</v>
      </c>
      <c r="Z67" s="46"/>
    </row>
    <row r="68" spans="1:26">
      <c r="A68" s="48">
        <v>67</v>
      </c>
      <c r="B68" s="480">
        <f>ROUND(+B$4/+'Age Factors'!B68,0)</f>
        <v>213</v>
      </c>
      <c r="C68" s="49">
        <f>ROUND(+C$4/+'Age Factors'!C68,0)</f>
        <v>356</v>
      </c>
      <c r="D68" s="49">
        <f>ROUND(+D$4/+'Age Factors'!D68,0)</f>
        <v>695</v>
      </c>
      <c r="E68" s="49">
        <f>ROUND(+E$4/+'Age Factors'!E68,0)</f>
        <v>1202</v>
      </c>
      <c r="F68" s="49">
        <f>ROUND(+F$4/+'Age Factors'!F68,0)</f>
        <v>1442</v>
      </c>
      <c r="G68" s="49">
        <f>ROUND(+G$4/+'Age Factors'!G68,0)</f>
        <v>1550</v>
      </c>
      <c r="H68" s="49">
        <f>ROUND(+H$4/+'Age Factors'!H68,0)</f>
        <v>1930</v>
      </c>
      <c r="I68" s="49">
        <f>ROUND(+I$4/+'Age Factors'!I68,0)</f>
        <v>1944</v>
      </c>
      <c r="J68" s="49">
        <f>ROUND(+J$4/+'Age Factors'!J68,0)</f>
        <v>2420</v>
      </c>
      <c r="K68" s="49">
        <f>ROUND(+K$4/+'Age Factors'!K68,0)</f>
        <v>2743</v>
      </c>
      <c r="L68" s="49">
        <f>ROUND(+L$4/+'Age Factors'!L68,0)</f>
        <v>2936</v>
      </c>
      <c r="M68" s="49">
        <f>ROUND(+M$4/+'Age Factors'!M68,0)</f>
        <v>3725</v>
      </c>
      <c r="N68" s="49">
        <f>ROUND(+N$4/+'Age Factors'!N68,0)</f>
        <v>4021</v>
      </c>
      <c r="O68" s="49">
        <f>ROUND(+O$4/+'Age Factors'!O68,0)</f>
        <v>5079</v>
      </c>
      <c r="P68" s="49">
        <f>ROUND(+P$4/+'Age Factors'!P68,0)</f>
        <v>5394</v>
      </c>
      <c r="Q68" s="49">
        <f>ROUND(+Q$4/+'Age Factors'!Q68,0)</f>
        <v>6391</v>
      </c>
      <c r="R68" s="49">
        <f>ROUND(+R$4/+'Age Factors'!R68,0)</f>
        <v>7683</v>
      </c>
      <c r="S68" s="49">
        <f>ROUND(+S$4/+'Age Factors'!S68,0)</f>
        <v>10841</v>
      </c>
      <c r="T68" s="49">
        <f>ROUND(+T$4/+'Age Factors'!T68,0)</f>
        <v>13058</v>
      </c>
      <c r="U68" s="49">
        <f>ROUND(+U$4/+'Age Factors'!U68,0)</f>
        <v>23780</v>
      </c>
      <c r="V68" s="49">
        <f>ROUND(+V$4/+'Age Factors'!V68,0)</f>
        <v>32806</v>
      </c>
      <c r="W68" s="49">
        <f>ROUND(+W$4/+'Age Factors'!W68,0)</f>
        <v>55208</v>
      </c>
      <c r="X68" s="49">
        <f>ROUND(+X$4/+'Age Factors'!X68,0)</f>
        <v>60492</v>
      </c>
      <c r="Y68" s="49">
        <f>ROUND(+Y$4/+'Age Factors'!Y68,0)</f>
        <v>80100</v>
      </c>
      <c r="Z68" s="46"/>
    </row>
    <row r="69" spans="1:26">
      <c r="A69" s="48">
        <v>68</v>
      </c>
      <c r="B69" s="480">
        <f>ROUND(+B$4/+'Age Factors'!B69,0)</f>
        <v>216</v>
      </c>
      <c r="C69" s="49">
        <f>ROUND(+C$4/+'Age Factors'!C69,0)</f>
        <v>361</v>
      </c>
      <c r="D69" s="49">
        <f>ROUND(+D$4/+'Age Factors'!D69,0)</f>
        <v>705</v>
      </c>
      <c r="E69" s="49">
        <f>ROUND(+E$4/+'Age Factors'!E69,0)</f>
        <v>1219</v>
      </c>
      <c r="F69" s="49">
        <f>ROUND(+F$4/+'Age Factors'!F69,0)</f>
        <v>1462</v>
      </c>
      <c r="G69" s="49">
        <f>ROUND(+G$4/+'Age Factors'!G69,0)</f>
        <v>1572</v>
      </c>
      <c r="H69" s="49">
        <f>ROUND(+H$4/+'Age Factors'!H69,0)</f>
        <v>1958</v>
      </c>
      <c r="I69" s="49">
        <f>ROUND(+I$4/+'Age Factors'!I69,0)</f>
        <v>1972</v>
      </c>
      <c r="J69" s="49">
        <f>ROUND(+J$4/+'Age Factors'!J69,0)</f>
        <v>2454</v>
      </c>
      <c r="K69" s="49">
        <f>ROUND(+K$4/+'Age Factors'!K69,0)</f>
        <v>2782</v>
      </c>
      <c r="L69" s="49">
        <f>ROUND(+L$4/+'Age Factors'!L69,0)</f>
        <v>2978</v>
      </c>
      <c r="M69" s="49">
        <f>ROUND(+M$4/+'Age Factors'!M69,0)</f>
        <v>3780</v>
      </c>
      <c r="N69" s="49">
        <f>ROUND(+N$4/+'Age Factors'!N69,0)</f>
        <v>4080</v>
      </c>
      <c r="O69" s="49">
        <f>ROUND(+O$4/+'Age Factors'!O69,0)</f>
        <v>5155</v>
      </c>
      <c r="P69" s="49">
        <f>ROUND(+P$4/+'Age Factors'!P69,0)</f>
        <v>5475</v>
      </c>
      <c r="Q69" s="49">
        <f>ROUND(+Q$4/+'Age Factors'!Q69,0)</f>
        <v>6487</v>
      </c>
      <c r="R69" s="49">
        <f>ROUND(+R$4/+'Age Factors'!R69,0)</f>
        <v>7801</v>
      </c>
      <c r="S69" s="49">
        <f>ROUND(+S$4/+'Age Factors'!S69,0)</f>
        <v>11011</v>
      </c>
      <c r="T69" s="49">
        <f>ROUND(+T$4/+'Age Factors'!T69,0)</f>
        <v>13263</v>
      </c>
      <c r="U69" s="49">
        <f>ROUND(+U$4/+'Age Factors'!U69,0)</f>
        <v>24153</v>
      </c>
      <c r="V69" s="49">
        <f>ROUND(+V$4/+'Age Factors'!V69,0)</f>
        <v>33321</v>
      </c>
      <c r="W69" s="49">
        <f>ROUND(+W$4/+'Age Factors'!W69,0)</f>
        <v>56073</v>
      </c>
      <c r="X69" s="49">
        <f>ROUND(+X$4/+'Age Factors'!X69,0)</f>
        <v>61441</v>
      </c>
      <c r="Y69" s="49">
        <f>ROUND(+Y$4/+'Age Factors'!Y69,0)</f>
        <v>81356</v>
      </c>
      <c r="Z69" s="46"/>
    </row>
    <row r="70" spans="1:26">
      <c r="A70" s="48">
        <v>69</v>
      </c>
      <c r="B70" s="480">
        <f>ROUND(+B$4/+'Age Factors'!B70,0)</f>
        <v>219</v>
      </c>
      <c r="C70" s="49">
        <f>ROUND(+C$4/+'Age Factors'!C70,0)</f>
        <v>366</v>
      </c>
      <c r="D70" s="49">
        <f>ROUND(+D$4/+'Age Factors'!D70,0)</f>
        <v>715</v>
      </c>
      <c r="E70" s="49">
        <f>ROUND(+E$4/+'Age Factors'!E70,0)</f>
        <v>1236</v>
      </c>
      <c r="F70" s="49">
        <f>ROUND(+F$4/+'Age Factors'!F70,0)</f>
        <v>1483</v>
      </c>
      <c r="G70" s="49">
        <f>ROUND(+G$4/+'Age Factors'!G70,0)</f>
        <v>1595</v>
      </c>
      <c r="H70" s="49">
        <f>ROUND(+H$4/+'Age Factors'!H70,0)</f>
        <v>1986</v>
      </c>
      <c r="I70" s="49">
        <f>ROUND(+I$4/+'Age Factors'!I70,0)</f>
        <v>2000</v>
      </c>
      <c r="J70" s="49">
        <f>ROUND(+J$4/+'Age Factors'!J70,0)</f>
        <v>2489</v>
      </c>
      <c r="K70" s="49">
        <f>ROUND(+K$4/+'Age Factors'!K70,0)</f>
        <v>2822</v>
      </c>
      <c r="L70" s="49">
        <f>ROUND(+L$4/+'Age Factors'!L70,0)</f>
        <v>3021</v>
      </c>
      <c r="M70" s="49">
        <f>ROUND(+M$4/+'Age Factors'!M70,0)</f>
        <v>3836</v>
      </c>
      <c r="N70" s="49">
        <f>ROUND(+N$4/+'Age Factors'!N70,0)</f>
        <v>4140</v>
      </c>
      <c r="O70" s="49">
        <f>ROUND(+O$4/+'Age Factors'!O70,0)</f>
        <v>5233</v>
      </c>
      <c r="P70" s="49">
        <f>ROUND(+P$4/+'Age Factors'!P70,0)</f>
        <v>5559</v>
      </c>
      <c r="Q70" s="49">
        <f>ROUND(+Q$4/+'Age Factors'!Q70,0)</f>
        <v>6588</v>
      </c>
      <c r="R70" s="49">
        <f>ROUND(+R$4/+'Age Factors'!R70,0)</f>
        <v>7923</v>
      </c>
      <c r="S70" s="49">
        <f>ROUND(+S$4/+'Age Factors'!S70,0)</f>
        <v>11185</v>
      </c>
      <c r="T70" s="49">
        <f>ROUND(+T$4/+'Age Factors'!T70,0)</f>
        <v>13472</v>
      </c>
      <c r="U70" s="49">
        <f>ROUND(+U$4/+'Age Factors'!U70,0)</f>
        <v>24534</v>
      </c>
      <c r="V70" s="49">
        <f>ROUND(+V$4/+'Age Factors'!V70,0)</f>
        <v>33846</v>
      </c>
      <c r="W70" s="49">
        <f>ROUND(+W$4/+'Age Factors'!W70,0)</f>
        <v>56958</v>
      </c>
      <c r="X70" s="49">
        <f>ROUND(+X$4/+'Age Factors'!X70,0)</f>
        <v>62410</v>
      </c>
      <c r="Y70" s="49">
        <f>ROUND(+Y$4/+'Age Factors'!Y70,0)</f>
        <v>82640</v>
      </c>
      <c r="Z70" s="46"/>
    </row>
    <row r="71" spans="1:26">
      <c r="A71" s="56">
        <v>70</v>
      </c>
      <c r="B71" s="459">
        <f>ROUND(+B$4/+'Age Factors'!B71,0)</f>
        <v>222</v>
      </c>
      <c r="C71" s="60">
        <f>ROUND(+C$4/+'Age Factors'!C71,0)</f>
        <v>371</v>
      </c>
      <c r="D71" s="60">
        <f>ROUND(+D$4/+'Age Factors'!D71,0)</f>
        <v>725</v>
      </c>
      <c r="E71" s="60">
        <f>ROUND(+E$4/+'Age Factors'!E71,0)</f>
        <v>1254</v>
      </c>
      <c r="F71" s="60">
        <f>ROUND(+F$4/+'Age Factors'!F71,0)</f>
        <v>1505</v>
      </c>
      <c r="G71" s="60">
        <f>ROUND(+G$4/+'Age Factors'!G71,0)</f>
        <v>1618</v>
      </c>
      <c r="H71" s="60">
        <f>ROUND(+H$4/+'Age Factors'!H71,0)</f>
        <v>2015</v>
      </c>
      <c r="I71" s="60">
        <f>ROUND(+I$4/+'Age Factors'!I71,0)</f>
        <v>2029</v>
      </c>
      <c r="J71" s="60">
        <f>ROUND(+J$4/+'Age Factors'!J71,0)</f>
        <v>2526</v>
      </c>
      <c r="K71" s="60">
        <f>ROUND(+K$4/+'Age Factors'!K71,0)</f>
        <v>2863</v>
      </c>
      <c r="L71" s="60">
        <f>ROUND(+L$4/+'Age Factors'!L71,0)</f>
        <v>3066</v>
      </c>
      <c r="M71" s="60">
        <f>ROUND(+M$4/+'Age Factors'!M71,0)</f>
        <v>3894</v>
      </c>
      <c r="N71" s="60">
        <f>ROUND(+N$4/+'Age Factors'!N71,0)</f>
        <v>4203</v>
      </c>
      <c r="O71" s="60">
        <f>ROUND(+O$4/+'Age Factors'!O71,0)</f>
        <v>5314</v>
      </c>
      <c r="P71" s="60">
        <f>ROUND(+P$4/+'Age Factors'!P71,0)</f>
        <v>5644</v>
      </c>
      <c r="Q71" s="60">
        <f>ROUND(+Q$4/+'Age Factors'!Q71,0)</f>
        <v>6690</v>
      </c>
      <c r="R71" s="60">
        <f>ROUND(+R$4/+'Age Factors'!R71,0)</f>
        <v>8048</v>
      </c>
      <c r="S71" s="60">
        <f>ROUND(+S$4/+'Age Factors'!S71,0)</f>
        <v>11366</v>
      </c>
      <c r="T71" s="60">
        <f>ROUND(+T$4/+'Age Factors'!T71,0)</f>
        <v>13690</v>
      </c>
      <c r="U71" s="60">
        <f>ROUND(+U$4/+'Age Factors'!U71,0)</f>
        <v>24931</v>
      </c>
      <c r="V71" s="60">
        <f>ROUND(+V$4/+'Age Factors'!V71,0)</f>
        <v>34394</v>
      </c>
      <c r="W71" s="60">
        <f>ROUND(+W$4/+'Age Factors'!W71,0)</f>
        <v>57880</v>
      </c>
      <c r="X71" s="60">
        <f>ROUND(+X$4/+'Age Factors'!X71,0)</f>
        <v>63420</v>
      </c>
      <c r="Y71" s="60">
        <f>ROUND(+Y$4/+'Age Factors'!Y71,0)</f>
        <v>83977</v>
      </c>
      <c r="Z71" s="46"/>
    </row>
    <row r="72" spans="1:26">
      <c r="A72" s="48">
        <v>71</v>
      </c>
      <c r="B72" s="480">
        <f>ROUND(+B$4/+'Age Factors'!B72,0)</f>
        <v>225</v>
      </c>
      <c r="C72" s="49">
        <f>ROUND(+C$4/+'Age Factors'!C72,0)</f>
        <v>376</v>
      </c>
      <c r="D72" s="49">
        <f>ROUND(+D$4/+'Age Factors'!D72,0)</f>
        <v>736</v>
      </c>
      <c r="E72" s="49">
        <f>ROUND(+E$4/+'Age Factors'!E72,0)</f>
        <v>1273</v>
      </c>
      <c r="F72" s="49">
        <f>ROUND(+F$4/+'Age Factors'!F72,0)</f>
        <v>1527</v>
      </c>
      <c r="G72" s="49">
        <f>ROUND(+G$4/+'Age Factors'!G72,0)</f>
        <v>1642</v>
      </c>
      <c r="H72" s="49">
        <f>ROUND(+H$4/+'Age Factors'!H72,0)</f>
        <v>2045</v>
      </c>
      <c r="I72" s="49">
        <f>ROUND(+I$4/+'Age Factors'!I72,0)</f>
        <v>2059</v>
      </c>
      <c r="J72" s="49">
        <f>ROUND(+J$4/+'Age Factors'!J72,0)</f>
        <v>2563</v>
      </c>
      <c r="K72" s="49">
        <f>ROUND(+K$4/+'Age Factors'!K72,0)</f>
        <v>2906</v>
      </c>
      <c r="L72" s="49">
        <f>ROUND(+L$4/+'Age Factors'!L72,0)</f>
        <v>3112</v>
      </c>
      <c r="M72" s="49">
        <f>ROUND(+M$4/+'Age Factors'!M72,0)</f>
        <v>3953</v>
      </c>
      <c r="N72" s="49">
        <f>ROUND(+N$4/+'Age Factors'!N72,0)</f>
        <v>4268</v>
      </c>
      <c r="O72" s="49">
        <f>ROUND(+O$4/+'Age Factors'!O72,0)</f>
        <v>5398</v>
      </c>
      <c r="P72" s="49">
        <f>ROUND(+P$4/+'Age Factors'!P72,0)</f>
        <v>5733</v>
      </c>
      <c r="Q72" s="49">
        <f>ROUND(+Q$4/+'Age Factors'!Q72,0)</f>
        <v>6798</v>
      </c>
      <c r="R72" s="49">
        <f>ROUND(+R$4/+'Age Factors'!R72,0)</f>
        <v>8177</v>
      </c>
      <c r="S72" s="49">
        <f>ROUND(+S$4/+'Age Factors'!S72,0)</f>
        <v>11553</v>
      </c>
      <c r="T72" s="49">
        <f>ROUND(+T$4/+'Age Factors'!T72,0)</f>
        <v>13915</v>
      </c>
      <c r="U72" s="49">
        <f>ROUND(+U$4/+'Age Factors'!U72,0)</f>
        <v>25341</v>
      </c>
      <c r="V72" s="49">
        <f>ROUND(+V$4/+'Age Factors'!V72,0)</f>
        <v>34960</v>
      </c>
      <c r="W72" s="49">
        <f>ROUND(+W$4/+'Age Factors'!W72,0)</f>
        <v>58832</v>
      </c>
      <c r="X72" s="49">
        <f>ROUND(+X$4/+'Age Factors'!X72,0)</f>
        <v>64464</v>
      </c>
      <c r="Y72" s="49">
        <f>ROUND(+Y$4/+'Age Factors'!Y72,0)</f>
        <v>85359</v>
      </c>
      <c r="Z72" s="46"/>
    </row>
    <row r="73" spans="1:26">
      <c r="A73" s="48">
        <v>72</v>
      </c>
      <c r="B73" s="480">
        <f>ROUND(+B$4/+'Age Factors'!B73,0)</f>
        <v>228</v>
      </c>
      <c r="C73" s="49">
        <f>ROUND(+C$4/+'Age Factors'!C73,0)</f>
        <v>381</v>
      </c>
      <c r="D73" s="49">
        <f>ROUND(+D$4/+'Age Factors'!D73,0)</f>
        <v>746</v>
      </c>
      <c r="E73" s="49">
        <f>ROUND(+E$4/+'Age Factors'!E73,0)</f>
        <v>1292</v>
      </c>
      <c r="F73" s="49">
        <f>ROUND(+F$4/+'Age Factors'!F73,0)</f>
        <v>1550</v>
      </c>
      <c r="G73" s="49">
        <f>ROUND(+G$4/+'Age Factors'!G73,0)</f>
        <v>1667</v>
      </c>
      <c r="H73" s="49">
        <f>ROUND(+H$4/+'Age Factors'!H73,0)</f>
        <v>2075</v>
      </c>
      <c r="I73" s="49">
        <f>ROUND(+I$4/+'Age Factors'!I73,0)</f>
        <v>2090</v>
      </c>
      <c r="J73" s="49">
        <f>ROUND(+J$4/+'Age Factors'!J73,0)</f>
        <v>2601</v>
      </c>
      <c r="K73" s="49">
        <f>ROUND(+K$4/+'Age Factors'!K73,0)</f>
        <v>2950</v>
      </c>
      <c r="L73" s="49">
        <f>ROUND(+L$4/+'Age Factors'!L73,0)</f>
        <v>3159</v>
      </c>
      <c r="M73" s="49">
        <f>ROUND(+M$4/+'Age Factors'!M73,0)</f>
        <v>4014</v>
      </c>
      <c r="N73" s="49">
        <f>ROUND(+N$4/+'Age Factors'!N73,0)</f>
        <v>4334</v>
      </c>
      <c r="O73" s="49">
        <f>ROUND(+O$4/+'Age Factors'!O73,0)</f>
        <v>5483</v>
      </c>
      <c r="P73" s="49">
        <f>ROUND(+P$4/+'Age Factors'!P73,0)</f>
        <v>5825</v>
      </c>
      <c r="Q73" s="49">
        <f>ROUND(+Q$4/+'Age Factors'!Q73,0)</f>
        <v>6906</v>
      </c>
      <c r="R73" s="49">
        <f>ROUND(+R$4/+'Age Factors'!R73,0)</f>
        <v>8310</v>
      </c>
      <c r="S73" s="49">
        <f>ROUND(+S$4/+'Age Factors'!S73,0)</f>
        <v>11745</v>
      </c>
      <c r="T73" s="49">
        <f>ROUND(+T$4/+'Age Factors'!T73,0)</f>
        <v>14146</v>
      </c>
      <c r="U73" s="49">
        <f>ROUND(+U$4/+'Age Factors'!U73,0)</f>
        <v>25761</v>
      </c>
      <c r="V73" s="49">
        <f>ROUND(+V$4/+'Age Factors'!V73,0)</f>
        <v>35539</v>
      </c>
      <c r="W73" s="49">
        <f>ROUND(+W$4/+'Age Factors'!W73,0)</f>
        <v>59807</v>
      </c>
      <c r="X73" s="49">
        <f>ROUND(+X$4/+'Age Factors'!X73,0)</f>
        <v>65532</v>
      </c>
      <c r="Y73" s="49">
        <f>ROUND(+Y$4/+'Age Factors'!Y73,0)</f>
        <v>86773</v>
      </c>
      <c r="Z73" s="46"/>
    </row>
    <row r="74" spans="1:26">
      <c r="A74" s="48">
        <v>73</v>
      </c>
      <c r="B74" s="480">
        <f>ROUND(+B$4/+'Age Factors'!B74,0)</f>
        <v>231</v>
      </c>
      <c r="C74" s="49">
        <f>ROUND(+C$4/+'Age Factors'!C74,0)</f>
        <v>387</v>
      </c>
      <c r="D74" s="49">
        <f>ROUND(+D$4/+'Age Factors'!D74,0)</f>
        <v>757</v>
      </c>
      <c r="E74" s="49">
        <f>ROUND(+E$4/+'Age Factors'!E74,0)</f>
        <v>1312</v>
      </c>
      <c r="F74" s="49">
        <f>ROUND(+F$4/+'Age Factors'!F74,0)</f>
        <v>1574</v>
      </c>
      <c r="G74" s="49">
        <f>ROUND(+G$4/+'Age Factors'!G74,0)</f>
        <v>1692</v>
      </c>
      <c r="H74" s="49">
        <f>ROUND(+H$4/+'Age Factors'!H74,0)</f>
        <v>2107</v>
      </c>
      <c r="I74" s="49">
        <f>ROUND(+I$4/+'Age Factors'!I74,0)</f>
        <v>2122</v>
      </c>
      <c r="J74" s="49">
        <f>ROUND(+J$4/+'Age Factors'!J74,0)</f>
        <v>2641</v>
      </c>
      <c r="K74" s="49">
        <f>ROUND(+K$4/+'Age Factors'!K74,0)</f>
        <v>2995</v>
      </c>
      <c r="L74" s="49">
        <f>ROUND(+L$4/+'Age Factors'!L74,0)</f>
        <v>3208</v>
      </c>
      <c r="M74" s="49">
        <f>ROUND(+M$4/+'Age Factors'!M74,0)</f>
        <v>4078</v>
      </c>
      <c r="N74" s="49">
        <f>ROUND(+N$4/+'Age Factors'!N74,0)</f>
        <v>4404</v>
      </c>
      <c r="O74" s="49">
        <f>ROUND(+O$4/+'Age Factors'!O74,0)</f>
        <v>5572</v>
      </c>
      <c r="P74" s="49">
        <f>ROUND(+P$4/+'Age Factors'!P74,0)</f>
        <v>5920</v>
      </c>
      <c r="Q74" s="49">
        <f>ROUND(+Q$4/+'Age Factors'!Q74,0)</f>
        <v>7020</v>
      </c>
      <c r="R74" s="49">
        <f>ROUND(+R$4/+'Age Factors'!R74,0)</f>
        <v>8448</v>
      </c>
      <c r="S74" s="49">
        <f>ROUND(+S$4/+'Age Factors'!S74,0)</f>
        <v>11944</v>
      </c>
      <c r="T74" s="49">
        <f>ROUND(+T$4/+'Age Factors'!T74,0)</f>
        <v>14386</v>
      </c>
      <c r="U74" s="49">
        <f>ROUND(+U$4/+'Age Factors'!U74,0)</f>
        <v>26199</v>
      </c>
      <c r="V74" s="49">
        <f>ROUND(+V$4/+'Age Factors'!V74,0)</f>
        <v>36144</v>
      </c>
      <c r="W74" s="49">
        <f>ROUND(+W$4/+'Age Factors'!W74,0)</f>
        <v>60824</v>
      </c>
      <c r="X74" s="49">
        <f>ROUND(+X$4/+'Age Factors'!X74,0)</f>
        <v>66646</v>
      </c>
      <c r="Y74" s="49">
        <f>ROUND(+Y$4/+'Age Factors'!Y74,0)</f>
        <v>88249</v>
      </c>
      <c r="Z74" s="46"/>
    </row>
    <row r="75" spans="1:26">
      <c r="A75" s="48">
        <v>74</v>
      </c>
      <c r="B75" s="480">
        <f>ROUND(+B$4/+'Age Factors'!B75,0)</f>
        <v>235</v>
      </c>
      <c r="C75" s="49">
        <f>ROUND(+C$4/+'Age Factors'!C75,0)</f>
        <v>392</v>
      </c>
      <c r="D75" s="49">
        <f>ROUND(+D$4/+'Age Factors'!D75,0)</f>
        <v>769</v>
      </c>
      <c r="E75" s="49">
        <f>ROUND(+E$4/+'Age Factors'!E75,0)</f>
        <v>1332</v>
      </c>
      <c r="F75" s="49">
        <f>ROUND(+F$4/+'Age Factors'!F75,0)</f>
        <v>1598</v>
      </c>
      <c r="G75" s="49">
        <f>ROUND(+G$4/+'Age Factors'!G75,0)</f>
        <v>1718</v>
      </c>
      <c r="H75" s="49">
        <f>ROUND(+H$4/+'Age Factors'!H75,0)</f>
        <v>2139</v>
      </c>
      <c r="I75" s="49">
        <f>ROUND(+I$4/+'Age Factors'!I75,0)</f>
        <v>2154</v>
      </c>
      <c r="J75" s="49">
        <f>ROUND(+J$4/+'Age Factors'!J75,0)</f>
        <v>2681</v>
      </c>
      <c r="K75" s="49">
        <f>ROUND(+K$4/+'Age Factors'!K75,0)</f>
        <v>3042</v>
      </c>
      <c r="L75" s="49">
        <f>ROUND(+L$4/+'Age Factors'!L75,0)</f>
        <v>3258</v>
      </c>
      <c r="M75" s="49">
        <f>ROUND(+M$4/+'Age Factors'!M75,0)</f>
        <v>4143</v>
      </c>
      <c r="N75" s="49">
        <f>ROUND(+N$4/+'Age Factors'!N75,0)</f>
        <v>4474</v>
      </c>
      <c r="O75" s="49">
        <f>ROUND(+O$4/+'Age Factors'!O75,0)</f>
        <v>5663</v>
      </c>
      <c r="P75" s="49">
        <f>ROUND(+P$4/+'Age Factors'!P75,0)</f>
        <v>6017</v>
      </c>
      <c r="Q75" s="49">
        <f>ROUND(+Q$4/+'Age Factors'!Q75,0)</f>
        <v>7138</v>
      </c>
      <c r="R75" s="49">
        <f>ROUND(+R$4/+'Age Factors'!R75,0)</f>
        <v>8594</v>
      </c>
      <c r="S75" s="49">
        <f>ROUND(+S$4/+'Age Factors'!S75,0)</f>
        <v>12157</v>
      </c>
      <c r="T75" s="49">
        <f>ROUND(+T$4/+'Age Factors'!T75,0)</f>
        <v>14642</v>
      </c>
      <c r="U75" s="49">
        <f>ROUND(+U$4/+'Age Factors'!U75,0)</f>
        <v>26665</v>
      </c>
      <c r="V75" s="49">
        <f>ROUND(+V$4/+'Age Factors'!V75,0)</f>
        <v>36786</v>
      </c>
      <c r="W75" s="49">
        <f>ROUND(+W$4/+'Age Factors'!W75,0)</f>
        <v>61906</v>
      </c>
      <c r="X75" s="49">
        <f>ROUND(+X$4/+'Age Factors'!X75,0)</f>
        <v>67831</v>
      </c>
      <c r="Y75" s="49">
        <f>ROUND(+Y$4/+'Age Factors'!Y75,0)</f>
        <v>89818</v>
      </c>
      <c r="Z75" s="46"/>
    </row>
    <row r="76" spans="1:26">
      <c r="A76" s="56">
        <v>75</v>
      </c>
      <c r="B76" s="459">
        <f>ROUND(+B$4/+'Age Factors'!B76,0)</f>
        <v>238</v>
      </c>
      <c r="C76" s="60">
        <f>ROUND(+C$4/+'Age Factors'!C76,0)</f>
        <v>398</v>
      </c>
      <c r="D76" s="60">
        <f>ROUND(+D$4/+'Age Factors'!D76,0)</f>
        <v>781</v>
      </c>
      <c r="E76" s="60">
        <f>ROUND(+E$4/+'Age Factors'!E76,0)</f>
        <v>1353</v>
      </c>
      <c r="F76" s="60">
        <f>ROUND(+F$4/+'Age Factors'!F76,0)</f>
        <v>1623</v>
      </c>
      <c r="G76" s="60">
        <f>ROUND(+G$4/+'Age Factors'!G76,0)</f>
        <v>1745</v>
      </c>
      <c r="H76" s="60">
        <f>ROUND(+H$4/+'Age Factors'!H76,0)</f>
        <v>2173</v>
      </c>
      <c r="I76" s="60">
        <f>ROUND(+I$4/+'Age Factors'!I76,0)</f>
        <v>2188</v>
      </c>
      <c r="J76" s="60">
        <f>ROUND(+J$4/+'Age Factors'!J76,0)</f>
        <v>2724</v>
      </c>
      <c r="K76" s="60">
        <f>ROUND(+K$4/+'Age Factors'!K76,0)</f>
        <v>3090</v>
      </c>
      <c r="L76" s="60">
        <f>ROUND(+L$4/+'Age Factors'!L76,0)</f>
        <v>3311</v>
      </c>
      <c r="M76" s="60">
        <f>ROUND(+M$4/+'Age Factors'!M76,0)</f>
        <v>4210</v>
      </c>
      <c r="N76" s="60">
        <f>ROUND(+N$4/+'Age Factors'!N76,0)</f>
        <v>4548</v>
      </c>
      <c r="O76" s="60">
        <f>ROUND(+O$4/+'Age Factors'!O76,0)</f>
        <v>5758</v>
      </c>
      <c r="P76" s="60">
        <f>ROUND(+P$4/+'Age Factors'!P76,0)</f>
        <v>6118</v>
      </c>
      <c r="Q76" s="60">
        <f>ROUND(+Q$4/+'Age Factors'!Q76,0)</f>
        <v>7263</v>
      </c>
      <c r="R76" s="60">
        <f>ROUND(+R$4/+'Age Factors'!R76,0)</f>
        <v>8751</v>
      </c>
      <c r="S76" s="60">
        <f>ROUND(+S$4/+'Age Factors'!S76,0)</f>
        <v>12394</v>
      </c>
      <c r="T76" s="60">
        <f>ROUND(+T$4/+'Age Factors'!T76,0)</f>
        <v>14928</v>
      </c>
      <c r="U76" s="60">
        <f>ROUND(+U$4/+'Age Factors'!U76,0)</f>
        <v>27186</v>
      </c>
      <c r="V76" s="60">
        <f>ROUND(+V$4/+'Age Factors'!V76,0)</f>
        <v>37506</v>
      </c>
      <c r="W76" s="60">
        <f>ROUND(+W$4/+'Age Factors'!W76,0)</f>
        <v>63116</v>
      </c>
      <c r="X76" s="60">
        <f>ROUND(+X$4/+'Age Factors'!X76,0)</f>
        <v>69157</v>
      </c>
      <c r="Y76" s="60">
        <f>ROUND(+Y$4/+'Age Factors'!Y76,0)</f>
        <v>91574</v>
      </c>
      <c r="Z76" s="46"/>
    </row>
    <row r="77" spans="1:26">
      <c r="A77" s="48">
        <v>76</v>
      </c>
      <c r="B77" s="480">
        <f>ROUND(+B$4/+'Age Factors'!B77,0)</f>
        <v>241</v>
      </c>
      <c r="C77" s="49">
        <f>ROUND(+C$4/+'Age Factors'!C77,0)</f>
        <v>404</v>
      </c>
      <c r="D77" s="49">
        <f>ROUND(+D$4/+'Age Factors'!D77,0)</f>
        <v>793</v>
      </c>
      <c r="E77" s="49">
        <f>ROUND(+E$4/+'Age Factors'!E77,0)</f>
        <v>1375</v>
      </c>
      <c r="F77" s="49">
        <f>ROUND(+F$4/+'Age Factors'!F77,0)</f>
        <v>1649</v>
      </c>
      <c r="G77" s="49">
        <f>ROUND(+G$4/+'Age Factors'!G77,0)</f>
        <v>1774</v>
      </c>
      <c r="H77" s="49">
        <f>ROUND(+H$4/+'Age Factors'!H77,0)</f>
        <v>2209</v>
      </c>
      <c r="I77" s="49">
        <f>ROUND(+I$4/+'Age Factors'!I77,0)</f>
        <v>2224</v>
      </c>
      <c r="J77" s="49">
        <f>ROUND(+J$4/+'Age Factors'!J77,0)</f>
        <v>2769</v>
      </c>
      <c r="K77" s="49">
        <f>ROUND(+K$4/+'Age Factors'!K77,0)</f>
        <v>3142</v>
      </c>
      <c r="L77" s="49">
        <f>ROUND(+L$4/+'Age Factors'!L77,0)</f>
        <v>3366</v>
      </c>
      <c r="M77" s="49">
        <f>ROUND(+M$4/+'Age Factors'!M77,0)</f>
        <v>4282</v>
      </c>
      <c r="N77" s="49">
        <f>ROUND(+N$4/+'Age Factors'!N77,0)</f>
        <v>4626</v>
      </c>
      <c r="O77" s="49">
        <f>ROUND(+O$4/+'Age Factors'!O77,0)</f>
        <v>5858</v>
      </c>
      <c r="P77" s="49">
        <f>ROUND(+P$4/+'Age Factors'!P77,0)</f>
        <v>6225</v>
      </c>
      <c r="Q77" s="49">
        <f>ROUND(+Q$4/+'Age Factors'!Q77,0)</f>
        <v>7398</v>
      </c>
      <c r="R77" s="49">
        <f>ROUND(+R$4/+'Age Factors'!R77,0)</f>
        <v>8920</v>
      </c>
      <c r="S77" s="49">
        <f>ROUND(+S$4/+'Age Factors'!S77,0)</f>
        <v>12658</v>
      </c>
      <c r="T77" s="49">
        <f>ROUND(+T$4/+'Age Factors'!T77,0)</f>
        <v>15246</v>
      </c>
      <c r="U77" s="49">
        <f>ROUND(+U$4/+'Age Factors'!U77,0)</f>
        <v>27764</v>
      </c>
      <c r="V77" s="49">
        <f>ROUND(+V$4/+'Age Factors'!V77,0)</f>
        <v>38303</v>
      </c>
      <c r="W77" s="49">
        <f>ROUND(+W$4/+'Age Factors'!W77,0)</f>
        <v>64459</v>
      </c>
      <c r="X77" s="49">
        <f>ROUND(+X$4/+'Age Factors'!X77,0)</f>
        <v>70628</v>
      </c>
      <c r="Y77" s="49">
        <f>ROUND(+Y$4/+'Age Factors'!Y77,0)</f>
        <v>93522</v>
      </c>
      <c r="Z77" s="46"/>
    </row>
    <row r="78" spans="1:26">
      <c r="A78" s="48">
        <v>77</v>
      </c>
      <c r="B78" s="480">
        <f>ROUND(+B$4/+'Age Factors'!B78,0)</f>
        <v>245</v>
      </c>
      <c r="C78" s="49">
        <f>ROUND(+C$4/+'Age Factors'!C78,0)</f>
        <v>410</v>
      </c>
      <c r="D78" s="49">
        <f>ROUND(+D$4/+'Age Factors'!D78,0)</f>
        <v>805</v>
      </c>
      <c r="E78" s="49">
        <f>ROUND(+E$4/+'Age Factors'!E78,0)</f>
        <v>1397</v>
      </c>
      <c r="F78" s="49">
        <f>ROUND(+F$4/+'Age Factors'!F78,0)</f>
        <v>1677</v>
      </c>
      <c r="G78" s="49">
        <f>ROUND(+G$4/+'Age Factors'!G78,0)</f>
        <v>1804</v>
      </c>
      <c r="H78" s="49">
        <f>ROUND(+H$4/+'Age Factors'!H78,0)</f>
        <v>2247</v>
      </c>
      <c r="I78" s="49">
        <f>ROUND(+I$4/+'Age Factors'!I78,0)</f>
        <v>2263</v>
      </c>
      <c r="J78" s="49">
        <f>ROUND(+J$4/+'Age Factors'!J78,0)</f>
        <v>2819</v>
      </c>
      <c r="K78" s="49">
        <f>ROUND(+K$4/+'Age Factors'!K78,0)</f>
        <v>3199</v>
      </c>
      <c r="L78" s="49">
        <f>ROUND(+L$4/+'Age Factors'!L78,0)</f>
        <v>3428</v>
      </c>
      <c r="M78" s="49">
        <f>ROUND(+M$4/+'Age Factors'!M78,0)</f>
        <v>4363</v>
      </c>
      <c r="N78" s="49">
        <f>ROUND(+N$4/+'Age Factors'!N78,0)</f>
        <v>4712</v>
      </c>
      <c r="O78" s="49">
        <f>ROUND(+O$4/+'Age Factors'!O78,0)</f>
        <v>5970</v>
      </c>
      <c r="P78" s="49">
        <f>ROUND(+P$4/+'Age Factors'!P78,0)</f>
        <v>6345</v>
      </c>
      <c r="Q78" s="49">
        <f>ROUND(+Q$4/+'Age Factors'!Q78,0)</f>
        <v>7545</v>
      </c>
      <c r="R78" s="49">
        <f>ROUND(+R$4/+'Age Factors'!R78,0)</f>
        <v>9108</v>
      </c>
      <c r="S78" s="49">
        <f>ROUND(+S$4/+'Age Factors'!S78,0)</f>
        <v>12948</v>
      </c>
      <c r="T78" s="49">
        <f>ROUND(+T$4/+'Age Factors'!T78,0)</f>
        <v>15595</v>
      </c>
      <c r="U78" s="49">
        <f>ROUND(+U$4/+'Age Factors'!U78,0)</f>
        <v>28401</v>
      </c>
      <c r="V78" s="49">
        <f>ROUND(+V$4/+'Age Factors'!V78,0)</f>
        <v>39181</v>
      </c>
      <c r="W78" s="49">
        <f>ROUND(+W$4/+'Age Factors'!W78,0)</f>
        <v>65936</v>
      </c>
      <c r="X78" s="49">
        <f>ROUND(+X$4/+'Age Factors'!X78,0)</f>
        <v>72247</v>
      </c>
      <c r="Y78" s="49">
        <f>ROUND(+Y$4/+'Age Factors'!Y78,0)</f>
        <v>95665</v>
      </c>
      <c r="Z78" s="46"/>
    </row>
    <row r="79" spans="1:26">
      <c r="A79" s="48">
        <v>78</v>
      </c>
      <c r="B79" s="480">
        <f>ROUND(+B$4/+'Age Factors'!B79,0)</f>
        <v>249</v>
      </c>
      <c r="C79" s="49">
        <f>ROUND(+C$4/+'Age Factors'!C79,0)</f>
        <v>416</v>
      </c>
      <c r="D79" s="49">
        <f>ROUND(+D$4/+'Age Factors'!D79,0)</f>
        <v>818</v>
      </c>
      <c r="E79" s="49">
        <f>ROUND(+E$4/+'Age Factors'!E79,0)</f>
        <v>1421</v>
      </c>
      <c r="F79" s="49">
        <f>ROUND(+F$4/+'Age Factors'!F79,0)</f>
        <v>1707</v>
      </c>
      <c r="G79" s="49">
        <f>ROUND(+G$4/+'Age Factors'!G79,0)</f>
        <v>1837</v>
      </c>
      <c r="H79" s="49">
        <f>ROUND(+H$4/+'Age Factors'!H79,0)</f>
        <v>2290</v>
      </c>
      <c r="I79" s="49">
        <f>ROUND(+I$4/+'Age Factors'!I79,0)</f>
        <v>2306</v>
      </c>
      <c r="J79" s="49">
        <f>ROUND(+J$4/+'Age Factors'!J79,0)</f>
        <v>2874</v>
      </c>
      <c r="K79" s="49">
        <f>ROUND(+K$4/+'Age Factors'!K79,0)</f>
        <v>3263</v>
      </c>
      <c r="L79" s="49">
        <f>ROUND(+L$4/+'Age Factors'!L79,0)</f>
        <v>3497</v>
      </c>
      <c r="M79" s="49">
        <f>ROUND(+M$4/+'Age Factors'!M79,0)</f>
        <v>4451</v>
      </c>
      <c r="N79" s="49">
        <f>ROUND(+N$4/+'Age Factors'!N79,0)</f>
        <v>4810</v>
      </c>
      <c r="O79" s="49">
        <f>ROUND(+O$4/+'Age Factors'!O79,0)</f>
        <v>6096</v>
      </c>
      <c r="P79" s="49">
        <f>ROUND(+P$4/+'Age Factors'!P79,0)</f>
        <v>6479</v>
      </c>
      <c r="Q79" s="49">
        <f>ROUND(+Q$4/+'Age Factors'!Q79,0)</f>
        <v>7712</v>
      </c>
      <c r="R79" s="49">
        <f>ROUND(+R$4/+'Age Factors'!R79,0)</f>
        <v>9319</v>
      </c>
      <c r="S79" s="49">
        <f>ROUND(+S$4/+'Age Factors'!S79,0)</f>
        <v>13272</v>
      </c>
      <c r="T79" s="49">
        <f>ROUND(+T$4/+'Age Factors'!T79,0)</f>
        <v>15986</v>
      </c>
      <c r="U79" s="49">
        <f>ROUND(+U$4/+'Age Factors'!U79,0)</f>
        <v>29111</v>
      </c>
      <c r="V79" s="49">
        <f>ROUND(+V$4/+'Age Factors'!V79,0)</f>
        <v>40162</v>
      </c>
      <c r="W79" s="49">
        <f>ROUND(+W$4/+'Age Factors'!W79,0)</f>
        <v>67586</v>
      </c>
      <c r="X79" s="49">
        <f>ROUND(+X$4/+'Age Factors'!X79,0)</f>
        <v>74055</v>
      </c>
      <c r="Y79" s="49">
        <f>ROUND(+Y$4/+'Age Factors'!Y79,0)</f>
        <v>98059</v>
      </c>
      <c r="Z79" s="46"/>
    </row>
    <row r="80" spans="1:26">
      <c r="A80" s="48">
        <v>79</v>
      </c>
      <c r="B80" s="480">
        <f>ROUND(+B$4/+'Age Factors'!B80,0)</f>
        <v>252</v>
      </c>
      <c r="C80" s="49">
        <f>ROUND(+C$4/+'Age Factors'!C80,0)</f>
        <v>423</v>
      </c>
      <c r="D80" s="49">
        <f>ROUND(+D$4/+'Age Factors'!D80,0)</f>
        <v>833</v>
      </c>
      <c r="E80" s="49">
        <f>ROUND(+E$4/+'Age Factors'!E80,0)</f>
        <v>1448</v>
      </c>
      <c r="F80" s="49">
        <f>ROUND(+F$4/+'Age Factors'!F80,0)</f>
        <v>1741</v>
      </c>
      <c r="G80" s="49">
        <f>ROUND(+G$4/+'Age Factors'!G80,0)</f>
        <v>1873</v>
      </c>
      <c r="H80" s="49">
        <f>ROUND(+H$4/+'Age Factors'!H80,0)</f>
        <v>2337</v>
      </c>
      <c r="I80" s="49">
        <f>ROUND(+I$4/+'Age Factors'!I80,0)</f>
        <v>2354</v>
      </c>
      <c r="J80" s="49">
        <f>ROUND(+J$4/+'Age Factors'!J80,0)</f>
        <v>2936</v>
      </c>
      <c r="K80" s="49">
        <f>ROUND(+K$4/+'Age Factors'!K80,0)</f>
        <v>3334</v>
      </c>
      <c r="L80" s="49">
        <f>ROUND(+L$4/+'Age Factors'!L80,0)</f>
        <v>3573</v>
      </c>
      <c r="M80" s="49">
        <f>ROUND(+M$4/+'Age Factors'!M80,0)</f>
        <v>4551</v>
      </c>
      <c r="N80" s="49">
        <f>ROUND(+N$4/+'Age Factors'!N80,0)</f>
        <v>4917</v>
      </c>
      <c r="O80" s="49">
        <f>ROUND(+O$4/+'Age Factors'!O80,0)</f>
        <v>6235</v>
      </c>
      <c r="P80" s="49">
        <f>ROUND(+P$4/+'Age Factors'!P80,0)</f>
        <v>6627</v>
      </c>
      <c r="Q80" s="49">
        <f>ROUND(+Q$4/+'Age Factors'!Q80,0)</f>
        <v>7896</v>
      </c>
      <c r="R80" s="49">
        <f>ROUND(+R$4/+'Age Factors'!R80,0)</f>
        <v>9551</v>
      </c>
      <c r="S80" s="49">
        <f>ROUND(+S$4/+'Age Factors'!S80,0)</f>
        <v>13629</v>
      </c>
      <c r="T80" s="49">
        <f>ROUND(+T$4/+'Age Factors'!T80,0)</f>
        <v>16416</v>
      </c>
      <c r="U80" s="49">
        <f>ROUND(+U$4/+'Age Factors'!U80,0)</f>
        <v>29895</v>
      </c>
      <c r="V80" s="49">
        <f>ROUND(+V$4/+'Age Factors'!V80,0)</f>
        <v>41243</v>
      </c>
      <c r="W80" s="49">
        <f>ROUND(+W$4/+'Age Factors'!W80,0)</f>
        <v>69406</v>
      </c>
      <c r="X80" s="49">
        <f>ROUND(+X$4/+'Age Factors'!X80,0)</f>
        <v>76049</v>
      </c>
      <c r="Y80" s="49">
        <f>ROUND(+Y$4/+'Age Factors'!Y80,0)</f>
        <v>100699</v>
      </c>
      <c r="Z80" s="46"/>
    </row>
    <row r="81" spans="1:26">
      <c r="A81" s="56">
        <v>80</v>
      </c>
      <c r="B81" s="459">
        <f>ROUND(+B$4/+'Age Factors'!B81,0)</f>
        <v>256</v>
      </c>
      <c r="C81" s="60">
        <f>ROUND(+C$4/+'Age Factors'!C81,0)</f>
        <v>431</v>
      </c>
      <c r="D81" s="60">
        <f>ROUND(+D$4/+'Age Factors'!D81,0)</f>
        <v>849</v>
      </c>
      <c r="E81" s="60">
        <f>ROUND(+E$4/+'Age Factors'!E81,0)</f>
        <v>1479</v>
      </c>
      <c r="F81" s="60">
        <f>ROUND(+F$4/+'Age Factors'!F81,0)</f>
        <v>1778</v>
      </c>
      <c r="G81" s="60">
        <f>ROUND(+G$4/+'Age Factors'!G81,0)</f>
        <v>1914</v>
      </c>
      <c r="H81" s="60">
        <f>ROUND(+H$4/+'Age Factors'!H81,0)</f>
        <v>2390</v>
      </c>
      <c r="I81" s="60">
        <f>ROUND(+I$4/+'Age Factors'!I81,0)</f>
        <v>2407</v>
      </c>
      <c r="J81" s="60">
        <f>ROUND(+J$4/+'Age Factors'!J81,0)</f>
        <v>3004</v>
      </c>
      <c r="K81" s="60">
        <f>ROUND(+K$4/+'Age Factors'!K81,0)</f>
        <v>3412</v>
      </c>
      <c r="L81" s="60">
        <f>ROUND(+L$4/+'Age Factors'!L81,0)</f>
        <v>3657</v>
      </c>
      <c r="M81" s="60">
        <f>ROUND(+M$4/+'Age Factors'!M81,0)</f>
        <v>4661</v>
      </c>
      <c r="N81" s="60">
        <f>ROUND(+N$4/+'Age Factors'!N81,0)</f>
        <v>5036</v>
      </c>
      <c r="O81" s="60">
        <f>ROUND(+O$4/+'Age Factors'!O81,0)</f>
        <v>6388</v>
      </c>
      <c r="P81" s="60">
        <f>ROUND(+P$4/+'Age Factors'!P81,0)</f>
        <v>6792</v>
      </c>
      <c r="Q81" s="60">
        <f>ROUND(+Q$4/+'Age Factors'!Q81,0)</f>
        <v>8101</v>
      </c>
      <c r="R81" s="60">
        <f>ROUND(+R$4/+'Age Factors'!R81,0)</f>
        <v>9809</v>
      </c>
      <c r="S81" s="60">
        <f>ROUND(+S$4/+'Age Factors'!S81,0)</f>
        <v>14029</v>
      </c>
      <c r="T81" s="60">
        <f>ROUND(+T$4/+'Age Factors'!T81,0)</f>
        <v>16898</v>
      </c>
      <c r="U81" s="60">
        <f>ROUND(+U$4/+'Age Factors'!U81,0)</f>
        <v>30772</v>
      </c>
      <c r="V81" s="60">
        <f>ROUND(+V$4/+'Age Factors'!V81,0)</f>
        <v>42453</v>
      </c>
      <c r="W81" s="60">
        <f>ROUND(+W$4/+'Age Factors'!W81,0)</f>
        <v>71441</v>
      </c>
      <c r="X81" s="60">
        <f>ROUND(+X$4/+'Age Factors'!X81,0)</f>
        <v>78280</v>
      </c>
      <c r="Y81" s="60">
        <f>ROUND(+Y$4/+'Age Factors'!Y81,0)</f>
        <v>103653</v>
      </c>
      <c r="Z81" s="46"/>
    </row>
    <row r="82" spans="1:26">
      <c r="A82" s="48">
        <v>81</v>
      </c>
      <c r="B82" s="480">
        <f>ROUND(+B$4/+'Age Factors'!B82,0)</f>
        <v>261</v>
      </c>
      <c r="C82" s="49">
        <f>ROUND(+C$4/+'Age Factors'!C82,0)</f>
        <v>439</v>
      </c>
      <c r="D82" s="49">
        <f>ROUND(+D$4/+'Age Factors'!D82,0)</f>
        <v>867</v>
      </c>
      <c r="E82" s="49">
        <f>ROUND(+E$4/+'Age Factors'!E82,0)</f>
        <v>1512</v>
      </c>
      <c r="F82" s="49">
        <f>ROUND(+F$4/+'Age Factors'!F82,0)</f>
        <v>1820</v>
      </c>
      <c r="G82" s="49">
        <f>ROUND(+G$4/+'Age Factors'!G82,0)</f>
        <v>1960</v>
      </c>
      <c r="H82" s="49">
        <f>ROUND(+H$4/+'Age Factors'!H82,0)</f>
        <v>2448</v>
      </c>
      <c r="I82" s="49">
        <f>ROUND(+I$4/+'Age Factors'!I82,0)</f>
        <v>2466</v>
      </c>
      <c r="J82" s="49">
        <f>ROUND(+J$4/+'Age Factors'!J82,0)</f>
        <v>3080</v>
      </c>
      <c r="K82" s="49">
        <f>ROUND(+K$4/+'Age Factors'!K82,0)</f>
        <v>3499</v>
      </c>
      <c r="L82" s="49">
        <f>ROUND(+L$4/+'Age Factors'!L82,0)</f>
        <v>3751</v>
      </c>
      <c r="M82" s="49">
        <f>ROUND(+M$4/+'Age Factors'!M82,0)</f>
        <v>4783</v>
      </c>
      <c r="N82" s="49">
        <f>ROUND(+N$4/+'Age Factors'!N82,0)</f>
        <v>5170</v>
      </c>
      <c r="O82" s="49">
        <f>ROUND(+O$4/+'Age Factors'!O82,0)</f>
        <v>6562</v>
      </c>
      <c r="P82" s="49">
        <f>ROUND(+P$4/+'Age Factors'!P82,0)</f>
        <v>6976</v>
      </c>
      <c r="Q82" s="49">
        <f>ROUND(+Q$4/+'Age Factors'!Q82,0)</f>
        <v>8330</v>
      </c>
      <c r="R82" s="49">
        <f>ROUND(+R$4/+'Age Factors'!R82,0)</f>
        <v>10100</v>
      </c>
      <c r="S82" s="49">
        <f>ROUND(+S$4/+'Age Factors'!S82,0)</f>
        <v>14475</v>
      </c>
      <c r="T82" s="49">
        <f>ROUND(+T$4/+'Age Factors'!T82,0)</f>
        <v>17434</v>
      </c>
      <c r="U82" s="49">
        <f>ROUND(+U$4/+'Age Factors'!U82,0)</f>
        <v>31749</v>
      </c>
      <c r="V82" s="49">
        <f>ROUND(+V$4/+'Age Factors'!V82,0)</f>
        <v>43801</v>
      </c>
      <c r="W82" s="49">
        <f>ROUND(+W$4/+'Age Factors'!W82,0)</f>
        <v>73710</v>
      </c>
      <c r="X82" s="49">
        <f>ROUND(+X$4/+'Age Factors'!X82,0)</f>
        <v>80765</v>
      </c>
      <c r="Y82" s="49">
        <f>ROUND(+Y$4/+'Age Factors'!Y82,0)</f>
        <v>106944</v>
      </c>
      <c r="Z82" s="46"/>
    </row>
    <row r="83" spans="1:26">
      <c r="A83" s="48">
        <v>82</v>
      </c>
      <c r="B83" s="480">
        <f>ROUND(+B$4/+'Age Factors'!B83,0)</f>
        <v>266</v>
      </c>
      <c r="C83" s="49">
        <f>ROUND(+C$4/+'Age Factors'!C83,0)</f>
        <v>448</v>
      </c>
      <c r="D83" s="49">
        <f>ROUND(+D$4/+'Age Factors'!D83,0)</f>
        <v>887</v>
      </c>
      <c r="E83" s="49">
        <f>ROUND(+E$4/+'Age Factors'!E83,0)</f>
        <v>1550</v>
      </c>
      <c r="F83" s="49">
        <f>ROUND(+F$4/+'Age Factors'!F83,0)</f>
        <v>1866</v>
      </c>
      <c r="G83" s="49">
        <f>ROUND(+G$4/+'Age Factors'!G83,0)</f>
        <v>2010</v>
      </c>
      <c r="H83" s="49">
        <f>ROUND(+H$4/+'Age Factors'!H83,0)</f>
        <v>2513</v>
      </c>
      <c r="I83" s="49">
        <f>ROUND(+I$4/+'Age Factors'!I83,0)</f>
        <v>2531</v>
      </c>
      <c r="J83" s="49">
        <f>ROUND(+J$4/+'Age Factors'!J83,0)</f>
        <v>3164</v>
      </c>
      <c r="K83" s="49">
        <f>ROUND(+K$4/+'Age Factors'!K83,0)</f>
        <v>3596</v>
      </c>
      <c r="L83" s="49">
        <f>ROUND(+L$4/+'Age Factors'!L83,0)</f>
        <v>3855</v>
      </c>
      <c r="M83" s="49">
        <f>ROUND(+M$4/+'Age Factors'!M83,0)</f>
        <v>4919</v>
      </c>
      <c r="N83" s="49">
        <f>ROUND(+N$4/+'Age Factors'!N83,0)</f>
        <v>5317</v>
      </c>
      <c r="O83" s="49">
        <f>ROUND(+O$4/+'Age Factors'!O83,0)</f>
        <v>6753</v>
      </c>
      <c r="P83" s="49">
        <f>ROUND(+P$4/+'Age Factors'!P83,0)</f>
        <v>7181</v>
      </c>
      <c r="Q83" s="49">
        <f>ROUND(+Q$4/+'Age Factors'!Q83,0)</f>
        <v>8585</v>
      </c>
      <c r="R83" s="49">
        <f>ROUND(+R$4/+'Age Factors'!R83,0)</f>
        <v>10421</v>
      </c>
      <c r="S83" s="49">
        <f>ROUND(+S$4/+'Age Factors'!S83,0)</f>
        <v>14969</v>
      </c>
      <c r="T83" s="49">
        <f>ROUND(+T$4/+'Age Factors'!T83,0)</f>
        <v>18030</v>
      </c>
      <c r="U83" s="49">
        <f>ROUND(+U$4/+'Age Factors'!U83,0)</f>
        <v>32834</v>
      </c>
      <c r="V83" s="49">
        <f>ROUND(+V$4/+'Age Factors'!V83,0)</f>
        <v>45298</v>
      </c>
      <c r="W83" s="49">
        <f>ROUND(+W$4/+'Age Factors'!W83,0)</f>
        <v>76229</v>
      </c>
      <c r="X83" s="49">
        <f>ROUND(+X$4/+'Age Factors'!X83,0)</f>
        <v>83525</v>
      </c>
      <c r="Y83" s="49">
        <f>ROUND(+Y$4/+'Age Factors'!Y83,0)</f>
        <v>110599</v>
      </c>
      <c r="Z83" s="46"/>
    </row>
    <row r="84" spans="1:26">
      <c r="A84" s="48">
        <v>83</v>
      </c>
      <c r="B84" s="480">
        <f>ROUND(+B$4/+'Age Factors'!B84,0)</f>
        <v>272</v>
      </c>
      <c r="C84" s="49">
        <f>ROUND(+C$4/+'Age Factors'!C84,0)</f>
        <v>459</v>
      </c>
      <c r="D84" s="49">
        <f>ROUND(+D$4/+'Age Factors'!D84,0)</f>
        <v>910</v>
      </c>
      <c r="E84" s="49">
        <f>ROUND(+E$4/+'Age Factors'!E84,0)</f>
        <v>1591</v>
      </c>
      <c r="F84" s="49">
        <f>ROUND(+F$4/+'Age Factors'!F84,0)</f>
        <v>1917</v>
      </c>
      <c r="G84" s="49">
        <f>ROUND(+G$4/+'Age Factors'!G84,0)</f>
        <v>2065</v>
      </c>
      <c r="H84" s="49">
        <f>ROUND(+H$4/+'Age Factors'!H84,0)</f>
        <v>2585</v>
      </c>
      <c r="I84" s="49">
        <f>ROUND(+I$4/+'Age Factors'!I84,0)</f>
        <v>2604</v>
      </c>
      <c r="J84" s="49">
        <f>ROUND(+J$4/+'Age Factors'!J84,0)</f>
        <v>3257</v>
      </c>
      <c r="K84" s="49">
        <f>ROUND(+K$4/+'Age Factors'!K84,0)</f>
        <v>3703</v>
      </c>
      <c r="L84" s="49">
        <f>ROUND(+L$4/+'Age Factors'!L84,0)</f>
        <v>3971</v>
      </c>
      <c r="M84" s="49">
        <f>ROUND(+M$4/+'Age Factors'!M84,0)</f>
        <v>5069</v>
      </c>
      <c r="N84" s="49">
        <f>ROUND(+N$4/+'Age Factors'!N84,0)</f>
        <v>5482</v>
      </c>
      <c r="O84" s="49">
        <f>ROUND(+O$4/+'Age Factors'!O84,0)</f>
        <v>6966</v>
      </c>
      <c r="P84" s="49">
        <f>ROUND(+P$4/+'Age Factors'!P84,0)</f>
        <v>7409</v>
      </c>
      <c r="Q84" s="49">
        <f>ROUND(+Q$4/+'Age Factors'!Q84,0)</f>
        <v>8869</v>
      </c>
      <c r="R84" s="49">
        <f>ROUND(+R$4/+'Age Factors'!R84,0)</f>
        <v>10781</v>
      </c>
      <c r="S84" s="49">
        <f>ROUND(+S$4/+'Age Factors'!S84,0)</f>
        <v>15527</v>
      </c>
      <c r="T84" s="49">
        <f>ROUND(+T$4/+'Age Factors'!T84,0)</f>
        <v>18701</v>
      </c>
      <c r="U84" s="49">
        <f>ROUND(+U$4/+'Age Factors'!U84,0)</f>
        <v>34057</v>
      </c>
      <c r="V84" s="49">
        <f>ROUND(+V$4/+'Age Factors'!V84,0)</f>
        <v>46985</v>
      </c>
      <c r="W84" s="49">
        <f>ROUND(+W$4/+'Age Factors'!W84,0)</f>
        <v>79068</v>
      </c>
      <c r="X84" s="49">
        <f>ROUND(+X$4/+'Age Factors'!X84,0)</f>
        <v>86636</v>
      </c>
      <c r="Y84" s="49">
        <f>ROUND(+Y$4/+'Age Factors'!Y84,0)</f>
        <v>114718</v>
      </c>
      <c r="Z84" s="46"/>
    </row>
    <row r="85" spans="1:26">
      <c r="A85" s="48">
        <v>84</v>
      </c>
      <c r="B85" s="480">
        <f>ROUND(+B$4/+'Age Factors'!B85,0)</f>
        <v>279</v>
      </c>
      <c r="C85" s="49">
        <f>ROUND(+C$4/+'Age Factors'!C85,0)</f>
        <v>471</v>
      </c>
      <c r="D85" s="49">
        <f>ROUND(+D$4/+'Age Factors'!D85,0)</f>
        <v>935</v>
      </c>
      <c r="E85" s="49">
        <f>ROUND(+E$4/+'Age Factors'!E85,0)</f>
        <v>1637</v>
      </c>
      <c r="F85" s="49">
        <f>ROUND(+F$4/+'Age Factors'!F85,0)</f>
        <v>1975</v>
      </c>
      <c r="G85" s="49">
        <f>ROUND(+G$4/+'Age Factors'!G85,0)</f>
        <v>2128</v>
      </c>
      <c r="H85" s="49">
        <f>ROUND(+H$4/+'Age Factors'!H85,0)</f>
        <v>2665</v>
      </c>
      <c r="I85" s="49">
        <f>ROUND(+I$4/+'Age Factors'!I85,0)</f>
        <v>2684</v>
      </c>
      <c r="J85" s="49">
        <f>ROUND(+J$4/+'Age Factors'!J85,0)</f>
        <v>3361</v>
      </c>
      <c r="K85" s="49">
        <f>ROUND(+K$4/+'Age Factors'!K85,0)</f>
        <v>3823</v>
      </c>
      <c r="L85" s="49">
        <f>ROUND(+L$4/+'Age Factors'!L85,0)</f>
        <v>4100</v>
      </c>
      <c r="M85" s="49">
        <f>ROUND(+M$4/+'Age Factors'!M85,0)</f>
        <v>5238</v>
      </c>
      <c r="N85" s="49">
        <f>ROUND(+N$4/+'Age Factors'!N85,0)</f>
        <v>5665</v>
      </c>
      <c r="O85" s="49">
        <f>ROUND(+O$4/+'Age Factors'!O85,0)</f>
        <v>7206</v>
      </c>
      <c r="P85" s="49">
        <f>ROUND(+P$4/+'Age Factors'!P85,0)</f>
        <v>7665</v>
      </c>
      <c r="Q85" s="49">
        <f>ROUND(+Q$4/+'Age Factors'!Q85,0)</f>
        <v>9187</v>
      </c>
      <c r="R85" s="49">
        <f>ROUND(+R$4/+'Age Factors'!R85,0)</f>
        <v>11184</v>
      </c>
      <c r="S85" s="49">
        <f>ROUND(+S$4/+'Age Factors'!S85,0)</f>
        <v>16151</v>
      </c>
      <c r="T85" s="49">
        <f>ROUND(+T$4/+'Age Factors'!T85,0)</f>
        <v>19453</v>
      </c>
      <c r="U85" s="49">
        <f>ROUND(+U$4/+'Age Factors'!U85,0)</f>
        <v>35426</v>
      </c>
      <c r="V85" s="49">
        <f>ROUND(+V$4/+'Age Factors'!V85,0)</f>
        <v>48873</v>
      </c>
      <c r="W85" s="49">
        <f>ROUND(+W$4/+'Age Factors'!W85,0)</f>
        <v>82246</v>
      </c>
      <c r="X85" s="49">
        <f>ROUND(+X$4/+'Age Factors'!X85,0)</f>
        <v>90118</v>
      </c>
      <c r="Y85" s="49">
        <f>ROUND(+Y$4/+'Age Factors'!Y85,0)</f>
        <v>119329</v>
      </c>
      <c r="Z85" s="46"/>
    </row>
    <row r="86" spans="1:26">
      <c r="A86" s="56">
        <v>85</v>
      </c>
      <c r="B86" s="459">
        <f>ROUND(+B$4/+'Age Factors'!B86,0)</f>
        <v>287</v>
      </c>
      <c r="C86" s="60">
        <f>ROUND(+C$4/+'Age Factors'!C86,0)</f>
        <v>484</v>
      </c>
      <c r="D86" s="60">
        <f>ROUND(+D$4/+'Age Factors'!D86,0)</f>
        <v>963</v>
      </c>
      <c r="E86" s="60">
        <f>ROUND(+E$4/+'Age Factors'!E86,0)</f>
        <v>1689</v>
      </c>
      <c r="F86" s="60">
        <f>ROUND(+F$4/+'Age Factors'!F86,0)</f>
        <v>2038</v>
      </c>
      <c r="G86" s="60">
        <f>ROUND(+G$4/+'Age Factors'!G86,0)</f>
        <v>2197</v>
      </c>
      <c r="H86" s="60">
        <f>ROUND(+H$4/+'Age Factors'!H86,0)</f>
        <v>2755</v>
      </c>
      <c r="I86" s="60">
        <f>ROUND(+I$4/+'Age Factors'!I86,0)</f>
        <v>2775</v>
      </c>
      <c r="J86" s="60">
        <f>ROUND(+J$4/+'Age Factors'!J86,0)</f>
        <v>3478</v>
      </c>
      <c r="K86" s="60">
        <f>ROUND(+K$4/+'Age Factors'!K86,0)</f>
        <v>3957</v>
      </c>
      <c r="L86" s="60">
        <f>ROUND(+L$4/+'Age Factors'!L86,0)</f>
        <v>4245</v>
      </c>
      <c r="M86" s="60">
        <f>ROUND(+M$4/+'Age Factors'!M86,0)</f>
        <v>5428</v>
      </c>
      <c r="N86" s="60">
        <f>ROUND(+N$4/+'Age Factors'!N86,0)</f>
        <v>5873</v>
      </c>
      <c r="O86" s="60">
        <f>ROUND(+O$4/+'Age Factors'!O86,0)</f>
        <v>7476</v>
      </c>
      <c r="P86" s="60">
        <f>ROUND(+P$4/+'Age Factors'!P86,0)</f>
        <v>7954</v>
      </c>
      <c r="Q86" s="60">
        <f>ROUND(+Q$4/+'Age Factors'!Q86,0)</f>
        <v>9548</v>
      </c>
      <c r="R86" s="60">
        <f>ROUND(+R$4/+'Age Factors'!R86,0)</f>
        <v>11640</v>
      </c>
      <c r="S86" s="60">
        <f>ROUND(+S$4/+'Age Factors'!S86,0)</f>
        <v>16860</v>
      </c>
      <c r="T86" s="60">
        <f>ROUND(+T$4/+'Age Factors'!T86,0)</f>
        <v>20307</v>
      </c>
      <c r="U86" s="60">
        <f>ROUND(+U$4/+'Age Factors'!U86,0)</f>
        <v>36981</v>
      </c>
      <c r="V86" s="60">
        <f>ROUND(+V$4/+'Age Factors'!V86,0)</f>
        <v>51019</v>
      </c>
      <c r="W86" s="60">
        <f>ROUND(+W$4/+'Age Factors'!W86,0)</f>
        <v>85856</v>
      </c>
      <c r="X86" s="60">
        <f>ROUND(+X$4/+'Age Factors'!X86,0)</f>
        <v>94074</v>
      </c>
      <c r="Y86" s="60">
        <f>ROUND(+Y$4/+'Age Factors'!Y86,0)</f>
        <v>124567</v>
      </c>
      <c r="Z86" s="46"/>
    </row>
    <row r="87" spans="1:26">
      <c r="A87" s="48">
        <v>86</v>
      </c>
      <c r="B87" s="480">
        <f>ROUND(+B$4/+'Age Factors'!B87,0)</f>
        <v>296</v>
      </c>
      <c r="C87" s="49">
        <f>ROUND(+C$4/+'Age Factors'!C87,0)</f>
        <v>500</v>
      </c>
      <c r="D87" s="49">
        <f>ROUND(+D$4/+'Age Factors'!D87,0)</f>
        <v>994</v>
      </c>
      <c r="E87" s="49">
        <f>ROUND(+E$4/+'Age Factors'!E87,0)</f>
        <v>1747</v>
      </c>
      <c r="F87" s="49">
        <f>ROUND(+F$4/+'Age Factors'!F87,0)</f>
        <v>2110</v>
      </c>
      <c r="G87" s="49">
        <f>ROUND(+G$4/+'Age Factors'!G87,0)</f>
        <v>2275</v>
      </c>
      <c r="H87" s="49">
        <f>ROUND(+H$4/+'Age Factors'!H87,0)</f>
        <v>2855</v>
      </c>
      <c r="I87" s="49">
        <f>ROUND(+I$4/+'Age Factors'!I87,0)</f>
        <v>2876</v>
      </c>
      <c r="J87" s="49">
        <f>ROUND(+J$4/+'Age Factors'!J87,0)</f>
        <v>3608</v>
      </c>
      <c r="K87" s="49">
        <f>ROUND(+K$4/+'Age Factors'!K87,0)</f>
        <v>4107</v>
      </c>
      <c r="L87" s="49">
        <f>ROUND(+L$4/+'Age Factors'!L87,0)</f>
        <v>4408</v>
      </c>
      <c r="M87" s="49">
        <f>ROUND(+M$4/+'Age Factors'!M87,0)</f>
        <v>5642</v>
      </c>
      <c r="N87" s="49">
        <f>ROUND(+N$4/+'Age Factors'!N87,0)</f>
        <v>6105</v>
      </c>
      <c r="O87" s="49">
        <f>ROUND(+O$4/+'Age Factors'!O87,0)</f>
        <v>7780</v>
      </c>
      <c r="P87" s="49">
        <f>ROUND(+P$4/+'Age Factors'!P87,0)</f>
        <v>8279</v>
      </c>
      <c r="Q87" s="49">
        <f>ROUND(+Q$4/+'Age Factors'!Q87,0)</f>
        <v>9954</v>
      </c>
      <c r="R87" s="49">
        <f>ROUND(+R$4/+'Age Factors'!R87,0)</f>
        <v>12157</v>
      </c>
      <c r="S87" s="49">
        <f>ROUND(+S$4/+'Age Factors'!S87,0)</f>
        <v>17666</v>
      </c>
      <c r="T87" s="49">
        <f>ROUND(+T$4/+'Age Factors'!T87,0)</f>
        <v>21278</v>
      </c>
      <c r="U87" s="49">
        <f>ROUND(+U$4/+'Age Factors'!U87,0)</f>
        <v>38749</v>
      </c>
      <c r="V87" s="49">
        <f>ROUND(+V$4/+'Age Factors'!V87,0)</f>
        <v>53458</v>
      </c>
      <c r="W87" s="49">
        <f>ROUND(+W$4/+'Age Factors'!W87,0)</f>
        <v>89961</v>
      </c>
      <c r="X87" s="49">
        <f>ROUND(+X$4/+'Age Factors'!X87,0)</f>
        <v>98572</v>
      </c>
      <c r="Y87" s="49">
        <f>ROUND(+Y$4/+'Age Factors'!Y87,0)</f>
        <v>130523</v>
      </c>
      <c r="Z87" s="46"/>
    </row>
    <row r="88" spans="1:26">
      <c r="A88" s="48">
        <v>87</v>
      </c>
      <c r="B88" s="480">
        <f>ROUND(+B$4/+'Age Factors'!B88,0)</f>
        <v>305</v>
      </c>
      <c r="C88" s="49">
        <f>ROUND(+C$4/+'Age Factors'!C88,0)</f>
        <v>517</v>
      </c>
      <c r="D88" s="49">
        <f>ROUND(+D$4/+'Age Factors'!D88,0)</f>
        <v>1030</v>
      </c>
      <c r="E88" s="49">
        <f>ROUND(+E$4/+'Age Factors'!E88,0)</f>
        <v>1811</v>
      </c>
      <c r="F88" s="49">
        <f>ROUND(+F$4/+'Age Factors'!F88,0)</f>
        <v>2190</v>
      </c>
      <c r="G88" s="49">
        <f>ROUND(+G$4/+'Age Factors'!G88,0)</f>
        <v>2363</v>
      </c>
      <c r="H88" s="49">
        <f>ROUND(+H$4/+'Age Factors'!H88,0)</f>
        <v>2968</v>
      </c>
      <c r="I88" s="49">
        <f>ROUND(+I$4/+'Age Factors'!I88,0)</f>
        <v>2990</v>
      </c>
      <c r="J88" s="49">
        <f>ROUND(+J$4/+'Age Factors'!J88,0)</f>
        <v>3755</v>
      </c>
      <c r="K88" s="49">
        <f>ROUND(+K$4/+'Age Factors'!K88,0)</f>
        <v>4277</v>
      </c>
      <c r="L88" s="49">
        <f>ROUND(+L$4/+'Age Factors'!L88,0)</f>
        <v>4590</v>
      </c>
      <c r="M88" s="49">
        <f>ROUND(+M$4/+'Age Factors'!M88,0)</f>
        <v>5883</v>
      </c>
      <c r="N88" s="49">
        <f>ROUND(+N$4/+'Age Factors'!N88,0)</f>
        <v>6368</v>
      </c>
      <c r="O88" s="49">
        <f>ROUND(+O$4/+'Age Factors'!O88,0)</f>
        <v>8123</v>
      </c>
      <c r="P88" s="49">
        <f>ROUND(+P$4/+'Age Factors'!P88,0)</f>
        <v>8647</v>
      </c>
      <c r="Q88" s="49">
        <f>ROUND(+Q$4/+'Age Factors'!Q88,0)</f>
        <v>10414</v>
      </c>
      <c r="R88" s="49">
        <f>ROUND(+R$4/+'Age Factors'!R88,0)</f>
        <v>12743</v>
      </c>
      <c r="S88" s="49">
        <f>ROUND(+S$4/+'Age Factors'!S88,0)</f>
        <v>18584</v>
      </c>
      <c r="T88" s="49">
        <f>ROUND(+T$4/+'Age Factors'!T88,0)</f>
        <v>22384</v>
      </c>
      <c r="U88" s="49">
        <f>ROUND(+U$4/+'Age Factors'!U88,0)</f>
        <v>40763</v>
      </c>
      <c r="V88" s="49">
        <f>ROUND(+V$4/+'Age Factors'!V88,0)</f>
        <v>56236</v>
      </c>
      <c r="W88" s="49">
        <f>ROUND(+W$4/+'Age Factors'!W88,0)</f>
        <v>94636</v>
      </c>
      <c r="X88" s="49">
        <f>ROUND(+X$4/+'Age Factors'!X88,0)</f>
        <v>103695</v>
      </c>
      <c r="Y88" s="49">
        <f>ROUND(+Y$4/+'Age Factors'!Y88,0)</f>
        <v>137306</v>
      </c>
      <c r="Z88" s="46"/>
    </row>
    <row r="89" spans="1:26">
      <c r="A89" s="48">
        <v>88</v>
      </c>
      <c r="B89" s="480">
        <f>ROUND(+B$4/+'Age Factors'!B89,0)</f>
        <v>316</v>
      </c>
      <c r="C89" s="49">
        <f>ROUND(+C$4/+'Age Factors'!C89,0)</f>
        <v>536</v>
      </c>
      <c r="D89" s="49">
        <f>ROUND(+D$4/+'Age Factors'!D89,0)</f>
        <v>1070</v>
      </c>
      <c r="E89" s="49">
        <f>ROUND(+E$4/+'Age Factors'!E89,0)</f>
        <v>1884</v>
      </c>
      <c r="F89" s="49">
        <f>ROUND(+F$4/+'Age Factors'!F89,0)</f>
        <v>2281</v>
      </c>
      <c r="G89" s="49">
        <f>ROUND(+G$4/+'Age Factors'!G89,0)</f>
        <v>2460</v>
      </c>
      <c r="H89" s="49">
        <f>ROUND(+H$4/+'Age Factors'!H89,0)</f>
        <v>3095</v>
      </c>
      <c r="I89" s="49">
        <f>ROUND(+I$4/+'Age Factors'!I89,0)</f>
        <v>3118</v>
      </c>
      <c r="J89" s="49">
        <f>ROUND(+J$4/+'Age Factors'!J89,0)</f>
        <v>3920</v>
      </c>
      <c r="K89" s="49">
        <f>ROUND(+K$4/+'Age Factors'!K89,0)</f>
        <v>4468</v>
      </c>
      <c r="L89" s="49">
        <f>ROUND(+L$4/+'Age Factors'!L89,0)</f>
        <v>4799</v>
      </c>
      <c r="M89" s="49">
        <f>ROUND(+M$4/+'Age Factors'!M89,0)</f>
        <v>6157</v>
      </c>
      <c r="N89" s="49">
        <f>ROUND(+N$4/+'Age Factors'!N89,0)</f>
        <v>6668</v>
      </c>
      <c r="O89" s="49">
        <f>ROUND(+O$4/+'Age Factors'!O89,0)</f>
        <v>8518</v>
      </c>
      <c r="P89" s="49">
        <f>ROUND(+P$4/+'Age Factors'!P89,0)</f>
        <v>9069</v>
      </c>
      <c r="Q89" s="49">
        <f>ROUND(+Q$4/+'Age Factors'!Q89,0)</f>
        <v>10944</v>
      </c>
      <c r="R89" s="49">
        <f>ROUND(+R$4/+'Age Factors'!R89,0)</f>
        <v>13417</v>
      </c>
      <c r="S89" s="49">
        <f>ROUND(+S$4/+'Age Factors'!S89,0)</f>
        <v>19647</v>
      </c>
      <c r="T89" s="49">
        <f>ROUND(+T$4/+'Age Factors'!T89,0)</f>
        <v>23664</v>
      </c>
      <c r="U89" s="49">
        <f>ROUND(+U$4/+'Age Factors'!U89,0)</f>
        <v>43095</v>
      </c>
      <c r="V89" s="49">
        <f>ROUND(+V$4/+'Age Factors'!V89,0)</f>
        <v>59453</v>
      </c>
      <c r="W89" s="49">
        <f>ROUND(+W$4/+'Age Factors'!W89,0)</f>
        <v>100050</v>
      </c>
      <c r="X89" s="49">
        <f>ROUND(+X$4/+'Age Factors'!X89,0)</f>
        <v>109627</v>
      </c>
      <c r="Y89" s="49">
        <f>ROUND(+Y$4/+'Age Factors'!Y89,0)</f>
        <v>145161</v>
      </c>
      <c r="Z89" s="46"/>
    </row>
    <row r="90" spans="1:26">
      <c r="A90" s="48">
        <v>89</v>
      </c>
      <c r="B90" s="480">
        <f>ROUND(+B$4/+'Age Factors'!B90,0)</f>
        <v>329</v>
      </c>
      <c r="C90" s="49">
        <f>ROUND(+C$4/+'Age Factors'!C90,0)</f>
        <v>558</v>
      </c>
      <c r="D90" s="49">
        <f>ROUND(+D$4/+'Age Factors'!D90,0)</f>
        <v>1115</v>
      </c>
      <c r="E90" s="49">
        <f>ROUND(+E$4/+'Age Factors'!E90,0)</f>
        <v>1967</v>
      </c>
      <c r="F90" s="49">
        <f>ROUND(+F$4/+'Age Factors'!F90,0)</f>
        <v>2383</v>
      </c>
      <c r="G90" s="49">
        <f>ROUND(+G$4/+'Age Factors'!G90,0)</f>
        <v>2572</v>
      </c>
      <c r="H90" s="49">
        <f>ROUND(+H$4/+'Age Factors'!H90,0)</f>
        <v>3239</v>
      </c>
      <c r="I90" s="49">
        <f>ROUND(+I$4/+'Age Factors'!I90,0)</f>
        <v>3264</v>
      </c>
      <c r="J90" s="49">
        <f>ROUND(+J$4/+'Age Factors'!J90,0)</f>
        <v>4109</v>
      </c>
      <c r="K90" s="49">
        <f>ROUND(+K$4/+'Age Factors'!K90,0)</f>
        <v>4686</v>
      </c>
      <c r="L90" s="49">
        <f>ROUND(+L$4/+'Age Factors'!L90,0)</f>
        <v>5035</v>
      </c>
      <c r="M90" s="49">
        <f>ROUND(+M$4/+'Age Factors'!M90,0)</f>
        <v>6469</v>
      </c>
      <c r="N90" s="49">
        <f>ROUND(+N$4/+'Age Factors'!N90,0)</f>
        <v>7010</v>
      </c>
      <c r="O90" s="49">
        <f>ROUND(+O$4/+'Age Factors'!O90,0)</f>
        <v>8966</v>
      </c>
      <c r="P90" s="49">
        <f>ROUND(+P$4/+'Age Factors'!P90,0)</f>
        <v>9552</v>
      </c>
      <c r="Q90" s="49">
        <f>ROUND(+Q$4/+'Age Factors'!Q90,0)</f>
        <v>11550</v>
      </c>
      <c r="R90" s="49">
        <f>ROUND(+R$4/+'Age Factors'!R90,0)</f>
        <v>14193</v>
      </c>
      <c r="S90" s="49">
        <f>ROUND(+S$4/+'Age Factors'!S90,0)</f>
        <v>20878</v>
      </c>
      <c r="T90" s="49">
        <f>ROUND(+T$4/+'Age Factors'!T90,0)</f>
        <v>25147</v>
      </c>
      <c r="U90" s="49">
        <f>ROUND(+U$4/+'Age Factors'!U90,0)</f>
        <v>45795</v>
      </c>
      <c r="V90" s="49">
        <f>ROUND(+V$4/+'Age Factors'!V90,0)</f>
        <v>63179</v>
      </c>
      <c r="W90" s="49">
        <f>ROUND(+W$4/+'Age Factors'!W90,0)</f>
        <v>106320</v>
      </c>
      <c r="X90" s="49">
        <f>ROUND(+X$4/+'Age Factors'!X90,0)</f>
        <v>116497</v>
      </c>
      <c r="Y90" s="49">
        <f>ROUND(+Y$4/+'Age Factors'!Y90,0)</f>
        <v>154258</v>
      </c>
      <c r="Z90" s="46"/>
    </row>
    <row r="91" spans="1:26">
      <c r="A91" s="56">
        <v>90</v>
      </c>
      <c r="B91" s="459">
        <f>ROUND(+B$4/+'Age Factors'!B91,0)</f>
        <v>343</v>
      </c>
      <c r="C91" s="60">
        <f>ROUND(+C$4/+'Age Factors'!C91,0)</f>
        <v>583</v>
      </c>
      <c r="D91" s="60">
        <f>ROUND(+D$4/+'Age Factors'!D91,0)</f>
        <v>1167</v>
      </c>
      <c r="E91" s="60">
        <f>ROUND(+E$4/+'Age Factors'!E91,0)</f>
        <v>2061</v>
      </c>
      <c r="F91" s="60">
        <f>ROUND(+F$4/+'Age Factors'!F91,0)</f>
        <v>2500</v>
      </c>
      <c r="G91" s="60">
        <f>ROUND(+G$4/+'Age Factors'!G91,0)</f>
        <v>2700</v>
      </c>
      <c r="H91" s="60">
        <f>ROUND(+H$4/+'Age Factors'!H91,0)</f>
        <v>3405</v>
      </c>
      <c r="I91" s="60">
        <f>ROUND(+I$4/+'Age Factors'!I91,0)</f>
        <v>3431</v>
      </c>
      <c r="J91" s="60">
        <f>ROUND(+J$4/+'Age Factors'!J91,0)</f>
        <v>4325</v>
      </c>
      <c r="K91" s="60">
        <f>ROUND(+K$4/+'Age Factors'!K91,0)</f>
        <v>4937</v>
      </c>
      <c r="L91" s="60">
        <f>ROUND(+L$4/+'Age Factors'!L91,0)</f>
        <v>5305</v>
      </c>
      <c r="M91" s="60">
        <f>ROUND(+M$4/+'Age Factors'!M91,0)</f>
        <v>6829</v>
      </c>
      <c r="N91" s="60">
        <f>ROUND(+N$4/+'Age Factors'!N91,0)</f>
        <v>7404</v>
      </c>
      <c r="O91" s="60">
        <f>ROUND(+O$4/+'Age Factors'!O91,0)</f>
        <v>9485</v>
      </c>
      <c r="P91" s="60">
        <f>ROUND(+P$4/+'Age Factors'!P91,0)</f>
        <v>10110</v>
      </c>
      <c r="Q91" s="60">
        <f>ROUND(+Q$4/+'Age Factors'!Q91,0)</f>
        <v>12255</v>
      </c>
      <c r="R91" s="60">
        <f>ROUND(+R$4/+'Age Factors'!R91,0)</f>
        <v>15101</v>
      </c>
      <c r="S91" s="60">
        <f>ROUND(+S$4/+'Age Factors'!S91,0)</f>
        <v>22332</v>
      </c>
      <c r="T91" s="60">
        <f>ROUND(+T$4/+'Age Factors'!T91,0)</f>
        <v>26898</v>
      </c>
      <c r="U91" s="60">
        <f>ROUND(+U$4/+'Age Factors'!U91,0)</f>
        <v>48983</v>
      </c>
      <c r="V91" s="60">
        <f>ROUND(+V$4/+'Age Factors'!V91,0)</f>
        <v>67577</v>
      </c>
      <c r="W91" s="60">
        <f>ROUND(+W$4/+'Age Factors'!W91,0)</f>
        <v>113721</v>
      </c>
      <c r="X91" s="60">
        <f>ROUND(+X$4/+'Age Factors'!X91,0)</f>
        <v>124606</v>
      </c>
      <c r="Y91" s="60">
        <f>ROUND(+Y$4/+'Age Factors'!Y91,0)</f>
        <v>164996</v>
      </c>
      <c r="Z91" s="46"/>
    </row>
    <row r="92" spans="1:26">
      <c r="A92" s="48">
        <v>91</v>
      </c>
      <c r="B92" s="480">
        <f>ROUND(+B$4/+'Age Factors'!B92,0)</f>
        <v>360</v>
      </c>
      <c r="C92" s="49">
        <f>ROUND(+C$4/+'Age Factors'!C92,0)</f>
        <v>611</v>
      </c>
      <c r="D92" s="49">
        <f>ROUND(+D$4/+'Age Factors'!D92,0)</f>
        <v>1226</v>
      </c>
      <c r="E92" s="49">
        <f>ROUND(+E$4/+'Age Factors'!E92,0)</f>
        <v>2169</v>
      </c>
      <c r="F92" s="49">
        <f>ROUND(+F$4/+'Age Factors'!F92,0)</f>
        <v>2635</v>
      </c>
      <c r="G92" s="49">
        <f>ROUND(+G$4/+'Age Factors'!G92,0)</f>
        <v>2846</v>
      </c>
      <c r="H92" s="49">
        <f>ROUND(+H$4/+'Age Factors'!H92,0)</f>
        <v>3595</v>
      </c>
      <c r="I92" s="49">
        <f>ROUND(+I$4/+'Age Factors'!I92,0)</f>
        <v>3622</v>
      </c>
      <c r="J92" s="49">
        <f>ROUND(+J$4/+'Age Factors'!J92,0)</f>
        <v>4573</v>
      </c>
      <c r="K92" s="49">
        <f>ROUND(+K$4/+'Age Factors'!K92,0)</f>
        <v>5226</v>
      </c>
      <c r="L92" s="49">
        <f>ROUND(+L$4/+'Age Factors'!L92,0)</f>
        <v>5620</v>
      </c>
      <c r="M92" s="49">
        <f>ROUND(+M$4/+'Age Factors'!M92,0)</f>
        <v>7248</v>
      </c>
      <c r="N92" s="49">
        <f>ROUND(+N$4/+'Age Factors'!N92,0)</f>
        <v>7862</v>
      </c>
      <c r="O92" s="49">
        <f>ROUND(+O$4/+'Age Factors'!O92,0)</f>
        <v>10097</v>
      </c>
      <c r="P92" s="49">
        <f>ROUND(+P$4/+'Age Factors'!P92,0)</f>
        <v>10765</v>
      </c>
      <c r="Q92" s="49">
        <f>ROUND(+Q$4/+'Age Factors'!Q92,0)</f>
        <v>13085</v>
      </c>
      <c r="R92" s="49">
        <f>ROUND(+R$4/+'Age Factors'!R92,0)</f>
        <v>16172</v>
      </c>
      <c r="S92" s="49">
        <f>ROUND(+S$4/+'Age Factors'!S92,0)</f>
        <v>24062</v>
      </c>
      <c r="T92" s="49">
        <f>ROUND(+T$4/+'Age Factors'!T92,0)</f>
        <v>28981</v>
      </c>
      <c r="U92" s="49">
        <f>ROUND(+U$4/+'Age Factors'!U92,0)</f>
        <v>52778</v>
      </c>
      <c r="V92" s="49">
        <f>ROUND(+V$4/+'Age Factors'!V92,0)</f>
        <v>72812</v>
      </c>
      <c r="W92" s="49">
        <f>ROUND(+W$4/+'Age Factors'!W92,0)</f>
        <v>122531</v>
      </c>
      <c r="X92" s="49">
        <f>ROUND(+X$4/+'Age Factors'!X92,0)</f>
        <v>134259</v>
      </c>
      <c r="Y92" s="49">
        <f>ROUND(+Y$4/+'Age Factors'!Y92,0)</f>
        <v>177778</v>
      </c>
      <c r="Z92" s="46"/>
    </row>
    <row r="93" spans="1:26">
      <c r="A93" s="48">
        <v>92</v>
      </c>
      <c r="B93" s="480">
        <f>ROUND(+B$4/+'Age Factors'!B93,0)</f>
        <v>379</v>
      </c>
      <c r="C93" s="49">
        <f>ROUND(+C$4/+'Age Factors'!C93,0)</f>
        <v>644</v>
      </c>
      <c r="D93" s="49">
        <f>ROUND(+D$4/+'Age Factors'!D93,0)</f>
        <v>1295</v>
      </c>
      <c r="E93" s="49">
        <f>ROUND(+E$4/+'Age Factors'!E93,0)</f>
        <v>2294</v>
      </c>
      <c r="F93" s="49">
        <f>ROUND(+F$4/+'Age Factors'!F93,0)</f>
        <v>2790</v>
      </c>
      <c r="G93" s="49">
        <f>ROUND(+G$4/+'Age Factors'!G93,0)</f>
        <v>3016</v>
      </c>
      <c r="H93" s="49">
        <f>ROUND(+H$4/+'Age Factors'!H93,0)</f>
        <v>3816</v>
      </c>
      <c r="I93" s="49">
        <f>ROUND(+I$4/+'Age Factors'!I93,0)</f>
        <v>3845</v>
      </c>
      <c r="J93" s="49">
        <f>ROUND(+J$4/+'Age Factors'!J93,0)</f>
        <v>4863</v>
      </c>
      <c r="K93" s="49">
        <f>ROUND(+K$4/+'Age Factors'!K93,0)</f>
        <v>5565</v>
      </c>
      <c r="L93" s="49">
        <f>ROUND(+L$4/+'Age Factors'!L93,0)</f>
        <v>5987</v>
      </c>
      <c r="M93" s="49">
        <f>ROUND(+M$4/+'Age Factors'!M93,0)</f>
        <v>7739</v>
      </c>
      <c r="N93" s="49">
        <f>ROUND(+N$4/+'Age Factors'!N93,0)</f>
        <v>8401</v>
      </c>
      <c r="O93" s="49">
        <f>ROUND(+O$4/+'Age Factors'!O93,0)</f>
        <v>10812</v>
      </c>
      <c r="P93" s="49">
        <f>ROUND(+P$4/+'Age Factors'!P93,0)</f>
        <v>11535</v>
      </c>
      <c r="Q93" s="49">
        <f>ROUND(+Q$4/+'Age Factors'!Q93,0)</f>
        <v>14067</v>
      </c>
      <c r="R93" s="49">
        <f>ROUND(+R$4/+'Age Factors'!R93,0)</f>
        <v>17446</v>
      </c>
      <c r="S93" s="49">
        <f>ROUND(+S$4/+'Age Factors'!S93,0)</f>
        <v>26144</v>
      </c>
      <c r="T93" s="49">
        <f>ROUND(+T$4/+'Age Factors'!T93,0)</f>
        <v>31489</v>
      </c>
      <c r="U93" s="49">
        <f>ROUND(+U$4/+'Age Factors'!U93,0)</f>
        <v>57344</v>
      </c>
      <c r="V93" s="49">
        <f>ROUND(+V$4/+'Age Factors'!V93,0)</f>
        <v>79111</v>
      </c>
      <c r="W93" s="49">
        <f>ROUND(+W$4/+'Age Factors'!W93,0)</f>
        <v>133132</v>
      </c>
      <c r="X93" s="49">
        <f>ROUND(+X$4/+'Age Factors'!X93,0)</f>
        <v>145875</v>
      </c>
      <c r="Y93" s="49">
        <f>ROUND(+Y$4/+'Age Factors'!Y93,0)</f>
        <v>193159</v>
      </c>
      <c r="Z93" s="46"/>
    </row>
    <row r="94" spans="1:26">
      <c r="A94" s="48">
        <v>93</v>
      </c>
      <c r="B94" s="480">
        <f>ROUND(+B$4/+'Age Factors'!B94,0)</f>
        <v>401</v>
      </c>
      <c r="C94" s="49">
        <f>ROUND(+C$4/+'Age Factors'!C94,0)</f>
        <v>683</v>
      </c>
      <c r="D94" s="49">
        <f>ROUND(+D$4/+'Age Factors'!D94,0)</f>
        <v>1375</v>
      </c>
      <c r="E94" s="49">
        <f>ROUND(+E$4/+'Age Factors'!E94,0)</f>
        <v>2439</v>
      </c>
      <c r="F94" s="49">
        <f>ROUND(+F$4/+'Age Factors'!F94,0)</f>
        <v>2972</v>
      </c>
      <c r="G94" s="49">
        <f>ROUND(+G$4/+'Age Factors'!G94,0)</f>
        <v>3214</v>
      </c>
      <c r="H94" s="49">
        <f>ROUND(+H$4/+'Age Factors'!H94,0)</f>
        <v>4075</v>
      </c>
      <c r="I94" s="49">
        <f>ROUND(+I$4/+'Age Factors'!I94,0)</f>
        <v>4106</v>
      </c>
      <c r="J94" s="49">
        <f>ROUND(+J$4/+'Age Factors'!J94,0)</f>
        <v>5203</v>
      </c>
      <c r="K94" s="49">
        <f>ROUND(+K$4/+'Age Factors'!K94,0)</f>
        <v>5961</v>
      </c>
      <c r="L94" s="49">
        <f>ROUND(+L$4/+'Age Factors'!L94,0)</f>
        <v>6420</v>
      </c>
      <c r="M94" s="49">
        <f>ROUND(+M$4/+'Age Factors'!M94,0)</f>
        <v>8320</v>
      </c>
      <c r="N94" s="49">
        <f>ROUND(+N$4/+'Age Factors'!N94,0)</f>
        <v>9039</v>
      </c>
      <c r="O94" s="49">
        <f>ROUND(+O$4/+'Age Factors'!O94,0)</f>
        <v>11666</v>
      </c>
      <c r="P94" s="49">
        <f>ROUND(+P$4/+'Age Factors'!P94,0)</f>
        <v>12457</v>
      </c>
      <c r="Q94" s="49">
        <f>ROUND(+Q$4/+'Age Factors'!Q94,0)</f>
        <v>15249</v>
      </c>
      <c r="R94" s="49">
        <f>ROUND(+R$4/+'Age Factors'!R94,0)</f>
        <v>18996</v>
      </c>
      <c r="S94" s="49">
        <f>ROUND(+S$4/+'Age Factors'!S94,0)</f>
        <v>28715</v>
      </c>
      <c r="T94" s="49">
        <f>ROUND(+T$4/+'Age Factors'!T94,0)</f>
        <v>34586</v>
      </c>
      <c r="U94" s="49">
        <f>ROUND(+U$4/+'Age Factors'!U94,0)</f>
        <v>62983</v>
      </c>
      <c r="V94" s="49">
        <f>ROUND(+V$4/+'Age Factors'!V94,0)</f>
        <v>86891</v>
      </c>
      <c r="W94" s="49">
        <f>ROUND(+W$4/+'Age Factors'!W94,0)</f>
        <v>146225</v>
      </c>
      <c r="X94" s="49">
        <f>ROUND(+X$4/+'Age Factors'!X94,0)</f>
        <v>160221</v>
      </c>
      <c r="Y94" s="49">
        <f>ROUND(+Y$4/+'Age Factors'!Y94,0)</f>
        <v>212155</v>
      </c>
      <c r="Z94" s="46"/>
    </row>
    <row r="95" spans="1:26">
      <c r="A95" s="48">
        <v>94</v>
      </c>
      <c r="B95" s="480">
        <f>ROUND(+B$4/+'Age Factors'!B95,0)</f>
        <v>427</v>
      </c>
      <c r="C95" s="49">
        <f>ROUND(+C$4/+'Age Factors'!C95,0)</f>
        <v>728</v>
      </c>
      <c r="D95" s="49">
        <f>ROUND(+D$4/+'Age Factors'!D95,0)</f>
        <v>1469</v>
      </c>
      <c r="E95" s="49">
        <f>ROUND(+E$4/+'Age Factors'!E95,0)</f>
        <v>2610</v>
      </c>
      <c r="F95" s="49">
        <f>ROUND(+F$4/+'Age Factors'!F95,0)</f>
        <v>3186</v>
      </c>
      <c r="G95" s="49">
        <f>ROUND(+G$4/+'Age Factors'!G95,0)</f>
        <v>3449</v>
      </c>
      <c r="H95" s="49">
        <f>ROUND(+H$4/+'Age Factors'!H95,0)</f>
        <v>4382</v>
      </c>
      <c r="I95" s="49">
        <f>ROUND(+I$4/+'Age Factors'!I95,0)</f>
        <v>4416</v>
      </c>
      <c r="J95" s="49">
        <f>ROUND(+J$4/+'Age Factors'!J95,0)</f>
        <v>5609</v>
      </c>
      <c r="K95" s="49">
        <f>ROUND(+K$4/+'Age Factors'!K95,0)</f>
        <v>6438</v>
      </c>
      <c r="L95" s="49">
        <f>ROUND(+L$4/+'Age Factors'!L95,0)</f>
        <v>6937</v>
      </c>
      <c r="M95" s="49">
        <f>ROUND(+M$4/+'Age Factors'!M95,0)</f>
        <v>9019</v>
      </c>
      <c r="N95" s="49">
        <f>ROUND(+N$4/+'Age Factors'!N95,0)</f>
        <v>9813</v>
      </c>
      <c r="O95" s="49">
        <f>ROUND(+O$4/+'Age Factors'!O95,0)</f>
        <v>12708</v>
      </c>
      <c r="P95" s="49">
        <f>ROUND(+P$4/+'Age Factors'!P95,0)</f>
        <v>13578</v>
      </c>
      <c r="Q95" s="49">
        <f>ROUND(+Q$4/+'Age Factors'!Q95,0)</f>
        <v>16698</v>
      </c>
      <c r="R95" s="49">
        <f>ROUND(+R$4/+'Age Factors'!R95,0)</f>
        <v>20905</v>
      </c>
      <c r="S95" s="49">
        <f>ROUND(+S$4/+'Age Factors'!S95,0)</f>
        <v>31938</v>
      </c>
      <c r="T95" s="49">
        <f>ROUND(+T$4/+'Age Factors'!T95,0)</f>
        <v>38468</v>
      </c>
      <c r="U95" s="49">
        <f>ROUND(+U$4/+'Age Factors'!U95,0)</f>
        <v>70053</v>
      </c>
      <c r="V95" s="49">
        <f>ROUND(+V$4/+'Age Factors'!V95,0)</f>
        <v>96645</v>
      </c>
      <c r="W95" s="49">
        <f>ROUND(+W$4/+'Age Factors'!W95,0)</f>
        <v>162638</v>
      </c>
      <c r="X95" s="49">
        <f>ROUND(+X$4/+'Age Factors'!X95,0)</f>
        <v>178206</v>
      </c>
      <c r="Y95" s="49">
        <f>ROUND(+Y$4/+'Age Factors'!Y95,0)</f>
        <v>235969</v>
      </c>
      <c r="Z95" s="46"/>
    </row>
    <row r="96" spans="1:26">
      <c r="A96" s="56">
        <v>95</v>
      </c>
      <c r="B96" s="459">
        <f>ROUND(+B$4/+'Age Factors'!B96,0)</f>
        <v>458</v>
      </c>
      <c r="C96" s="60">
        <f>ROUND(+C$4/+'Age Factors'!C96,0)</f>
        <v>782</v>
      </c>
      <c r="D96" s="60">
        <f>ROUND(+D$4/+'Age Factors'!D96,0)</f>
        <v>1580</v>
      </c>
      <c r="E96" s="60">
        <f>ROUND(+E$4/+'Age Factors'!E96,0)</f>
        <v>2814</v>
      </c>
      <c r="F96" s="60">
        <f>ROUND(+F$4/+'Age Factors'!F96,0)</f>
        <v>3443</v>
      </c>
      <c r="G96" s="60">
        <f>ROUND(+G$4/+'Age Factors'!G96,0)</f>
        <v>3729</v>
      </c>
      <c r="H96" s="60">
        <f>ROUND(+H$4/+'Age Factors'!H96,0)</f>
        <v>4753</v>
      </c>
      <c r="I96" s="60">
        <f>ROUND(+I$4/+'Age Factors'!I96,0)</f>
        <v>4789</v>
      </c>
      <c r="J96" s="60">
        <f>ROUND(+J$4/+'Age Factors'!J96,0)</f>
        <v>6101</v>
      </c>
      <c r="K96" s="60">
        <f>ROUND(+K$4/+'Age Factors'!K96,0)</f>
        <v>7014</v>
      </c>
      <c r="L96" s="60">
        <f>ROUND(+L$4/+'Age Factors'!L96,0)</f>
        <v>7570</v>
      </c>
      <c r="M96" s="60">
        <f>ROUND(+M$4/+'Age Factors'!M96,0)</f>
        <v>9880</v>
      </c>
      <c r="N96" s="60">
        <f>ROUND(+N$4/+'Age Factors'!N96,0)</f>
        <v>10764</v>
      </c>
      <c r="O96" s="60">
        <f>ROUND(+O$4/+'Age Factors'!O96,0)</f>
        <v>13998</v>
      </c>
      <c r="P96" s="60">
        <f>ROUND(+P$4/+'Age Factors'!P96,0)</f>
        <v>14974</v>
      </c>
      <c r="Q96" s="60">
        <f>ROUND(+Q$4/+'Age Factors'!Q96,0)</f>
        <v>18511</v>
      </c>
      <c r="R96" s="60">
        <f>ROUND(+R$4/+'Age Factors'!R96,0)</f>
        <v>23330</v>
      </c>
      <c r="S96" s="60">
        <f>ROUND(+S$4/+'Age Factors'!S96,0)</f>
        <v>36126</v>
      </c>
      <c r="T96" s="60">
        <f>ROUND(+T$4/+'Age Factors'!T96,0)</f>
        <v>43513</v>
      </c>
      <c r="U96" s="60">
        <f>ROUND(+U$4/+'Age Factors'!U96,0)</f>
        <v>79240</v>
      </c>
      <c r="V96" s="60">
        <f>ROUND(+V$4/+'Age Factors'!V96,0)</f>
        <v>109319</v>
      </c>
      <c r="W96" s="60">
        <f>ROUND(+W$4/+'Age Factors'!W96,0)</f>
        <v>183967</v>
      </c>
      <c r="X96" s="60">
        <f>ROUND(+X$4/+'Age Factors'!X96,0)</f>
        <v>201576</v>
      </c>
      <c r="Y96" s="60">
        <f>ROUND(+Y$4/+'Age Factors'!Y96,0)</f>
        <v>266914</v>
      </c>
      <c r="Z96" s="46"/>
    </row>
    <row r="97" spans="1:26">
      <c r="A97" s="48">
        <v>96</v>
      </c>
      <c r="B97" s="480">
        <f>ROUND(+B$4/+'Age Factors'!B97,0)</f>
        <v>496</v>
      </c>
      <c r="C97" s="49">
        <f>ROUND(+C$4/+'Age Factors'!C97,0)</f>
        <v>848</v>
      </c>
      <c r="D97" s="49">
        <f>ROUND(+D$4/+'Age Factors'!D97,0)</f>
        <v>1716</v>
      </c>
      <c r="E97" s="49">
        <f>ROUND(+E$4/+'Age Factors'!E97,0)</f>
        <v>3061</v>
      </c>
      <c r="F97" s="49">
        <f>ROUND(+F$4/+'Age Factors'!F97,0)</f>
        <v>3754</v>
      </c>
      <c r="G97" s="49">
        <f>ROUND(+G$4/+'Age Factors'!G97,0)</f>
        <v>4071</v>
      </c>
      <c r="H97" s="49">
        <f>ROUND(+H$4/+'Age Factors'!H97,0)</f>
        <v>5204</v>
      </c>
      <c r="I97" s="49">
        <f>ROUND(+I$4/+'Age Factors'!I97,0)</f>
        <v>5246</v>
      </c>
      <c r="J97" s="49">
        <f>ROUND(+J$4/+'Age Factors'!J97,0)</f>
        <v>6706</v>
      </c>
      <c r="K97" s="49">
        <f>ROUND(+K$4/+'Age Factors'!K97,0)</f>
        <v>7729</v>
      </c>
      <c r="L97" s="49">
        <f>ROUND(+L$4/+'Age Factors'!L97,0)</f>
        <v>8349</v>
      </c>
      <c r="M97" s="49">
        <f>ROUND(+M$4/+'Age Factors'!M97,0)</f>
        <v>10954</v>
      </c>
      <c r="N97" s="49">
        <f>ROUND(+N$4/+'Age Factors'!N97,0)</f>
        <v>11954</v>
      </c>
      <c r="O97" s="49">
        <f>ROUND(+O$4/+'Age Factors'!O97,0)</f>
        <v>15628</v>
      </c>
      <c r="P97" s="49">
        <f>ROUND(+P$4/+'Age Factors'!P97,0)</f>
        <v>16742</v>
      </c>
      <c r="Q97" s="49">
        <f>ROUND(+Q$4/+'Age Factors'!Q97,0)</f>
        <v>20853</v>
      </c>
      <c r="R97" s="49">
        <f>ROUND(+R$4/+'Age Factors'!R97,0)</f>
        <v>26495</v>
      </c>
      <c r="S97" s="49">
        <f>ROUND(+S$4/+'Age Factors'!S97,0)</f>
        <v>41757</v>
      </c>
      <c r="T97" s="49">
        <f>ROUND(+T$4/+'Age Factors'!T97,0)</f>
        <v>50295</v>
      </c>
      <c r="U97" s="49">
        <f>ROUND(+U$4/+'Age Factors'!U97,0)</f>
        <v>91591</v>
      </c>
      <c r="V97" s="49">
        <f>ROUND(+V$4/+'Age Factors'!V97,0)</f>
        <v>126358</v>
      </c>
      <c r="W97" s="49">
        <f>ROUND(+W$4/+'Age Factors'!W97,0)</f>
        <v>212641</v>
      </c>
      <c r="X97" s="49">
        <f>ROUND(+X$4/+'Age Factors'!X97,0)</f>
        <v>232994</v>
      </c>
      <c r="Y97" s="49">
        <f>ROUND(+Y$4/+'Age Factors'!Y97,0)</f>
        <v>308516</v>
      </c>
      <c r="Z97" s="46"/>
    </row>
    <row r="98" spans="1:26">
      <c r="A98" s="48">
        <v>97</v>
      </c>
      <c r="B98" s="480">
        <f>ROUND(+B$4/+'Age Factors'!B98,0)</f>
        <v>542</v>
      </c>
      <c r="C98" s="49">
        <f>ROUND(+C$4/+'Age Factors'!C98,0)</f>
        <v>928</v>
      </c>
      <c r="D98" s="49">
        <f>ROUND(+D$4/+'Age Factors'!D98,0)</f>
        <v>1883</v>
      </c>
      <c r="E98" s="49">
        <f>ROUND(+E$4/+'Age Factors'!E98,0)</f>
        <v>3366</v>
      </c>
      <c r="F98" s="49">
        <f>ROUND(+F$4/+'Age Factors'!F98,0)</f>
        <v>4141</v>
      </c>
      <c r="G98" s="49">
        <f>ROUND(+G$4/+'Age Factors'!G98,0)</f>
        <v>4497</v>
      </c>
      <c r="H98" s="49">
        <f>ROUND(+H$4/+'Age Factors'!H98,0)</f>
        <v>5772</v>
      </c>
      <c r="I98" s="49">
        <f>ROUND(+I$4/+'Age Factors'!I98,0)</f>
        <v>5819</v>
      </c>
      <c r="J98" s="49">
        <f>ROUND(+J$4/+'Age Factors'!J98,0)</f>
        <v>7469</v>
      </c>
      <c r="K98" s="49">
        <f>ROUND(+K$4/+'Age Factors'!K98,0)</f>
        <v>8636</v>
      </c>
      <c r="L98" s="49">
        <f>ROUND(+L$4/+'Age Factors'!L98,0)</f>
        <v>9345</v>
      </c>
      <c r="M98" s="49">
        <f>ROUND(+M$4/+'Age Factors'!M98,0)</f>
        <v>12337</v>
      </c>
      <c r="N98" s="49">
        <f>ROUND(+N$4/+'Age Factors'!N98,0)</f>
        <v>13492</v>
      </c>
      <c r="O98" s="49">
        <f>ROUND(+O$4/+'Age Factors'!O98,0)</f>
        <v>17758</v>
      </c>
      <c r="P98" s="49">
        <f>ROUND(+P$4/+'Age Factors'!P98,0)</f>
        <v>19060</v>
      </c>
      <c r="Q98" s="49">
        <f>ROUND(+Q$4/+'Age Factors'!Q98,0)</f>
        <v>23949</v>
      </c>
      <c r="R98" s="49">
        <f>ROUND(+R$4/+'Age Factors'!R98,0)</f>
        <v>30774</v>
      </c>
      <c r="S98" s="49">
        <f>ROUND(+S$4/+'Age Factors'!S98,0)</f>
        <v>49688</v>
      </c>
      <c r="T98" s="49">
        <f>ROUND(+T$4/+'Age Factors'!T98,0)</f>
        <v>59847</v>
      </c>
      <c r="U98" s="49">
        <f>ROUND(+U$4/+'Age Factors'!U98,0)</f>
        <v>108987</v>
      </c>
      <c r="V98" s="49">
        <f>ROUND(+V$4/+'Age Factors'!V98,0)</f>
        <v>150357</v>
      </c>
      <c r="W98" s="49">
        <f>ROUND(+W$4/+'Age Factors'!W98,0)</f>
        <v>253027</v>
      </c>
      <c r="X98" s="49">
        <f>ROUND(+X$4/+'Age Factors'!X98,0)</f>
        <v>277247</v>
      </c>
      <c r="Y98" s="49">
        <f>ROUND(+Y$4/+'Age Factors'!Y98,0)</f>
        <v>367113</v>
      </c>
      <c r="Z98" s="46"/>
    </row>
    <row r="99" spans="1:26">
      <c r="A99" s="48">
        <v>98</v>
      </c>
      <c r="B99" s="480">
        <f>ROUND(+B$4/+'Age Factors'!B99,0)</f>
        <v>599</v>
      </c>
      <c r="C99" s="49">
        <f>ROUND(+C$4/+'Age Factors'!C99,0)</f>
        <v>1029</v>
      </c>
      <c r="D99" s="49">
        <f>ROUND(+D$4/+'Age Factors'!D99,0)</f>
        <v>2094</v>
      </c>
      <c r="E99" s="49">
        <f>ROUND(+E$4/+'Age Factors'!E99,0)</f>
        <v>3752</v>
      </c>
      <c r="F99" s="49">
        <f>ROUND(+F$4/+'Age Factors'!F99,0)</f>
        <v>4634</v>
      </c>
      <c r="G99" s="49">
        <f>ROUND(+G$4/+'Age Factors'!G99,0)</f>
        <v>5039</v>
      </c>
      <c r="H99" s="49">
        <f>ROUND(+H$4/+'Age Factors'!H99,0)</f>
        <v>6500</v>
      </c>
      <c r="I99" s="49">
        <f>ROUND(+I$4/+'Age Factors'!I99,0)</f>
        <v>6554</v>
      </c>
      <c r="J99" s="49">
        <f>ROUND(+J$4/+'Age Factors'!J99,0)</f>
        <v>8457</v>
      </c>
      <c r="K99" s="49">
        <f>ROUND(+K$4/+'Age Factors'!K99,0)</f>
        <v>9819</v>
      </c>
      <c r="L99" s="49">
        <f>ROUND(+L$4/+'Age Factors'!L99,0)</f>
        <v>10649</v>
      </c>
      <c r="M99" s="49">
        <f>ROUND(+M$4/+'Age Factors'!M99,0)</f>
        <v>14180</v>
      </c>
      <c r="N99" s="49">
        <f>ROUND(+N$4/+'Age Factors'!N99,0)</f>
        <v>15552</v>
      </c>
      <c r="O99" s="49">
        <f>ROUND(+O$4/+'Age Factors'!O99,0)</f>
        <v>20668</v>
      </c>
      <c r="P99" s="49">
        <f>ROUND(+P$4/+'Age Factors'!P99,0)</f>
        <v>22241</v>
      </c>
      <c r="Q99" s="49">
        <f>ROUND(+Q$4/+'Age Factors'!Q99,0)</f>
        <v>28302</v>
      </c>
      <c r="R99" s="49">
        <f>ROUND(+R$4/+'Age Factors'!R99,0)</f>
        <v>36924</v>
      </c>
      <c r="S99" s="49">
        <f>ROUND(+S$4/+'Age Factors'!S99,0)</f>
        <v>61775</v>
      </c>
      <c r="T99" s="49">
        <f>ROUND(+T$4/+'Age Factors'!T99,0)</f>
        <v>74406</v>
      </c>
      <c r="U99" s="49">
        <f>ROUND(+U$4/+'Age Factors'!U99,0)</f>
        <v>135499</v>
      </c>
      <c r="V99" s="49">
        <f>ROUND(+V$4/+'Age Factors'!V99,0)</f>
        <v>186933</v>
      </c>
      <c r="W99" s="49">
        <f>ROUND(+W$4/+'Age Factors'!W99,0)</f>
        <v>314580</v>
      </c>
      <c r="X99" s="49">
        <f>ROUND(+X$4/+'Age Factors'!X99,0)</f>
        <v>344691</v>
      </c>
      <c r="Y99" s="49">
        <f>ROUND(+Y$4/+'Age Factors'!Y99,0)</f>
        <v>456418</v>
      </c>
      <c r="Z99" s="46"/>
    </row>
    <row r="100" spans="1:26">
      <c r="A100" s="48">
        <v>99</v>
      </c>
      <c r="B100" s="480">
        <f>ROUND(+B$4/+'Age Factors'!B100,0)</f>
        <v>674</v>
      </c>
      <c r="C100" s="49">
        <f>ROUND(+C$4/+'Age Factors'!C100,0)</f>
        <v>1159</v>
      </c>
      <c r="D100" s="49">
        <f>ROUND(+D$4/+'Age Factors'!D100,0)</f>
        <v>2366</v>
      </c>
      <c r="E100" s="49">
        <f>ROUND(+E$4/+'Age Factors'!E100,0)</f>
        <v>4253</v>
      </c>
      <c r="F100" s="49">
        <f>ROUND(+F$4/+'Age Factors'!F100,0)</f>
        <v>5280</v>
      </c>
      <c r="G100" s="49">
        <f>ROUND(+G$4/+'Age Factors'!G100,0)</f>
        <v>5754</v>
      </c>
      <c r="H100" s="49">
        <f>ROUND(+H$4/+'Age Factors'!H100,0)</f>
        <v>7471</v>
      </c>
      <c r="I100" s="49">
        <f>ROUND(+I$4/+'Age Factors'!I100,0)</f>
        <v>7534</v>
      </c>
      <c r="J100" s="49">
        <f>ROUND(+J$4/+'Age Factors'!J100,0)</f>
        <v>9790</v>
      </c>
      <c r="K100" s="49">
        <f>ROUND(+K$4/+'Age Factors'!K100,0)</f>
        <v>11430</v>
      </c>
      <c r="L100" s="49">
        <f>ROUND(+L$4/+'Age Factors'!L100,0)</f>
        <v>12434</v>
      </c>
      <c r="M100" s="49">
        <f>ROUND(+M$4/+'Age Factors'!M100,0)</f>
        <v>16756</v>
      </c>
      <c r="N100" s="49">
        <f>ROUND(+N$4/+'Age Factors'!N100,0)</f>
        <v>18450</v>
      </c>
      <c r="O100" s="49">
        <f>ROUND(+O$4/+'Age Factors'!O100,0)</f>
        <v>24839</v>
      </c>
      <c r="P100" s="49">
        <f>ROUND(+P$4/+'Age Factors'!P100,0)</f>
        <v>26828</v>
      </c>
      <c r="Q100" s="49">
        <f>ROUND(+Q$4/+'Age Factors'!Q100,0)</f>
        <v>34776</v>
      </c>
      <c r="R100" s="49">
        <f>ROUND(+R$4/+'Age Factors'!R100,0)</f>
        <v>46462</v>
      </c>
      <c r="S100" s="49">
        <f>ROUND(+S$4/+'Age Factors'!S100,0)</f>
        <v>82236</v>
      </c>
      <c r="T100" s="49">
        <f>ROUND(+T$4/+'Age Factors'!T100,0)</f>
        <v>99051</v>
      </c>
      <c r="U100" s="49">
        <f>ROUND(+U$4/+'Age Factors'!U100,0)</f>
        <v>180380</v>
      </c>
      <c r="V100" s="49">
        <f>ROUND(+V$4/+'Age Factors'!V100,0)</f>
        <v>248850</v>
      </c>
      <c r="W100" s="49">
        <f>ROUND(+W$4/+'Age Factors'!W100,0)</f>
        <v>418776</v>
      </c>
      <c r="X100" s="49">
        <f>ROUND(+X$4/+'Age Factors'!X100,0)</f>
        <v>458861</v>
      </c>
      <c r="Y100" s="49">
        <f>ROUND(+Y$4/+'Age Factors'!Y100,0)</f>
        <v>607595</v>
      </c>
      <c r="Z100" s="46"/>
    </row>
    <row r="101" spans="1:26" ht="15.75" thickBot="1">
      <c r="A101" s="56">
        <v>100</v>
      </c>
      <c r="B101" s="143">
        <f>ROUND(+B$4/+'Age Factors'!B101,0)</f>
        <v>773</v>
      </c>
      <c r="C101" s="60">
        <f>ROUND(+C$4/+'Age Factors'!C101,0)</f>
        <v>1333</v>
      </c>
      <c r="D101" s="60">
        <f>ROUND(+D$4/+'Age Factors'!D101,0)</f>
        <v>2732</v>
      </c>
      <c r="E101" s="60">
        <f>ROUND(+E$4/+'Age Factors'!E101,0)</f>
        <v>4929</v>
      </c>
      <c r="F101" s="60">
        <f>ROUND(+F$4/+'Age Factors'!F101,0)</f>
        <v>6165</v>
      </c>
      <c r="G101" s="60">
        <f>ROUND(+G$4/+'Age Factors'!G101,0)</f>
        <v>6735</v>
      </c>
      <c r="H101" s="60">
        <f>ROUND(+H$4/+'Age Factors'!H101,0)</f>
        <v>8829</v>
      </c>
      <c r="I101" s="60">
        <f>ROUND(+I$4/+'Age Factors'!I101,0)</f>
        <v>8905</v>
      </c>
      <c r="J101" s="60">
        <f>ROUND(+J$4/+'Age Factors'!K101,0)</f>
        <v>12172</v>
      </c>
      <c r="K101" s="60">
        <f>ROUND(+K$4/+'Age Factors'!K101,0)</f>
        <v>13752</v>
      </c>
      <c r="L101" s="435">
        <f>ROUND(+L$4/+'Age Factors'!L101,0)</f>
        <v>15025</v>
      </c>
      <c r="M101" s="432">
        <f>ROUND(+M$4/+'Age Factors'!M101,0)</f>
        <v>20587</v>
      </c>
      <c r="N101" s="60">
        <f>ROUND(+N$4/+'Age Factors'!N101,0)</f>
        <v>22802</v>
      </c>
      <c r="O101" s="60">
        <f>ROUND(+O$4/+'Age Factors'!O101,0)</f>
        <v>31367</v>
      </c>
      <c r="P101" s="60">
        <f>ROUND(+P$4/+'Age Factors'!P101,0)</f>
        <v>34043</v>
      </c>
      <c r="Q101" s="60">
        <f>ROUND(+Q$4/+'Age Factors'!Q101,0)</f>
        <v>45455</v>
      </c>
      <c r="R101" s="60">
        <f>ROUND(+R$4/+'Age Factors'!R101,0)</f>
        <v>63152</v>
      </c>
      <c r="S101" s="60">
        <f>ROUND(+S$4/+'Age Factors'!S101,0)</f>
        <v>124736</v>
      </c>
      <c r="T101" s="60">
        <f>ROUND(+T$4/+'Age Factors'!T101,0)</f>
        <v>150240</v>
      </c>
      <c r="U101" s="60">
        <f>ROUND(+U$4/+'Age Factors'!U101,0)</f>
        <v>273600</v>
      </c>
      <c r="V101" s="60">
        <f>ROUND(+V$4/+'Age Factors'!V101,0)</f>
        <v>377456</v>
      </c>
      <c r="W101" s="60">
        <f>ROUND(+W$4/+'Age Factors'!W101,0)</f>
        <v>635200</v>
      </c>
      <c r="X101" s="60">
        <f>ROUND(+X$4/+'Age Factors'!X101,0)</f>
        <v>696000</v>
      </c>
      <c r="Y101" s="60">
        <f>ROUND(+Y$4/+'Age Factors'!Y101,0)</f>
        <v>921600</v>
      </c>
    </row>
    <row r="102" spans="1:26" ht="15.75">
      <c r="A102" s="148" t="s">
        <v>1772</v>
      </c>
      <c r="B102" s="148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6">
      <c r="A103" s="149" t="s">
        <v>934</v>
      </c>
      <c r="B103" s="149"/>
    </row>
    <row r="104" spans="1:26" ht="15.75">
      <c r="A104" s="150" t="s">
        <v>1771</v>
      </c>
      <c r="B104" s="150"/>
    </row>
    <row r="105" spans="1:26" ht="15.75">
      <c r="A105" s="150" t="s">
        <v>930</v>
      </c>
      <c r="B105" s="150"/>
    </row>
    <row r="106" spans="1:26" ht="15.75">
      <c r="A106" s="150" t="s">
        <v>2358</v>
      </c>
      <c r="B106" s="150"/>
    </row>
    <row r="107" spans="1:26" ht="15.75">
      <c r="A107" s="150" t="s">
        <v>2386</v>
      </c>
      <c r="B107" s="150"/>
    </row>
  </sheetData>
  <hyperlinks>
    <hyperlink ref="A103" r:id="rId1" xr:uid="{E2D7F1A8-C3B9-4956-8271-146B9F919D4A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107"/>
  <sheetViews>
    <sheetView topLeftCell="A72" zoomScale="87" zoomScaleNormal="87" workbookViewId="0">
      <selection activeCell="A107" sqref="A107"/>
    </sheetView>
  </sheetViews>
  <sheetFormatPr defaultColWidth="9.6640625" defaultRowHeight="15"/>
  <cols>
    <col min="1" max="25" width="7.6640625" style="1" customWidth="1"/>
    <col min="26" max="16384" width="9.6640625" style="1"/>
  </cols>
  <sheetData>
    <row r="1" spans="1:26" ht="24" thickBot="1">
      <c r="A1" s="43" t="s">
        <v>1773</v>
      </c>
      <c r="B1" s="43"/>
      <c r="C1" s="43"/>
      <c r="D1" s="43"/>
      <c r="E1" s="43"/>
      <c r="F1" s="43"/>
    </row>
    <row r="2" spans="1:26" ht="15.75" thickBot="1">
      <c r="A2" s="144" t="s">
        <v>52</v>
      </c>
      <c r="B2" s="144" t="s">
        <v>2384</v>
      </c>
      <c r="C2" s="464" t="s">
        <v>931</v>
      </c>
      <c r="D2" s="144" t="s">
        <v>2385</v>
      </c>
      <c r="E2" s="45" t="s">
        <v>108</v>
      </c>
      <c r="F2" s="45" t="s">
        <v>109</v>
      </c>
      <c r="G2" s="45" t="s">
        <v>110</v>
      </c>
      <c r="H2" s="45" t="s">
        <v>111</v>
      </c>
      <c r="I2" s="45" t="s">
        <v>126</v>
      </c>
      <c r="J2" s="45" t="s">
        <v>113</v>
      </c>
      <c r="K2" s="45" t="s">
        <v>2353</v>
      </c>
      <c r="L2" s="45" t="s">
        <v>114</v>
      </c>
      <c r="M2" s="45" t="s">
        <v>115</v>
      </c>
      <c r="N2" s="45" t="s">
        <v>116</v>
      </c>
      <c r="O2" s="45" t="s">
        <v>117</v>
      </c>
      <c r="P2" s="45" t="s">
        <v>9</v>
      </c>
      <c r="Q2" s="45" t="s">
        <v>118</v>
      </c>
      <c r="R2" s="45" t="s">
        <v>119</v>
      </c>
      <c r="S2" s="45" t="s">
        <v>10</v>
      </c>
      <c r="T2" s="45" t="s">
        <v>80</v>
      </c>
      <c r="U2" s="45" t="s">
        <v>120</v>
      </c>
      <c r="V2" s="45" t="s">
        <v>121</v>
      </c>
      <c r="W2" s="45" t="s">
        <v>122</v>
      </c>
      <c r="X2" s="45" t="s">
        <v>123</v>
      </c>
      <c r="Y2" s="45" t="s">
        <v>124</v>
      </c>
      <c r="Z2" s="46"/>
    </row>
    <row r="3" spans="1:26">
      <c r="A3" s="453" t="s">
        <v>0</v>
      </c>
      <c r="B3" s="45">
        <f>Parameters!B13</f>
        <v>1</v>
      </c>
      <c r="C3" s="45">
        <f>Parameters!B14</f>
        <v>1.6093440000000001</v>
      </c>
      <c r="D3" s="45">
        <f>Parameters!B15</f>
        <v>3</v>
      </c>
      <c r="E3" s="45">
        <f>Parameters!B16</f>
        <v>5</v>
      </c>
      <c r="F3" s="45">
        <f>Parameters!B17</f>
        <v>6</v>
      </c>
      <c r="G3" s="45">
        <f>Parameters!B18</f>
        <v>6.4373760000000004</v>
      </c>
      <c r="H3" s="45">
        <f>Parameters!B19</f>
        <v>8</v>
      </c>
      <c r="I3" s="47">
        <f>Parameters!B20</f>
        <v>8.0467200000000005</v>
      </c>
      <c r="J3" s="45">
        <f>Parameters!B21</f>
        <v>10</v>
      </c>
      <c r="K3" s="47">
        <f>Parameters!B22</f>
        <v>11.265408000000001</v>
      </c>
      <c r="L3" s="45">
        <f>Parameters!B23</f>
        <v>12</v>
      </c>
      <c r="M3" s="45">
        <f>Parameters!B24</f>
        <v>15</v>
      </c>
      <c r="N3" s="45">
        <f>Parameters!B25</f>
        <v>16.093440000000001</v>
      </c>
      <c r="O3" s="45">
        <f>Parameters!B26</f>
        <v>20</v>
      </c>
      <c r="P3" s="45">
        <f>Parameters!B27</f>
        <v>21.0975</v>
      </c>
      <c r="Q3" s="45">
        <f>Parameters!B28</f>
        <v>25</v>
      </c>
      <c r="R3" s="45">
        <f>Parameters!B29</f>
        <v>30</v>
      </c>
      <c r="S3" s="45">
        <f>Parameters!B30</f>
        <v>42.195</v>
      </c>
      <c r="T3" s="479">
        <f>Parameters!$B31</f>
        <v>50</v>
      </c>
      <c r="U3" s="47">
        <f>Parameters!$B32</f>
        <v>80.467200000000005</v>
      </c>
      <c r="V3" s="479">
        <f>Parameters!$B33</f>
        <v>100</v>
      </c>
      <c r="W3" s="479">
        <f>Parameters!$B34</f>
        <v>150</v>
      </c>
      <c r="X3" s="47">
        <f>Parameters!$B35</f>
        <v>160.93440000000001</v>
      </c>
      <c r="Y3" s="479">
        <f>Parameters!$B36</f>
        <v>200</v>
      </c>
      <c r="Z3" s="46"/>
    </row>
    <row r="4" spans="1:26">
      <c r="A4" s="461" t="s">
        <v>106</v>
      </c>
      <c r="B4" s="481">
        <v>160</v>
      </c>
      <c r="C4" s="462">
        <v>261</v>
      </c>
      <c r="D4" s="460">
        <v>494.99999999999994</v>
      </c>
      <c r="E4" s="49">
        <f>'5K'!$E$5</f>
        <v>834</v>
      </c>
      <c r="F4" s="49">
        <f>'6K'!$E$5</f>
        <v>1008</v>
      </c>
      <c r="G4" s="49">
        <f>'4MI'!$E$5</f>
        <v>1087</v>
      </c>
      <c r="H4" s="49">
        <f>'8K'!$E$5</f>
        <v>1365</v>
      </c>
      <c r="I4" s="49">
        <f>'5MI'!$E$5</f>
        <v>1375</v>
      </c>
      <c r="J4" s="49">
        <f>'10K'!$E$5</f>
        <v>1726.0000000000002</v>
      </c>
      <c r="K4" s="49">
        <f>Parameters!H22</f>
        <v>1950</v>
      </c>
      <c r="L4" s="49">
        <f>'12K'!$E$5</f>
        <v>2084</v>
      </c>
      <c r="M4" s="49">
        <f>'15K'!$E$5</f>
        <v>2629</v>
      </c>
      <c r="N4" s="49">
        <f>'10MI'!$E$5</f>
        <v>2832</v>
      </c>
      <c r="O4" s="49">
        <f>'20K'!$E$5</f>
        <v>3557</v>
      </c>
      <c r="P4" s="49">
        <f>H.Marathon!$E$5</f>
        <v>3772</v>
      </c>
      <c r="Q4" s="49">
        <f>'25K'!$E$5</f>
        <v>4500</v>
      </c>
      <c r="R4" s="49">
        <f>'30K'!$E$5</f>
        <v>5450.0000000000009</v>
      </c>
      <c r="S4" s="49">
        <f>Marathon!$E$5</f>
        <v>7796</v>
      </c>
      <c r="T4" s="49">
        <f>Parameters!$H31</f>
        <v>9390</v>
      </c>
      <c r="U4" s="49">
        <f>Parameters!$H32</f>
        <v>17100</v>
      </c>
      <c r="V4" s="49">
        <f>Parameters!$H33</f>
        <v>23590.999999999996</v>
      </c>
      <c r="W4" s="49">
        <f>Parameters!$H34</f>
        <v>39700</v>
      </c>
      <c r="X4" s="49">
        <f>Parameters!$H35</f>
        <v>43500</v>
      </c>
      <c r="Y4" s="49">
        <f>Parameters!$H36</f>
        <v>57600</v>
      </c>
      <c r="Z4" s="46"/>
    </row>
    <row r="5" spans="1:26" ht="15.75" thickBot="1">
      <c r="A5" s="467" t="s">
        <v>107</v>
      </c>
      <c r="B5" s="467">
        <v>1.8518518518518519E-3</v>
      </c>
      <c r="C5" s="463">
        <v>3.0208333333333333E-3</v>
      </c>
      <c r="D5" s="50">
        <v>5.7291666666666663E-3</v>
      </c>
      <c r="E5" s="50">
        <f t="shared" ref="E5:Y5" si="0">E4/86400</f>
        <v>9.6527777777777775E-3</v>
      </c>
      <c r="F5" s="50">
        <f t="shared" si="0"/>
        <v>1.1666666666666667E-2</v>
      </c>
      <c r="G5" s="50">
        <f t="shared" si="0"/>
        <v>1.2581018518518519E-2</v>
      </c>
      <c r="H5" s="50">
        <f t="shared" si="0"/>
        <v>1.579861111111111E-2</v>
      </c>
      <c r="I5" s="50">
        <f t="shared" si="0"/>
        <v>1.5914351851851853E-2</v>
      </c>
      <c r="J5" s="50">
        <f t="shared" si="0"/>
        <v>1.9976851851851853E-2</v>
      </c>
      <c r="K5" s="50">
        <f>K4/86400</f>
        <v>2.2569444444444444E-2</v>
      </c>
      <c r="L5" s="50">
        <f t="shared" si="0"/>
        <v>2.4120370370370372E-2</v>
      </c>
      <c r="M5" s="50">
        <f t="shared" si="0"/>
        <v>3.0428240740740742E-2</v>
      </c>
      <c r="N5" s="50">
        <f t="shared" si="0"/>
        <v>3.2777777777777781E-2</v>
      </c>
      <c r="O5" s="50">
        <f t="shared" si="0"/>
        <v>4.116898148148148E-2</v>
      </c>
      <c r="P5" s="50">
        <f t="shared" si="0"/>
        <v>4.3657407407407409E-2</v>
      </c>
      <c r="Q5" s="50">
        <f t="shared" si="0"/>
        <v>5.2083333333333336E-2</v>
      </c>
      <c r="R5" s="50">
        <f t="shared" si="0"/>
        <v>6.307870370370372E-2</v>
      </c>
      <c r="S5" s="50">
        <f t="shared" si="0"/>
        <v>9.0231481481481482E-2</v>
      </c>
      <c r="T5" s="50">
        <f t="shared" si="0"/>
        <v>0.10868055555555556</v>
      </c>
      <c r="U5" s="50">
        <f t="shared" si="0"/>
        <v>0.19791666666666666</v>
      </c>
      <c r="V5" s="50">
        <f t="shared" si="0"/>
        <v>0.27304398148148146</v>
      </c>
      <c r="W5" s="50">
        <f t="shared" si="0"/>
        <v>0.45949074074074076</v>
      </c>
      <c r="X5" s="50">
        <f t="shared" si="0"/>
        <v>0.50347222222222221</v>
      </c>
      <c r="Y5" s="50">
        <f t="shared" si="0"/>
        <v>0.66666666666666663</v>
      </c>
      <c r="Z5" s="46"/>
    </row>
    <row r="6" spans="1:26">
      <c r="A6" s="466">
        <v>5</v>
      </c>
      <c r="B6" s="436">
        <f>AgeStanSec!B6/86400</f>
        <v>2.5231481481481481E-3</v>
      </c>
      <c r="C6" s="436">
        <f>AgeStanSec!C6/86400</f>
        <v>4.178240740740741E-3</v>
      </c>
      <c r="D6" s="436">
        <f>AgeStanSec!D6/86400</f>
        <v>8.1365740740740738E-3</v>
      </c>
      <c r="E6" s="436">
        <f>AgeStanSec!E6/86400</f>
        <v>1.3981481481481482E-2</v>
      </c>
      <c r="F6" s="104">
        <f>AgeStanSec!F6/86400</f>
        <v>1.6932870370370369E-2</v>
      </c>
      <c r="G6" s="103">
        <f>AgeStanSec!G6/86400</f>
        <v>1.8275462962962962E-2</v>
      </c>
      <c r="H6" s="104">
        <f>AgeStanSec!H6/86400</f>
        <v>2.3009259259259261E-2</v>
      </c>
      <c r="I6" s="103">
        <f>AgeStanSec!I6/86400</f>
        <v>2.3171296296296297E-2</v>
      </c>
      <c r="J6" s="103">
        <f>AgeStanSec!J6/86400</f>
        <v>2.9166666666666667E-2</v>
      </c>
      <c r="K6" s="103">
        <f>AgeStanSec!K6/86400</f>
        <v>3.3553240740740738E-2</v>
      </c>
      <c r="L6" s="104">
        <f>AgeStanSec!L6/86400</f>
        <v>3.6203703703703703E-2</v>
      </c>
      <c r="M6" s="104">
        <f>AgeStanSec!M6/86400</f>
        <v>4.7303240740740743E-2</v>
      </c>
      <c r="N6" s="104">
        <f>AgeStanSec!N6/86400</f>
        <v>5.1550925925925924E-2</v>
      </c>
      <c r="O6" s="104">
        <f>AgeStanSec!O6/86400</f>
        <v>6.7106481481481475E-2</v>
      </c>
      <c r="P6" s="104">
        <f>AgeStanSec!P6/86400</f>
        <v>7.1805555555555553E-2</v>
      </c>
      <c r="Q6" s="104">
        <f>AgeStanSec!Q6/86400</f>
        <v>8.8055555555555554E-2</v>
      </c>
      <c r="R6" s="104">
        <f>AgeStanSec!R6/86400</f>
        <v>0.10995370370370371</v>
      </c>
      <c r="S6" s="104">
        <f>AgeStanSec!S6/86400</f>
        <v>0.16694444444444445</v>
      </c>
      <c r="T6" s="104">
        <f>AgeStanSec!T6/86400</f>
        <v>0.2010763888888889</v>
      </c>
      <c r="U6" s="104">
        <f>AgeStanSec!U6/86400</f>
        <v>0.36616898148148147</v>
      </c>
      <c r="V6" s="104">
        <f>AgeStanSec!V6/86400</f>
        <v>0.50517361111111114</v>
      </c>
      <c r="W6" s="104">
        <f>AgeStanSec!W6/86400</f>
        <v>0.85012731481481485</v>
      </c>
      <c r="X6" s="104">
        <f>AgeStanSec!X6/86400</f>
        <v>0.9314930555555555</v>
      </c>
      <c r="Y6" s="104">
        <f>AgeStanSec!Y6/86400</f>
        <v>1.2334259259259259</v>
      </c>
      <c r="Z6" s="46"/>
    </row>
    <row r="7" spans="1:26">
      <c r="A7" s="461">
        <v>6</v>
      </c>
      <c r="B7" s="468">
        <f>AgeStanSec!B7/86400</f>
        <v>2.4305555555555556E-3</v>
      </c>
      <c r="C7" s="468">
        <f>AgeStanSec!C7/86400</f>
        <v>4.0162037037037041E-3</v>
      </c>
      <c r="D7" s="468">
        <f>AgeStanSec!D7/86400</f>
        <v>7.789351851851852E-3</v>
      </c>
      <c r="E7" s="468">
        <f>AgeStanSec!E7/86400</f>
        <v>1.3368055555555555E-2</v>
      </c>
      <c r="F7" s="105">
        <f>AgeStanSec!F7/86400</f>
        <v>1.6180555555555556E-2</v>
      </c>
      <c r="G7" s="105">
        <f>AgeStanSec!G7/86400</f>
        <v>1.7453703703703704E-2</v>
      </c>
      <c r="H7" s="105">
        <f>AgeStanSec!H7/86400</f>
        <v>2.1956018518518517E-2</v>
      </c>
      <c r="I7" s="105">
        <f>AgeStanSec!I7/86400</f>
        <v>2.2118055555555554E-2</v>
      </c>
      <c r="J7" s="105">
        <f>AgeStanSec!J7/86400</f>
        <v>2.78125E-2</v>
      </c>
      <c r="K7" s="105">
        <f>AgeStanSec!K7/86400</f>
        <v>3.1921296296296295E-2</v>
      </c>
      <c r="L7" s="105">
        <f>AgeStanSec!L7/86400</f>
        <v>3.4409722222222223E-2</v>
      </c>
      <c r="M7" s="105">
        <f>AgeStanSec!M7/86400</f>
        <v>4.4756944444444446E-2</v>
      </c>
      <c r="N7" s="105">
        <f>AgeStanSec!N7/86400</f>
        <v>4.8692129629629627E-2</v>
      </c>
      <c r="O7" s="105">
        <f>AgeStanSec!O7/86400</f>
        <v>6.3090277777777773E-2</v>
      </c>
      <c r="P7" s="105">
        <f>AgeStanSec!P7/86400</f>
        <v>6.7430555555555549E-2</v>
      </c>
      <c r="Q7" s="105">
        <f>AgeStanSec!Q7/86400</f>
        <v>8.2314814814814813E-2</v>
      </c>
      <c r="R7" s="105">
        <f>AgeStanSec!R7/86400</f>
        <v>0.10224537037037038</v>
      </c>
      <c r="S7" s="105">
        <f>AgeStanSec!S7/86400</f>
        <v>0.15361111111111111</v>
      </c>
      <c r="T7" s="105">
        <f>AgeStanSec!T7/86400</f>
        <v>0.18502314814814816</v>
      </c>
      <c r="U7" s="105">
        <f>AgeStanSec!U7/86400</f>
        <v>0.3369328703703704</v>
      </c>
      <c r="V7" s="105">
        <f>AgeStanSec!V7/86400</f>
        <v>0.46483796296296298</v>
      </c>
      <c r="W7" s="105">
        <f>AgeStanSec!W7/86400</f>
        <v>0.78224537037037034</v>
      </c>
      <c r="X7" s="105">
        <f>AgeStanSec!X7/86400</f>
        <v>0.85711805555555554</v>
      </c>
      <c r="Y7" s="105">
        <f>AgeStanSec!Y7/86400</f>
        <v>1.1349421296296296</v>
      </c>
      <c r="Z7" s="46"/>
    </row>
    <row r="8" spans="1:26">
      <c r="A8" s="461">
        <v>7</v>
      </c>
      <c r="B8" s="468">
        <f>AgeStanSec!B8/86400</f>
        <v>2.3379629629629631E-3</v>
      </c>
      <c r="C8" s="468">
        <f>AgeStanSec!C8/86400</f>
        <v>3.8773148148148148E-3</v>
      </c>
      <c r="D8" s="468">
        <f>AgeStanSec!D8/86400</f>
        <v>7.4884259259259262E-3</v>
      </c>
      <c r="E8" s="468">
        <f>AgeStanSec!E8/86400</f>
        <v>1.2824074074074075E-2</v>
      </c>
      <c r="F8" s="105">
        <f>AgeStanSec!F8/86400</f>
        <v>1.5520833333333333E-2</v>
      </c>
      <c r="G8" s="105">
        <f>AgeStanSec!G8/86400</f>
        <v>1.6736111111111111E-2</v>
      </c>
      <c r="H8" s="105">
        <f>AgeStanSec!H8/86400</f>
        <v>2.1041666666666667E-2</v>
      </c>
      <c r="I8" s="105">
        <f>AgeStanSec!I8/86400</f>
        <v>2.1203703703703704E-2</v>
      </c>
      <c r="J8" s="105">
        <f>AgeStanSec!J8/86400</f>
        <v>2.6643518518518518E-2</v>
      </c>
      <c r="K8" s="105">
        <f>AgeStanSec!K8/86400</f>
        <v>3.0520833333333334E-2</v>
      </c>
      <c r="L8" s="105">
        <f>AgeStanSec!L8/86400</f>
        <v>3.2870370370370369E-2</v>
      </c>
      <c r="M8" s="105">
        <f>AgeStanSec!M8/86400</f>
        <v>4.2592592592592592E-2</v>
      </c>
      <c r="N8" s="105">
        <f>AgeStanSec!N8/86400</f>
        <v>4.6273148148148147E-2</v>
      </c>
      <c r="O8" s="105">
        <f>AgeStanSec!O8/86400</f>
        <v>5.9722222222222225E-2</v>
      </c>
      <c r="P8" s="105">
        <f>AgeStanSec!P8/86400</f>
        <v>6.3761574074074068E-2</v>
      </c>
      <c r="Q8" s="105">
        <f>AgeStanSec!Q8/86400</f>
        <v>7.7546296296296294E-2</v>
      </c>
      <c r="R8" s="105">
        <f>AgeStanSec!R8/86400</f>
        <v>9.5937499999999995E-2</v>
      </c>
      <c r="S8" s="105">
        <f>AgeStanSec!S8/86400</f>
        <v>0.14297453703703702</v>
      </c>
      <c r="T8" s="105">
        <f>AgeStanSec!T8/86400</f>
        <v>0.17221064814814815</v>
      </c>
      <c r="U8" s="105">
        <f>AgeStanSec!U8/86400</f>
        <v>0.31361111111111112</v>
      </c>
      <c r="V8" s="105">
        <f>AgeStanSec!V8/86400</f>
        <v>0.43265046296296295</v>
      </c>
      <c r="W8" s="105">
        <f>AgeStanSec!W8/86400</f>
        <v>0.72807870370370376</v>
      </c>
      <c r="X8" s="105">
        <f>AgeStanSec!X8/86400</f>
        <v>0.79776620370370366</v>
      </c>
      <c r="Y8" s="105">
        <f>AgeStanSec!Y8/86400</f>
        <v>1.0563541666666667</v>
      </c>
      <c r="Z8" s="46"/>
    </row>
    <row r="9" spans="1:26">
      <c r="A9" s="461">
        <v>8</v>
      </c>
      <c r="B9" s="468">
        <f>AgeStanSec!B9/86400</f>
        <v>2.2685185185185187E-3</v>
      </c>
      <c r="C9" s="468">
        <f>AgeStanSec!C9/86400</f>
        <v>3.7499999999999999E-3</v>
      </c>
      <c r="D9" s="468">
        <f>AgeStanSec!D9/86400</f>
        <v>7.2337962962962963E-3</v>
      </c>
      <c r="E9" s="468">
        <f>AgeStanSec!E9/86400</f>
        <v>1.2349537037037037E-2</v>
      </c>
      <c r="F9" s="105">
        <f>AgeStanSec!F9/86400</f>
        <v>1.494212962962963E-2</v>
      </c>
      <c r="G9" s="105">
        <f>AgeStanSec!G9/86400</f>
        <v>1.6111111111111111E-2</v>
      </c>
      <c r="H9" s="105">
        <f>AgeStanSec!H9/86400</f>
        <v>2.0254629629629629E-2</v>
      </c>
      <c r="I9" s="105">
        <f>AgeStanSec!I9/86400</f>
        <v>2.0405092592592593E-2</v>
      </c>
      <c r="J9" s="105">
        <f>AgeStanSec!J9/86400</f>
        <v>2.5636574074074076E-2</v>
      </c>
      <c r="K9" s="105">
        <f>AgeStanSec!K9/86400</f>
        <v>2.931712962962963E-2</v>
      </c>
      <c r="L9" s="105">
        <f>AgeStanSec!L9/86400</f>
        <v>3.1539351851851853E-2</v>
      </c>
      <c r="M9" s="105">
        <f>AgeStanSec!M9/86400</f>
        <v>4.0729166666666664E-2</v>
      </c>
      <c r="N9" s="105">
        <f>AgeStanSec!N9/86400</f>
        <v>4.4201388888888887E-2</v>
      </c>
      <c r="O9" s="105">
        <f>AgeStanSec!O9/86400</f>
        <v>5.6840277777777781E-2</v>
      </c>
      <c r="P9" s="105">
        <f>AgeStanSec!P9/86400</f>
        <v>6.0636574074074072E-2</v>
      </c>
      <c r="Q9" s="105">
        <f>AgeStanSec!Q9/86400</f>
        <v>7.3541666666666672E-2</v>
      </c>
      <c r="R9" s="105">
        <f>AgeStanSec!R9/86400</f>
        <v>9.0694444444444439E-2</v>
      </c>
      <c r="S9" s="105">
        <f>AgeStanSec!S9/86400</f>
        <v>0.13431712962962963</v>
      </c>
      <c r="T9" s="105">
        <f>AgeStanSec!T9/86400</f>
        <v>0.16177083333333334</v>
      </c>
      <c r="U9" s="105">
        <f>AgeStanSec!U9/86400</f>
        <v>0.2946064814814815</v>
      </c>
      <c r="V9" s="105">
        <f>AgeStanSec!V9/86400</f>
        <v>0.40643518518518518</v>
      </c>
      <c r="W9" s="105">
        <f>AgeStanSec!W9/86400</f>
        <v>0.68396990740740737</v>
      </c>
      <c r="X9" s="105">
        <f>AgeStanSec!X9/86400</f>
        <v>0.74943287037037032</v>
      </c>
      <c r="Y9" s="105">
        <f>AgeStanSec!Y9/86400</f>
        <v>0.99236111111111114</v>
      </c>
      <c r="Z9" s="46"/>
    </row>
    <row r="10" spans="1:26">
      <c r="A10" s="461">
        <v>9</v>
      </c>
      <c r="B10" s="468">
        <f>AgeStanSec!B10/86400</f>
        <v>2.1990740740740742E-3</v>
      </c>
      <c r="C10" s="468">
        <f>AgeStanSec!C10/86400</f>
        <v>3.6342592592592594E-3</v>
      </c>
      <c r="D10" s="468">
        <f>AgeStanSec!D10/86400</f>
        <v>6.9907407407407409E-3</v>
      </c>
      <c r="E10" s="468">
        <f>AgeStanSec!E10/86400</f>
        <v>1.193287037037037E-2</v>
      </c>
      <c r="F10" s="105">
        <f>AgeStanSec!F10/86400</f>
        <v>1.443287037037037E-2</v>
      </c>
      <c r="G10" s="105">
        <f>AgeStanSec!G10/86400</f>
        <v>1.556712962962963E-2</v>
      </c>
      <c r="H10" s="105">
        <f>AgeStanSec!H10/86400</f>
        <v>1.9560185185185184E-2</v>
      </c>
      <c r="I10" s="105">
        <f>AgeStanSec!I10/86400</f>
        <v>1.9699074074074074E-2</v>
      </c>
      <c r="J10" s="105">
        <f>AgeStanSec!J10/86400</f>
        <v>2.4745370370370369E-2</v>
      </c>
      <c r="K10" s="105">
        <f>AgeStanSec!K10/86400</f>
        <v>2.826388888888889E-2</v>
      </c>
      <c r="L10" s="105">
        <f>AgeStanSec!L10/86400</f>
        <v>3.0381944444444444E-2</v>
      </c>
      <c r="M10" s="105">
        <f>AgeStanSec!M10/86400</f>
        <v>3.9120370370370368E-2</v>
      </c>
      <c r="N10" s="105">
        <f>AgeStanSec!N10/86400</f>
        <v>4.2418981481481481E-2</v>
      </c>
      <c r="O10" s="105">
        <f>AgeStanSec!O10/86400</f>
        <v>5.4375E-2</v>
      </c>
      <c r="P10" s="105">
        <f>AgeStanSec!P10/86400</f>
        <v>5.7951388888888886E-2</v>
      </c>
      <c r="Q10" s="105">
        <f>AgeStanSec!Q10/86400</f>
        <v>7.0150462962962956E-2</v>
      </c>
      <c r="R10" s="105">
        <f>AgeStanSec!R10/86400</f>
        <v>8.6296296296296301E-2</v>
      </c>
      <c r="S10" s="105">
        <f>AgeStanSec!S10/86400</f>
        <v>0.12721064814814814</v>
      </c>
      <c r="T10" s="105">
        <f>AgeStanSec!T10/86400</f>
        <v>0.1532175925925926</v>
      </c>
      <c r="U10" s="105">
        <f>AgeStanSec!U10/86400</f>
        <v>0.27902777777777776</v>
      </c>
      <c r="V10" s="105">
        <f>AgeStanSec!V10/86400</f>
        <v>0.38495370370370369</v>
      </c>
      <c r="W10" s="105">
        <f>AgeStanSec!W10/86400</f>
        <v>0.64781250000000001</v>
      </c>
      <c r="X10" s="105">
        <f>AgeStanSec!X10/86400</f>
        <v>0.70981481481481479</v>
      </c>
      <c r="Y10" s="105">
        <f>AgeStanSec!Y10/86400</f>
        <v>0.93989583333333337</v>
      </c>
      <c r="Z10" s="46"/>
    </row>
    <row r="11" spans="1:26">
      <c r="A11" s="466">
        <v>10</v>
      </c>
      <c r="B11" s="436">
        <f>AgeStanSec!B11/86400</f>
        <v>2.1412037037037038E-3</v>
      </c>
      <c r="C11" s="436">
        <f>AgeStanSec!C11/86400</f>
        <v>3.5300925925925925E-3</v>
      </c>
      <c r="D11" s="436">
        <f>AgeStanSec!D11/86400</f>
        <v>6.7939814814814816E-3</v>
      </c>
      <c r="E11" s="436">
        <f>AgeStanSec!E11/86400</f>
        <v>1.15625E-2</v>
      </c>
      <c r="F11" s="106">
        <f>AgeStanSec!F11/86400</f>
        <v>1.3981481481481482E-2</v>
      </c>
      <c r="G11" s="106">
        <f>AgeStanSec!G11/86400</f>
        <v>1.5081018518518518E-2</v>
      </c>
      <c r="H11" s="106">
        <f>AgeStanSec!H11/86400</f>
        <v>1.894675925925926E-2</v>
      </c>
      <c r="I11" s="106">
        <f>AgeStanSec!I11/86400</f>
        <v>1.9085648148148147E-2</v>
      </c>
      <c r="J11" s="106">
        <f>AgeStanSec!J11/86400</f>
        <v>2.3969907407407409E-2</v>
      </c>
      <c r="K11" s="436">
        <f>AgeStanSec!K11/86400</f>
        <v>2.7337962962962963E-2</v>
      </c>
      <c r="L11" s="106">
        <f>AgeStanSec!L11/86400</f>
        <v>2.9363425925925925E-2</v>
      </c>
      <c r="M11" s="106">
        <f>AgeStanSec!M11/86400</f>
        <v>3.771990740740741E-2</v>
      </c>
      <c r="N11" s="106">
        <f>AgeStanSec!N11/86400</f>
        <v>4.085648148148148E-2</v>
      </c>
      <c r="O11" s="106">
        <f>AgeStanSec!O11/86400</f>
        <v>5.2245370370370373E-2</v>
      </c>
      <c r="P11" s="106">
        <f>AgeStanSec!P11/86400</f>
        <v>5.5648148148148148E-2</v>
      </c>
      <c r="Q11" s="106">
        <f>AgeStanSec!Q11/86400</f>
        <v>6.7245370370370372E-2</v>
      </c>
      <c r="R11" s="106">
        <f>AgeStanSec!R11/86400</f>
        <v>8.2581018518518512E-2</v>
      </c>
      <c r="S11" s="106">
        <f>AgeStanSec!S11/86400</f>
        <v>0.12130787037037037</v>
      </c>
      <c r="T11" s="106">
        <f>AgeStanSec!T11/86400</f>
        <v>0.14611111111111111</v>
      </c>
      <c r="U11" s="106">
        <f>AgeStanSec!U11/86400</f>
        <v>0.26608796296296294</v>
      </c>
      <c r="V11" s="106">
        <f>AgeStanSec!V11/86400</f>
        <v>0.36709490740740741</v>
      </c>
      <c r="W11" s="106">
        <f>AgeStanSec!W11/86400</f>
        <v>0.61776620370370372</v>
      </c>
      <c r="X11" s="106">
        <f>AgeStanSec!X11/86400</f>
        <v>0.67688657407407404</v>
      </c>
      <c r="Y11" s="106">
        <f>AgeStanSec!Y11/86400</f>
        <v>0.89629629629629626</v>
      </c>
      <c r="Z11" s="46"/>
    </row>
    <row r="12" spans="1:26">
      <c r="A12" s="461">
        <v>11</v>
      </c>
      <c r="B12" s="468">
        <f>AgeStanSec!B12/86400</f>
        <v>2.0949074074074073E-3</v>
      </c>
      <c r="C12" s="468">
        <f>AgeStanSec!C12/86400</f>
        <v>3.449074074074074E-3</v>
      </c>
      <c r="D12" s="468">
        <f>AgeStanSec!D12/86400</f>
        <v>6.6087962962962966E-3</v>
      </c>
      <c r="E12" s="468">
        <f>AgeStanSec!E12/86400</f>
        <v>1.1226851851851852E-2</v>
      </c>
      <c r="F12" s="105">
        <f>AgeStanSec!F12/86400</f>
        <v>1.357638888888889E-2</v>
      </c>
      <c r="G12" s="105">
        <f>AgeStanSec!G12/86400</f>
        <v>1.4652777777777778E-2</v>
      </c>
      <c r="H12" s="105">
        <f>AgeStanSec!H12/86400</f>
        <v>1.8414351851851852E-2</v>
      </c>
      <c r="I12" s="105">
        <f>AgeStanSec!I12/86400</f>
        <v>1.8541666666666668E-2</v>
      </c>
      <c r="J12" s="105">
        <f>AgeStanSec!J12/86400</f>
        <v>2.329861111111111E-2</v>
      </c>
      <c r="K12" s="105">
        <f>AgeStanSec!K12/86400</f>
        <v>2.6539351851851852E-2</v>
      </c>
      <c r="L12" s="105">
        <f>AgeStanSec!L12/86400</f>
        <v>2.8483796296296295E-2</v>
      </c>
      <c r="M12" s="105">
        <f>AgeStanSec!M12/86400</f>
        <v>3.6493055555555556E-2</v>
      </c>
      <c r="N12" s="105">
        <f>AgeStanSec!N12/86400</f>
        <v>3.951388888888889E-2</v>
      </c>
      <c r="O12" s="105">
        <f>AgeStanSec!O12/86400</f>
        <v>5.0405092592592592E-2</v>
      </c>
      <c r="P12" s="105">
        <f>AgeStanSec!P12/86400</f>
        <v>5.3657407407407411E-2</v>
      </c>
      <c r="Q12" s="105">
        <f>AgeStanSec!Q12/86400</f>
        <v>6.4768518518518517E-2</v>
      </c>
      <c r="R12" s="105">
        <f>AgeStanSec!R12/86400</f>
        <v>7.9432870370370376E-2</v>
      </c>
      <c r="S12" s="105">
        <f>AgeStanSec!S12/86400</f>
        <v>0.11641203703703704</v>
      </c>
      <c r="T12" s="105">
        <f>AgeStanSec!T12/86400</f>
        <v>0.14021990740740742</v>
      </c>
      <c r="U12" s="105">
        <f>AgeStanSec!U12/86400</f>
        <v>0.25534722222222223</v>
      </c>
      <c r="V12" s="105">
        <f>AgeStanSec!V12/86400</f>
        <v>0.35226851851851854</v>
      </c>
      <c r="W12" s="105">
        <f>AgeStanSec!W12/86400</f>
        <v>0.59281249999999996</v>
      </c>
      <c r="X12" s="105">
        <f>AgeStanSec!X12/86400</f>
        <v>0.64956018518518521</v>
      </c>
      <c r="Y12" s="105">
        <f>AgeStanSec!Y12/86400</f>
        <v>0.86010416666666667</v>
      </c>
      <c r="Z12" s="46"/>
    </row>
    <row r="13" spans="1:26">
      <c r="A13" s="461">
        <v>12</v>
      </c>
      <c r="B13" s="468">
        <f>AgeStanSec!B13/86400</f>
        <v>2.0486111111111113E-3</v>
      </c>
      <c r="C13" s="468">
        <f>AgeStanSec!C13/86400</f>
        <v>3.3680555555555556E-3</v>
      </c>
      <c r="D13" s="468">
        <f>AgeStanSec!D13/86400</f>
        <v>6.4351851851851853E-3</v>
      </c>
      <c r="E13" s="468">
        <f>AgeStanSec!E13/86400</f>
        <v>1.0937499999999999E-2</v>
      </c>
      <c r="F13" s="105">
        <f>AgeStanSec!F13/86400</f>
        <v>1.3229166666666667E-2</v>
      </c>
      <c r="G13" s="105">
        <f>AgeStanSec!G13/86400</f>
        <v>1.4270833333333333E-2</v>
      </c>
      <c r="H13" s="105">
        <f>AgeStanSec!H13/86400</f>
        <v>1.7939814814814815E-2</v>
      </c>
      <c r="I13" s="105">
        <f>AgeStanSec!I13/86400</f>
        <v>1.8067129629629631E-2</v>
      </c>
      <c r="J13" s="105">
        <f>AgeStanSec!J13/86400</f>
        <v>2.2708333333333334E-2</v>
      </c>
      <c r="K13" s="105">
        <f>AgeStanSec!K13/86400</f>
        <v>2.5833333333333333E-2</v>
      </c>
      <c r="L13" s="105">
        <f>AgeStanSec!L13/86400</f>
        <v>2.7719907407407408E-2</v>
      </c>
      <c r="M13" s="105">
        <f>AgeStanSec!M13/86400</f>
        <v>3.5439814814814813E-2</v>
      </c>
      <c r="N13" s="105">
        <f>AgeStanSec!N13/86400</f>
        <v>3.8344907407407404E-2</v>
      </c>
      <c r="O13" s="105">
        <f>AgeStanSec!O13/86400</f>
        <v>4.8796296296296296E-2</v>
      </c>
      <c r="P13" s="105">
        <f>AgeStanSec!P13/86400</f>
        <v>5.1921296296296299E-2</v>
      </c>
      <c r="Q13" s="105">
        <f>AgeStanSec!Q13/86400</f>
        <v>6.2627314814814816E-2</v>
      </c>
      <c r="R13" s="105">
        <f>AgeStanSec!R13/86400</f>
        <v>7.6759259259259263E-2</v>
      </c>
      <c r="S13" s="105">
        <f>AgeStanSec!S13/86400</f>
        <v>0.11231481481481481</v>
      </c>
      <c r="T13" s="105">
        <f>AgeStanSec!T13/86400</f>
        <v>0.13527777777777777</v>
      </c>
      <c r="U13" s="105">
        <f>AgeStanSec!U13/86400</f>
        <v>0.24635416666666668</v>
      </c>
      <c r="V13" s="105">
        <f>AgeStanSec!V13/86400</f>
        <v>0.33986111111111111</v>
      </c>
      <c r="W13" s="105">
        <f>AgeStanSec!W13/86400</f>
        <v>0.57193287037037033</v>
      </c>
      <c r="X13" s="105">
        <f>AgeStanSec!X13/86400</f>
        <v>0.62667824074074074</v>
      </c>
      <c r="Y13" s="105">
        <f>AgeStanSec!Y13/86400</f>
        <v>0.82980324074074074</v>
      </c>
      <c r="Z13" s="46"/>
    </row>
    <row r="14" spans="1:26">
      <c r="A14" s="461">
        <v>13</v>
      </c>
      <c r="B14" s="468">
        <f>AgeStanSec!B14/86400</f>
        <v>2.0023148148148148E-3</v>
      </c>
      <c r="C14" s="468">
        <f>AgeStanSec!C14/86400</f>
        <v>3.2986111111111111E-3</v>
      </c>
      <c r="D14" s="468">
        <f>AgeStanSec!D14/86400</f>
        <v>6.2962962962962964E-3</v>
      </c>
      <c r="E14" s="468">
        <f>AgeStanSec!E14/86400</f>
        <v>1.0671296296296297E-2</v>
      </c>
      <c r="F14" s="105">
        <f>AgeStanSec!F14/86400</f>
        <v>1.2916666666666667E-2</v>
      </c>
      <c r="G14" s="105">
        <f>AgeStanSec!G14/86400</f>
        <v>1.3935185185185186E-2</v>
      </c>
      <c r="H14" s="105">
        <f>AgeStanSec!H14/86400</f>
        <v>1.7523148148148149E-2</v>
      </c>
      <c r="I14" s="105">
        <f>AgeStanSec!I14/86400</f>
        <v>1.7650462962962962E-2</v>
      </c>
      <c r="J14" s="105">
        <f>AgeStanSec!J14/86400</f>
        <v>2.2187499999999999E-2</v>
      </c>
      <c r="K14" s="105">
        <f>AgeStanSec!K14/86400</f>
        <v>2.5219907407407406E-2</v>
      </c>
      <c r="L14" s="105">
        <f>AgeStanSec!L14/86400</f>
        <v>2.7037037037037037E-2</v>
      </c>
      <c r="M14" s="105">
        <f>AgeStanSec!M14/86400</f>
        <v>3.4513888888888886E-2</v>
      </c>
      <c r="N14" s="105">
        <f>AgeStanSec!N14/86400</f>
        <v>3.7314814814814815E-2</v>
      </c>
      <c r="O14" s="105">
        <f>AgeStanSec!O14/86400</f>
        <v>4.7407407407407405E-2</v>
      </c>
      <c r="P14" s="105">
        <f>AgeStanSec!P14/86400</f>
        <v>5.0416666666666665E-2</v>
      </c>
      <c r="Q14" s="105">
        <f>AgeStanSec!Q14/86400</f>
        <v>6.0798611111111109E-2</v>
      </c>
      <c r="R14" s="105">
        <f>AgeStanSec!R14/86400</f>
        <v>7.4479166666666666E-2</v>
      </c>
      <c r="S14" s="105">
        <f>AgeStanSec!S14/86400</f>
        <v>0.10891203703703704</v>
      </c>
      <c r="T14" s="105">
        <f>AgeStanSec!T14/86400</f>
        <v>0.13118055555555555</v>
      </c>
      <c r="U14" s="105">
        <f>AgeStanSec!U14/86400</f>
        <v>0.2388888888888889</v>
      </c>
      <c r="V14" s="105">
        <f>AgeStanSec!V14/86400</f>
        <v>0.32956018518518521</v>
      </c>
      <c r="W14" s="105">
        <f>AgeStanSec!W14/86400</f>
        <v>0.55460648148148151</v>
      </c>
      <c r="X14" s="105">
        <f>AgeStanSec!X14/86400</f>
        <v>0.60769675925925926</v>
      </c>
      <c r="Y14" s="105">
        <f>AgeStanSec!Y14/86400</f>
        <v>0.80466435185185181</v>
      </c>
      <c r="Z14" s="46"/>
    </row>
    <row r="15" spans="1:26">
      <c r="A15" s="461">
        <v>14</v>
      </c>
      <c r="B15" s="468">
        <f>AgeStanSec!B15/86400</f>
        <v>1.9675925925925924E-3</v>
      </c>
      <c r="C15" s="468">
        <f>AgeStanSec!C15/86400</f>
        <v>3.2291666666666666E-3</v>
      </c>
      <c r="D15" s="468">
        <f>AgeStanSec!D15/86400</f>
        <v>6.1689814814814819E-3</v>
      </c>
      <c r="E15" s="468">
        <f>AgeStanSec!E15/86400</f>
        <v>1.0439814814814815E-2</v>
      </c>
      <c r="F15" s="105">
        <f>AgeStanSec!F15/86400</f>
        <v>1.2638888888888889E-2</v>
      </c>
      <c r="G15" s="105">
        <f>AgeStanSec!G15/86400</f>
        <v>1.3634259259259259E-2</v>
      </c>
      <c r="H15" s="105">
        <f>AgeStanSec!H15/86400</f>
        <v>1.7152777777777777E-2</v>
      </c>
      <c r="I15" s="105">
        <f>AgeStanSec!I15/86400</f>
        <v>1.7280092592592593E-2</v>
      </c>
      <c r="J15" s="105">
        <f>AgeStanSec!J15/86400</f>
        <v>2.1736111111111112E-2</v>
      </c>
      <c r="K15" s="105">
        <f>AgeStanSec!K15/86400</f>
        <v>2.4687500000000001E-2</v>
      </c>
      <c r="L15" s="105">
        <f>AgeStanSec!L15/86400</f>
        <v>2.6458333333333334E-2</v>
      </c>
      <c r="M15" s="105">
        <f>AgeStanSec!M15/86400</f>
        <v>3.3703703703703701E-2</v>
      </c>
      <c r="N15" s="105">
        <f>AgeStanSec!N15/86400</f>
        <v>3.6423611111111108E-2</v>
      </c>
      <c r="O15" s="105">
        <f>AgeStanSec!O15/86400</f>
        <v>4.6192129629629632E-2</v>
      </c>
      <c r="P15" s="105">
        <f>AgeStanSec!P15/86400</f>
        <v>4.9108796296296296E-2</v>
      </c>
      <c r="Q15" s="105">
        <f>AgeStanSec!Q15/86400</f>
        <v>5.921296296296296E-2</v>
      </c>
      <c r="R15" s="105">
        <f>AgeStanSec!R15/86400</f>
        <v>7.2546296296296303E-2</v>
      </c>
      <c r="S15" s="105">
        <f>AgeStanSec!S15/86400</f>
        <v>0.10607638888888889</v>
      </c>
      <c r="T15" s="105">
        <f>AgeStanSec!T15/86400</f>
        <v>0.1277662037037037</v>
      </c>
      <c r="U15" s="105">
        <f>AgeStanSec!U15/86400</f>
        <v>0.23267361111111112</v>
      </c>
      <c r="V15" s="105">
        <f>AgeStanSec!V15/86400</f>
        <v>0.32100694444444444</v>
      </c>
      <c r="W15" s="105">
        <f>AgeStanSec!W15/86400</f>
        <v>0.54019675925925925</v>
      </c>
      <c r="X15" s="105">
        <f>AgeStanSec!X15/86400</f>
        <v>0.59189814814814812</v>
      </c>
      <c r="Y15" s="105">
        <f>AgeStanSec!Y15/86400</f>
        <v>0.7837615740740741</v>
      </c>
      <c r="Z15" s="46"/>
    </row>
    <row r="16" spans="1:26">
      <c r="A16" s="466">
        <v>15</v>
      </c>
      <c r="B16" s="436">
        <f>AgeStanSec!B16/86400</f>
        <v>1.9328703703703704E-3</v>
      </c>
      <c r="C16" s="436">
        <f>AgeStanSec!C16/86400</f>
        <v>3.1712962962962962E-3</v>
      </c>
      <c r="D16" s="436">
        <f>AgeStanSec!D16/86400</f>
        <v>6.053240740740741E-3</v>
      </c>
      <c r="E16" s="436">
        <f>AgeStanSec!E16/86400</f>
        <v>1.0231481481481482E-2</v>
      </c>
      <c r="F16" s="106">
        <f>AgeStanSec!F16/86400</f>
        <v>1.2395833333333333E-2</v>
      </c>
      <c r="G16" s="106">
        <f>AgeStanSec!G16/86400</f>
        <v>1.337962962962963E-2</v>
      </c>
      <c r="H16" s="106">
        <f>AgeStanSec!H16/86400</f>
        <v>1.6840277777777777E-2</v>
      </c>
      <c r="I16" s="106">
        <f>AgeStanSec!I16/86400</f>
        <v>1.695601851851852E-2</v>
      </c>
      <c r="J16" s="106">
        <f>AgeStanSec!J16/86400</f>
        <v>2.1342592592592594E-2</v>
      </c>
      <c r="K16" s="436">
        <f>AgeStanSec!K16/86400</f>
        <v>2.4212962962962964E-2</v>
      </c>
      <c r="L16" s="106">
        <f>AgeStanSec!L16/86400</f>
        <v>2.5949074074074076E-2</v>
      </c>
      <c r="M16" s="106">
        <f>AgeStanSec!M16/86400</f>
        <v>3.3009259259259259E-2</v>
      </c>
      <c r="N16" s="106">
        <f>AgeStanSec!N16/86400</f>
        <v>3.5648148148148151E-2</v>
      </c>
      <c r="O16" s="106">
        <f>AgeStanSec!O16/86400</f>
        <v>4.5150462962962962E-2</v>
      </c>
      <c r="P16" s="106">
        <f>AgeStanSec!P16/86400</f>
        <v>4.7974537037037038E-2</v>
      </c>
      <c r="Q16" s="106">
        <f>AgeStanSec!Q16/86400</f>
        <v>5.7858796296296297E-2</v>
      </c>
      <c r="R16" s="106">
        <f>AgeStanSec!R16/86400</f>
        <v>7.092592592592592E-2</v>
      </c>
      <c r="S16" s="106">
        <f>AgeStanSec!S16/86400</f>
        <v>0.10377314814814814</v>
      </c>
      <c r="T16" s="106">
        <f>AgeStanSec!T16/86400</f>
        <v>0.12498842592592592</v>
      </c>
      <c r="U16" s="106">
        <f>AgeStanSec!U16/86400</f>
        <v>0.22761574074074073</v>
      </c>
      <c r="V16" s="106">
        <f>AgeStanSec!V16/86400</f>
        <v>0.31402777777777779</v>
      </c>
      <c r="W16" s="106">
        <f>AgeStanSec!W16/86400</f>
        <v>0.52844907407407404</v>
      </c>
      <c r="X16" s="106">
        <f>AgeStanSec!X16/86400</f>
        <v>0.57903935185185185</v>
      </c>
      <c r="Y16" s="106">
        <f>AgeStanSec!Y16/86400</f>
        <v>0.76672453703703702</v>
      </c>
      <c r="Z16" s="46"/>
    </row>
    <row r="17" spans="1:26">
      <c r="A17" s="461">
        <v>16</v>
      </c>
      <c r="B17" s="468">
        <f>AgeStanSec!B17/86400</f>
        <v>1.9097222222222222E-3</v>
      </c>
      <c r="C17" s="468">
        <f>AgeStanSec!C17/86400</f>
        <v>3.1250000000000002E-3</v>
      </c>
      <c r="D17" s="468">
        <f>AgeStanSec!D17/86400</f>
        <v>5.9375000000000001E-3</v>
      </c>
      <c r="E17" s="468">
        <f>AgeStanSec!E17/86400</f>
        <v>1.0034722222222223E-2</v>
      </c>
      <c r="F17" s="105">
        <f>AgeStanSec!F17/86400</f>
        <v>1.2164351851851852E-2</v>
      </c>
      <c r="G17" s="105">
        <f>AgeStanSec!G17/86400</f>
        <v>1.3125E-2</v>
      </c>
      <c r="H17" s="105">
        <f>AgeStanSec!H17/86400</f>
        <v>1.653935185185185E-2</v>
      </c>
      <c r="I17" s="105">
        <f>AgeStanSec!I17/86400</f>
        <v>1.6655092592592593E-2</v>
      </c>
      <c r="J17" s="105">
        <f>AgeStanSec!J17/86400</f>
        <v>2.0983796296296296E-2</v>
      </c>
      <c r="K17" s="105">
        <f>AgeStanSec!K17/86400</f>
        <v>2.3796296296296298E-2</v>
      </c>
      <c r="L17" s="105">
        <f>AgeStanSec!L17/86400</f>
        <v>2.5486111111111112E-2</v>
      </c>
      <c r="M17" s="105">
        <f>AgeStanSec!M17/86400</f>
        <v>3.2372685185185185E-2</v>
      </c>
      <c r="N17" s="105">
        <f>AgeStanSec!N17/86400</f>
        <v>3.4942129629629629E-2</v>
      </c>
      <c r="O17" s="105">
        <f>AgeStanSec!O17/86400</f>
        <v>4.4189814814814814E-2</v>
      </c>
      <c r="P17" s="105">
        <f>AgeStanSec!P17/86400</f>
        <v>4.6944444444444441E-2</v>
      </c>
      <c r="Q17" s="105">
        <f>AgeStanSec!Q17/86400</f>
        <v>5.6643518518518517E-2</v>
      </c>
      <c r="R17" s="105">
        <f>AgeStanSec!R17/86400</f>
        <v>6.9467592592592595E-2</v>
      </c>
      <c r="S17" s="105">
        <f>AgeStanSec!S17/86400</f>
        <v>0.10173611111111111</v>
      </c>
      <c r="T17" s="105">
        <f>AgeStanSec!T17/86400</f>
        <v>0.12253472222222223</v>
      </c>
      <c r="U17" s="105">
        <f>AgeStanSec!U17/86400</f>
        <v>0.22315972222222222</v>
      </c>
      <c r="V17" s="105">
        <f>AgeStanSec!V17/86400</f>
        <v>0.30785879629629631</v>
      </c>
      <c r="W17" s="105">
        <f>AgeStanSec!W17/86400</f>
        <v>0.51809027777777783</v>
      </c>
      <c r="X17" s="105">
        <f>AgeStanSec!X17/86400</f>
        <v>0.56767361111111114</v>
      </c>
      <c r="Y17" s="105">
        <f>AgeStanSec!Y17/86400</f>
        <v>0.75167824074074074</v>
      </c>
      <c r="Z17" s="46"/>
    </row>
    <row r="18" spans="1:26">
      <c r="A18" s="461">
        <v>17</v>
      </c>
      <c r="B18" s="468">
        <f>AgeStanSec!B18/86400</f>
        <v>1.8749999999999999E-3</v>
      </c>
      <c r="C18" s="468">
        <f>AgeStanSec!C18/86400</f>
        <v>3.0671296296296297E-3</v>
      </c>
      <c r="D18" s="468">
        <f>AgeStanSec!D18/86400</f>
        <v>5.8333333333333336E-3</v>
      </c>
      <c r="E18" s="468">
        <f>AgeStanSec!E18/86400</f>
        <v>9.8379629629629633E-3</v>
      </c>
      <c r="F18" s="105">
        <f>AgeStanSec!F18/86400</f>
        <v>1.193287037037037E-2</v>
      </c>
      <c r="G18" s="105">
        <f>AgeStanSec!G18/86400</f>
        <v>1.2881944444444444E-2</v>
      </c>
      <c r="H18" s="105">
        <f>AgeStanSec!H18/86400</f>
        <v>1.6250000000000001E-2</v>
      </c>
      <c r="I18" s="105">
        <f>AgeStanSec!I18/86400</f>
        <v>1.636574074074074E-2</v>
      </c>
      <c r="J18" s="105">
        <f>AgeStanSec!J18/86400</f>
        <v>2.0636574074074075E-2</v>
      </c>
      <c r="K18" s="105">
        <f>AgeStanSec!K18/86400</f>
        <v>2.3391203703703702E-2</v>
      </c>
      <c r="L18" s="105">
        <f>AgeStanSec!L18/86400</f>
        <v>2.5034722222222222E-2</v>
      </c>
      <c r="M18" s="105">
        <f>AgeStanSec!M18/86400</f>
        <v>3.1759259259259258E-2</v>
      </c>
      <c r="N18" s="105">
        <f>AgeStanSec!N18/86400</f>
        <v>3.4270833333333334E-2</v>
      </c>
      <c r="O18" s="105">
        <f>AgeStanSec!O18/86400</f>
        <v>4.327546296296296E-2</v>
      </c>
      <c r="P18" s="105">
        <f>AgeStanSec!P18/86400</f>
        <v>4.5960648148148146E-2</v>
      </c>
      <c r="Q18" s="105">
        <f>AgeStanSec!Q18/86400</f>
        <v>5.5474537037037037E-2</v>
      </c>
      <c r="R18" s="105">
        <f>AgeStanSec!R18/86400</f>
        <v>6.805555555555555E-2</v>
      </c>
      <c r="S18" s="105">
        <f>AgeStanSec!S18/86400</f>
        <v>9.9780092592592587E-2</v>
      </c>
      <c r="T18" s="105">
        <f>AgeStanSec!T18/86400</f>
        <v>0.12018518518518519</v>
      </c>
      <c r="U18" s="105">
        <f>AgeStanSec!U18/86400</f>
        <v>0.21886574074074075</v>
      </c>
      <c r="V18" s="105">
        <f>AgeStanSec!V18/86400</f>
        <v>0.30194444444444446</v>
      </c>
      <c r="W18" s="105">
        <f>AgeStanSec!W18/86400</f>
        <v>0.5081134259259259</v>
      </c>
      <c r="X18" s="105">
        <f>AgeStanSec!X18/86400</f>
        <v>0.55675925925925929</v>
      </c>
      <c r="Y18" s="105">
        <f>AgeStanSec!Y18/86400</f>
        <v>0.73722222222222222</v>
      </c>
      <c r="Z18" s="46"/>
    </row>
    <row r="19" spans="1:26">
      <c r="A19" s="461">
        <v>18</v>
      </c>
      <c r="B19" s="468">
        <f>AgeStanSec!B19/86400</f>
        <v>1.8634259259259259E-3</v>
      </c>
      <c r="C19" s="468">
        <f>AgeStanSec!C19/86400</f>
        <v>3.0324074074074073E-3</v>
      </c>
      <c r="D19" s="468">
        <f>AgeStanSec!D19/86400</f>
        <v>5.7523148148148151E-3</v>
      </c>
      <c r="E19" s="468">
        <f>AgeStanSec!E19/86400</f>
        <v>9.6990740740740735E-3</v>
      </c>
      <c r="F19" s="105">
        <f>AgeStanSec!F19/86400</f>
        <v>1.1759259259259259E-2</v>
      </c>
      <c r="G19" s="105">
        <f>AgeStanSec!G19/86400</f>
        <v>1.269675925925926E-2</v>
      </c>
      <c r="H19" s="105">
        <f>AgeStanSec!H19/86400</f>
        <v>1.6018518518518519E-2</v>
      </c>
      <c r="I19" s="105">
        <f>AgeStanSec!I19/86400</f>
        <v>1.6134259259259258E-2</v>
      </c>
      <c r="J19" s="105">
        <f>AgeStanSec!J19/86400</f>
        <v>2.0347222222222221E-2</v>
      </c>
      <c r="K19" s="105">
        <f>AgeStanSec!K19/86400</f>
        <v>2.3032407407407408E-2</v>
      </c>
      <c r="L19" s="105">
        <f>AgeStanSec!L19/86400</f>
        <v>2.4652777777777777E-2</v>
      </c>
      <c r="M19" s="105">
        <f>AgeStanSec!M19/86400</f>
        <v>3.1226851851851853E-2</v>
      </c>
      <c r="N19" s="105">
        <f>AgeStanSec!N19/86400</f>
        <v>3.3680555555555554E-2</v>
      </c>
      <c r="O19" s="105">
        <f>AgeStanSec!O19/86400</f>
        <v>4.2488425925925923E-2</v>
      </c>
      <c r="P19" s="105">
        <f>AgeStanSec!P19/86400</f>
        <v>4.5104166666666667E-2</v>
      </c>
      <c r="Q19" s="105">
        <f>AgeStanSec!Q19/86400</f>
        <v>5.4444444444444441E-2</v>
      </c>
      <c r="R19" s="105">
        <f>AgeStanSec!R19/86400</f>
        <v>6.6782407407407401E-2</v>
      </c>
      <c r="S19" s="105">
        <f>AgeStanSec!S19/86400</f>
        <v>9.7893518518518519E-2</v>
      </c>
      <c r="T19" s="105">
        <f>AgeStanSec!T19/86400</f>
        <v>0.11791666666666667</v>
      </c>
      <c r="U19" s="105">
        <f>AgeStanSec!U19/86400</f>
        <v>0.2147337962962963</v>
      </c>
      <c r="V19" s="105">
        <f>AgeStanSec!V19/86400</f>
        <v>0.29623842592592592</v>
      </c>
      <c r="W19" s="105">
        <f>AgeStanSec!W19/86400</f>
        <v>0.49853009259259257</v>
      </c>
      <c r="X19" s="105">
        <f>AgeStanSec!X19/86400</f>
        <v>0.54623842592592597</v>
      </c>
      <c r="Y19" s="105">
        <f>AgeStanSec!Y19/86400</f>
        <v>0.72329861111111116</v>
      </c>
      <c r="Z19" s="46"/>
    </row>
    <row r="20" spans="1:26">
      <c r="A20" s="461">
        <v>19</v>
      </c>
      <c r="B20" s="468">
        <f>AgeStanSec!B20/86400</f>
        <v>1.8518518518518519E-3</v>
      </c>
      <c r="C20" s="468">
        <f>AgeStanSec!C20/86400</f>
        <v>3.0208333333333333E-3</v>
      </c>
      <c r="D20" s="468">
        <f>AgeStanSec!D20/86400</f>
        <v>5.7291666666666663E-3</v>
      </c>
      <c r="E20" s="468">
        <f>AgeStanSec!E20/86400</f>
        <v>9.6527777777777775E-3</v>
      </c>
      <c r="F20" s="105">
        <f>AgeStanSec!F20/86400</f>
        <v>1.1689814814814814E-2</v>
      </c>
      <c r="G20" s="105">
        <f>AgeStanSec!G20/86400</f>
        <v>1.2615740740740742E-2</v>
      </c>
      <c r="H20" s="105">
        <f>AgeStanSec!H20/86400</f>
        <v>1.5879629629629629E-2</v>
      </c>
      <c r="I20" s="105">
        <f>AgeStanSec!I20/86400</f>
        <v>1.6006944444444445E-2</v>
      </c>
      <c r="J20" s="105">
        <f>AgeStanSec!J20/86400</f>
        <v>2.013888888888889E-2</v>
      </c>
      <c r="K20" s="105">
        <f>AgeStanSec!K20/86400</f>
        <v>2.2789351851851852E-2</v>
      </c>
      <c r="L20" s="105">
        <f>AgeStanSec!L20/86400</f>
        <v>2.4375000000000001E-2</v>
      </c>
      <c r="M20" s="105">
        <f>AgeStanSec!M20/86400</f>
        <v>3.0844907407407408E-2</v>
      </c>
      <c r="N20" s="105">
        <f>AgeStanSec!N20/86400</f>
        <v>3.3252314814814818E-2</v>
      </c>
      <c r="O20" s="105">
        <f>AgeStanSec!O20/86400</f>
        <v>4.189814814814815E-2</v>
      </c>
      <c r="P20" s="105">
        <f>AgeStanSec!P20/86400</f>
        <v>4.445601851851852E-2</v>
      </c>
      <c r="Q20" s="105">
        <f>AgeStanSec!Q20/86400</f>
        <v>5.3611111111111109E-2</v>
      </c>
      <c r="R20" s="105">
        <f>AgeStanSec!R20/86400</f>
        <v>6.5694444444444444E-2</v>
      </c>
      <c r="S20" s="105">
        <f>AgeStanSec!S20/86400</f>
        <v>9.6087962962962958E-2</v>
      </c>
      <c r="T20" s="105">
        <f>AgeStanSec!T20/86400</f>
        <v>0.11572916666666666</v>
      </c>
      <c r="U20" s="105">
        <f>AgeStanSec!U20/86400</f>
        <v>0.21075231481481482</v>
      </c>
      <c r="V20" s="105">
        <f>AgeStanSec!V20/86400</f>
        <v>0.29075231481481484</v>
      </c>
      <c r="W20" s="105">
        <f>AgeStanSec!W20/86400</f>
        <v>0.48929398148148145</v>
      </c>
      <c r="X20" s="105">
        <f>AgeStanSec!X20/86400</f>
        <v>0.53612268518518513</v>
      </c>
      <c r="Y20" s="105">
        <f>AgeStanSec!Y20/86400</f>
        <v>0.70989583333333328</v>
      </c>
      <c r="Z20" s="46"/>
    </row>
    <row r="21" spans="1:26">
      <c r="A21" s="466">
        <v>20</v>
      </c>
      <c r="B21" s="436">
        <f>AgeStanSec!B21/86400</f>
        <v>1.8518518518518519E-3</v>
      </c>
      <c r="C21" s="436">
        <f>AgeStanSec!C21/86400</f>
        <v>3.0208333333333333E-3</v>
      </c>
      <c r="D21" s="436">
        <f>AgeStanSec!D21/86400</f>
        <v>5.7291666666666663E-3</v>
      </c>
      <c r="E21" s="436">
        <f>AgeStanSec!E21/86400</f>
        <v>9.6527777777777775E-3</v>
      </c>
      <c r="F21" s="106">
        <f>AgeStanSec!F21/86400</f>
        <v>1.1678240740740741E-2</v>
      </c>
      <c r="G21" s="106">
        <f>AgeStanSec!G21/86400</f>
        <v>1.2592592592592593E-2</v>
      </c>
      <c r="H21" s="106">
        <f>AgeStanSec!H21/86400</f>
        <v>1.5821759259259258E-2</v>
      </c>
      <c r="I21" s="106">
        <f>AgeStanSec!I21/86400</f>
        <v>1.59375E-2</v>
      </c>
      <c r="J21" s="106">
        <f>AgeStanSec!J21/86400</f>
        <v>2.0011574074074074E-2</v>
      </c>
      <c r="K21" s="436">
        <f>AgeStanSec!K21/86400</f>
        <v>2.2638888888888889E-2</v>
      </c>
      <c r="L21" s="106">
        <f>AgeStanSec!L21/86400</f>
        <v>2.420138888888889E-2</v>
      </c>
      <c r="M21" s="106">
        <f>AgeStanSec!M21/86400</f>
        <v>3.0590277777777779E-2</v>
      </c>
      <c r="N21" s="106">
        <f>AgeStanSec!N21/86400</f>
        <v>3.2974537037037038E-2</v>
      </c>
      <c r="O21" s="106">
        <f>AgeStanSec!O21/86400</f>
        <v>4.148148148148148E-2</v>
      </c>
      <c r="P21" s="106">
        <f>AgeStanSec!P21/86400</f>
        <v>4.400462962962963E-2</v>
      </c>
      <c r="Q21" s="106">
        <f>AgeStanSec!Q21/86400</f>
        <v>5.2986111111111109E-2</v>
      </c>
      <c r="R21" s="106">
        <f>AgeStanSec!R21/86400</f>
        <v>6.4803240740740745E-2</v>
      </c>
      <c r="S21" s="106">
        <f>AgeStanSec!S21/86400</f>
        <v>9.4456018518518522E-2</v>
      </c>
      <c r="T21" s="106">
        <f>AgeStanSec!T21/86400</f>
        <v>0.11376157407407407</v>
      </c>
      <c r="U21" s="106">
        <f>AgeStanSec!U21/86400</f>
        <v>0.20717592592592593</v>
      </c>
      <c r="V21" s="106">
        <f>AgeStanSec!V21/86400</f>
        <v>0.28582175925925923</v>
      </c>
      <c r="W21" s="106">
        <f>AgeStanSec!W21/86400</f>
        <v>0.48099537037037038</v>
      </c>
      <c r="X21" s="106">
        <f>AgeStanSec!X21/86400</f>
        <v>0.52702546296296293</v>
      </c>
      <c r="Y21" s="106">
        <f>AgeStanSec!Y21/86400</f>
        <v>0.69785879629629632</v>
      </c>
      <c r="Z21" s="46"/>
    </row>
    <row r="22" spans="1:26">
      <c r="A22" s="461">
        <v>21</v>
      </c>
      <c r="B22" s="468">
        <f>AgeStanSec!B22/86400</f>
        <v>1.8518518518518519E-3</v>
      </c>
      <c r="C22" s="468">
        <f>AgeStanSec!C22/86400</f>
        <v>3.0208333333333333E-3</v>
      </c>
      <c r="D22" s="468">
        <f>AgeStanSec!D22/86400</f>
        <v>5.7291666666666663E-3</v>
      </c>
      <c r="E22" s="468">
        <f>AgeStanSec!E22/86400</f>
        <v>9.6527777777777775E-3</v>
      </c>
      <c r="F22" s="105">
        <f>AgeStanSec!F22/86400</f>
        <v>1.1666666666666667E-2</v>
      </c>
      <c r="G22" s="105">
        <f>AgeStanSec!G22/86400</f>
        <v>1.2581018518518519E-2</v>
      </c>
      <c r="H22" s="105">
        <f>AgeStanSec!H22/86400</f>
        <v>1.579861111111111E-2</v>
      </c>
      <c r="I22" s="105">
        <f>AgeStanSec!I22/86400</f>
        <v>1.5914351851851853E-2</v>
      </c>
      <c r="J22" s="105">
        <f>AgeStanSec!J22/86400</f>
        <v>1.9976851851851853E-2</v>
      </c>
      <c r="K22" s="105">
        <f>AgeStanSec!K22/86400</f>
        <v>2.2581018518518518E-2</v>
      </c>
      <c r="L22" s="105">
        <f>AgeStanSec!L22/86400</f>
        <v>2.4131944444444445E-2</v>
      </c>
      <c r="M22" s="105">
        <f>AgeStanSec!M22/86400</f>
        <v>3.0462962962962963E-2</v>
      </c>
      <c r="N22" s="105">
        <f>AgeStanSec!N22/86400</f>
        <v>3.2824074074074075E-2</v>
      </c>
      <c r="O22" s="105">
        <f>AgeStanSec!O22/86400</f>
        <v>4.1250000000000002E-2</v>
      </c>
      <c r="P22" s="105">
        <f>AgeStanSec!P22/86400</f>
        <v>4.3749999999999997E-2</v>
      </c>
      <c r="Q22" s="105">
        <f>AgeStanSec!Q22/86400</f>
        <v>5.2557870370370373E-2</v>
      </c>
      <c r="R22" s="105">
        <f>AgeStanSec!R22/86400</f>
        <v>6.4155092592592597E-2</v>
      </c>
      <c r="S22" s="105">
        <f>AgeStanSec!S22/86400</f>
        <v>9.3124999999999999E-2</v>
      </c>
      <c r="T22" s="105">
        <f>AgeStanSec!T22/86400</f>
        <v>0.11216435185185185</v>
      </c>
      <c r="U22" s="105">
        <f>AgeStanSec!U22/86400</f>
        <v>0.20427083333333335</v>
      </c>
      <c r="V22" s="105">
        <f>AgeStanSec!V22/86400</f>
        <v>0.28180555555555553</v>
      </c>
      <c r="W22" s="105">
        <f>AgeStanSec!W22/86400</f>
        <v>0.47423611111111114</v>
      </c>
      <c r="X22" s="105">
        <f>AgeStanSec!X22/86400</f>
        <v>0.51962962962962966</v>
      </c>
      <c r="Y22" s="105">
        <f>AgeStanSec!Y22/86400</f>
        <v>0.68806712962962968</v>
      </c>
      <c r="Z22" s="46"/>
    </row>
    <row r="23" spans="1:26">
      <c r="A23" s="461">
        <v>22</v>
      </c>
      <c r="B23" s="468">
        <f>AgeStanSec!B23/86400</f>
        <v>1.8518518518518519E-3</v>
      </c>
      <c r="C23" s="468">
        <f>AgeStanSec!C23/86400</f>
        <v>3.0208333333333333E-3</v>
      </c>
      <c r="D23" s="468">
        <f>AgeStanSec!D23/86400</f>
        <v>5.7291666666666663E-3</v>
      </c>
      <c r="E23" s="468">
        <f>AgeStanSec!E23/86400</f>
        <v>9.6527777777777775E-3</v>
      </c>
      <c r="F23" s="105">
        <f>AgeStanSec!F23/86400</f>
        <v>1.1666666666666667E-2</v>
      </c>
      <c r="G23" s="105">
        <f>AgeStanSec!G23/86400</f>
        <v>1.2581018518518519E-2</v>
      </c>
      <c r="H23" s="105">
        <f>AgeStanSec!H23/86400</f>
        <v>1.579861111111111E-2</v>
      </c>
      <c r="I23" s="105">
        <f>AgeStanSec!I23/86400</f>
        <v>1.5914351851851853E-2</v>
      </c>
      <c r="J23" s="105">
        <f>AgeStanSec!J23/86400</f>
        <v>1.9976851851851853E-2</v>
      </c>
      <c r="K23" s="105">
        <f>AgeStanSec!K23/86400</f>
        <v>2.2569444444444444E-2</v>
      </c>
      <c r="L23" s="105">
        <f>AgeStanSec!L23/86400</f>
        <v>2.4120370370370372E-2</v>
      </c>
      <c r="M23" s="105">
        <f>AgeStanSec!M23/86400</f>
        <v>3.0428240740740742E-2</v>
      </c>
      <c r="N23" s="105">
        <f>AgeStanSec!N23/86400</f>
        <v>3.2777777777777781E-2</v>
      </c>
      <c r="O23" s="105">
        <f>AgeStanSec!O23/86400</f>
        <v>4.116898148148148E-2</v>
      </c>
      <c r="P23" s="105">
        <f>AgeStanSec!P23/86400</f>
        <v>4.3657407407407409E-2</v>
      </c>
      <c r="Q23" s="105">
        <f>AgeStanSec!Q23/86400</f>
        <v>5.2337962962962961E-2</v>
      </c>
      <c r="R23" s="105">
        <f>AgeStanSec!R23/86400</f>
        <v>6.3726851851851854E-2</v>
      </c>
      <c r="S23" s="105">
        <f>AgeStanSec!S23/86400</f>
        <v>9.2060185185185189E-2</v>
      </c>
      <c r="T23" s="105">
        <f>AgeStanSec!T23/86400</f>
        <v>0.1108912037037037</v>
      </c>
      <c r="U23" s="105">
        <f>AgeStanSec!U23/86400</f>
        <v>0.20193287037037036</v>
      </c>
      <c r="V23" s="105">
        <f>AgeStanSec!V23/86400</f>
        <v>0.27858796296296295</v>
      </c>
      <c r="W23" s="105">
        <f>AgeStanSec!W23/86400</f>
        <v>0.46881944444444446</v>
      </c>
      <c r="X23" s="105">
        <f>AgeStanSec!X23/86400</f>
        <v>0.51369212962962962</v>
      </c>
      <c r="Y23" s="105">
        <f>AgeStanSec!Y23/86400</f>
        <v>0.6802083333333333</v>
      </c>
      <c r="Z23" s="46"/>
    </row>
    <row r="24" spans="1:26">
      <c r="A24" s="461">
        <v>23</v>
      </c>
      <c r="B24" s="468">
        <f>AgeStanSec!B24/86400</f>
        <v>1.8518518518518519E-3</v>
      </c>
      <c r="C24" s="468">
        <f>AgeStanSec!C24/86400</f>
        <v>3.0208333333333333E-3</v>
      </c>
      <c r="D24" s="468">
        <f>AgeStanSec!D24/86400</f>
        <v>5.7291666666666663E-3</v>
      </c>
      <c r="E24" s="468">
        <f>AgeStanSec!E24/86400</f>
        <v>9.6527777777777775E-3</v>
      </c>
      <c r="F24" s="105">
        <f>AgeStanSec!F24/86400</f>
        <v>1.1666666666666667E-2</v>
      </c>
      <c r="G24" s="105">
        <f>AgeStanSec!G24/86400</f>
        <v>1.2581018518518519E-2</v>
      </c>
      <c r="H24" s="105">
        <f>AgeStanSec!H24/86400</f>
        <v>1.579861111111111E-2</v>
      </c>
      <c r="I24" s="105">
        <f>AgeStanSec!I24/86400</f>
        <v>1.5914351851851853E-2</v>
      </c>
      <c r="J24" s="105">
        <f>AgeStanSec!J24/86400</f>
        <v>1.9976851851851853E-2</v>
      </c>
      <c r="K24" s="105">
        <f>AgeStanSec!K24/86400</f>
        <v>2.2569444444444444E-2</v>
      </c>
      <c r="L24" s="105">
        <f>AgeStanSec!L24/86400</f>
        <v>2.4120370370370372E-2</v>
      </c>
      <c r="M24" s="105">
        <f>AgeStanSec!M24/86400</f>
        <v>3.0428240740740742E-2</v>
      </c>
      <c r="N24" s="105">
        <f>AgeStanSec!N24/86400</f>
        <v>3.2777777777777781E-2</v>
      </c>
      <c r="O24" s="105">
        <f>AgeStanSec!O24/86400</f>
        <v>4.116898148148148E-2</v>
      </c>
      <c r="P24" s="105">
        <f>AgeStanSec!P24/86400</f>
        <v>4.3657407407407409E-2</v>
      </c>
      <c r="Q24" s="105">
        <f>AgeStanSec!Q24/86400</f>
        <v>5.2222222222222225E-2</v>
      </c>
      <c r="R24" s="105">
        <f>AgeStanSec!R24/86400</f>
        <v>6.3437499999999994E-2</v>
      </c>
      <c r="S24" s="105">
        <f>AgeStanSec!S24/86400</f>
        <v>9.1249999999999998E-2</v>
      </c>
      <c r="T24" s="105">
        <f>AgeStanSec!T24/86400</f>
        <v>0.10990740740740741</v>
      </c>
      <c r="U24" s="105">
        <f>AgeStanSec!U24/86400</f>
        <v>0.20016203703703703</v>
      </c>
      <c r="V24" s="105">
        <f>AgeStanSec!V24/86400</f>
        <v>0.27613425925925927</v>
      </c>
      <c r="W24" s="105">
        <f>AgeStanSec!W24/86400</f>
        <v>0.46469907407407407</v>
      </c>
      <c r="X24" s="105">
        <f>AgeStanSec!X24/86400</f>
        <v>0.5091782407407407</v>
      </c>
      <c r="Y24" s="105">
        <f>AgeStanSec!Y24/86400</f>
        <v>0.67421296296296296</v>
      </c>
      <c r="Z24" s="46"/>
    </row>
    <row r="25" spans="1:26">
      <c r="A25" s="461">
        <v>24</v>
      </c>
      <c r="B25" s="468">
        <f>AgeStanSec!B25/86400</f>
        <v>1.8518518518518519E-3</v>
      </c>
      <c r="C25" s="468">
        <f>AgeStanSec!C25/86400</f>
        <v>3.0208333333333333E-3</v>
      </c>
      <c r="D25" s="468">
        <f>AgeStanSec!D25/86400</f>
        <v>5.7291666666666663E-3</v>
      </c>
      <c r="E25" s="468">
        <f>AgeStanSec!E25/86400</f>
        <v>9.6527777777777775E-3</v>
      </c>
      <c r="F25" s="105">
        <f>AgeStanSec!F25/86400</f>
        <v>1.1666666666666667E-2</v>
      </c>
      <c r="G25" s="105">
        <f>AgeStanSec!G25/86400</f>
        <v>1.2581018518518519E-2</v>
      </c>
      <c r="H25" s="105">
        <f>AgeStanSec!H25/86400</f>
        <v>1.579861111111111E-2</v>
      </c>
      <c r="I25" s="105">
        <f>AgeStanSec!I25/86400</f>
        <v>1.5914351851851853E-2</v>
      </c>
      <c r="J25" s="105">
        <f>AgeStanSec!J25/86400</f>
        <v>1.9976851851851853E-2</v>
      </c>
      <c r="K25" s="105">
        <f>AgeStanSec!K25/86400</f>
        <v>2.2569444444444444E-2</v>
      </c>
      <c r="L25" s="105">
        <f>AgeStanSec!L25/86400</f>
        <v>2.4120370370370372E-2</v>
      </c>
      <c r="M25" s="105">
        <f>AgeStanSec!M25/86400</f>
        <v>3.0428240740740742E-2</v>
      </c>
      <c r="N25" s="105">
        <f>AgeStanSec!N25/86400</f>
        <v>3.2777777777777781E-2</v>
      </c>
      <c r="O25" s="105">
        <f>AgeStanSec!O25/86400</f>
        <v>4.116898148148148E-2</v>
      </c>
      <c r="P25" s="105">
        <f>AgeStanSec!P25/86400</f>
        <v>4.3657407407407409E-2</v>
      </c>
      <c r="Q25" s="105">
        <f>AgeStanSec!Q25/86400</f>
        <v>5.2141203703703703E-2</v>
      </c>
      <c r="R25" s="105">
        <f>AgeStanSec!R25/86400</f>
        <v>6.3240740740740736E-2</v>
      </c>
      <c r="S25" s="105">
        <f>AgeStanSec!S25/86400</f>
        <v>9.0682870370370372E-2</v>
      </c>
      <c r="T25" s="105">
        <f>AgeStanSec!T25/86400</f>
        <v>0.10922453703703704</v>
      </c>
      <c r="U25" s="105">
        <f>AgeStanSec!U25/86400</f>
        <v>0.19891203703703703</v>
      </c>
      <c r="V25" s="105">
        <f>AgeStanSec!V25/86400</f>
        <v>0.2744212962962963</v>
      </c>
      <c r="W25" s="105">
        <f>AgeStanSec!W25/86400</f>
        <v>0.46179398148148149</v>
      </c>
      <c r="X25" s="105">
        <f>AgeStanSec!X25/86400</f>
        <v>0.5060069444444445</v>
      </c>
      <c r="Y25" s="105">
        <f>AgeStanSec!Y25/86400</f>
        <v>0.67001157407407408</v>
      </c>
      <c r="Z25" s="46"/>
    </row>
    <row r="26" spans="1:26">
      <c r="A26" s="466">
        <v>25</v>
      </c>
      <c r="B26" s="436">
        <f>AgeStanSec!B26/86400</f>
        <v>1.8518518518518519E-3</v>
      </c>
      <c r="C26" s="436">
        <f>AgeStanSec!C26/86400</f>
        <v>3.0208333333333333E-3</v>
      </c>
      <c r="D26" s="436">
        <f>AgeStanSec!D26/86400</f>
        <v>5.7291666666666663E-3</v>
      </c>
      <c r="E26" s="436">
        <f>AgeStanSec!E26/86400</f>
        <v>9.6527777777777775E-3</v>
      </c>
      <c r="F26" s="106">
        <f>AgeStanSec!F26/86400</f>
        <v>1.1666666666666667E-2</v>
      </c>
      <c r="G26" s="106">
        <f>AgeStanSec!G26/86400</f>
        <v>1.2581018518518519E-2</v>
      </c>
      <c r="H26" s="106">
        <f>AgeStanSec!H26/86400</f>
        <v>1.579861111111111E-2</v>
      </c>
      <c r="I26" s="106">
        <f>AgeStanSec!I26/86400</f>
        <v>1.5914351851851853E-2</v>
      </c>
      <c r="J26" s="106">
        <f>AgeStanSec!J26/86400</f>
        <v>1.9976851851851853E-2</v>
      </c>
      <c r="K26" s="436">
        <f>AgeStanSec!K26/86400</f>
        <v>2.2569444444444444E-2</v>
      </c>
      <c r="L26" s="106">
        <f>AgeStanSec!L26/86400</f>
        <v>2.4120370370370372E-2</v>
      </c>
      <c r="M26" s="106">
        <f>AgeStanSec!M26/86400</f>
        <v>3.0428240740740742E-2</v>
      </c>
      <c r="N26" s="106">
        <f>AgeStanSec!N26/86400</f>
        <v>3.2777777777777781E-2</v>
      </c>
      <c r="O26" s="106">
        <f>AgeStanSec!O26/86400</f>
        <v>4.116898148148148E-2</v>
      </c>
      <c r="P26" s="106">
        <f>AgeStanSec!P26/86400</f>
        <v>4.3657407407407409E-2</v>
      </c>
      <c r="Q26" s="106">
        <f>AgeStanSec!Q26/86400</f>
        <v>5.2094907407407409E-2</v>
      </c>
      <c r="R26" s="106">
        <f>AgeStanSec!R26/86400</f>
        <v>6.311342592592592E-2</v>
      </c>
      <c r="S26" s="106">
        <f>AgeStanSec!S26/86400</f>
        <v>9.0335648148148151E-2</v>
      </c>
      <c r="T26" s="106">
        <f>AgeStanSec!T26/86400</f>
        <v>0.10880787037037037</v>
      </c>
      <c r="U26" s="106">
        <f>AgeStanSec!U26/86400</f>
        <v>0.19815972222222222</v>
      </c>
      <c r="V26" s="106">
        <f>AgeStanSec!V26/86400</f>
        <v>0.27336805555555554</v>
      </c>
      <c r="W26" s="106">
        <f>AgeStanSec!W26/86400</f>
        <v>0.46004629629629629</v>
      </c>
      <c r="X26" s="106">
        <f>AgeStanSec!X26/86400</f>
        <v>0.50407407407407412</v>
      </c>
      <c r="Y26" s="106">
        <f>AgeStanSec!Y26/86400</f>
        <v>0.66746527777777775</v>
      </c>
      <c r="Z26" s="46"/>
    </row>
    <row r="27" spans="1:26">
      <c r="A27" s="461">
        <v>26</v>
      </c>
      <c r="B27" s="468">
        <f>AgeStanSec!B27/86400</f>
        <v>1.8518518518518519E-3</v>
      </c>
      <c r="C27" s="468">
        <f>AgeStanSec!C27/86400</f>
        <v>3.0208333333333333E-3</v>
      </c>
      <c r="D27" s="468">
        <f>AgeStanSec!D27/86400</f>
        <v>5.7291666666666663E-3</v>
      </c>
      <c r="E27" s="468">
        <f>AgeStanSec!E27/86400</f>
        <v>9.6527777777777775E-3</v>
      </c>
      <c r="F27" s="105">
        <f>AgeStanSec!F27/86400</f>
        <v>1.1666666666666667E-2</v>
      </c>
      <c r="G27" s="105">
        <f>AgeStanSec!G27/86400</f>
        <v>1.2581018518518519E-2</v>
      </c>
      <c r="H27" s="105">
        <f>AgeStanSec!H27/86400</f>
        <v>1.579861111111111E-2</v>
      </c>
      <c r="I27" s="105">
        <f>AgeStanSec!I27/86400</f>
        <v>1.5914351851851853E-2</v>
      </c>
      <c r="J27" s="105">
        <f>AgeStanSec!J27/86400</f>
        <v>1.9976851851851853E-2</v>
      </c>
      <c r="K27" s="105">
        <f>AgeStanSec!K27/86400</f>
        <v>2.2569444444444444E-2</v>
      </c>
      <c r="L27" s="105">
        <f>AgeStanSec!L27/86400</f>
        <v>2.4120370370370372E-2</v>
      </c>
      <c r="M27" s="105">
        <f>AgeStanSec!M27/86400</f>
        <v>3.0428240740740742E-2</v>
      </c>
      <c r="N27" s="105">
        <f>AgeStanSec!N27/86400</f>
        <v>3.2777777777777781E-2</v>
      </c>
      <c r="O27" s="105">
        <f>AgeStanSec!O27/86400</f>
        <v>4.116898148148148E-2</v>
      </c>
      <c r="P27" s="105">
        <f>AgeStanSec!P27/86400</f>
        <v>4.3657407407407409E-2</v>
      </c>
      <c r="Q27" s="105">
        <f>AgeStanSec!Q27/86400</f>
        <v>5.2083333333333336E-2</v>
      </c>
      <c r="R27" s="105">
        <f>AgeStanSec!R27/86400</f>
        <v>6.3078703703703706E-2</v>
      </c>
      <c r="S27" s="105">
        <f>AgeStanSec!S27/86400</f>
        <v>9.0231481481481482E-2</v>
      </c>
      <c r="T27" s="105">
        <f>AgeStanSec!T27/86400</f>
        <v>0.10868055555555556</v>
      </c>
      <c r="U27" s="105">
        <f>AgeStanSec!U27/86400</f>
        <v>0.19791666666666666</v>
      </c>
      <c r="V27" s="105">
        <f>AgeStanSec!V27/86400</f>
        <v>0.27304398148148146</v>
      </c>
      <c r="W27" s="105">
        <f>AgeStanSec!W27/86400</f>
        <v>0.45949074074074076</v>
      </c>
      <c r="X27" s="105">
        <f>AgeStanSec!X27/86400</f>
        <v>0.50347222222222221</v>
      </c>
      <c r="Y27" s="105">
        <f>AgeStanSec!Y27/86400</f>
        <v>0.66666666666666663</v>
      </c>
      <c r="Z27" s="46"/>
    </row>
    <row r="28" spans="1:26">
      <c r="A28" s="461">
        <v>27</v>
      </c>
      <c r="B28" s="468">
        <f>AgeStanSec!B28/86400</f>
        <v>1.8518518518518519E-3</v>
      </c>
      <c r="C28" s="468">
        <f>AgeStanSec!C28/86400</f>
        <v>3.0208333333333333E-3</v>
      </c>
      <c r="D28" s="468">
        <f>AgeStanSec!D28/86400</f>
        <v>5.7291666666666663E-3</v>
      </c>
      <c r="E28" s="468">
        <f>AgeStanSec!E28/86400</f>
        <v>9.6527777777777775E-3</v>
      </c>
      <c r="F28" s="105">
        <f>AgeStanSec!F28/86400</f>
        <v>1.1666666666666667E-2</v>
      </c>
      <c r="G28" s="105">
        <f>AgeStanSec!G28/86400</f>
        <v>1.2581018518518519E-2</v>
      </c>
      <c r="H28" s="105">
        <f>AgeStanSec!H28/86400</f>
        <v>1.579861111111111E-2</v>
      </c>
      <c r="I28" s="105">
        <f>AgeStanSec!I28/86400</f>
        <v>1.5914351851851853E-2</v>
      </c>
      <c r="J28" s="105">
        <f>AgeStanSec!J28/86400</f>
        <v>1.9976851851851853E-2</v>
      </c>
      <c r="K28" s="105">
        <f>AgeStanSec!K28/86400</f>
        <v>2.2569444444444444E-2</v>
      </c>
      <c r="L28" s="105">
        <f>AgeStanSec!L28/86400</f>
        <v>2.4120370370370372E-2</v>
      </c>
      <c r="M28" s="105">
        <f>AgeStanSec!M28/86400</f>
        <v>3.0428240740740742E-2</v>
      </c>
      <c r="N28" s="105">
        <f>AgeStanSec!N28/86400</f>
        <v>3.2777777777777781E-2</v>
      </c>
      <c r="O28" s="105">
        <f>AgeStanSec!O28/86400</f>
        <v>4.116898148148148E-2</v>
      </c>
      <c r="P28" s="105">
        <f>AgeStanSec!P28/86400</f>
        <v>4.3657407407407409E-2</v>
      </c>
      <c r="Q28" s="105">
        <f>AgeStanSec!Q28/86400</f>
        <v>5.2083333333333336E-2</v>
      </c>
      <c r="R28" s="105">
        <f>AgeStanSec!R28/86400</f>
        <v>6.3078703703703706E-2</v>
      </c>
      <c r="S28" s="105">
        <f>AgeStanSec!S28/86400</f>
        <v>9.0231481481481482E-2</v>
      </c>
      <c r="T28" s="105">
        <f>AgeStanSec!T28/86400</f>
        <v>0.10868055555555556</v>
      </c>
      <c r="U28" s="105">
        <f>AgeStanSec!U28/86400</f>
        <v>0.19791666666666666</v>
      </c>
      <c r="V28" s="105">
        <f>AgeStanSec!V28/86400</f>
        <v>0.27304398148148146</v>
      </c>
      <c r="W28" s="105">
        <f>AgeStanSec!W28/86400</f>
        <v>0.45949074074074076</v>
      </c>
      <c r="X28" s="105">
        <f>AgeStanSec!X28/86400</f>
        <v>0.50347222222222221</v>
      </c>
      <c r="Y28" s="105">
        <f>AgeStanSec!Y28/86400</f>
        <v>0.66666666666666663</v>
      </c>
      <c r="Z28" s="46"/>
    </row>
    <row r="29" spans="1:26">
      <c r="A29" s="461">
        <v>28</v>
      </c>
      <c r="B29" s="468">
        <f>AgeStanSec!B29/86400</f>
        <v>1.8518518518518519E-3</v>
      </c>
      <c r="C29" s="468">
        <f>AgeStanSec!C29/86400</f>
        <v>3.0208333333333333E-3</v>
      </c>
      <c r="D29" s="468">
        <f>AgeStanSec!D29/86400</f>
        <v>5.7291666666666663E-3</v>
      </c>
      <c r="E29" s="468">
        <f>AgeStanSec!E29/86400</f>
        <v>9.6643518518518511E-3</v>
      </c>
      <c r="F29" s="105">
        <f>AgeStanSec!F29/86400</f>
        <v>1.1678240740740741E-2</v>
      </c>
      <c r="G29" s="105">
        <f>AgeStanSec!G29/86400</f>
        <v>1.2592592592592593E-2</v>
      </c>
      <c r="H29" s="105">
        <f>AgeStanSec!H29/86400</f>
        <v>1.5810185185185184E-2</v>
      </c>
      <c r="I29" s="105">
        <f>AgeStanSec!I29/86400</f>
        <v>1.5925925925925927E-2</v>
      </c>
      <c r="J29" s="105">
        <f>AgeStanSec!J29/86400</f>
        <v>1.9976851851851853E-2</v>
      </c>
      <c r="K29" s="105">
        <f>AgeStanSec!K29/86400</f>
        <v>2.2569444444444444E-2</v>
      </c>
      <c r="L29" s="105">
        <f>AgeStanSec!L29/86400</f>
        <v>2.4120370370370372E-2</v>
      </c>
      <c r="M29" s="105">
        <f>AgeStanSec!M29/86400</f>
        <v>3.0439814814814815E-2</v>
      </c>
      <c r="N29" s="105">
        <f>AgeStanSec!N29/86400</f>
        <v>3.2789351851851854E-2</v>
      </c>
      <c r="O29" s="105">
        <f>AgeStanSec!O29/86400</f>
        <v>4.1180555555555554E-2</v>
      </c>
      <c r="P29" s="105">
        <f>AgeStanSec!P29/86400</f>
        <v>4.3668981481481482E-2</v>
      </c>
      <c r="Q29" s="105">
        <f>AgeStanSec!Q29/86400</f>
        <v>5.2094907407407409E-2</v>
      </c>
      <c r="R29" s="105">
        <f>AgeStanSec!R29/86400</f>
        <v>6.3090277777777773E-2</v>
      </c>
      <c r="S29" s="105">
        <f>AgeStanSec!S29/86400</f>
        <v>9.0254629629629629E-2</v>
      </c>
      <c r="T29" s="105">
        <f>AgeStanSec!T29/86400</f>
        <v>0.10870370370370371</v>
      </c>
      <c r="U29" s="105">
        <f>AgeStanSec!U29/86400</f>
        <v>0.19795138888888889</v>
      </c>
      <c r="V29" s="105">
        <f>AgeStanSec!V29/86400</f>
        <v>0.27310185185185187</v>
      </c>
      <c r="W29" s="105">
        <f>AgeStanSec!W29/86400</f>
        <v>0.45958333333333334</v>
      </c>
      <c r="X29" s="105">
        <f>AgeStanSec!X29/86400</f>
        <v>0.50357638888888889</v>
      </c>
      <c r="Y29" s="105">
        <f>AgeStanSec!Y29/86400</f>
        <v>0.66680555555555554</v>
      </c>
      <c r="Z29" s="46"/>
    </row>
    <row r="30" spans="1:26">
      <c r="A30" s="461">
        <v>29</v>
      </c>
      <c r="B30" s="468">
        <f>AgeStanSec!B30/86400</f>
        <v>1.8518518518518519E-3</v>
      </c>
      <c r="C30" s="468">
        <f>AgeStanSec!C30/86400</f>
        <v>3.0208333333333333E-3</v>
      </c>
      <c r="D30" s="468">
        <f>AgeStanSec!D30/86400</f>
        <v>5.7407407407407407E-3</v>
      </c>
      <c r="E30" s="468">
        <f>AgeStanSec!E30/86400</f>
        <v>9.6759259259259264E-3</v>
      </c>
      <c r="F30" s="105">
        <f>AgeStanSec!F30/86400</f>
        <v>1.1689814814814814E-2</v>
      </c>
      <c r="G30" s="105">
        <f>AgeStanSec!G30/86400</f>
        <v>1.2604166666666666E-2</v>
      </c>
      <c r="H30" s="105">
        <f>AgeStanSec!H30/86400</f>
        <v>1.5821759259259258E-2</v>
      </c>
      <c r="I30" s="105">
        <f>AgeStanSec!I30/86400</f>
        <v>1.59375E-2</v>
      </c>
      <c r="J30" s="105">
        <f>AgeStanSec!J30/86400</f>
        <v>0.02</v>
      </c>
      <c r="K30" s="105">
        <f>AgeStanSec!K30/86400</f>
        <v>2.2592592592592591E-2</v>
      </c>
      <c r="L30" s="105">
        <f>AgeStanSec!L30/86400</f>
        <v>2.4143518518518519E-2</v>
      </c>
      <c r="M30" s="105">
        <f>AgeStanSec!M30/86400</f>
        <v>3.0451388888888889E-2</v>
      </c>
      <c r="N30" s="105">
        <f>AgeStanSec!N30/86400</f>
        <v>3.2812500000000001E-2</v>
      </c>
      <c r="O30" s="105">
        <f>AgeStanSec!O30/86400</f>
        <v>4.1203703703703701E-2</v>
      </c>
      <c r="P30" s="105">
        <f>AgeStanSec!P30/86400</f>
        <v>4.3692129629629629E-2</v>
      </c>
      <c r="Q30" s="105">
        <f>AgeStanSec!Q30/86400</f>
        <v>5.212962962962963E-2</v>
      </c>
      <c r="R30" s="105">
        <f>AgeStanSec!R30/86400</f>
        <v>6.3125000000000001E-2</v>
      </c>
      <c r="S30" s="105">
        <f>AgeStanSec!S30/86400</f>
        <v>9.0300925925925923E-2</v>
      </c>
      <c r="T30" s="105">
        <f>AgeStanSec!T30/86400</f>
        <v>0.10877314814814815</v>
      </c>
      <c r="U30" s="105">
        <f>AgeStanSec!U30/86400</f>
        <v>0.1980787037037037</v>
      </c>
      <c r="V30" s="105">
        <f>AgeStanSec!V30/86400</f>
        <v>0.27326388888888886</v>
      </c>
      <c r="W30" s="105">
        <f>AgeStanSec!W30/86400</f>
        <v>0.45986111111111111</v>
      </c>
      <c r="X30" s="105">
        <f>AgeStanSec!X30/86400</f>
        <v>0.50387731481481479</v>
      </c>
      <c r="Y30" s="105">
        <f>AgeStanSec!Y30/86400</f>
        <v>0.66719907407407408</v>
      </c>
      <c r="Z30" s="46"/>
    </row>
    <row r="31" spans="1:26">
      <c r="A31" s="466">
        <v>30</v>
      </c>
      <c r="B31" s="436">
        <f>AgeStanSec!B31/86400</f>
        <v>1.8518518518518519E-3</v>
      </c>
      <c r="C31" s="436">
        <f>AgeStanSec!C31/86400</f>
        <v>3.0208333333333333E-3</v>
      </c>
      <c r="D31" s="436">
        <f>AgeStanSec!D31/86400</f>
        <v>5.7407407407407407E-3</v>
      </c>
      <c r="E31" s="436">
        <f>AgeStanSec!E31/86400</f>
        <v>9.6874999999999999E-3</v>
      </c>
      <c r="F31" s="106">
        <f>AgeStanSec!F31/86400</f>
        <v>1.1712962962962963E-2</v>
      </c>
      <c r="G31" s="106">
        <f>AgeStanSec!G31/86400</f>
        <v>1.2627314814814815E-2</v>
      </c>
      <c r="H31" s="106">
        <f>AgeStanSec!H31/86400</f>
        <v>1.5844907407407408E-2</v>
      </c>
      <c r="I31" s="106">
        <f>AgeStanSec!I31/86400</f>
        <v>1.5960648148148147E-2</v>
      </c>
      <c r="J31" s="106">
        <f>AgeStanSec!J31/86400</f>
        <v>2.0011574074074074E-2</v>
      </c>
      <c r="K31" s="436">
        <f>AgeStanSec!K31/86400</f>
        <v>2.2615740740740742E-2</v>
      </c>
      <c r="L31" s="106">
        <f>AgeStanSec!L31/86400</f>
        <v>2.4166666666666666E-2</v>
      </c>
      <c r="M31" s="106">
        <f>AgeStanSec!M31/86400</f>
        <v>3.0497685185185187E-2</v>
      </c>
      <c r="N31" s="106">
        <f>AgeStanSec!N31/86400</f>
        <v>3.2847222222222222E-2</v>
      </c>
      <c r="O31" s="106">
        <f>AgeStanSec!O31/86400</f>
        <v>4.1250000000000002E-2</v>
      </c>
      <c r="P31" s="106">
        <f>AgeStanSec!P31/86400</f>
        <v>4.3749999999999997E-2</v>
      </c>
      <c r="Q31" s="106">
        <f>AgeStanSec!Q31/86400</f>
        <v>5.2187499999999998E-2</v>
      </c>
      <c r="R31" s="106">
        <f>AgeStanSec!R31/86400</f>
        <v>6.3194444444444442E-2</v>
      </c>
      <c r="S31" s="106">
        <f>AgeStanSec!S31/86400</f>
        <v>9.0381944444444445E-2</v>
      </c>
      <c r="T31" s="106">
        <f>AgeStanSec!T31/86400</f>
        <v>0.10886574074074074</v>
      </c>
      <c r="U31" s="106">
        <f>AgeStanSec!U31/86400</f>
        <v>0.19825231481481481</v>
      </c>
      <c r="V31" s="106">
        <f>AgeStanSec!V31/86400</f>
        <v>0.27350694444444446</v>
      </c>
      <c r="W31" s="106">
        <f>AgeStanSec!W31/86400</f>
        <v>0.46027777777777779</v>
      </c>
      <c r="X31" s="106">
        <f>AgeStanSec!X31/86400</f>
        <v>0.50432870370370375</v>
      </c>
      <c r="Y31" s="106">
        <f>AgeStanSec!Y31/86400</f>
        <v>0.66780092592592588</v>
      </c>
      <c r="Z31" s="46"/>
    </row>
    <row r="32" spans="1:26">
      <c r="A32" s="461">
        <v>31</v>
      </c>
      <c r="B32" s="468">
        <f>AgeStanSec!B32/86400</f>
        <v>1.8518518518518519E-3</v>
      </c>
      <c r="C32" s="468">
        <f>AgeStanSec!C32/86400</f>
        <v>3.0208333333333333E-3</v>
      </c>
      <c r="D32" s="468">
        <f>AgeStanSec!D32/86400</f>
        <v>5.7523148148148151E-3</v>
      </c>
      <c r="E32" s="468">
        <f>AgeStanSec!E32/86400</f>
        <v>9.7106481481481488E-3</v>
      </c>
      <c r="F32" s="105">
        <f>AgeStanSec!F32/86400</f>
        <v>1.173611111111111E-2</v>
      </c>
      <c r="G32" s="105">
        <f>AgeStanSec!G32/86400</f>
        <v>1.2650462962962962E-2</v>
      </c>
      <c r="H32" s="105">
        <f>AgeStanSec!H32/86400</f>
        <v>1.5868055555555555E-2</v>
      </c>
      <c r="I32" s="105">
        <f>AgeStanSec!I32/86400</f>
        <v>1.5983796296296298E-2</v>
      </c>
      <c r="J32" s="105">
        <f>AgeStanSec!J32/86400</f>
        <v>2.0046296296296295E-2</v>
      </c>
      <c r="K32" s="105">
        <f>AgeStanSec!K32/86400</f>
        <v>2.2650462962962963E-2</v>
      </c>
      <c r="L32" s="105">
        <f>AgeStanSec!L32/86400</f>
        <v>2.4212962962962964E-2</v>
      </c>
      <c r="M32" s="105">
        <f>AgeStanSec!M32/86400</f>
        <v>3.0543981481481481E-2</v>
      </c>
      <c r="N32" s="105">
        <f>AgeStanSec!N32/86400</f>
        <v>3.290509259259259E-2</v>
      </c>
      <c r="O32" s="105">
        <f>AgeStanSec!O32/86400</f>
        <v>4.1331018518518517E-2</v>
      </c>
      <c r="P32" s="105">
        <f>AgeStanSec!P32/86400</f>
        <v>4.3819444444444446E-2</v>
      </c>
      <c r="Q32" s="105">
        <f>AgeStanSec!Q32/86400</f>
        <v>5.226851851851852E-2</v>
      </c>
      <c r="R32" s="105">
        <f>AgeStanSec!R32/86400</f>
        <v>6.3298611111111111E-2</v>
      </c>
      <c r="S32" s="105">
        <f>AgeStanSec!S32/86400</f>
        <v>9.0497685185185181E-2</v>
      </c>
      <c r="T32" s="105">
        <f>AgeStanSec!T32/86400</f>
        <v>0.10900462962962963</v>
      </c>
      <c r="U32" s="105">
        <f>AgeStanSec!U32/86400</f>
        <v>0.19850694444444444</v>
      </c>
      <c r="V32" s="105">
        <f>AgeStanSec!V32/86400</f>
        <v>0.27386574074074072</v>
      </c>
      <c r="W32" s="105">
        <f>AgeStanSec!W32/86400</f>
        <v>0.46086805555555554</v>
      </c>
      <c r="X32" s="105">
        <f>AgeStanSec!X32/86400</f>
        <v>0.50498842592592597</v>
      </c>
      <c r="Y32" s="105">
        <f>AgeStanSec!Y32/86400</f>
        <v>0.66866898148148146</v>
      </c>
      <c r="Z32" s="46"/>
    </row>
    <row r="33" spans="1:26">
      <c r="A33" s="461">
        <v>32</v>
      </c>
      <c r="B33" s="468">
        <f>AgeStanSec!B33/86400</f>
        <v>1.8518518518518519E-3</v>
      </c>
      <c r="C33" s="468">
        <f>AgeStanSec!C33/86400</f>
        <v>3.0208333333333333E-3</v>
      </c>
      <c r="D33" s="468">
        <f>AgeStanSec!D33/86400</f>
        <v>5.7638888888888887E-3</v>
      </c>
      <c r="E33" s="468">
        <f>AgeStanSec!E33/86400</f>
        <v>9.7453703703703695E-3</v>
      </c>
      <c r="F33" s="105">
        <f>AgeStanSec!F33/86400</f>
        <v>1.1759259259259259E-2</v>
      </c>
      <c r="G33" s="105">
        <f>AgeStanSec!G33/86400</f>
        <v>1.2685185185185185E-2</v>
      </c>
      <c r="H33" s="105">
        <f>AgeStanSec!H33/86400</f>
        <v>1.5902777777777776E-2</v>
      </c>
      <c r="I33" s="105">
        <f>AgeStanSec!I33/86400</f>
        <v>1.6018518518518519E-2</v>
      </c>
      <c r="J33" s="105">
        <f>AgeStanSec!J33/86400</f>
        <v>2.0092592592592592E-2</v>
      </c>
      <c r="K33" s="105">
        <f>AgeStanSec!K33/86400</f>
        <v>2.269675925925926E-2</v>
      </c>
      <c r="L33" s="105">
        <f>AgeStanSec!L33/86400</f>
        <v>2.4259259259259258E-2</v>
      </c>
      <c r="M33" s="105">
        <f>AgeStanSec!M33/86400</f>
        <v>3.0601851851851852E-2</v>
      </c>
      <c r="N33" s="105">
        <f>AgeStanSec!N33/86400</f>
        <v>3.2974537037037038E-2</v>
      </c>
      <c r="O33" s="105">
        <f>AgeStanSec!O33/86400</f>
        <v>4.1412037037037039E-2</v>
      </c>
      <c r="P33" s="105">
        <f>AgeStanSec!P33/86400</f>
        <v>4.3912037037037034E-2</v>
      </c>
      <c r="Q33" s="105">
        <f>AgeStanSec!Q33/86400</f>
        <v>5.2372685185185182E-2</v>
      </c>
      <c r="R33" s="105">
        <f>AgeStanSec!R33/86400</f>
        <v>6.3414351851851847E-2</v>
      </c>
      <c r="S33" s="105">
        <f>AgeStanSec!S33/86400</f>
        <v>9.0659722222222225E-2</v>
      </c>
      <c r="T33" s="105">
        <f>AgeStanSec!T33/86400</f>
        <v>0.10918981481481481</v>
      </c>
      <c r="U33" s="105">
        <f>AgeStanSec!U33/86400</f>
        <v>0.19885416666666667</v>
      </c>
      <c r="V33" s="105">
        <f>AgeStanSec!V33/86400</f>
        <v>0.27432870370370371</v>
      </c>
      <c r="W33" s="105">
        <f>AgeStanSec!W33/86400</f>
        <v>0.46165509259259258</v>
      </c>
      <c r="X33" s="105">
        <f>AgeStanSec!X33/86400</f>
        <v>0.5058449074074074</v>
      </c>
      <c r="Y33" s="105">
        <f>AgeStanSec!Y33/86400</f>
        <v>0.66981481481481486</v>
      </c>
      <c r="Z33" s="46"/>
    </row>
    <row r="34" spans="1:26">
      <c r="A34" s="461">
        <v>33</v>
      </c>
      <c r="B34" s="468">
        <f>AgeStanSec!B34/86400</f>
        <v>1.8518518518518519E-3</v>
      </c>
      <c r="C34" s="468">
        <f>AgeStanSec!C34/86400</f>
        <v>3.0208333333333333E-3</v>
      </c>
      <c r="D34" s="468">
        <f>AgeStanSec!D34/86400</f>
        <v>5.7638888888888887E-3</v>
      </c>
      <c r="E34" s="468">
        <f>AgeStanSec!E34/86400</f>
        <v>9.780092592592592E-3</v>
      </c>
      <c r="F34" s="105">
        <f>AgeStanSec!F34/86400</f>
        <v>1.1805555555555555E-2</v>
      </c>
      <c r="G34" s="105">
        <f>AgeStanSec!G34/86400</f>
        <v>1.2719907407407407E-2</v>
      </c>
      <c r="H34" s="105">
        <f>AgeStanSec!H34/86400</f>
        <v>1.5949074074074074E-2</v>
      </c>
      <c r="I34" s="105">
        <f>AgeStanSec!I34/86400</f>
        <v>1.6064814814814816E-2</v>
      </c>
      <c r="J34" s="105">
        <f>AgeStanSec!J34/86400</f>
        <v>2.013888888888889E-2</v>
      </c>
      <c r="K34" s="105">
        <f>AgeStanSec!K34/86400</f>
        <v>2.2754629629629628E-2</v>
      </c>
      <c r="L34" s="105">
        <f>AgeStanSec!L34/86400</f>
        <v>2.431712962962963E-2</v>
      </c>
      <c r="M34" s="105">
        <f>AgeStanSec!M34/86400</f>
        <v>3.0682870370370371E-2</v>
      </c>
      <c r="N34" s="105">
        <f>AgeStanSec!N34/86400</f>
        <v>3.3055555555555553E-2</v>
      </c>
      <c r="O34" s="105">
        <f>AgeStanSec!O34/86400</f>
        <v>4.1516203703703701E-2</v>
      </c>
      <c r="P34" s="105">
        <f>AgeStanSec!P34/86400</f>
        <v>4.4027777777777777E-2</v>
      </c>
      <c r="Q34" s="105">
        <f>AgeStanSec!Q34/86400</f>
        <v>5.2511574074074072E-2</v>
      </c>
      <c r="R34" s="105">
        <f>AgeStanSec!R34/86400</f>
        <v>6.356481481481481E-2</v>
      </c>
      <c r="S34" s="105">
        <f>AgeStanSec!S34/86400</f>
        <v>9.0844907407407402E-2</v>
      </c>
      <c r="T34" s="105">
        <f>AgeStanSec!T34/86400</f>
        <v>0.10942129629629629</v>
      </c>
      <c r="U34" s="105">
        <f>AgeStanSec!U34/86400</f>
        <v>0.19927083333333334</v>
      </c>
      <c r="V34" s="105">
        <f>AgeStanSec!V34/86400</f>
        <v>0.27491898148148147</v>
      </c>
      <c r="W34" s="105">
        <f>AgeStanSec!W34/86400</f>
        <v>0.46263888888888888</v>
      </c>
      <c r="X34" s="105">
        <f>AgeStanSec!X34/86400</f>
        <v>0.50692129629629634</v>
      </c>
      <c r="Y34" s="105">
        <f>AgeStanSec!Y34/86400</f>
        <v>0.67122685185185182</v>
      </c>
      <c r="Z34" s="46"/>
    </row>
    <row r="35" spans="1:26">
      <c r="A35" s="461">
        <v>34</v>
      </c>
      <c r="B35" s="468">
        <f>AgeStanSec!B35/86400</f>
        <v>1.8518518518518519E-3</v>
      </c>
      <c r="C35" s="468">
        <f>AgeStanSec!C35/86400</f>
        <v>3.0208333333333333E-3</v>
      </c>
      <c r="D35" s="468">
        <f>AgeStanSec!D35/86400</f>
        <v>5.7754629629629631E-3</v>
      </c>
      <c r="E35" s="468">
        <f>AgeStanSec!E35/86400</f>
        <v>9.8148148148148144E-3</v>
      </c>
      <c r="F35" s="105">
        <f>AgeStanSec!F35/86400</f>
        <v>1.1840277777777778E-2</v>
      </c>
      <c r="G35" s="105">
        <f>AgeStanSec!G35/86400</f>
        <v>1.2766203703703703E-2</v>
      </c>
      <c r="H35" s="105">
        <f>AgeStanSec!H35/86400</f>
        <v>1.6006944444444445E-2</v>
      </c>
      <c r="I35" s="105">
        <f>AgeStanSec!I35/86400</f>
        <v>1.6122685185185184E-2</v>
      </c>
      <c r="J35" s="105">
        <f>AgeStanSec!J35/86400</f>
        <v>2.0196759259259258E-2</v>
      </c>
      <c r="K35" s="105">
        <f>AgeStanSec!K35/86400</f>
        <v>2.2824074074074073E-2</v>
      </c>
      <c r="L35" s="105">
        <f>AgeStanSec!L35/86400</f>
        <v>2.4386574074074074E-2</v>
      </c>
      <c r="M35" s="105">
        <f>AgeStanSec!M35/86400</f>
        <v>3.0775462962962963E-2</v>
      </c>
      <c r="N35" s="105">
        <f>AgeStanSec!N35/86400</f>
        <v>3.3148148148148149E-2</v>
      </c>
      <c r="O35" s="105">
        <f>AgeStanSec!O35/86400</f>
        <v>4.1643518518518517E-2</v>
      </c>
      <c r="P35" s="105">
        <f>AgeStanSec!P35/86400</f>
        <v>4.4166666666666667E-2</v>
      </c>
      <c r="Q35" s="105">
        <f>AgeStanSec!Q35/86400</f>
        <v>5.2662037037037035E-2</v>
      </c>
      <c r="R35" s="105">
        <f>AgeStanSec!R35/86400</f>
        <v>6.3738425925925921E-2</v>
      </c>
      <c r="S35" s="105">
        <f>AgeStanSec!S35/86400</f>
        <v>9.1076388888888887E-2</v>
      </c>
      <c r="T35" s="105">
        <f>AgeStanSec!T35/86400</f>
        <v>0.10969907407407407</v>
      </c>
      <c r="U35" s="105">
        <f>AgeStanSec!U35/86400</f>
        <v>0.19978009259259261</v>
      </c>
      <c r="V35" s="105">
        <f>AgeStanSec!V35/86400</f>
        <v>0.27560185185185188</v>
      </c>
      <c r="W35" s="105">
        <f>AgeStanSec!W35/86400</f>
        <v>0.46380787037037036</v>
      </c>
      <c r="X35" s="105">
        <f>AgeStanSec!X35/86400</f>
        <v>0.50819444444444439</v>
      </c>
      <c r="Y35" s="105">
        <f>AgeStanSec!Y35/86400</f>
        <v>0.67292824074074076</v>
      </c>
      <c r="Z35" s="46"/>
    </row>
    <row r="36" spans="1:26">
      <c r="A36" s="466">
        <v>35</v>
      </c>
      <c r="B36" s="436">
        <f>AgeStanSec!B36/86400</f>
        <v>1.8518518518518519E-3</v>
      </c>
      <c r="C36" s="436">
        <f>AgeStanSec!C36/86400</f>
        <v>3.0439814814814813E-3</v>
      </c>
      <c r="D36" s="436">
        <f>AgeStanSec!D36/86400</f>
        <v>5.8101851851851856E-3</v>
      </c>
      <c r="E36" s="436">
        <f>AgeStanSec!E36/86400</f>
        <v>9.8611111111111104E-3</v>
      </c>
      <c r="F36" s="106">
        <f>AgeStanSec!F36/86400</f>
        <v>1.1898148148148149E-2</v>
      </c>
      <c r="G36" s="106">
        <f>AgeStanSec!G36/86400</f>
        <v>1.2812499999999999E-2</v>
      </c>
      <c r="H36" s="106">
        <f>AgeStanSec!H36/86400</f>
        <v>1.6064814814814816E-2</v>
      </c>
      <c r="I36" s="106">
        <f>AgeStanSec!I36/86400</f>
        <v>1.6180555555555556E-2</v>
      </c>
      <c r="J36" s="106">
        <f>AgeStanSec!J36/86400</f>
        <v>2.0266203703703703E-2</v>
      </c>
      <c r="K36" s="436">
        <f>AgeStanSec!K36/86400</f>
        <v>2.2893518518518518E-2</v>
      </c>
      <c r="L36" s="106">
        <f>AgeStanSec!L36/86400</f>
        <v>2.4479166666666666E-2</v>
      </c>
      <c r="M36" s="106">
        <f>AgeStanSec!M36/86400</f>
        <v>3.0879629629629628E-2</v>
      </c>
      <c r="N36" s="106">
        <f>AgeStanSec!N36/86400</f>
        <v>3.3275462962962965E-2</v>
      </c>
      <c r="O36" s="106">
        <f>AgeStanSec!O36/86400</f>
        <v>4.1793981481481481E-2</v>
      </c>
      <c r="P36" s="106">
        <f>AgeStanSec!P36/86400</f>
        <v>4.4328703703703703E-2</v>
      </c>
      <c r="Q36" s="106">
        <f>AgeStanSec!Q36/86400</f>
        <v>5.2847222222222219E-2</v>
      </c>
      <c r="R36" s="106">
        <f>AgeStanSec!R36/86400</f>
        <v>6.3946759259259259E-2</v>
      </c>
      <c r="S36" s="106">
        <f>AgeStanSec!S36/86400</f>
        <v>9.133101851851852E-2</v>
      </c>
      <c r="T36" s="106">
        <f>AgeStanSec!T36/86400</f>
        <v>0.11001157407407407</v>
      </c>
      <c r="U36" s="106">
        <f>AgeStanSec!U36/86400</f>
        <v>0.20033564814814814</v>
      </c>
      <c r="V36" s="106">
        <f>AgeStanSec!V36/86400</f>
        <v>0.27638888888888891</v>
      </c>
      <c r="W36" s="106">
        <f>AgeStanSec!W36/86400</f>
        <v>0.46511574074074075</v>
      </c>
      <c r="X36" s="106">
        <f>AgeStanSec!X36/86400</f>
        <v>0.50964120370370369</v>
      </c>
      <c r="Y36" s="106">
        <f>AgeStanSec!Y36/86400</f>
        <v>0.67482638888888891</v>
      </c>
      <c r="Z36" s="46"/>
    </row>
    <row r="37" spans="1:26">
      <c r="A37" s="461">
        <v>36</v>
      </c>
      <c r="B37" s="468">
        <f>AgeStanSec!B37/86400</f>
        <v>1.8634259259259259E-3</v>
      </c>
      <c r="C37" s="468">
        <f>AgeStanSec!C37/86400</f>
        <v>3.0439814814814813E-3</v>
      </c>
      <c r="D37" s="468">
        <f>AgeStanSec!D37/86400</f>
        <v>5.8333333333333336E-3</v>
      </c>
      <c r="E37" s="468">
        <f>AgeStanSec!E37/86400</f>
        <v>9.9074074074074082E-3</v>
      </c>
      <c r="F37" s="105">
        <f>AgeStanSec!F37/86400</f>
        <v>1.1944444444444445E-2</v>
      </c>
      <c r="G37" s="105">
        <f>AgeStanSec!G37/86400</f>
        <v>1.2870370370370371E-2</v>
      </c>
      <c r="H37" s="105">
        <f>AgeStanSec!H37/86400</f>
        <v>1.6134259259259258E-2</v>
      </c>
      <c r="I37" s="105">
        <f>AgeStanSec!I37/86400</f>
        <v>1.6250000000000001E-2</v>
      </c>
      <c r="J37" s="105">
        <f>AgeStanSec!J37/86400</f>
        <v>2.0347222222222221E-2</v>
      </c>
      <c r="K37" s="105">
        <f>AgeStanSec!K37/86400</f>
        <v>2.298611111111111E-2</v>
      </c>
      <c r="L37" s="105">
        <f>AgeStanSec!L37/86400</f>
        <v>2.4571759259259258E-2</v>
      </c>
      <c r="M37" s="105">
        <f>AgeStanSec!M37/86400</f>
        <v>3.1006944444444445E-2</v>
      </c>
      <c r="N37" s="105">
        <f>AgeStanSec!N37/86400</f>
        <v>3.3402777777777781E-2</v>
      </c>
      <c r="O37" s="105">
        <f>AgeStanSec!O37/86400</f>
        <v>4.1967592592592591E-2</v>
      </c>
      <c r="P37" s="105">
        <f>AgeStanSec!P37/86400</f>
        <v>4.4502314814814814E-2</v>
      </c>
      <c r="Q37" s="105">
        <f>AgeStanSec!Q37/86400</f>
        <v>5.3043981481481484E-2</v>
      </c>
      <c r="R37" s="105">
        <f>AgeStanSec!R37/86400</f>
        <v>6.4178240740740744E-2</v>
      </c>
      <c r="S37" s="105">
        <f>AgeStanSec!S37/86400</f>
        <v>9.1631944444444446E-2</v>
      </c>
      <c r="T37" s="105">
        <f>AgeStanSec!T37/86400</f>
        <v>0.11037037037037037</v>
      </c>
      <c r="U37" s="105">
        <f>AgeStanSec!U37/86400</f>
        <v>0.20099537037037038</v>
      </c>
      <c r="V37" s="105">
        <f>AgeStanSec!V37/86400</f>
        <v>0.27729166666666666</v>
      </c>
      <c r="W37" s="105">
        <f>AgeStanSec!W37/86400</f>
        <v>0.46663194444444445</v>
      </c>
      <c r="X37" s="105">
        <f>AgeStanSec!X37/86400</f>
        <v>0.51129629629629625</v>
      </c>
      <c r="Y37" s="105">
        <f>AgeStanSec!Y37/86400</f>
        <v>0.67702546296296295</v>
      </c>
      <c r="Z37" s="46"/>
    </row>
    <row r="38" spans="1:26">
      <c r="A38" s="461">
        <v>37</v>
      </c>
      <c r="B38" s="468">
        <f>AgeStanSec!B38/86400</f>
        <v>1.8634259259259259E-3</v>
      </c>
      <c r="C38" s="468">
        <f>AgeStanSec!C38/86400</f>
        <v>3.0555555555555557E-3</v>
      </c>
      <c r="D38" s="468">
        <f>AgeStanSec!D38/86400</f>
        <v>5.8564814814814816E-3</v>
      </c>
      <c r="E38" s="468">
        <f>AgeStanSec!E38/86400</f>
        <v>9.9652777777777778E-3</v>
      </c>
      <c r="F38" s="105">
        <f>AgeStanSec!F38/86400</f>
        <v>1.2013888888888888E-2</v>
      </c>
      <c r="G38" s="105">
        <f>AgeStanSec!G38/86400</f>
        <v>1.2939814814814815E-2</v>
      </c>
      <c r="H38" s="105">
        <f>AgeStanSec!H38/86400</f>
        <v>1.6203703703703703E-2</v>
      </c>
      <c r="I38" s="105">
        <f>AgeStanSec!I38/86400</f>
        <v>1.6319444444444445E-2</v>
      </c>
      <c r="J38" s="105">
        <f>AgeStanSec!J38/86400</f>
        <v>2.042824074074074E-2</v>
      </c>
      <c r="K38" s="105">
        <f>AgeStanSec!K38/86400</f>
        <v>2.3090277777777779E-2</v>
      </c>
      <c r="L38" s="105">
        <f>AgeStanSec!L38/86400</f>
        <v>2.4675925925925928E-2</v>
      </c>
      <c r="M38" s="105">
        <f>AgeStanSec!M38/86400</f>
        <v>3.1145833333333334E-2</v>
      </c>
      <c r="N38" s="105">
        <f>AgeStanSec!N38/86400</f>
        <v>3.3553240740740738E-2</v>
      </c>
      <c r="O38" s="105">
        <f>AgeStanSec!O38/86400</f>
        <v>4.2164351851851849E-2</v>
      </c>
      <c r="P38" s="105">
        <f>AgeStanSec!P38/86400</f>
        <v>4.4710648148148145E-2</v>
      </c>
      <c r="Q38" s="105">
        <f>AgeStanSec!Q38/86400</f>
        <v>5.3275462962962962E-2</v>
      </c>
      <c r="R38" s="105">
        <f>AgeStanSec!R38/86400</f>
        <v>6.4444444444444443E-2</v>
      </c>
      <c r="S38" s="105">
        <f>AgeStanSec!S38/86400</f>
        <v>9.1967592592592587E-2</v>
      </c>
      <c r="T38" s="105">
        <f>AgeStanSec!T38/86400</f>
        <v>0.11077546296296296</v>
      </c>
      <c r="U38" s="105">
        <f>AgeStanSec!U38/86400</f>
        <v>0.20172453703703705</v>
      </c>
      <c r="V38" s="105">
        <f>AgeStanSec!V38/86400</f>
        <v>0.27829861111111109</v>
      </c>
      <c r="W38" s="105">
        <f>AgeStanSec!W38/86400</f>
        <v>0.46834490740740742</v>
      </c>
      <c r="X38" s="105">
        <f>AgeStanSec!X38/86400</f>
        <v>0.51317129629629632</v>
      </c>
      <c r="Y38" s="105">
        <f>AgeStanSec!Y38/86400</f>
        <v>0.67951388888888886</v>
      </c>
      <c r="Z38" s="46"/>
    </row>
    <row r="39" spans="1:26">
      <c r="A39" s="461">
        <v>38</v>
      </c>
      <c r="B39" s="468">
        <f>AgeStanSec!B39/86400</f>
        <v>1.8634259259259259E-3</v>
      </c>
      <c r="C39" s="468">
        <f>AgeStanSec!C39/86400</f>
        <v>3.0671296296296297E-3</v>
      </c>
      <c r="D39" s="468">
        <f>AgeStanSec!D39/86400</f>
        <v>5.8912037037037041E-3</v>
      </c>
      <c r="E39" s="468">
        <f>AgeStanSec!E39/86400</f>
        <v>1.0023148148148147E-2</v>
      </c>
      <c r="F39" s="105">
        <f>AgeStanSec!F39/86400</f>
        <v>1.2083333333333333E-2</v>
      </c>
      <c r="G39" s="105">
        <f>AgeStanSec!G39/86400</f>
        <v>1.3009259259259259E-2</v>
      </c>
      <c r="H39" s="105">
        <f>AgeStanSec!H39/86400</f>
        <v>1.6296296296296295E-2</v>
      </c>
      <c r="I39" s="105">
        <f>AgeStanSec!I39/86400</f>
        <v>1.6412037037037037E-2</v>
      </c>
      <c r="J39" s="105">
        <f>AgeStanSec!J39/86400</f>
        <v>2.0532407407407409E-2</v>
      </c>
      <c r="K39" s="105">
        <f>AgeStanSec!K39/86400</f>
        <v>2.3206018518518518E-2</v>
      </c>
      <c r="L39" s="105">
        <f>AgeStanSec!L39/86400</f>
        <v>2.480324074074074E-2</v>
      </c>
      <c r="M39" s="105">
        <f>AgeStanSec!M39/86400</f>
        <v>3.1296296296296294E-2</v>
      </c>
      <c r="N39" s="105">
        <f>AgeStanSec!N39/86400</f>
        <v>3.3726851851851855E-2</v>
      </c>
      <c r="O39" s="105">
        <f>AgeStanSec!O39/86400</f>
        <v>4.2372685185185187E-2</v>
      </c>
      <c r="P39" s="105">
        <f>AgeStanSec!P39/86400</f>
        <v>4.494212962962963E-2</v>
      </c>
      <c r="Q39" s="105">
        <f>AgeStanSec!Q39/86400</f>
        <v>5.3541666666666668E-2</v>
      </c>
      <c r="R39" s="105">
        <f>AgeStanSec!R39/86400</f>
        <v>6.474537037037037E-2</v>
      </c>
      <c r="S39" s="105">
        <f>AgeStanSec!S39/86400</f>
        <v>9.2349537037037036E-2</v>
      </c>
      <c r="T39" s="105">
        <f>AgeStanSec!T39/86400</f>
        <v>0.11122685185185185</v>
      </c>
      <c r="U39" s="105">
        <f>AgeStanSec!U39/86400</f>
        <v>0.20255787037037037</v>
      </c>
      <c r="V39" s="105">
        <f>AgeStanSec!V39/86400</f>
        <v>0.27944444444444444</v>
      </c>
      <c r="W39" s="105">
        <f>AgeStanSec!W39/86400</f>
        <v>0.47025462962962961</v>
      </c>
      <c r="X39" s="105">
        <f>AgeStanSec!X39/86400</f>
        <v>0.51526620370370368</v>
      </c>
      <c r="Y39" s="105">
        <f>AgeStanSec!Y39/86400</f>
        <v>0.68229166666666663</v>
      </c>
      <c r="Z39" s="46"/>
    </row>
    <row r="40" spans="1:26">
      <c r="A40" s="461">
        <v>39</v>
      </c>
      <c r="B40" s="468">
        <f>AgeStanSec!B40/86400</f>
        <v>1.8749999999999999E-3</v>
      </c>
      <c r="C40" s="468">
        <f>AgeStanSec!C40/86400</f>
        <v>3.0787037037037037E-3</v>
      </c>
      <c r="D40" s="468">
        <f>AgeStanSec!D40/86400</f>
        <v>5.9259259259259256E-3</v>
      </c>
      <c r="E40" s="468">
        <f>AgeStanSec!E40/86400</f>
        <v>1.0092592592592592E-2</v>
      </c>
      <c r="F40" s="105">
        <f>AgeStanSec!F40/86400</f>
        <v>1.2152777777777778E-2</v>
      </c>
      <c r="G40" s="105">
        <f>AgeStanSec!G40/86400</f>
        <v>1.3090277777777777E-2</v>
      </c>
      <c r="H40" s="105">
        <f>AgeStanSec!H40/86400</f>
        <v>1.638888888888889E-2</v>
      </c>
      <c r="I40" s="105">
        <f>AgeStanSec!I40/86400</f>
        <v>1.650462962962963E-2</v>
      </c>
      <c r="J40" s="105">
        <f>AgeStanSec!J40/86400</f>
        <v>2.0636574074074075E-2</v>
      </c>
      <c r="K40" s="105">
        <f>AgeStanSec!K40/86400</f>
        <v>2.3321759259259261E-2</v>
      </c>
      <c r="L40" s="105">
        <f>AgeStanSec!L40/86400</f>
        <v>2.4930555555555556E-2</v>
      </c>
      <c r="M40" s="105">
        <f>AgeStanSec!M40/86400</f>
        <v>3.1469907407407405E-2</v>
      </c>
      <c r="N40" s="105">
        <f>AgeStanSec!N40/86400</f>
        <v>3.3912037037037039E-2</v>
      </c>
      <c r="O40" s="105">
        <f>AgeStanSec!O40/86400</f>
        <v>4.2615740740740739E-2</v>
      </c>
      <c r="P40" s="105">
        <f>AgeStanSec!P40/86400</f>
        <v>4.5196759259259256E-2</v>
      </c>
      <c r="Q40" s="105">
        <f>AgeStanSec!Q40/86400</f>
        <v>5.3831018518518521E-2</v>
      </c>
      <c r="R40" s="105">
        <f>AgeStanSec!R40/86400</f>
        <v>6.5069444444444444E-2</v>
      </c>
      <c r="S40" s="105">
        <f>AgeStanSec!S40/86400</f>
        <v>9.2766203703703698E-2</v>
      </c>
      <c r="T40" s="105">
        <f>AgeStanSec!T40/86400</f>
        <v>0.11173611111111111</v>
      </c>
      <c r="U40" s="105">
        <f>AgeStanSec!U40/86400</f>
        <v>0.20347222222222222</v>
      </c>
      <c r="V40" s="105">
        <f>AgeStanSec!V40/86400</f>
        <v>0.28070601851851851</v>
      </c>
      <c r="W40" s="105">
        <f>AgeStanSec!W40/86400</f>
        <v>0.47238425925925925</v>
      </c>
      <c r="X40" s="105">
        <f>AgeStanSec!X40/86400</f>
        <v>0.51760416666666664</v>
      </c>
      <c r="Y40" s="105">
        <f>AgeStanSec!Y40/86400</f>
        <v>0.68538194444444445</v>
      </c>
      <c r="Z40" s="46"/>
    </row>
    <row r="41" spans="1:26">
      <c r="A41" s="466">
        <v>40</v>
      </c>
      <c r="B41" s="436">
        <f>AgeStanSec!B41/86400</f>
        <v>1.8749999999999999E-3</v>
      </c>
      <c r="C41" s="436">
        <f>AgeStanSec!C41/86400</f>
        <v>3.1018518518518517E-3</v>
      </c>
      <c r="D41" s="436">
        <f>AgeStanSec!D41/86400</f>
        <v>5.9606481481481481E-3</v>
      </c>
      <c r="E41" s="436">
        <f>AgeStanSec!E41/86400</f>
        <v>1.0162037037037037E-2</v>
      </c>
      <c r="F41" s="106">
        <f>AgeStanSec!F41/86400</f>
        <v>1.2233796296296296E-2</v>
      </c>
      <c r="G41" s="106">
        <f>AgeStanSec!G41/86400</f>
        <v>1.3182870370370371E-2</v>
      </c>
      <c r="H41" s="106">
        <f>AgeStanSec!H41/86400</f>
        <v>1.6481481481481482E-2</v>
      </c>
      <c r="I41" s="106">
        <f>AgeStanSec!I41/86400</f>
        <v>1.6608796296296295E-2</v>
      </c>
      <c r="J41" s="106">
        <f>AgeStanSec!J41/86400</f>
        <v>2.0763888888888887E-2</v>
      </c>
      <c r="K41" s="436">
        <f>AgeStanSec!K41/86400</f>
        <v>2.3460648148148147E-2</v>
      </c>
      <c r="L41" s="106">
        <f>AgeStanSec!L41/86400</f>
        <v>2.508101851851852E-2</v>
      </c>
      <c r="M41" s="106">
        <f>AgeStanSec!M41/86400</f>
        <v>3.1655092592592596E-2</v>
      </c>
      <c r="N41" s="106">
        <f>AgeStanSec!N41/86400</f>
        <v>3.4108796296296297E-2</v>
      </c>
      <c r="O41" s="106">
        <f>AgeStanSec!O41/86400</f>
        <v>4.2870370370370371E-2</v>
      </c>
      <c r="P41" s="106">
        <f>AgeStanSec!P41/86400</f>
        <v>4.5474537037037036E-2</v>
      </c>
      <c r="Q41" s="106">
        <f>AgeStanSec!Q41/86400</f>
        <v>5.4143518518518521E-2</v>
      </c>
      <c r="R41" s="106">
        <f>AgeStanSec!R41/86400</f>
        <v>6.5428240740740745E-2</v>
      </c>
      <c r="S41" s="106">
        <f>AgeStanSec!S41/86400</f>
        <v>9.3217592592592588E-2</v>
      </c>
      <c r="T41" s="106">
        <f>AgeStanSec!T41/86400</f>
        <v>0.11226851851851852</v>
      </c>
      <c r="U41" s="106">
        <f>AgeStanSec!U41/86400</f>
        <v>0.20445601851851852</v>
      </c>
      <c r="V41" s="106">
        <f>AgeStanSec!V41/86400</f>
        <v>0.28207175925925926</v>
      </c>
      <c r="W41" s="106">
        <f>AgeStanSec!W41/86400</f>
        <v>0.47467592592592595</v>
      </c>
      <c r="X41" s="106">
        <f>AgeStanSec!X41/86400</f>
        <v>0.52011574074074074</v>
      </c>
      <c r="Y41" s="106">
        <f>AgeStanSec!Y41/86400</f>
        <v>0.68870370370370371</v>
      </c>
      <c r="Z41" s="46"/>
    </row>
    <row r="42" spans="1:26">
      <c r="A42" s="461">
        <v>41</v>
      </c>
      <c r="B42" s="468">
        <f>AgeStanSec!B42/86400</f>
        <v>1.8865740740740742E-3</v>
      </c>
      <c r="C42" s="468">
        <f>AgeStanSec!C42/86400</f>
        <v>3.1134259259259257E-3</v>
      </c>
      <c r="D42" s="468">
        <f>AgeStanSec!D42/86400</f>
        <v>5.9953703703703705E-3</v>
      </c>
      <c r="E42" s="468">
        <f>AgeStanSec!E42/86400</f>
        <v>1.0243055555555556E-2</v>
      </c>
      <c r="F42" s="105">
        <f>AgeStanSec!F42/86400</f>
        <v>1.2326388888888888E-2</v>
      </c>
      <c r="G42" s="105">
        <f>AgeStanSec!G42/86400</f>
        <v>1.3275462962962963E-2</v>
      </c>
      <c r="H42" s="105">
        <f>AgeStanSec!H42/86400</f>
        <v>1.6597222222222222E-2</v>
      </c>
      <c r="I42" s="105">
        <f>AgeStanSec!I42/86400</f>
        <v>1.6712962962962964E-2</v>
      </c>
      <c r="J42" s="105">
        <f>AgeStanSec!J42/86400</f>
        <v>2.0891203703703703E-2</v>
      </c>
      <c r="K42" s="105">
        <f>AgeStanSec!K42/86400</f>
        <v>2.361111111111111E-2</v>
      </c>
      <c r="L42" s="105">
        <f>AgeStanSec!L42/86400</f>
        <v>2.5243055555555557E-2</v>
      </c>
      <c r="M42" s="105">
        <f>AgeStanSec!M42/86400</f>
        <v>3.1863425925925927E-2</v>
      </c>
      <c r="N42" s="105">
        <f>AgeStanSec!N42/86400</f>
        <v>3.4340277777777775E-2</v>
      </c>
      <c r="O42" s="105">
        <f>AgeStanSec!O42/86400</f>
        <v>4.3159722222222224E-2</v>
      </c>
      <c r="P42" s="105">
        <f>AgeStanSec!P42/86400</f>
        <v>4.5775462962962962E-2</v>
      </c>
      <c r="Q42" s="105">
        <f>AgeStanSec!Q42/86400</f>
        <v>5.4479166666666669E-2</v>
      </c>
      <c r="R42" s="105">
        <f>AgeStanSec!R42/86400</f>
        <v>6.582175925925926E-2</v>
      </c>
      <c r="S42" s="105">
        <f>AgeStanSec!S42/86400</f>
        <v>9.3703703703703706E-2</v>
      </c>
      <c r="T42" s="105">
        <f>AgeStanSec!T42/86400</f>
        <v>0.11287037037037037</v>
      </c>
      <c r="U42" s="105">
        <f>AgeStanSec!U42/86400</f>
        <v>0.20554398148148148</v>
      </c>
      <c r="V42" s="105">
        <f>AgeStanSec!V42/86400</f>
        <v>0.28356481481481483</v>
      </c>
      <c r="W42" s="105">
        <f>AgeStanSec!W42/86400</f>
        <v>0.47719907407407408</v>
      </c>
      <c r="X42" s="105">
        <f>AgeStanSec!X42/86400</f>
        <v>0.52287037037037032</v>
      </c>
      <c r="Y42" s="105">
        <f>AgeStanSec!Y42/86400</f>
        <v>0.69234953703703705</v>
      </c>
      <c r="Z42" s="46"/>
    </row>
    <row r="43" spans="1:26">
      <c r="A43" s="461">
        <v>42</v>
      </c>
      <c r="B43" s="468">
        <f>AgeStanSec!B43/86400</f>
        <v>1.8981481481481482E-3</v>
      </c>
      <c r="C43" s="468">
        <f>AgeStanSec!C43/86400</f>
        <v>3.1365740740740742E-3</v>
      </c>
      <c r="D43" s="468">
        <f>AgeStanSec!D43/86400</f>
        <v>6.0416666666666665E-3</v>
      </c>
      <c r="E43" s="468">
        <f>AgeStanSec!E43/86400</f>
        <v>1.0324074074074074E-2</v>
      </c>
      <c r="F43" s="105">
        <f>AgeStanSec!F43/86400</f>
        <v>1.2430555555555556E-2</v>
      </c>
      <c r="G43" s="105">
        <f>AgeStanSec!G43/86400</f>
        <v>1.337962962962963E-2</v>
      </c>
      <c r="H43" s="105">
        <f>AgeStanSec!H43/86400</f>
        <v>1.6712962962962964E-2</v>
      </c>
      <c r="I43" s="105">
        <f>AgeStanSec!I43/86400</f>
        <v>1.6840277777777777E-2</v>
      </c>
      <c r="J43" s="105">
        <f>AgeStanSec!J43/86400</f>
        <v>2.1030092592592593E-2</v>
      </c>
      <c r="K43" s="105">
        <f>AgeStanSec!K43/86400</f>
        <v>2.3773148148148147E-2</v>
      </c>
      <c r="L43" s="105">
        <f>AgeStanSec!L43/86400</f>
        <v>2.5416666666666667E-2</v>
      </c>
      <c r="M43" s="105">
        <f>AgeStanSec!M43/86400</f>
        <v>3.2094907407407405E-2</v>
      </c>
      <c r="N43" s="105">
        <f>AgeStanSec!N43/86400</f>
        <v>3.4583333333333334E-2</v>
      </c>
      <c r="O43" s="105">
        <f>AgeStanSec!O43/86400</f>
        <v>4.3472222222222225E-2</v>
      </c>
      <c r="P43" s="105">
        <f>AgeStanSec!P43/86400</f>
        <v>4.611111111111111E-2</v>
      </c>
      <c r="Q43" s="105">
        <f>AgeStanSec!Q43/86400</f>
        <v>5.486111111111111E-2</v>
      </c>
      <c r="R43" s="105">
        <f>AgeStanSec!R43/86400</f>
        <v>6.6250000000000003E-2</v>
      </c>
      <c r="S43" s="105">
        <f>AgeStanSec!S43/86400</f>
        <v>9.4247685185185184E-2</v>
      </c>
      <c r="T43" s="105">
        <f>AgeStanSec!T43/86400</f>
        <v>0.11351851851851852</v>
      </c>
      <c r="U43" s="105">
        <f>AgeStanSec!U43/86400</f>
        <v>0.20672453703703703</v>
      </c>
      <c r="V43" s="105">
        <f>AgeStanSec!V43/86400</f>
        <v>0.28519675925925925</v>
      </c>
      <c r="W43" s="105">
        <f>AgeStanSec!W43/86400</f>
        <v>0.47993055555555558</v>
      </c>
      <c r="X43" s="105">
        <f>AgeStanSec!X43/86400</f>
        <v>0.52587962962962964</v>
      </c>
      <c r="Y43" s="105">
        <f>AgeStanSec!Y43/86400</f>
        <v>0.69633101851851853</v>
      </c>
      <c r="Z43" s="46"/>
    </row>
    <row r="44" spans="1:26">
      <c r="A44" s="461">
        <v>43</v>
      </c>
      <c r="B44" s="468">
        <f>AgeStanSec!B44/86400</f>
        <v>1.9097222222222222E-3</v>
      </c>
      <c r="C44" s="468">
        <f>AgeStanSec!C44/86400</f>
        <v>3.1597222222222222E-3</v>
      </c>
      <c r="D44" s="468">
        <f>AgeStanSec!D44/86400</f>
        <v>6.0879629629629626E-3</v>
      </c>
      <c r="E44" s="468">
        <f>AgeStanSec!E44/86400</f>
        <v>1.0416666666666666E-2</v>
      </c>
      <c r="F44" s="105">
        <f>AgeStanSec!F44/86400</f>
        <v>1.2534722222222221E-2</v>
      </c>
      <c r="G44" s="105">
        <f>AgeStanSec!G44/86400</f>
        <v>1.3495370370370371E-2</v>
      </c>
      <c r="H44" s="105">
        <f>AgeStanSec!H44/86400</f>
        <v>1.6851851851851851E-2</v>
      </c>
      <c r="I44" s="105">
        <f>AgeStanSec!I44/86400</f>
        <v>1.6967592592592593E-2</v>
      </c>
      <c r="J44" s="105">
        <f>AgeStanSec!J44/86400</f>
        <v>2.119212962962963E-2</v>
      </c>
      <c r="K44" s="105">
        <f>AgeStanSec!K44/86400</f>
        <v>2.3946759259259258E-2</v>
      </c>
      <c r="L44" s="105">
        <f>AgeStanSec!L44/86400</f>
        <v>2.5601851851851851E-2</v>
      </c>
      <c r="M44" s="105">
        <f>AgeStanSec!M44/86400</f>
        <v>3.2337962962962964E-2</v>
      </c>
      <c r="N44" s="105">
        <f>AgeStanSec!N44/86400</f>
        <v>3.484953703703704E-2</v>
      </c>
      <c r="O44" s="105">
        <f>AgeStanSec!O44/86400</f>
        <v>4.3807870370370372E-2</v>
      </c>
      <c r="P44" s="105">
        <f>AgeStanSec!P44/86400</f>
        <v>4.6469907407407404E-2</v>
      </c>
      <c r="Q44" s="105">
        <f>AgeStanSec!Q44/86400</f>
        <v>5.5266203703703706E-2</v>
      </c>
      <c r="R44" s="105">
        <f>AgeStanSec!R44/86400</f>
        <v>6.671296296296296E-2</v>
      </c>
      <c r="S44" s="105">
        <f>AgeStanSec!S44/86400</f>
        <v>9.4826388888888891E-2</v>
      </c>
      <c r="T44" s="105">
        <f>AgeStanSec!T44/86400</f>
        <v>0.11422453703703704</v>
      </c>
      <c r="U44" s="105">
        <f>AgeStanSec!U44/86400</f>
        <v>0.20800925925925925</v>
      </c>
      <c r="V44" s="105">
        <f>AgeStanSec!V44/86400</f>
        <v>0.28695601851851854</v>
      </c>
      <c r="W44" s="105">
        <f>AgeStanSec!W44/86400</f>
        <v>0.48291666666666666</v>
      </c>
      <c r="X44" s="105">
        <f>AgeStanSec!X44/86400</f>
        <v>0.52913194444444445</v>
      </c>
      <c r="Y44" s="105">
        <f>AgeStanSec!Y44/86400</f>
        <v>0.70064814814814813</v>
      </c>
      <c r="Z44" s="46"/>
    </row>
    <row r="45" spans="1:26">
      <c r="A45" s="461">
        <v>44</v>
      </c>
      <c r="B45" s="468">
        <f>AgeStanSec!B45/86400</f>
        <v>1.9212962962962964E-3</v>
      </c>
      <c r="C45" s="468">
        <f>AgeStanSec!C45/86400</f>
        <v>3.1828703703703702E-3</v>
      </c>
      <c r="D45" s="468">
        <f>AgeStanSec!D45/86400</f>
        <v>6.145833333333333E-3</v>
      </c>
      <c r="E45" s="468">
        <f>AgeStanSec!E45/86400</f>
        <v>1.0520833333333333E-2</v>
      </c>
      <c r="F45" s="105">
        <f>AgeStanSec!F45/86400</f>
        <v>1.2650462962962962E-2</v>
      </c>
      <c r="G45" s="105">
        <f>AgeStanSec!G45/86400</f>
        <v>1.3622685185185186E-2</v>
      </c>
      <c r="H45" s="105">
        <f>AgeStanSec!H45/86400</f>
        <v>1.699074074074074E-2</v>
      </c>
      <c r="I45" s="105">
        <f>AgeStanSec!I45/86400</f>
        <v>1.7118055555555556E-2</v>
      </c>
      <c r="J45" s="105">
        <f>AgeStanSec!J45/86400</f>
        <v>2.1354166666666667E-2</v>
      </c>
      <c r="K45" s="105">
        <f>AgeStanSec!K45/86400</f>
        <v>2.4143518518518519E-2</v>
      </c>
      <c r="L45" s="105">
        <f>AgeStanSec!L45/86400</f>
        <v>2.5810185185185186E-2</v>
      </c>
      <c r="M45" s="105">
        <f>AgeStanSec!M45/86400</f>
        <v>3.259259259259259E-2</v>
      </c>
      <c r="N45" s="105">
        <f>AgeStanSec!N45/86400</f>
        <v>3.5127314814814813E-2</v>
      </c>
      <c r="O45" s="105">
        <f>AgeStanSec!O45/86400</f>
        <v>4.417824074074074E-2</v>
      </c>
      <c r="P45" s="105">
        <f>AgeStanSec!P45/86400</f>
        <v>4.6863425925925926E-2</v>
      </c>
      <c r="Q45" s="105">
        <f>AgeStanSec!Q45/86400</f>
        <v>5.5706018518518516E-2</v>
      </c>
      <c r="R45" s="105">
        <f>AgeStanSec!R45/86400</f>
        <v>6.7210648148148144E-2</v>
      </c>
      <c r="S45" s="105">
        <f>AgeStanSec!S45/86400</f>
        <v>9.5451388888888891E-2</v>
      </c>
      <c r="T45" s="105">
        <f>AgeStanSec!T45/86400</f>
        <v>0.11496527777777778</v>
      </c>
      <c r="U45" s="105">
        <f>AgeStanSec!U45/86400</f>
        <v>0.20936342592592594</v>
      </c>
      <c r="V45" s="105">
        <f>AgeStanSec!V45/86400</f>
        <v>0.2888425925925926</v>
      </c>
      <c r="W45" s="105">
        <f>AgeStanSec!W45/86400</f>
        <v>0.48607638888888888</v>
      </c>
      <c r="X45" s="105">
        <f>AgeStanSec!X45/86400</f>
        <v>0.53260416666666666</v>
      </c>
      <c r="Y45" s="105">
        <f>AgeStanSec!Y45/86400</f>
        <v>0.70524305555555555</v>
      </c>
      <c r="Z45" s="46"/>
    </row>
    <row r="46" spans="1:26">
      <c r="A46" s="466">
        <v>45</v>
      </c>
      <c r="B46" s="436">
        <f>AgeStanSec!B46/86400</f>
        <v>1.9328703703703704E-3</v>
      </c>
      <c r="C46" s="436">
        <f>AgeStanSec!C46/86400</f>
        <v>3.2060185185185186E-3</v>
      </c>
      <c r="D46" s="436">
        <f>AgeStanSec!D46/86400</f>
        <v>6.2037037037037035E-3</v>
      </c>
      <c r="E46" s="436">
        <f>AgeStanSec!E46/86400</f>
        <v>1.0636574074074074E-2</v>
      </c>
      <c r="F46" s="106">
        <f>AgeStanSec!F46/86400</f>
        <v>1.2777777777777779E-2</v>
      </c>
      <c r="G46" s="106">
        <f>AgeStanSec!G46/86400</f>
        <v>1.375E-2</v>
      </c>
      <c r="H46" s="106">
        <f>AgeStanSec!H46/86400</f>
        <v>1.7141203703703704E-2</v>
      </c>
      <c r="I46" s="106">
        <f>AgeStanSec!I46/86400</f>
        <v>1.726851851851852E-2</v>
      </c>
      <c r="J46" s="106">
        <f>AgeStanSec!J46/86400</f>
        <v>2.1527777777777778E-2</v>
      </c>
      <c r="K46" s="436">
        <f>AgeStanSec!K46/86400</f>
        <v>2.4340277777777777E-2</v>
      </c>
      <c r="L46" s="106">
        <f>AgeStanSec!L46/86400</f>
        <v>2.6030092592592594E-2</v>
      </c>
      <c r="M46" s="106">
        <f>AgeStanSec!M46/86400</f>
        <v>3.2881944444444443E-2</v>
      </c>
      <c r="N46" s="106">
        <f>AgeStanSec!N46/86400</f>
        <v>3.5439814814814813E-2</v>
      </c>
      <c r="O46" s="106">
        <f>AgeStanSec!O46/86400</f>
        <v>4.4571759259259262E-2</v>
      </c>
      <c r="P46" s="106">
        <f>AgeStanSec!P46/86400</f>
        <v>4.7280092592592596E-2</v>
      </c>
      <c r="Q46" s="106">
        <f>AgeStanSec!Q46/86400</f>
        <v>5.6180555555555553E-2</v>
      </c>
      <c r="R46" s="106">
        <f>AgeStanSec!R46/86400</f>
        <v>6.7743055555555556E-2</v>
      </c>
      <c r="S46" s="106">
        <f>AgeStanSec!S46/86400</f>
        <v>9.6134259259259253E-2</v>
      </c>
      <c r="T46" s="106">
        <f>AgeStanSec!T46/86400</f>
        <v>0.11578703703703704</v>
      </c>
      <c r="U46" s="106">
        <f>AgeStanSec!U46/86400</f>
        <v>0.21086805555555554</v>
      </c>
      <c r="V46" s="106">
        <f>AgeStanSec!V46/86400</f>
        <v>0.29090277777777779</v>
      </c>
      <c r="W46" s="106">
        <f>AgeStanSec!W46/86400</f>
        <v>0.48954861111111109</v>
      </c>
      <c r="X46" s="106">
        <f>AgeStanSec!X46/86400</f>
        <v>0.53641203703703699</v>
      </c>
      <c r="Y46" s="106">
        <f>AgeStanSec!Y46/86400</f>
        <v>0.71027777777777779</v>
      </c>
      <c r="Z46" s="46"/>
    </row>
    <row r="47" spans="1:26">
      <c r="A47" s="461">
        <v>46</v>
      </c>
      <c r="B47" s="468">
        <f>AgeStanSec!B47/86400</f>
        <v>1.9444444444444444E-3</v>
      </c>
      <c r="C47" s="468">
        <f>AgeStanSec!C47/86400</f>
        <v>3.2291666666666666E-3</v>
      </c>
      <c r="D47" s="468">
        <f>AgeStanSec!D47/86400</f>
        <v>6.2615740740740739E-3</v>
      </c>
      <c r="E47" s="468">
        <f>AgeStanSec!E47/86400</f>
        <v>1.0752314814814815E-2</v>
      </c>
      <c r="F47" s="105">
        <f>AgeStanSec!F47/86400</f>
        <v>1.2905092592592593E-2</v>
      </c>
      <c r="G47" s="105">
        <f>AgeStanSec!G47/86400</f>
        <v>1.3888888888888888E-2</v>
      </c>
      <c r="H47" s="105">
        <f>AgeStanSec!H47/86400</f>
        <v>1.7314814814814814E-2</v>
      </c>
      <c r="I47" s="105">
        <f>AgeStanSec!I47/86400</f>
        <v>1.7430555555555557E-2</v>
      </c>
      <c r="J47" s="105">
        <f>AgeStanSec!J47/86400</f>
        <v>2.1724537037037039E-2</v>
      </c>
      <c r="K47" s="105">
        <f>AgeStanSec!K47/86400</f>
        <v>2.4571759259259258E-2</v>
      </c>
      <c r="L47" s="105">
        <f>AgeStanSec!L47/86400</f>
        <v>2.6261574074074073E-2</v>
      </c>
      <c r="M47" s="105">
        <f>AgeStanSec!M47/86400</f>
        <v>3.318287037037037E-2</v>
      </c>
      <c r="N47" s="105">
        <f>AgeStanSec!N47/86400</f>
        <v>3.5763888888888887E-2</v>
      </c>
      <c r="O47" s="105">
        <f>AgeStanSec!O47/86400</f>
        <v>4.4988425925925925E-2</v>
      </c>
      <c r="P47" s="105">
        <f>AgeStanSec!P47/86400</f>
        <v>4.7731481481481479E-2</v>
      </c>
      <c r="Q47" s="105">
        <f>AgeStanSec!Q47/86400</f>
        <v>5.6689814814814818E-2</v>
      </c>
      <c r="R47" s="105">
        <f>AgeStanSec!R47/86400</f>
        <v>6.8321759259259263E-2</v>
      </c>
      <c r="S47" s="105">
        <f>AgeStanSec!S47/86400</f>
        <v>9.6851851851851856E-2</v>
      </c>
      <c r="T47" s="105">
        <f>AgeStanSec!T47/86400</f>
        <v>0.11665509259259259</v>
      </c>
      <c r="U47" s="105">
        <f>AgeStanSec!U47/86400</f>
        <v>0.2124537037037037</v>
      </c>
      <c r="V47" s="105">
        <f>AgeStanSec!V47/86400</f>
        <v>0.2930902777777778</v>
      </c>
      <c r="W47" s="105">
        <f>AgeStanSec!W47/86400</f>
        <v>0.49322916666666666</v>
      </c>
      <c r="X47" s="105">
        <f>AgeStanSec!X47/86400</f>
        <v>0.54043981481481485</v>
      </c>
      <c r="Y47" s="105">
        <f>AgeStanSec!Y47/86400</f>
        <v>0.71561342592592592</v>
      </c>
      <c r="Z47" s="46"/>
    </row>
    <row r="48" spans="1:26">
      <c r="A48" s="461">
        <v>47</v>
      </c>
      <c r="B48" s="468">
        <f>AgeStanSec!B48/86400</f>
        <v>1.9675925925925924E-3</v>
      </c>
      <c r="C48" s="468">
        <f>AgeStanSec!C48/86400</f>
        <v>3.2638888888888891E-3</v>
      </c>
      <c r="D48" s="468">
        <f>AgeStanSec!D48/86400</f>
        <v>6.3310185185185188E-3</v>
      </c>
      <c r="E48" s="468">
        <f>AgeStanSec!E48/86400</f>
        <v>1.0868055555555556E-2</v>
      </c>
      <c r="F48" s="105">
        <f>AgeStanSec!F48/86400</f>
        <v>1.3043981481481481E-2</v>
      </c>
      <c r="G48" s="105">
        <f>AgeStanSec!G48/86400</f>
        <v>1.4027777777777778E-2</v>
      </c>
      <c r="H48" s="105">
        <f>AgeStanSec!H48/86400</f>
        <v>1.7488425925925925E-2</v>
      </c>
      <c r="I48" s="105">
        <f>AgeStanSec!I48/86400</f>
        <v>1.7604166666666667E-2</v>
      </c>
      <c r="J48" s="105">
        <f>AgeStanSec!J48/86400</f>
        <v>2.193287037037037E-2</v>
      </c>
      <c r="K48" s="105">
        <f>AgeStanSec!K48/86400</f>
        <v>2.480324074074074E-2</v>
      </c>
      <c r="L48" s="105">
        <f>AgeStanSec!L48/86400</f>
        <v>2.6516203703703705E-2</v>
      </c>
      <c r="M48" s="105">
        <f>AgeStanSec!M48/86400</f>
        <v>3.3506944444444443E-2</v>
      </c>
      <c r="N48" s="105">
        <f>AgeStanSec!N48/86400</f>
        <v>3.6122685185185188E-2</v>
      </c>
      <c r="O48" s="105">
        <f>AgeStanSec!O48/86400</f>
        <v>4.5439814814814815E-2</v>
      </c>
      <c r="P48" s="105">
        <f>AgeStanSec!P48/86400</f>
        <v>4.821759259259259E-2</v>
      </c>
      <c r="Q48" s="105">
        <f>AgeStanSec!Q48/86400</f>
        <v>5.7233796296296297E-2</v>
      </c>
      <c r="R48" s="105">
        <f>AgeStanSec!R48/86400</f>
        <v>6.8935185185185183E-2</v>
      </c>
      <c r="S48" s="105">
        <f>AgeStanSec!S48/86400</f>
        <v>9.762731481481482E-2</v>
      </c>
      <c r="T48" s="105">
        <f>AgeStanSec!T48/86400</f>
        <v>0.1175925925925926</v>
      </c>
      <c r="U48" s="105">
        <f>AgeStanSec!U48/86400</f>
        <v>0.21414351851851851</v>
      </c>
      <c r="V48" s="105">
        <f>AgeStanSec!V48/86400</f>
        <v>0.29543981481481479</v>
      </c>
      <c r="W48" s="105">
        <f>AgeStanSec!W48/86400</f>
        <v>0.49717592592592591</v>
      </c>
      <c r="X48" s="105">
        <f>AgeStanSec!X48/86400</f>
        <v>0.54476851851851849</v>
      </c>
      <c r="Y48" s="105">
        <f>AgeStanSec!Y48/86400</f>
        <v>0.72134259259259259</v>
      </c>
      <c r="Z48" s="46"/>
    </row>
    <row r="49" spans="1:26">
      <c r="A49" s="461">
        <v>48</v>
      </c>
      <c r="B49" s="468">
        <f>AgeStanSec!B49/86400</f>
        <v>1.9791666666666668E-3</v>
      </c>
      <c r="C49" s="468">
        <f>AgeStanSec!C49/86400</f>
        <v>3.2870370370370371E-3</v>
      </c>
      <c r="D49" s="468">
        <f>AgeStanSec!D49/86400</f>
        <v>6.3888888888888893E-3</v>
      </c>
      <c r="E49" s="468">
        <f>AgeStanSec!E49/86400</f>
        <v>1.0983796296296297E-2</v>
      </c>
      <c r="F49" s="105">
        <f>AgeStanSec!F49/86400</f>
        <v>1.3182870370370371E-2</v>
      </c>
      <c r="G49" s="105">
        <f>AgeStanSec!G49/86400</f>
        <v>1.4178240740740741E-2</v>
      </c>
      <c r="H49" s="105">
        <f>AgeStanSec!H49/86400</f>
        <v>1.7662037037037039E-2</v>
      </c>
      <c r="I49" s="105">
        <f>AgeStanSec!I49/86400</f>
        <v>1.7789351851851851E-2</v>
      </c>
      <c r="J49" s="105">
        <f>AgeStanSec!J49/86400</f>
        <v>2.2152777777777778E-2</v>
      </c>
      <c r="K49" s="105">
        <f>AgeStanSec!K49/86400</f>
        <v>2.5057870370370369E-2</v>
      </c>
      <c r="L49" s="105">
        <f>AgeStanSec!L49/86400</f>
        <v>2.6793981481481481E-2</v>
      </c>
      <c r="M49" s="105">
        <f>AgeStanSec!M49/86400</f>
        <v>3.3865740740740738E-2</v>
      </c>
      <c r="N49" s="105">
        <f>AgeStanSec!N49/86400</f>
        <v>3.650462962962963E-2</v>
      </c>
      <c r="O49" s="105">
        <f>AgeStanSec!O49/86400</f>
        <v>4.5937499999999999E-2</v>
      </c>
      <c r="P49" s="105">
        <f>AgeStanSec!P49/86400</f>
        <v>4.8738425925925928E-2</v>
      </c>
      <c r="Q49" s="105">
        <f>AgeStanSec!Q49/86400</f>
        <v>5.7812500000000003E-2</v>
      </c>
      <c r="R49" s="105">
        <f>AgeStanSec!R49/86400</f>
        <v>6.9594907407407411E-2</v>
      </c>
      <c r="S49" s="105">
        <f>AgeStanSec!S49/86400</f>
        <v>9.8449074074074078E-2</v>
      </c>
      <c r="T49" s="105">
        <f>AgeStanSec!T49/86400</f>
        <v>0.11857638888888888</v>
      </c>
      <c r="U49" s="105">
        <f>AgeStanSec!U49/86400</f>
        <v>0.21594907407407407</v>
      </c>
      <c r="V49" s="105">
        <f>AgeStanSec!V49/86400</f>
        <v>0.29791666666666666</v>
      </c>
      <c r="W49" s="105">
        <f>AgeStanSec!W49/86400</f>
        <v>0.50135416666666666</v>
      </c>
      <c r="X49" s="105">
        <f>AgeStanSec!X49/86400</f>
        <v>0.54934027777777783</v>
      </c>
      <c r="Y49" s="105">
        <f>AgeStanSec!Y49/86400</f>
        <v>0.72740740740740739</v>
      </c>
      <c r="Z49" s="46"/>
    </row>
    <row r="50" spans="1:26">
      <c r="A50" s="461">
        <v>49</v>
      </c>
      <c r="B50" s="468">
        <f>AgeStanSec!B50/86400</f>
        <v>2.0023148148148148E-3</v>
      </c>
      <c r="C50" s="468">
        <f>AgeStanSec!C50/86400</f>
        <v>3.3217592592592591E-3</v>
      </c>
      <c r="D50" s="468">
        <f>AgeStanSec!D50/86400</f>
        <v>6.4583333333333333E-3</v>
      </c>
      <c r="E50" s="468">
        <f>AgeStanSec!E50/86400</f>
        <v>1.1111111111111112E-2</v>
      </c>
      <c r="F50" s="105">
        <f>AgeStanSec!F50/86400</f>
        <v>1.3333333333333334E-2</v>
      </c>
      <c r="G50" s="105">
        <f>AgeStanSec!G50/86400</f>
        <v>1.4340277777777778E-2</v>
      </c>
      <c r="H50" s="105">
        <f>AgeStanSec!H50/86400</f>
        <v>1.7858796296296296E-2</v>
      </c>
      <c r="I50" s="105">
        <f>AgeStanSec!I50/86400</f>
        <v>1.7986111111111112E-2</v>
      </c>
      <c r="J50" s="105">
        <f>AgeStanSec!J50/86400</f>
        <v>2.2395833333333334E-2</v>
      </c>
      <c r="K50" s="105">
        <f>AgeStanSec!K50/86400</f>
        <v>2.5324074074074075E-2</v>
      </c>
      <c r="L50" s="105">
        <f>AgeStanSec!L50/86400</f>
        <v>2.7083333333333334E-2</v>
      </c>
      <c r="M50" s="105">
        <f>AgeStanSec!M50/86400</f>
        <v>3.4247685185185187E-2</v>
      </c>
      <c r="N50" s="105">
        <f>AgeStanSec!N50/86400</f>
        <v>3.6909722222222219E-2</v>
      </c>
      <c r="O50" s="105">
        <f>AgeStanSec!O50/86400</f>
        <v>4.6458333333333331E-2</v>
      </c>
      <c r="P50" s="105">
        <f>AgeStanSec!P50/86400</f>
        <v>4.929398148148148E-2</v>
      </c>
      <c r="Q50" s="105">
        <f>AgeStanSec!Q50/86400</f>
        <v>5.8437500000000003E-2</v>
      </c>
      <c r="R50" s="105">
        <f>AgeStanSec!R50/86400</f>
        <v>7.03125E-2</v>
      </c>
      <c r="S50" s="105">
        <f>AgeStanSec!S50/86400</f>
        <v>9.9340277777777777E-2</v>
      </c>
      <c r="T50" s="105">
        <f>AgeStanSec!T50/86400</f>
        <v>0.11965277777777777</v>
      </c>
      <c r="U50" s="105">
        <f>AgeStanSec!U50/86400</f>
        <v>0.21789351851851851</v>
      </c>
      <c r="V50" s="105">
        <f>AgeStanSec!V50/86400</f>
        <v>0.30061342592592594</v>
      </c>
      <c r="W50" s="105">
        <f>AgeStanSec!W50/86400</f>
        <v>0.50587962962962962</v>
      </c>
      <c r="X50" s="105">
        <f>AgeStanSec!X50/86400</f>
        <v>0.55430555555555561</v>
      </c>
      <c r="Y50" s="105">
        <f>AgeStanSec!Y50/86400</f>
        <v>0.73396990740740742</v>
      </c>
      <c r="Z50" s="46"/>
    </row>
    <row r="51" spans="1:26">
      <c r="A51" s="466">
        <v>50</v>
      </c>
      <c r="B51" s="436">
        <f>AgeStanSec!B51/86400</f>
        <v>2.0254629629629629E-3</v>
      </c>
      <c r="C51" s="436">
        <f>AgeStanSec!C51/86400</f>
        <v>3.3564814814814816E-3</v>
      </c>
      <c r="D51" s="436">
        <f>AgeStanSec!D51/86400</f>
        <v>6.5277777777777782E-3</v>
      </c>
      <c r="E51" s="436">
        <f>AgeStanSec!E51/86400</f>
        <v>1.1238425925925926E-2</v>
      </c>
      <c r="F51" s="106">
        <f>AgeStanSec!F51/86400</f>
        <v>1.3483796296296296E-2</v>
      </c>
      <c r="G51" s="106">
        <f>AgeStanSec!G51/86400</f>
        <v>1.4502314814814815E-2</v>
      </c>
      <c r="H51" s="106">
        <f>AgeStanSec!H51/86400</f>
        <v>1.8055555555555554E-2</v>
      </c>
      <c r="I51" s="106">
        <f>AgeStanSec!I51/86400</f>
        <v>1.818287037037037E-2</v>
      </c>
      <c r="J51" s="106">
        <f>AgeStanSec!J51/86400</f>
        <v>2.2638888888888889E-2</v>
      </c>
      <c r="K51" s="436">
        <f>AgeStanSec!K51/86400</f>
        <v>2.5613425925925925E-2</v>
      </c>
      <c r="L51" s="106">
        <f>AgeStanSec!L51/86400</f>
        <v>2.7395833333333335E-2</v>
      </c>
      <c r="M51" s="106">
        <f>AgeStanSec!M51/86400</f>
        <v>3.4641203703703702E-2</v>
      </c>
      <c r="N51" s="106">
        <f>AgeStanSec!N51/86400</f>
        <v>3.7337962962962962E-2</v>
      </c>
      <c r="O51" s="106">
        <f>AgeStanSec!O51/86400</f>
        <v>4.7002314814814816E-2</v>
      </c>
      <c r="P51" s="106">
        <f>AgeStanSec!P51/86400</f>
        <v>4.9872685185185187E-2</v>
      </c>
      <c r="Q51" s="106">
        <f>AgeStanSec!Q51/86400</f>
        <v>5.9097222222222225E-2</v>
      </c>
      <c r="R51" s="106">
        <f>AgeStanSec!R51/86400</f>
        <v>7.1053240740740736E-2</v>
      </c>
      <c r="S51" s="106">
        <f>AgeStanSec!S51/86400</f>
        <v>0.10027777777777777</v>
      </c>
      <c r="T51" s="106">
        <f>AgeStanSec!T51/86400</f>
        <v>0.12078703703703704</v>
      </c>
      <c r="U51" s="106">
        <f>AgeStanSec!U51/86400</f>
        <v>0.21995370370370371</v>
      </c>
      <c r="V51" s="106">
        <f>AgeStanSec!V51/86400</f>
        <v>0.30344907407407407</v>
      </c>
      <c r="W51" s="106">
        <f>AgeStanSec!W51/86400</f>
        <v>0.51065972222222222</v>
      </c>
      <c r="X51" s="106">
        <f>AgeStanSec!X51/86400</f>
        <v>0.55953703703703705</v>
      </c>
      <c r="Y51" s="106">
        <f>AgeStanSec!Y51/86400</f>
        <v>0.7409027777777778</v>
      </c>
      <c r="Z51" s="46"/>
    </row>
    <row r="52" spans="1:26">
      <c r="A52" s="461">
        <v>51</v>
      </c>
      <c r="B52" s="468">
        <f>AgeStanSec!B52/86400</f>
        <v>2.0486111111111113E-3</v>
      </c>
      <c r="C52" s="468">
        <f>AgeStanSec!C52/86400</f>
        <v>3.4027777777777776E-3</v>
      </c>
      <c r="D52" s="468">
        <f>AgeStanSec!D52/86400</f>
        <v>6.6087962962962966E-3</v>
      </c>
      <c r="E52" s="468">
        <f>AgeStanSec!E52/86400</f>
        <v>1.136574074074074E-2</v>
      </c>
      <c r="F52" s="105">
        <f>AgeStanSec!F52/86400</f>
        <v>1.3634259259259259E-2</v>
      </c>
      <c r="G52" s="105">
        <f>AgeStanSec!G52/86400</f>
        <v>1.4664351851851852E-2</v>
      </c>
      <c r="H52" s="105">
        <f>AgeStanSec!H52/86400</f>
        <v>1.8263888888888889E-2</v>
      </c>
      <c r="I52" s="105">
        <f>AgeStanSec!I52/86400</f>
        <v>1.8391203703703705E-2</v>
      </c>
      <c r="J52" s="105">
        <f>AgeStanSec!J52/86400</f>
        <v>2.2905092592592591E-2</v>
      </c>
      <c r="K52" s="105">
        <f>AgeStanSec!K52/86400</f>
        <v>2.5914351851851852E-2</v>
      </c>
      <c r="L52" s="105">
        <f>AgeStanSec!L52/86400</f>
        <v>2.7708333333333335E-2</v>
      </c>
      <c r="M52" s="105">
        <f>AgeStanSec!M52/86400</f>
        <v>3.5046296296296298E-2</v>
      </c>
      <c r="N52" s="105">
        <f>AgeStanSec!N52/86400</f>
        <v>3.7777777777777778E-2</v>
      </c>
      <c r="O52" s="105">
        <f>AgeStanSec!O52/86400</f>
        <v>4.7569444444444442E-2</v>
      </c>
      <c r="P52" s="105">
        <f>AgeStanSec!P52/86400</f>
        <v>5.047453703703704E-2</v>
      </c>
      <c r="Q52" s="105">
        <f>AgeStanSec!Q52/86400</f>
        <v>5.9780092592592593E-2</v>
      </c>
      <c r="R52" s="105">
        <f>AgeStanSec!R52/86400</f>
        <v>7.1840277777777781E-2</v>
      </c>
      <c r="S52" s="105">
        <f>AgeStanSec!S52/86400</f>
        <v>0.10128472222222222</v>
      </c>
      <c r="T52" s="105">
        <f>AgeStanSec!T52/86400</f>
        <v>0.12199074074074075</v>
      </c>
      <c r="U52" s="105">
        <f>AgeStanSec!U52/86400</f>
        <v>0.22215277777777778</v>
      </c>
      <c r="V52" s="105">
        <f>AgeStanSec!V52/86400</f>
        <v>0.30648148148148147</v>
      </c>
      <c r="W52" s="105">
        <f>AgeStanSec!W52/86400</f>
        <v>0.51576388888888891</v>
      </c>
      <c r="X52" s="105">
        <f>AgeStanSec!X52/86400</f>
        <v>0.56512731481481482</v>
      </c>
      <c r="Y52" s="105">
        <f>AgeStanSec!Y52/86400</f>
        <v>0.74831018518518522</v>
      </c>
      <c r="Z52" s="46"/>
    </row>
    <row r="53" spans="1:26">
      <c r="A53" s="461">
        <v>52</v>
      </c>
      <c r="B53" s="468">
        <f>AgeStanSec!B53/86400</f>
        <v>2.0717592592592593E-3</v>
      </c>
      <c r="C53" s="468">
        <f>AgeStanSec!C53/86400</f>
        <v>3.4375E-3</v>
      </c>
      <c r="D53" s="468">
        <f>AgeStanSec!D53/86400</f>
        <v>6.6782407407407407E-3</v>
      </c>
      <c r="E53" s="468">
        <f>AgeStanSec!E53/86400</f>
        <v>1.1493055555555555E-2</v>
      </c>
      <c r="F53" s="105">
        <f>AgeStanSec!F53/86400</f>
        <v>1.3796296296296296E-2</v>
      </c>
      <c r="G53" s="105">
        <f>AgeStanSec!G53/86400</f>
        <v>1.4837962962962963E-2</v>
      </c>
      <c r="H53" s="105">
        <f>AgeStanSec!H53/86400</f>
        <v>1.8472222222222223E-2</v>
      </c>
      <c r="I53" s="105">
        <f>AgeStanSec!I53/86400</f>
        <v>1.861111111111111E-2</v>
      </c>
      <c r="J53" s="105">
        <f>AgeStanSec!J53/86400</f>
        <v>2.3171296296296297E-2</v>
      </c>
      <c r="K53" s="105">
        <f>AgeStanSec!K53/86400</f>
        <v>2.6215277777777778E-2</v>
      </c>
      <c r="L53" s="105">
        <f>AgeStanSec!L53/86400</f>
        <v>2.8032407407407409E-2</v>
      </c>
      <c r="M53" s="105">
        <f>AgeStanSec!M53/86400</f>
        <v>3.546296296296296E-2</v>
      </c>
      <c r="N53" s="105">
        <f>AgeStanSec!N53/86400</f>
        <v>3.8229166666666668E-2</v>
      </c>
      <c r="O53" s="105">
        <f>AgeStanSec!O53/86400</f>
        <v>4.8136574074074075E-2</v>
      </c>
      <c r="P53" s="105">
        <f>AgeStanSec!P53/86400</f>
        <v>5.108796296296296E-2</v>
      </c>
      <c r="Q53" s="105">
        <f>AgeStanSec!Q53/86400</f>
        <v>6.0474537037037035E-2</v>
      </c>
      <c r="R53" s="105">
        <f>AgeStanSec!R53/86400</f>
        <v>7.2650462962962958E-2</v>
      </c>
      <c r="S53" s="105">
        <f>AgeStanSec!S53/86400</f>
        <v>0.10234953703703703</v>
      </c>
      <c r="T53" s="105">
        <f>AgeStanSec!T53/86400</f>
        <v>0.12327546296296296</v>
      </c>
      <c r="U53" s="105">
        <f>AgeStanSec!U53/86400</f>
        <v>0.22450231481481481</v>
      </c>
      <c r="V53" s="105">
        <f>AgeStanSec!V53/86400</f>
        <v>0.30971064814814814</v>
      </c>
      <c r="W53" s="105">
        <f>AgeStanSec!W53/86400</f>
        <v>0.52120370370370372</v>
      </c>
      <c r="X53" s="105">
        <f>AgeStanSec!X53/86400</f>
        <v>0.57108796296296294</v>
      </c>
      <c r="Y53" s="105">
        <f>AgeStanSec!Y53/86400</f>
        <v>0.75620370370370371</v>
      </c>
      <c r="Z53" s="46"/>
    </row>
    <row r="54" spans="1:26">
      <c r="A54" s="461">
        <v>53</v>
      </c>
      <c r="B54" s="468">
        <f>AgeStanSec!B54/86400</f>
        <v>2.0949074074074073E-3</v>
      </c>
      <c r="C54" s="468">
        <f>AgeStanSec!C54/86400</f>
        <v>3.472222222222222E-3</v>
      </c>
      <c r="D54" s="468">
        <f>AgeStanSec!D54/86400</f>
        <v>6.7592592592592591E-3</v>
      </c>
      <c r="E54" s="468">
        <f>AgeStanSec!E54/86400</f>
        <v>1.1631944444444445E-2</v>
      </c>
      <c r="F54" s="105">
        <f>AgeStanSec!F54/86400</f>
        <v>1.3958333333333333E-2</v>
      </c>
      <c r="G54" s="105">
        <f>AgeStanSec!G54/86400</f>
        <v>1.5011574074074075E-2</v>
      </c>
      <c r="H54" s="105">
        <f>AgeStanSec!H54/86400</f>
        <v>1.8692129629629628E-2</v>
      </c>
      <c r="I54" s="105">
        <f>AgeStanSec!I54/86400</f>
        <v>1.8819444444444444E-2</v>
      </c>
      <c r="J54" s="105">
        <f>AgeStanSec!J54/86400</f>
        <v>2.34375E-2</v>
      </c>
      <c r="K54" s="105">
        <f>AgeStanSec!K54/86400</f>
        <v>2.6516203703703705E-2</v>
      </c>
      <c r="L54" s="105">
        <f>AgeStanSec!L54/86400</f>
        <v>2.8368055555555556E-2</v>
      </c>
      <c r="M54" s="105">
        <f>AgeStanSec!M54/86400</f>
        <v>3.5891203703703703E-2</v>
      </c>
      <c r="N54" s="105">
        <f>AgeStanSec!N54/86400</f>
        <v>3.8692129629629632E-2</v>
      </c>
      <c r="O54" s="105">
        <f>AgeStanSec!O54/86400</f>
        <v>4.8726851851851855E-2</v>
      </c>
      <c r="P54" s="105">
        <f>AgeStanSec!P54/86400</f>
        <v>5.1712962962962961E-2</v>
      </c>
      <c r="Q54" s="105">
        <f>AgeStanSec!Q54/86400</f>
        <v>6.1203703703703705E-2</v>
      </c>
      <c r="R54" s="105">
        <f>AgeStanSec!R54/86400</f>
        <v>7.3495370370370364E-2</v>
      </c>
      <c r="S54" s="105">
        <f>AgeStanSec!S54/86400</f>
        <v>0.10347222222222222</v>
      </c>
      <c r="T54" s="105">
        <f>AgeStanSec!T54/86400</f>
        <v>0.12462962962962963</v>
      </c>
      <c r="U54" s="105">
        <f>AgeStanSec!U54/86400</f>
        <v>0.22696759259259258</v>
      </c>
      <c r="V54" s="105">
        <f>AgeStanSec!V54/86400</f>
        <v>0.31312499999999999</v>
      </c>
      <c r="W54" s="105">
        <f>AgeStanSec!W54/86400</f>
        <v>0.52694444444444444</v>
      </c>
      <c r="X54" s="105">
        <f>AgeStanSec!X54/86400</f>
        <v>0.57737268518518514</v>
      </c>
      <c r="Y54" s="105">
        <f>AgeStanSec!Y54/86400</f>
        <v>0.76452546296296298</v>
      </c>
      <c r="Z54" s="46"/>
    </row>
    <row r="55" spans="1:26">
      <c r="A55" s="461">
        <v>54</v>
      </c>
      <c r="B55" s="468">
        <f>AgeStanSec!B55/86400</f>
        <v>2.1180555555555558E-3</v>
      </c>
      <c r="C55" s="468">
        <f>AgeStanSec!C55/86400</f>
        <v>3.5185185185185185E-3</v>
      </c>
      <c r="D55" s="468">
        <f>AgeStanSec!D55/86400</f>
        <v>6.8402777777777776E-3</v>
      </c>
      <c r="E55" s="468">
        <f>AgeStanSec!E55/86400</f>
        <v>1.1770833333333333E-2</v>
      </c>
      <c r="F55" s="105">
        <f>AgeStanSec!F55/86400</f>
        <v>1.412037037037037E-2</v>
      </c>
      <c r="G55" s="105">
        <f>AgeStanSec!G55/86400</f>
        <v>1.5185185185185185E-2</v>
      </c>
      <c r="H55" s="105">
        <f>AgeStanSec!H55/86400</f>
        <v>1.8912037037037036E-2</v>
      </c>
      <c r="I55" s="105">
        <f>AgeStanSec!I55/86400</f>
        <v>1.9050925925925926E-2</v>
      </c>
      <c r="J55" s="105">
        <f>AgeStanSec!J55/86400</f>
        <v>2.3715277777777776E-2</v>
      </c>
      <c r="K55" s="105">
        <f>AgeStanSec!K55/86400</f>
        <v>2.6828703703703705E-2</v>
      </c>
      <c r="L55" s="105">
        <f>AgeStanSec!L55/86400</f>
        <v>2.8703703703703703E-2</v>
      </c>
      <c r="M55" s="105">
        <f>AgeStanSec!M55/86400</f>
        <v>3.6319444444444446E-2</v>
      </c>
      <c r="N55" s="105">
        <f>AgeStanSec!N55/86400</f>
        <v>3.9166666666666669E-2</v>
      </c>
      <c r="O55" s="105">
        <f>AgeStanSec!O55/86400</f>
        <v>4.9328703703703701E-2</v>
      </c>
      <c r="P55" s="105">
        <f>AgeStanSec!P55/86400</f>
        <v>5.2349537037037035E-2</v>
      </c>
      <c r="Q55" s="105">
        <f>AgeStanSec!Q55/86400</f>
        <v>6.1944444444444448E-2</v>
      </c>
      <c r="R55" s="105">
        <f>AgeStanSec!R55/86400</f>
        <v>7.4374999999999997E-2</v>
      </c>
      <c r="S55" s="105">
        <f>AgeStanSec!S55/86400</f>
        <v>0.1046875</v>
      </c>
      <c r="T55" s="105">
        <f>AgeStanSec!T55/86400</f>
        <v>0.12609953703703702</v>
      </c>
      <c r="U55" s="105">
        <f>AgeStanSec!U55/86400</f>
        <v>0.22962962962962963</v>
      </c>
      <c r="V55" s="105">
        <f>AgeStanSec!V55/86400</f>
        <v>0.31679398148148147</v>
      </c>
      <c r="W55" s="105">
        <f>AgeStanSec!W55/86400</f>
        <v>0.53311342592592592</v>
      </c>
      <c r="X55" s="105">
        <f>AgeStanSec!X55/86400</f>
        <v>0.58414351851851853</v>
      </c>
      <c r="Y55" s="105">
        <f>AgeStanSec!Y55/86400</f>
        <v>0.77348379629629627</v>
      </c>
      <c r="Z55" s="46"/>
    </row>
    <row r="56" spans="1:26">
      <c r="A56" s="466">
        <v>55</v>
      </c>
      <c r="B56" s="436">
        <f>AgeStanSec!B56/86400</f>
        <v>2.1412037037037038E-3</v>
      </c>
      <c r="C56" s="436">
        <f>AgeStanSec!C56/86400</f>
        <v>3.5532407407407409E-3</v>
      </c>
      <c r="D56" s="436">
        <f>AgeStanSec!D56/86400</f>
        <v>6.9212962962962961E-3</v>
      </c>
      <c r="E56" s="436">
        <f>AgeStanSec!E56/86400</f>
        <v>1.1909722222222223E-2</v>
      </c>
      <c r="F56" s="106">
        <f>AgeStanSec!F56/86400</f>
        <v>1.4293981481481482E-2</v>
      </c>
      <c r="G56" s="106">
        <f>AgeStanSec!G56/86400</f>
        <v>1.5370370370370371E-2</v>
      </c>
      <c r="H56" s="106">
        <f>AgeStanSec!H56/86400</f>
        <v>1.9143518518518518E-2</v>
      </c>
      <c r="I56" s="106">
        <f>AgeStanSec!I56/86400</f>
        <v>1.9270833333333334E-2</v>
      </c>
      <c r="J56" s="106">
        <f>AgeStanSec!J56/86400</f>
        <v>2.3993055555555556E-2</v>
      </c>
      <c r="K56" s="436">
        <f>AgeStanSec!K56/86400</f>
        <v>2.7152777777777779E-2</v>
      </c>
      <c r="L56" s="106">
        <f>AgeStanSec!L56/86400</f>
        <v>2.9050925925925924E-2</v>
      </c>
      <c r="M56" s="106">
        <f>AgeStanSec!M56/86400</f>
        <v>3.6770833333333336E-2</v>
      </c>
      <c r="N56" s="106">
        <f>AgeStanSec!N56/86400</f>
        <v>3.9641203703703706E-2</v>
      </c>
      <c r="O56" s="106">
        <f>AgeStanSec!O56/86400</f>
        <v>4.9953703703703702E-2</v>
      </c>
      <c r="P56" s="106">
        <f>AgeStanSec!P56/86400</f>
        <v>5.3009259259259256E-2</v>
      </c>
      <c r="Q56" s="106">
        <f>AgeStanSec!Q56/86400</f>
        <v>6.2719907407407405E-2</v>
      </c>
      <c r="R56" s="106">
        <f>AgeStanSec!R56/86400</f>
        <v>7.5300925925925924E-2</v>
      </c>
      <c r="S56" s="106">
        <f>AgeStanSec!S56/86400</f>
        <v>0.10597222222222222</v>
      </c>
      <c r="T56" s="106">
        <f>AgeStanSec!T56/86400</f>
        <v>0.12763888888888889</v>
      </c>
      <c r="U56" s="106">
        <f>AgeStanSec!U56/86400</f>
        <v>0.23243055555555556</v>
      </c>
      <c r="V56" s="106">
        <f>AgeStanSec!V56/86400</f>
        <v>0.32065972222222222</v>
      </c>
      <c r="W56" s="106">
        <f>AgeStanSec!W56/86400</f>
        <v>0.53962962962962968</v>
      </c>
      <c r="X56" s="106">
        <f>AgeStanSec!X56/86400</f>
        <v>0.59127314814814813</v>
      </c>
      <c r="Y56" s="106">
        <f>AgeStanSec!Y56/86400</f>
        <v>0.78292824074074074</v>
      </c>
      <c r="Z56" s="46"/>
    </row>
    <row r="57" spans="1:26">
      <c r="A57" s="461">
        <v>56</v>
      </c>
      <c r="B57" s="468">
        <f>AgeStanSec!B57/86400</f>
        <v>2.1643518518518518E-3</v>
      </c>
      <c r="C57" s="468">
        <f>AgeStanSec!C57/86400</f>
        <v>3.5995370370370369E-3</v>
      </c>
      <c r="D57" s="468">
        <f>AgeStanSec!D57/86400</f>
        <v>7.0023148148148145E-3</v>
      </c>
      <c r="E57" s="468">
        <f>AgeStanSec!E57/86400</f>
        <v>1.2048611111111111E-2</v>
      </c>
      <c r="F57" s="105">
        <f>AgeStanSec!F57/86400</f>
        <v>1.4467592592592593E-2</v>
      </c>
      <c r="G57" s="105">
        <f>AgeStanSec!G57/86400</f>
        <v>1.5555555555555555E-2</v>
      </c>
      <c r="H57" s="105">
        <f>AgeStanSec!H57/86400</f>
        <v>1.9375E-2</v>
      </c>
      <c r="I57" s="105">
        <f>AgeStanSec!I57/86400</f>
        <v>1.9502314814814816E-2</v>
      </c>
      <c r="J57" s="105">
        <f>AgeStanSec!J57/86400</f>
        <v>2.4282407407407409E-2</v>
      </c>
      <c r="K57" s="105">
        <f>AgeStanSec!K57/86400</f>
        <v>2.7488425925925927E-2</v>
      </c>
      <c r="L57" s="105">
        <f>AgeStanSec!L57/86400</f>
        <v>2.9409722222222223E-2</v>
      </c>
      <c r="M57" s="105">
        <f>AgeStanSec!M57/86400</f>
        <v>3.7222222222222219E-2</v>
      </c>
      <c r="N57" s="105">
        <f>AgeStanSec!N57/86400</f>
        <v>4.0138888888888891E-2</v>
      </c>
      <c r="O57" s="105">
        <f>AgeStanSec!O57/86400</f>
        <v>5.0578703703703702E-2</v>
      </c>
      <c r="P57" s="105">
        <f>AgeStanSec!P57/86400</f>
        <v>5.3680555555555558E-2</v>
      </c>
      <c r="Q57" s="105">
        <f>AgeStanSec!Q57/86400</f>
        <v>6.3518518518518516E-2</v>
      </c>
      <c r="R57" s="105">
        <f>AgeStanSec!R57/86400</f>
        <v>7.6249999999999998E-2</v>
      </c>
      <c r="S57" s="105">
        <f>AgeStanSec!S57/86400</f>
        <v>0.10732638888888889</v>
      </c>
      <c r="T57" s="105">
        <f>AgeStanSec!T57/86400</f>
        <v>0.12927083333333333</v>
      </c>
      <c r="U57" s="105">
        <f>AgeStanSec!U57/86400</f>
        <v>0.23541666666666666</v>
      </c>
      <c r="V57" s="105">
        <f>AgeStanSec!V57/86400</f>
        <v>0.32478009259259261</v>
      </c>
      <c r="W57" s="105">
        <f>AgeStanSec!W57/86400</f>
        <v>0.54656249999999995</v>
      </c>
      <c r="X57" s="105">
        <f>AgeStanSec!X57/86400</f>
        <v>0.59887731481481477</v>
      </c>
      <c r="Y57" s="105">
        <f>AgeStanSec!Y57/86400</f>
        <v>0.79298611111111106</v>
      </c>
      <c r="Z57" s="46"/>
    </row>
    <row r="58" spans="1:26">
      <c r="A58" s="461">
        <v>57</v>
      </c>
      <c r="B58" s="468">
        <f>AgeStanSec!B58/86400</f>
        <v>2.1875000000000002E-3</v>
      </c>
      <c r="C58" s="468">
        <f>AgeStanSec!C58/86400</f>
        <v>3.6342592592592594E-3</v>
      </c>
      <c r="D58" s="468">
        <f>AgeStanSec!D58/86400</f>
        <v>7.083333333333333E-3</v>
      </c>
      <c r="E58" s="468">
        <f>AgeStanSec!E58/86400</f>
        <v>1.2199074074074074E-2</v>
      </c>
      <c r="F58" s="105">
        <f>AgeStanSec!F58/86400</f>
        <v>1.4641203703703703E-2</v>
      </c>
      <c r="G58" s="105">
        <f>AgeStanSec!G58/86400</f>
        <v>1.5740740740740739E-2</v>
      </c>
      <c r="H58" s="105">
        <f>AgeStanSec!H58/86400</f>
        <v>1.9606481481481482E-2</v>
      </c>
      <c r="I58" s="105">
        <f>AgeStanSec!I58/86400</f>
        <v>1.9745370370370371E-2</v>
      </c>
      <c r="J58" s="105">
        <f>AgeStanSec!J58/86400</f>
        <v>2.4583333333333332E-2</v>
      </c>
      <c r="K58" s="105">
        <f>AgeStanSec!K58/86400</f>
        <v>2.7824074074074074E-2</v>
      </c>
      <c r="L58" s="105">
        <f>AgeStanSec!L58/86400</f>
        <v>2.9768518518518517E-2</v>
      </c>
      <c r="M58" s="105">
        <f>AgeStanSec!M58/86400</f>
        <v>3.7696759259259256E-2</v>
      </c>
      <c r="N58" s="105">
        <f>AgeStanSec!N58/86400</f>
        <v>4.0648148148148149E-2</v>
      </c>
      <c r="O58" s="105">
        <f>AgeStanSec!O58/86400</f>
        <v>5.1238425925925923E-2</v>
      </c>
      <c r="P58" s="105">
        <f>AgeStanSec!P58/86400</f>
        <v>5.4386574074074073E-2</v>
      </c>
      <c r="Q58" s="105">
        <f>AgeStanSec!Q58/86400</f>
        <v>6.4351851851851855E-2</v>
      </c>
      <c r="R58" s="105">
        <f>AgeStanSec!R58/86400</f>
        <v>7.7256944444444448E-2</v>
      </c>
      <c r="S58" s="105">
        <f>AgeStanSec!S58/86400</f>
        <v>0.10875</v>
      </c>
      <c r="T58" s="105">
        <f>AgeStanSec!T58/86400</f>
        <v>0.13098379629629631</v>
      </c>
      <c r="U58" s="105">
        <f>AgeStanSec!U58/86400</f>
        <v>0.23854166666666668</v>
      </c>
      <c r="V58" s="105">
        <f>AgeStanSec!V58/86400</f>
        <v>0.32908564814814817</v>
      </c>
      <c r="W58" s="105">
        <f>AgeStanSec!W58/86400</f>
        <v>0.55380787037037038</v>
      </c>
      <c r="X58" s="105">
        <f>AgeStanSec!X58/86400</f>
        <v>0.60681712962962964</v>
      </c>
      <c r="Y58" s="105">
        <f>AgeStanSec!Y58/86400</f>
        <v>0.80350694444444448</v>
      </c>
      <c r="Z58" s="46"/>
    </row>
    <row r="59" spans="1:26">
      <c r="A59" s="461">
        <v>58</v>
      </c>
      <c r="B59" s="468">
        <f>AgeStanSec!B59/86400</f>
        <v>2.2106481481481482E-3</v>
      </c>
      <c r="C59" s="468">
        <f>AgeStanSec!C59/86400</f>
        <v>3.6805555555555554E-3</v>
      </c>
      <c r="D59" s="468">
        <f>AgeStanSec!D59/86400</f>
        <v>7.1643518518518514E-3</v>
      </c>
      <c r="E59" s="468">
        <f>AgeStanSec!E59/86400</f>
        <v>1.2349537037037037E-2</v>
      </c>
      <c r="F59" s="105">
        <f>AgeStanSec!F59/86400</f>
        <v>1.4826388888888889E-2</v>
      </c>
      <c r="G59" s="105">
        <f>AgeStanSec!G59/86400</f>
        <v>1.59375E-2</v>
      </c>
      <c r="H59" s="105">
        <f>AgeStanSec!H59/86400</f>
        <v>1.9849537037037037E-2</v>
      </c>
      <c r="I59" s="105">
        <f>AgeStanSec!I59/86400</f>
        <v>1.9988425925925927E-2</v>
      </c>
      <c r="J59" s="105">
        <f>AgeStanSec!J59/86400</f>
        <v>2.4884259259259259E-2</v>
      </c>
      <c r="K59" s="105">
        <f>AgeStanSec!K59/86400</f>
        <v>2.8171296296296295E-2</v>
      </c>
      <c r="L59" s="105">
        <f>AgeStanSec!L59/86400</f>
        <v>3.0138888888888889E-2</v>
      </c>
      <c r="M59" s="105">
        <f>AgeStanSec!M59/86400</f>
        <v>3.8171296296296293E-2</v>
      </c>
      <c r="N59" s="105">
        <f>AgeStanSec!N59/86400</f>
        <v>4.116898148148148E-2</v>
      </c>
      <c r="O59" s="105">
        <f>AgeStanSec!O59/86400</f>
        <v>5.1898148148148152E-2</v>
      </c>
      <c r="P59" s="105">
        <f>AgeStanSec!P59/86400</f>
        <v>5.5092592592592596E-2</v>
      </c>
      <c r="Q59" s="105">
        <f>AgeStanSec!Q59/86400</f>
        <v>6.519675925925926E-2</v>
      </c>
      <c r="R59" s="105">
        <f>AgeStanSec!R59/86400</f>
        <v>7.8275462962962963E-2</v>
      </c>
      <c r="S59" s="105">
        <f>AgeStanSec!S59/86400</f>
        <v>0.11023148148148149</v>
      </c>
      <c r="T59" s="105">
        <f>AgeStanSec!T59/86400</f>
        <v>0.13276620370370371</v>
      </c>
      <c r="U59" s="105">
        <f>AgeStanSec!U59/86400</f>
        <v>0.24177083333333332</v>
      </c>
      <c r="V59" s="105">
        <f>AgeStanSec!V59/86400</f>
        <v>0.33355324074074072</v>
      </c>
      <c r="W59" s="105">
        <f>AgeStanSec!W59/86400</f>
        <v>0.56130787037037033</v>
      </c>
      <c r="X59" s="105">
        <f>AgeStanSec!X59/86400</f>
        <v>0.61504629629629626</v>
      </c>
      <c r="Y59" s="105">
        <f>AgeStanSec!Y59/86400</f>
        <v>0.81439814814814815</v>
      </c>
      <c r="Z59" s="46"/>
    </row>
    <row r="60" spans="1:26">
      <c r="A60" s="461">
        <v>59</v>
      </c>
      <c r="B60" s="468">
        <f>AgeStanSec!B60/86400</f>
        <v>2.2337962962962962E-3</v>
      </c>
      <c r="C60" s="468">
        <f>AgeStanSec!C60/86400</f>
        <v>3.7268518518518519E-3</v>
      </c>
      <c r="D60" s="468">
        <f>AgeStanSec!D60/86400</f>
        <v>7.2569444444444443E-3</v>
      </c>
      <c r="E60" s="468">
        <f>AgeStanSec!E60/86400</f>
        <v>1.2511574074074074E-2</v>
      </c>
      <c r="F60" s="105">
        <f>AgeStanSec!F60/86400</f>
        <v>1.5011574074074075E-2</v>
      </c>
      <c r="G60" s="105">
        <f>AgeStanSec!G60/86400</f>
        <v>1.6134259259259258E-2</v>
      </c>
      <c r="H60" s="105">
        <f>AgeStanSec!H60/86400</f>
        <v>2.0104166666666666E-2</v>
      </c>
      <c r="I60" s="105">
        <f>AgeStanSec!I60/86400</f>
        <v>2.0243055555555556E-2</v>
      </c>
      <c r="J60" s="105">
        <f>AgeStanSec!J60/86400</f>
        <v>2.5196759259259259E-2</v>
      </c>
      <c r="K60" s="105">
        <f>AgeStanSec!K60/86400</f>
        <v>2.8530092592592593E-2</v>
      </c>
      <c r="L60" s="105">
        <f>AgeStanSec!L60/86400</f>
        <v>3.0520833333333334E-2</v>
      </c>
      <c r="M60" s="105">
        <f>AgeStanSec!M60/86400</f>
        <v>3.8668981481481485E-2</v>
      </c>
      <c r="N60" s="105">
        <f>AgeStanSec!N60/86400</f>
        <v>4.1701388888888892E-2</v>
      </c>
      <c r="O60" s="105">
        <f>AgeStanSec!O60/86400</f>
        <v>5.258101851851852E-2</v>
      </c>
      <c r="P60" s="105">
        <f>AgeStanSec!P60/86400</f>
        <v>5.5821759259259258E-2</v>
      </c>
      <c r="Q60" s="105">
        <f>AgeStanSec!Q60/86400</f>
        <v>6.6064814814814812E-2</v>
      </c>
      <c r="R60" s="105">
        <f>AgeStanSec!R60/86400</f>
        <v>7.9328703703703707E-2</v>
      </c>
      <c r="S60" s="105">
        <f>AgeStanSec!S60/86400</f>
        <v>0.11172453703703704</v>
      </c>
      <c r="T60" s="105">
        <f>AgeStanSec!T60/86400</f>
        <v>0.13457175925925927</v>
      </c>
      <c r="U60" s="105">
        <f>AgeStanSec!U60/86400</f>
        <v>0.24506944444444445</v>
      </c>
      <c r="V60" s="105">
        <f>AgeStanSec!V60/86400</f>
        <v>0.33809027777777778</v>
      </c>
      <c r="W60" s="105">
        <f>AgeStanSec!W60/86400</f>
        <v>0.56895833333333334</v>
      </c>
      <c r="X60" s="105">
        <f>AgeStanSec!X60/86400</f>
        <v>0.6234143518518519</v>
      </c>
      <c r="Y60" s="105">
        <f>AgeStanSec!Y60/86400</f>
        <v>0.82548611111111114</v>
      </c>
      <c r="Z60" s="46"/>
    </row>
    <row r="61" spans="1:26">
      <c r="A61" s="466">
        <v>60</v>
      </c>
      <c r="B61" s="436">
        <f>AgeStanSec!B61/86400</f>
        <v>2.2685185185185187E-3</v>
      </c>
      <c r="C61" s="436">
        <f>AgeStanSec!C61/86400</f>
        <v>3.7731481481481483E-3</v>
      </c>
      <c r="D61" s="436">
        <f>AgeStanSec!D61/86400</f>
        <v>7.3495370370370372E-3</v>
      </c>
      <c r="E61" s="436">
        <f>AgeStanSec!E61/86400</f>
        <v>1.2662037037037038E-2</v>
      </c>
      <c r="F61" s="106">
        <f>AgeStanSec!F61/86400</f>
        <v>1.5196759259259259E-2</v>
      </c>
      <c r="G61" s="106">
        <f>AgeStanSec!G61/86400</f>
        <v>1.6342592592592593E-2</v>
      </c>
      <c r="H61" s="106">
        <f>AgeStanSec!H61/86400</f>
        <v>2.0358796296296295E-2</v>
      </c>
      <c r="I61" s="106">
        <f>AgeStanSec!I61/86400</f>
        <v>2.0497685185185185E-2</v>
      </c>
      <c r="J61" s="106">
        <f>AgeStanSec!J61/86400</f>
        <v>2.5520833333333333E-2</v>
      </c>
      <c r="K61" s="436">
        <f>AgeStanSec!K61/86400</f>
        <v>2.8900462962962965E-2</v>
      </c>
      <c r="L61" s="106">
        <f>AgeStanSec!L61/86400</f>
        <v>3.0914351851851853E-2</v>
      </c>
      <c r="M61" s="106">
        <f>AgeStanSec!M61/86400</f>
        <v>3.9166666666666669E-2</v>
      </c>
      <c r="N61" s="106">
        <f>AgeStanSec!N61/86400</f>
        <v>4.2245370370370371E-2</v>
      </c>
      <c r="O61" s="106">
        <f>AgeStanSec!O61/86400</f>
        <v>5.3287037037037036E-2</v>
      </c>
      <c r="P61" s="106">
        <f>AgeStanSec!P61/86400</f>
        <v>5.6562500000000002E-2</v>
      </c>
      <c r="Q61" s="106">
        <f>AgeStanSec!Q61/86400</f>
        <v>6.6967592592592592E-2</v>
      </c>
      <c r="R61" s="106">
        <f>AgeStanSec!R61/86400</f>
        <v>8.0428240740740745E-2</v>
      </c>
      <c r="S61" s="106">
        <f>AgeStanSec!S61/86400</f>
        <v>0.11328703703703703</v>
      </c>
      <c r="T61" s="106">
        <f>AgeStanSec!T61/86400</f>
        <v>0.13644675925925925</v>
      </c>
      <c r="U61" s="106">
        <f>AgeStanSec!U61/86400</f>
        <v>0.2484837962962963</v>
      </c>
      <c r="V61" s="106">
        <f>AgeStanSec!V61/86400</f>
        <v>0.34280092592592593</v>
      </c>
      <c r="W61" s="106">
        <f>AgeStanSec!W61/86400</f>
        <v>0.57688657407407407</v>
      </c>
      <c r="X61" s="106">
        <f>AgeStanSec!X61/86400</f>
        <v>0.63210648148148152</v>
      </c>
      <c r="Y61" s="106">
        <f>AgeStanSec!Y61/86400</f>
        <v>0.83699074074074076</v>
      </c>
      <c r="Z61" s="46"/>
    </row>
    <row r="62" spans="1:26">
      <c r="A62" s="461">
        <v>61</v>
      </c>
      <c r="B62" s="468">
        <f>AgeStanSec!B62/86400</f>
        <v>2.2916666666666667E-3</v>
      </c>
      <c r="C62" s="468">
        <f>AgeStanSec!C62/86400</f>
        <v>3.8194444444444443E-3</v>
      </c>
      <c r="D62" s="468">
        <f>AgeStanSec!D62/86400</f>
        <v>7.4421296296296293E-3</v>
      </c>
      <c r="E62" s="468">
        <f>AgeStanSec!E62/86400</f>
        <v>1.2824074074074075E-2</v>
      </c>
      <c r="F62" s="105">
        <f>AgeStanSec!F62/86400</f>
        <v>1.5393518518518518E-2</v>
      </c>
      <c r="G62" s="105">
        <f>AgeStanSec!G62/86400</f>
        <v>1.6550925925925927E-2</v>
      </c>
      <c r="H62" s="105">
        <f>AgeStanSec!H62/86400</f>
        <v>2.0613425925925927E-2</v>
      </c>
      <c r="I62" s="105">
        <f>AgeStanSec!I62/86400</f>
        <v>2.0763888888888887E-2</v>
      </c>
      <c r="J62" s="105">
        <f>AgeStanSec!J62/86400</f>
        <v>2.5844907407407407E-2</v>
      </c>
      <c r="K62" s="105">
        <f>AgeStanSec!K62/86400</f>
        <v>2.9270833333333333E-2</v>
      </c>
      <c r="L62" s="105">
        <f>AgeStanSec!L62/86400</f>
        <v>3.1319444444444441E-2</v>
      </c>
      <c r="M62" s="105">
        <f>AgeStanSec!M62/86400</f>
        <v>3.9687500000000001E-2</v>
      </c>
      <c r="N62" s="105">
        <f>AgeStanSec!N62/86400</f>
        <v>4.2812500000000003E-2</v>
      </c>
      <c r="O62" s="105">
        <f>AgeStanSec!O62/86400</f>
        <v>5.4016203703703705E-2</v>
      </c>
      <c r="P62" s="105">
        <f>AgeStanSec!P62/86400</f>
        <v>5.7337962962962966E-2</v>
      </c>
      <c r="Q62" s="105">
        <f>AgeStanSec!Q62/86400</f>
        <v>6.7881944444444439E-2</v>
      </c>
      <c r="R62" s="105">
        <f>AgeStanSec!R62/86400</f>
        <v>8.1539351851851849E-2</v>
      </c>
      <c r="S62" s="105">
        <f>AgeStanSec!S62/86400</f>
        <v>0.11488425925925926</v>
      </c>
      <c r="T62" s="105">
        <f>AgeStanSec!T62/86400</f>
        <v>0.13837962962962963</v>
      </c>
      <c r="U62" s="105">
        <f>AgeStanSec!U62/86400</f>
        <v>0.25199074074074074</v>
      </c>
      <c r="V62" s="105">
        <f>AgeStanSec!V62/86400</f>
        <v>0.34765046296296298</v>
      </c>
      <c r="W62" s="105">
        <f>AgeStanSec!W62/86400</f>
        <v>0.58503472222222219</v>
      </c>
      <c r="X62" s="105">
        <f>AgeStanSec!X62/86400</f>
        <v>0.64104166666666662</v>
      </c>
      <c r="Y62" s="105">
        <f>AgeStanSec!Y62/86400</f>
        <v>0.84881944444444446</v>
      </c>
      <c r="Z62" s="46"/>
    </row>
    <row r="63" spans="1:26">
      <c r="A63" s="461">
        <v>62</v>
      </c>
      <c r="B63" s="468">
        <f>AgeStanSec!B63/86400</f>
        <v>2.3148148148148147E-3</v>
      </c>
      <c r="C63" s="468">
        <f>AgeStanSec!C63/86400</f>
        <v>3.8657407407407408E-3</v>
      </c>
      <c r="D63" s="468">
        <f>AgeStanSec!D63/86400</f>
        <v>7.5347222222222222E-3</v>
      </c>
      <c r="E63" s="468">
        <f>AgeStanSec!E63/86400</f>
        <v>1.2997685185185185E-2</v>
      </c>
      <c r="F63" s="105">
        <f>AgeStanSec!F63/86400</f>
        <v>1.5601851851851851E-2</v>
      </c>
      <c r="G63" s="105">
        <f>AgeStanSec!G63/86400</f>
        <v>1.6770833333333332E-2</v>
      </c>
      <c r="H63" s="105">
        <f>AgeStanSec!H63/86400</f>
        <v>2.0891203703703703E-2</v>
      </c>
      <c r="I63" s="105">
        <f>AgeStanSec!I63/86400</f>
        <v>2.1030092592592593E-2</v>
      </c>
      <c r="J63" s="105">
        <f>AgeStanSec!J63/86400</f>
        <v>2.6180555555555554E-2</v>
      </c>
      <c r="K63" s="105">
        <f>AgeStanSec!K63/86400</f>
        <v>2.9652777777777778E-2</v>
      </c>
      <c r="L63" s="105">
        <f>AgeStanSec!L63/86400</f>
        <v>3.1736111111111111E-2</v>
      </c>
      <c r="M63" s="105">
        <f>AgeStanSec!M63/86400</f>
        <v>4.0219907407407406E-2</v>
      </c>
      <c r="N63" s="105">
        <f>AgeStanSec!N63/86400</f>
        <v>4.3391203703703703E-2</v>
      </c>
      <c r="O63" s="105">
        <f>AgeStanSec!O63/86400</f>
        <v>5.4756944444444441E-2</v>
      </c>
      <c r="P63" s="105">
        <f>AgeStanSec!P63/86400</f>
        <v>5.8125000000000003E-2</v>
      </c>
      <c r="Q63" s="105">
        <f>AgeStanSec!Q63/86400</f>
        <v>6.8819444444444447E-2</v>
      </c>
      <c r="R63" s="105">
        <f>AgeStanSec!R63/86400</f>
        <v>8.2685185185185181E-2</v>
      </c>
      <c r="S63" s="105">
        <f>AgeStanSec!S63/86400</f>
        <v>0.11651620370370371</v>
      </c>
      <c r="T63" s="105">
        <f>AgeStanSec!T63/86400</f>
        <v>0.14034722222222223</v>
      </c>
      <c r="U63" s="105">
        <f>AgeStanSec!U63/86400</f>
        <v>0.25557870370370372</v>
      </c>
      <c r="V63" s="105">
        <f>AgeStanSec!V63/86400</f>
        <v>0.35259259259259257</v>
      </c>
      <c r="W63" s="105">
        <f>AgeStanSec!W63/86400</f>
        <v>0.59334490740740742</v>
      </c>
      <c r="X63" s="105">
        <f>AgeStanSec!X63/86400</f>
        <v>0.65015046296296297</v>
      </c>
      <c r="Y63" s="105">
        <f>AgeStanSec!Y63/86400</f>
        <v>0.86087962962962961</v>
      </c>
      <c r="Z63" s="46"/>
    </row>
    <row r="64" spans="1:26">
      <c r="A64" s="461">
        <v>63</v>
      </c>
      <c r="B64" s="468">
        <f>AgeStanSec!B64/86400</f>
        <v>2.3495370370370371E-3</v>
      </c>
      <c r="C64" s="468">
        <f>AgeStanSec!C64/86400</f>
        <v>3.9120370370370368E-3</v>
      </c>
      <c r="D64" s="468">
        <f>AgeStanSec!D64/86400</f>
        <v>7.6273148148148151E-3</v>
      </c>
      <c r="E64" s="468">
        <f>AgeStanSec!E64/86400</f>
        <v>1.3171296296296296E-2</v>
      </c>
      <c r="F64" s="105">
        <f>AgeStanSec!F64/86400</f>
        <v>1.579861111111111E-2</v>
      </c>
      <c r="G64" s="105">
        <f>AgeStanSec!G64/86400</f>
        <v>1.699074074074074E-2</v>
      </c>
      <c r="H64" s="105">
        <f>AgeStanSec!H64/86400</f>
        <v>2.1157407407407406E-2</v>
      </c>
      <c r="I64" s="105">
        <f>AgeStanSec!I64/86400</f>
        <v>2.1307870370370369E-2</v>
      </c>
      <c r="J64" s="105">
        <f>AgeStanSec!J64/86400</f>
        <v>2.6527777777777779E-2</v>
      </c>
      <c r="K64" s="105">
        <f>AgeStanSec!K64/86400</f>
        <v>3.005787037037037E-2</v>
      </c>
      <c r="L64" s="105">
        <f>AgeStanSec!L64/86400</f>
        <v>3.2164351851851854E-2</v>
      </c>
      <c r="M64" s="105">
        <f>AgeStanSec!M64/86400</f>
        <v>4.0775462962962965E-2</v>
      </c>
      <c r="N64" s="105">
        <f>AgeStanSec!N64/86400</f>
        <v>4.3981481481481483E-2</v>
      </c>
      <c r="O64" s="105">
        <f>AgeStanSec!O64/86400</f>
        <v>5.5509259259259258E-2</v>
      </c>
      <c r="P64" s="105">
        <f>AgeStanSec!P64/86400</f>
        <v>5.8935185185185188E-2</v>
      </c>
      <c r="Q64" s="105">
        <f>AgeStanSec!Q64/86400</f>
        <v>6.9803240740740735E-2</v>
      </c>
      <c r="R64" s="105">
        <f>AgeStanSec!R64/86400</f>
        <v>8.385416666666666E-2</v>
      </c>
      <c r="S64" s="105">
        <f>AgeStanSec!S64/86400</f>
        <v>0.1182175925925926</v>
      </c>
      <c r="T64" s="105">
        <f>AgeStanSec!T64/86400</f>
        <v>0.14238425925925927</v>
      </c>
      <c r="U64" s="105">
        <f>AgeStanSec!U64/86400</f>
        <v>0.25929398148148147</v>
      </c>
      <c r="V64" s="105">
        <f>AgeStanSec!V64/86400</f>
        <v>0.35771990740740739</v>
      </c>
      <c r="W64" s="105">
        <f>AgeStanSec!W64/86400</f>
        <v>0.60197916666666662</v>
      </c>
      <c r="X64" s="105">
        <f>AgeStanSec!X64/86400</f>
        <v>0.65959490740740745</v>
      </c>
      <c r="Y64" s="105">
        <f>AgeStanSec!Y64/86400</f>
        <v>0.87340277777777775</v>
      </c>
      <c r="Z64" s="46"/>
    </row>
    <row r="65" spans="1:26">
      <c r="A65" s="461">
        <v>64</v>
      </c>
      <c r="B65" s="468">
        <f>AgeStanSec!B65/86400</f>
        <v>2.3726851851851851E-3</v>
      </c>
      <c r="C65" s="468">
        <f>AgeStanSec!C65/86400</f>
        <v>3.9583333333333337E-3</v>
      </c>
      <c r="D65" s="468">
        <f>AgeStanSec!D65/86400</f>
        <v>7.7314814814814815E-3</v>
      </c>
      <c r="E65" s="468">
        <f>AgeStanSec!E65/86400</f>
        <v>1.3344907407407408E-2</v>
      </c>
      <c r="F65" s="105">
        <f>AgeStanSec!F65/86400</f>
        <v>1.6018518518518519E-2</v>
      </c>
      <c r="G65" s="105">
        <f>AgeStanSec!G65/86400</f>
        <v>1.7222222222222222E-2</v>
      </c>
      <c r="H65" s="105">
        <f>AgeStanSec!H65/86400</f>
        <v>2.1446759259259259E-2</v>
      </c>
      <c r="I65" s="105">
        <f>AgeStanSec!I65/86400</f>
        <v>2.1597222222222223E-2</v>
      </c>
      <c r="J65" s="105">
        <f>AgeStanSec!J65/86400</f>
        <v>2.6886574074074073E-2</v>
      </c>
      <c r="K65" s="105">
        <f>AgeStanSec!K65/86400</f>
        <v>3.0451388888888889E-2</v>
      </c>
      <c r="L65" s="105">
        <f>AgeStanSec!L65/86400</f>
        <v>3.259259259259259E-2</v>
      </c>
      <c r="M65" s="105">
        <f>AgeStanSec!M65/86400</f>
        <v>4.1331018518518517E-2</v>
      </c>
      <c r="N65" s="105">
        <f>AgeStanSec!N65/86400</f>
        <v>4.4594907407407409E-2</v>
      </c>
      <c r="O65" s="105">
        <f>AgeStanSec!O65/86400</f>
        <v>5.6296296296296296E-2</v>
      </c>
      <c r="P65" s="105">
        <f>AgeStanSec!P65/86400</f>
        <v>5.9768518518518519E-2</v>
      </c>
      <c r="Q65" s="105">
        <f>AgeStanSec!Q65/86400</f>
        <v>7.0787037037037037E-2</v>
      </c>
      <c r="R65" s="105">
        <f>AgeStanSec!R65/86400</f>
        <v>8.5069444444444448E-2</v>
      </c>
      <c r="S65" s="105">
        <f>AgeStanSec!S65/86400</f>
        <v>0.11994212962962963</v>
      </c>
      <c r="T65" s="105">
        <f>AgeStanSec!T65/86400</f>
        <v>0.14446759259259259</v>
      </c>
      <c r="U65" s="105">
        <f>AgeStanSec!U65/86400</f>
        <v>0.26307870370370373</v>
      </c>
      <c r="V65" s="105">
        <f>AgeStanSec!V65/86400</f>
        <v>0.36295138888888889</v>
      </c>
      <c r="W65" s="105">
        <f>AgeStanSec!W65/86400</f>
        <v>0.61078703703703707</v>
      </c>
      <c r="X65" s="105">
        <f>AgeStanSec!X65/86400</f>
        <v>0.66924768518518518</v>
      </c>
      <c r="Y65" s="105">
        <f>AgeStanSec!Y65/86400</f>
        <v>0.88616898148148149</v>
      </c>
      <c r="Z65" s="46"/>
    </row>
    <row r="66" spans="1:26">
      <c r="A66" s="466">
        <v>65</v>
      </c>
      <c r="B66" s="436">
        <f>AgeStanSec!B66/86400</f>
        <v>2.4074074074074076E-3</v>
      </c>
      <c r="C66" s="436">
        <f>AgeStanSec!C66/86400</f>
        <v>4.0162037037037041E-3</v>
      </c>
      <c r="D66" s="436">
        <f>AgeStanSec!D66/86400</f>
        <v>7.8356481481481489E-3</v>
      </c>
      <c r="E66" s="436">
        <f>AgeStanSec!E66/86400</f>
        <v>1.3530092592592592E-2</v>
      </c>
      <c r="F66" s="106">
        <f>AgeStanSec!F66/86400</f>
        <v>1.6238425925925927E-2</v>
      </c>
      <c r="G66" s="106">
        <f>AgeStanSec!G66/86400</f>
        <v>1.7453703703703704E-2</v>
      </c>
      <c r="H66" s="106">
        <f>AgeStanSec!H66/86400</f>
        <v>2.1736111111111112E-2</v>
      </c>
      <c r="I66" s="106">
        <f>AgeStanSec!I66/86400</f>
        <v>2.1886574074074076E-2</v>
      </c>
      <c r="J66" s="106">
        <f>AgeStanSec!J66/86400</f>
        <v>2.7245370370370371E-2</v>
      </c>
      <c r="K66" s="436">
        <f>AgeStanSec!K66/86400</f>
        <v>3.0879629629629628E-2</v>
      </c>
      <c r="L66" s="106">
        <f>AgeStanSec!L66/86400</f>
        <v>3.304398148148148E-2</v>
      </c>
      <c r="M66" s="106">
        <f>AgeStanSec!M66/86400</f>
        <v>4.1909722222222223E-2</v>
      </c>
      <c r="N66" s="106">
        <f>AgeStanSec!N66/86400</f>
        <v>4.521990740740741E-2</v>
      </c>
      <c r="O66" s="106">
        <f>AgeStanSec!O66/86400</f>
        <v>5.710648148148148E-2</v>
      </c>
      <c r="P66" s="106">
        <f>AgeStanSec!P66/86400</f>
        <v>6.0636574074074072E-2</v>
      </c>
      <c r="Q66" s="106">
        <f>AgeStanSec!Q66/86400</f>
        <v>7.1817129629629634E-2</v>
      </c>
      <c r="R66" s="106">
        <f>AgeStanSec!R66/86400</f>
        <v>8.6319444444444449E-2</v>
      </c>
      <c r="S66" s="106">
        <f>AgeStanSec!S66/86400</f>
        <v>0.12173611111111111</v>
      </c>
      <c r="T66" s="106">
        <f>AgeStanSec!T66/86400</f>
        <v>0.14663194444444444</v>
      </c>
      <c r="U66" s="106">
        <f>AgeStanSec!U66/86400</f>
        <v>0.26702546296296298</v>
      </c>
      <c r="V66" s="106">
        <f>AgeStanSec!V66/86400</f>
        <v>0.36837962962962961</v>
      </c>
      <c r="W66" s="106">
        <f>AgeStanSec!W66/86400</f>
        <v>0.61993055555555554</v>
      </c>
      <c r="X66" s="106">
        <f>AgeStanSec!X66/86400</f>
        <v>0.67927083333333338</v>
      </c>
      <c r="Y66" s="106">
        <f>AgeStanSec!Y66/86400</f>
        <v>0.89944444444444449</v>
      </c>
      <c r="Z66" s="46"/>
    </row>
    <row r="67" spans="1:26">
      <c r="A67" s="461">
        <v>66</v>
      </c>
      <c r="B67" s="468">
        <f>AgeStanSec!B67/86400</f>
        <v>2.4421296296296296E-3</v>
      </c>
      <c r="C67" s="468">
        <f>AgeStanSec!C67/86400</f>
        <v>4.0625000000000001E-3</v>
      </c>
      <c r="D67" s="468">
        <f>AgeStanSec!D67/86400</f>
        <v>7.9398148148148145E-3</v>
      </c>
      <c r="E67" s="468">
        <f>AgeStanSec!E67/86400</f>
        <v>1.3715277777777778E-2</v>
      </c>
      <c r="F67" s="105">
        <f>AgeStanSec!F67/86400</f>
        <v>1.6458333333333332E-2</v>
      </c>
      <c r="G67" s="105">
        <f>AgeStanSec!G67/86400</f>
        <v>1.7696759259259259E-2</v>
      </c>
      <c r="H67" s="105">
        <f>AgeStanSec!H67/86400</f>
        <v>2.2037037037037036E-2</v>
      </c>
      <c r="I67" s="105">
        <f>AgeStanSec!I67/86400</f>
        <v>2.2187499999999999E-2</v>
      </c>
      <c r="J67" s="105">
        <f>AgeStanSec!J67/86400</f>
        <v>2.7627314814814816E-2</v>
      </c>
      <c r="K67" s="105">
        <f>AgeStanSec!K67/86400</f>
        <v>3.1307870370370368E-2</v>
      </c>
      <c r="L67" s="105">
        <f>AgeStanSec!L67/86400</f>
        <v>3.3506944444444443E-2</v>
      </c>
      <c r="M67" s="105">
        <f>AgeStanSec!M67/86400</f>
        <v>4.2500000000000003E-2</v>
      </c>
      <c r="N67" s="105">
        <f>AgeStanSec!N67/86400</f>
        <v>4.5868055555555558E-2</v>
      </c>
      <c r="O67" s="105">
        <f>AgeStanSec!O67/86400</f>
        <v>5.7928240740740738E-2</v>
      </c>
      <c r="P67" s="105">
        <f>AgeStanSec!P67/86400</f>
        <v>6.1516203703703705E-2</v>
      </c>
      <c r="Q67" s="105">
        <f>AgeStanSec!Q67/86400</f>
        <v>7.2870370370370377E-2</v>
      </c>
      <c r="R67" s="105">
        <f>AgeStanSec!R67/86400</f>
        <v>8.7592592592592597E-2</v>
      </c>
      <c r="S67" s="105">
        <f>AgeStanSec!S67/86400</f>
        <v>0.12358796296296297</v>
      </c>
      <c r="T67" s="105">
        <f>AgeStanSec!T67/86400</f>
        <v>0.14885416666666668</v>
      </c>
      <c r="U67" s="105">
        <f>AgeStanSec!U67/86400</f>
        <v>0.27107638888888891</v>
      </c>
      <c r="V67" s="105">
        <f>AgeStanSec!V67/86400</f>
        <v>0.37398148148148147</v>
      </c>
      <c r="W67" s="105">
        <f>AgeStanSec!W67/86400</f>
        <v>0.62935185185185183</v>
      </c>
      <c r="X67" s="105">
        <f>AgeStanSec!X67/86400</f>
        <v>0.68959490740740736</v>
      </c>
      <c r="Y67" s="105">
        <f>AgeStanSec!Y67/86400</f>
        <v>0.91311342592592593</v>
      </c>
      <c r="Z67" s="46"/>
    </row>
    <row r="68" spans="1:26">
      <c r="A68" s="461">
        <v>67</v>
      </c>
      <c r="B68" s="468">
        <f>AgeStanSec!B68/86400</f>
        <v>2.4652777777777776E-3</v>
      </c>
      <c r="C68" s="468">
        <f>AgeStanSec!C68/86400</f>
        <v>4.1203703703703706E-3</v>
      </c>
      <c r="D68" s="468">
        <f>AgeStanSec!D68/86400</f>
        <v>8.0439814814814818E-3</v>
      </c>
      <c r="E68" s="468">
        <f>AgeStanSec!E68/86400</f>
        <v>1.3912037037037037E-2</v>
      </c>
      <c r="F68" s="105">
        <f>AgeStanSec!F68/86400</f>
        <v>1.6689814814814814E-2</v>
      </c>
      <c r="G68" s="105">
        <f>AgeStanSec!G68/86400</f>
        <v>1.7939814814814815E-2</v>
      </c>
      <c r="H68" s="105">
        <f>AgeStanSec!H68/86400</f>
        <v>2.2337962962962962E-2</v>
      </c>
      <c r="I68" s="105">
        <f>AgeStanSec!I68/86400</f>
        <v>2.2499999999999999E-2</v>
      </c>
      <c r="J68" s="105">
        <f>AgeStanSec!J68/86400</f>
        <v>2.8009259259259258E-2</v>
      </c>
      <c r="K68" s="105">
        <f>AgeStanSec!K68/86400</f>
        <v>3.1747685185185184E-2</v>
      </c>
      <c r="L68" s="105">
        <f>AgeStanSec!L68/86400</f>
        <v>3.3981481481481481E-2</v>
      </c>
      <c r="M68" s="105">
        <f>AgeStanSec!M68/86400</f>
        <v>4.3113425925925923E-2</v>
      </c>
      <c r="N68" s="105">
        <f>AgeStanSec!N68/86400</f>
        <v>4.6539351851851853E-2</v>
      </c>
      <c r="O68" s="105">
        <f>AgeStanSec!O68/86400</f>
        <v>5.8784722222222224E-2</v>
      </c>
      <c r="P68" s="105">
        <f>AgeStanSec!P68/86400</f>
        <v>6.2430555555555559E-2</v>
      </c>
      <c r="Q68" s="105">
        <f>AgeStanSec!Q68/86400</f>
        <v>7.3969907407407401E-2</v>
      </c>
      <c r="R68" s="105">
        <f>AgeStanSec!R68/86400</f>
        <v>8.8923611111111106E-2</v>
      </c>
      <c r="S68" s="105">
        <f>AgeStanSec!S68/86400</f>
        <v>0.12547453703703704</v>
      </c>
      <c r="T68" s="105">
        <f>AgeStanSec!T68/86400</f>
        <v>0.15113425925925925</v>
      </c>
      <c r="U68" s="105">
        <f>AgeStanSec!U68/86400</f>
        <v>0.27523148148148147</v>
      </c>
      <c r="V68" s="105">
        <f>AgeStanSec!V68/86400</f>
        <v>0.37969907407407405</v>
      </c>
      <c r="W68" s="105">
        <f>AgeStanSec!W68/86400</f>
        <v>0.63898148148148148</v>
      </c>
      <c r="X68" s="105">
        <f>AgeStanSec!X68/86400</f>
        <v>0.70013888888888887</v>
      </c>
      <c r="Y68" s="105">
        <f>AgeStanSec!Y68/86400</f>
        <v>0.92708333333333337</v>
      </c>
      <c r="Z68" s="46"/>
    </row>
    <row r="69" spans="1:26">
      <c r="A69" s="461">
        <v>68</v>
      </c>
      <c r="B69" s="468">
        <f>AgeStanSec!B69/86400</f>
        <v>2.5000000000000001E-3</v>
      </c>
      <c r="C69" s="468">
        <f>AgeStanSec!C69/86400</f>
        <v>4.178240740740741E-3</v>
      </c>
      <c r="D69" s="468">
        <f>AgeStanSec!D69/86400</f>
        <v>8.1597222222222227E-3</v>
      </c>
      <c r="E69" s="468">
        <f>AgeStanSec!E69/86400</f>
        <v>1.4108796296296296E-2</v>
      </c>
      <c r="F69" s="105">
        <f>AgeStanSec!F69/86400</f>
        <v>1.6921296296296295E-2</v>
      </c>
      <c r="G69" s="105">
        <f>AgeStanSec!G69/86400</f>
        <v>1.8194444444444444E-2</v>
      </c>
      <c r="H69" s="105">
        <f>AgeStanSec!H69/86400</f>
        <v>2.2662037037037036E-2</v>
      </c>
      <c r="I69" s="105">
        <f>AgeStanSec!I69/86400</f>
        <v>2.2824074074074073E-2</v>
      </c>
      <c r="J69" s="105">
        <f>AgeStanSec!J69/86400</f>
        <v>2.8402777777777777E-2</v>
      </c>
      <c r="K69" s="105">
        <f>AgeStanSec!K69/86400</f>
        <v>3.2199074074074074E-2</v>
      </c>
      <c r="L69" s="105">
        <f>AgeStanSec!L69/86400</f>
        <v>3.4467592592592591E-2</v>
      </c>
      <c r="M69" s="105">
        <f>AgeStanSec!M69/86400</f>
        <v>4.3749999999999997E-2</v>
      </c>
      <c r="N69" s="105">
        <f>AgeStanSec!N69/86400</f>
        <v>4.7222222222222221E-2</v>
      </c>
      <c r="O69" s="105">
        <f>AgeStanSec!O69/86400</f>
        <v>5.966435185185185E-2</v>
      </c>
      <c r="P69" s="105">
        <f>AgeStanSec!P69/86400</f>
        <v>6.3368055555555552E-2</v>
      </c>
      <c r="Q69" s="105">
        <f>AgeStanSec!Q69/86400</f>
        <v>7.5081018518518519E-2</v>
      </c>
      <c r="R69" s="105">
        <f>AgeStanSec!R69/86400</f>
        <v>9.0289351851851857E-2</v>
      </c>
      <c r="S69" s="105">
        <f>AgeStanSec!S69/86400</f>
        <v>0.12744212962962964</v>
      </c>
      <c r="T69" s="105">
        <f>AgeStanSec!T69/86400</f>
        <v>0.15350694444444443</v>
      </c>
      <c r="U69" s="105">
        <f>AgeStanSec!U69/86400</f>
        <v>0.27954861111111112</v>
      </c>
      <c r="V69" s="105">
        <f>AgeStanSec!V69/86400</f>
        <v>0.38565972222222222</v>
      </c>
      <c r="W69" s="105">
        <f>AgeStanSec!W69/86400</f>
        <v>0.64899305555555553</v>
      </c>
      <c r="X69" s="105">
        <f>AgeStanSec!X69/86400</f>
        <v>0.71112268518518518</v>
      </c>
      <c r="Y69" s="105">
        <f>AgeStanSec!Y69/86400</f>
        <v>0.94162037037037039</v>
      </c>
      <c r="Z69" s="46"/>
    </row>
    <row r="70" spans="1:26">
      <c r="A70" s="461">
        <v>69</v>
      </c>
      <c r="B70" s="468">
        <f>AgeStanSec!B70/86400</f>
        <v>2.5347222222222221E-3</v>
      </c>
      <c r="C70" s="468">
        <f>AgeStanSec!C70/86400</f>
        <v>4.2361111111111115E-3</v>
      </c>
      <c r="D70" s="468">
        <f>AgeStanSec!D70/86400</f>
        <v>8.2754629629629636E-3</v>
      </c>
      <c r="E70" s="468">
        <f>AgeStanSec!E70/86400</f>
        <v>1.4305555555555556E-2</v>
      </c>
      <c r="F70" s="105">
        <f>AgeStanSec!F70/86400</f>
        <v>1.7164351851851851E-2</v>
      </c>
      <c r="G70" s="105">
        <f>AgeStanSec!G70/86400</f>
        <v>1.846064814814815E-2</v>
      </c>
      <c r="H70" s="105">
        <f>AgeStanSec!H70/86400</f>
        <v>2.298611111111111E-2</v>
      </c>
      <c r="I70" s="105">
        <f>AgeStanSec!I70/86400</f>
        <v>2.3148148148148147E-2</v>
      </c>
      <c r="J70" s="105">
        <f>AgeStanSec!J70/86400</f>
        <v>2.8807870370370369E-2</v>
      </c>
      <c r="K70" s="105">
        <f>AgeStanSec!K70/86400</f>
        <v>3.2662037037037038E-2</v>
      </c>
      <c r="L70" s="105">
        <f>AgeStanSec!L70/86400</f>
        <v>3.4965277777777776E-2</v>
      </c>
      <c r="M70" s="105">
        <f>AgeStanSec!M70/86400</f>
        <v>4.4398148148148145E-2</v>
      </c>
      <c r="N70" s="105">
        <f>AgeStanSec!N70/86400</f>
        <v>4.791666666666667E-2</v>
      </c>
      <c r="O70" s="105">
        <f>AgeStanSec!O70/86400</f>
        <v>6.056712962962963E-2</v>
      </c>
      <c r="P70" s="105">
        <f>AgeStanSec!P70/86400</f>
        <v>6.4340277777777774E-2</v>
      </c>
      <c r="Q70" s="105">
        <f>AgeStanSec!Q70/86400</f>
        <v>7.6249999999999998E-2</v>
      </c>
      <c r="R70" s="105">
        <f>AgeStanSec!R70/86400</f>
        <v>9.1701388888888888E-2</v>
      </c>
      <c r="S70" s="105">
        <f>AgeStanSec!S70/86400</f>
        <v>0.12945601851851851</v>
      </c>
      <c r="T70" s="105">
        <f>AgeStanSec!T70/86400</f>
        <v>0.15592592592592591</v>
      </c>
      <c r="U70" s="105">
        <f>AgeStanSec!U70/86400</f>
        <v>0.28395833333333331</v>
      </c>
      <c r="V70" s="105">
        <f>AgeStanSec!V70/86400</f>
        <v>0.39173611111111112</v>
      </c>
      <c r="W70" s="105">
        <f>AgeStanSec!W70/86400</f>
        <v>0.65923611111111113</v>
      </c>
      <c r="X70" s="105">
        <f>AgeStanSec!X70/86400</f>
        <v>0.72233796296296293</v>
      </c>
      <c r="Y70" s="105">
        <f>AgeStanSec!Y70/86400</f>
        <v>0.95648148148148149</v>
      </c>
      <c r="Z70" s="46"/>
    </row>
    <row r="71" spans="1:26">
      <c r="A71" s="466">
        <v>70</v>
      </c>
      <c r="B71" s="436">
        <f>AgeStanSec!B71/86400</f>
        <v>2.5694444444444445E-3</v>
      </c>
      <c r="C71" s="436">
        <f>AgeStanSec!C71/86400</f>
        <v>4.2939814814814811E-3</v>
      </c>
      <c r="D71" s="436">
        <f>AgeStanSec!D71/86400</f>
        <v>8.3912037037037045E-3</v>
      </c>
      <c r="E71" s="436">
        <f>AgeStanSec!E71/86400</f>
        <v>1.4513888888888889E-2</v>
      </c>
      <c r="F71" s="106">
        <f>AgeStanSec!F71/86400</f>
        <v>1.7418981481481483E-2</v>
      </c>
      <c r="G71" s="106">
        <f>AgeStanSec!G71/86400</f>
        <v>1.8726851851851852E-2</v>
      </c>
      <c r="H71" s="106">
        <f>AgeStanSec!H71/86400</f>
        <v>2.3321759259259261E-2</v>
      </c>
      <c r="I71" s="106">
        <f>AgeStanSec!I71/86400</f>
        <v>2.3483796296296298E-2</v>
      </c>
      <c r="J71" s="106">
        <f>AgeStanSec!J71/86400</f>
        <v>2.9236111111111112E-2</v>
      </c>
      <c r="K71" s="436">
        <f>AgeStanSec!K71/86400</f>
        <v>3.3136574074074075E-2</v>
      </c>
      <c r="L71" s="106">
        <f>AgeStanSec!L71/86400</f>
        <v>3.5486111111111114E-2</v>
      </c>
      <c r="M71" s="106">
        <f>AgeStanSec!M71/86400</f>
        <v>4.5069444444444447E-2</v>
      </c>
      <c r="N71" s="106">
        <f>AgeStanSec!N71/86400</f>
        <v>4.8645833333333333E-2</v>
      </c>
      <c r="O71" s="106">
        <f>AgeStanSec!O71/86400</f>
        <v>6.1504629629629631E-2</v>
      </c>
      <c r="P71" s="106">
        <f>AgeStanSec!P71/86400</f>
        <v>6.5324074074074076E-2</v>
      </c>
      <c r="Q71" s="106">
        <f>AgeStanSec!Q71/86400</f>
        <v>7.7430555555555558E-2</v>
      </c>
      <c r="R71" s="106">
        <f>AgeStanSec!R71/86400</f>
        <v>9.3148148148148147E-2</v>
      </c>
      <c r="S71" s="106">
        <f>AgeStanSec!S71/86400</f>
        <v>0.13155092592592593</v>
      </c>
      <c r="T71" s="106">
        <f>AgeStanSec!T71/86400</f>
        <v>0.15844907407407408</v>
      </c>
      <c r="U71" s="106">
        <f>AgeStanSec!U71/86400</f>
        <v>0.28855324074074074</v>
      </c>
      <c r="V71" s="106">
        <f>AgeStanSec!V71/86400</f>
        <v>0.39807870370370368</v>
      </c>
      <c r="W71" s="106">
        <f>AgeStanSec!W71/86400</f>
        <v>0.6699074074074074</v>
      </c>
      <c r="X71" s="106">
        <f>AgeStanSec!X71/86400</f>
        <v>0.73402777777777772</v>
      </c>
      <c r="Y71" s="106"/>
      <c r="Z71" s="46"/>
    </row>
    <row r="72" spans="1:26">
      <c r="A72" s="461">
        <v>71</v>
      </c>
      <c r="B72" s="468">
        <f>AgeStanSec!B72/86400</f>
        <v>2.6041666666666665E-3</v>
      </c>
      <c r="C72" s="468">
        <f>AgeStanSec!C72/86400</f>
        <v>4.3518518518518515E-3</v>
      </c>
      <c r="D72" s="468">
        <f>AgeStanSec!D72/86400</f>
        <v>8.518518518518519E-3</v>
      </c>
      <c r="E72" s="468">
        <f>AgeStanSec!E72/86400</f>
        <v>1.4733796296296297E-2</v>
      </c>
      <c r="F72" s="105">
        <f>AgeStanSec!F72/86400</f>
        <v>1.7673611111111112E-2</v>
      </c>
      <c r="G72" s="105">
        <f>AgeStanSec!G72/86400</f>
        <v>1.9004629629629628E-2</v>
      </c>
      <c r="H72" s="105">
        <f>AgeStanSec!H72/86400</f>
        <v>2.3668981481481482E-2</v>
      </c>
      <c r="I72" s="105">
        <f>AgeStanSec!I72/86400</f>
        <v>2.3831018518518519E-2</v>
      </c>
      <c r="J72" s="105">
        <f>AgeStanSec!J72/86400</f>
        <v>2.9664351851851851E-2</v>
      </c>
      <c r="K72" s="105">
        <f>AgeStanSec!K72/86400</f>
        <v>3.363425925925926E-2</v>
      </c>
      <c r="L72" s="105">
        <f>AgeStanSec!L72/86400</f>
        <v>3.6018518518518519E-2</v>
      </c>
      <c r="M72" s="105">
        <f>AgeStanSec!M72/86400</f>
        <v>4.5752314814814815E-2</v>
      </c>
      <c r="N72" s="105">
        <f>AgeStanSec!N72/86400</f>
        <v>4.9398148148148149E-2</v>
      </c>
      <c r="O72" s="105">
        <f>AgeStanSec!O72/86400</f>
        <v>6.2476851851851853E-2</v>
      </c>
      <c r="P72" s="105">
        <f>AgeStanSec!P72/86400</f>
        <v>6.6354166666666672E-2</v>
      </c>
      <c r="Q72" s="105">
        <f>AgeStanSec!Q72/86400</f>
        <v>7.8680555555555559E-2</v>
      </c>
      <c r="R72" s="105">
        <f>AgeStanSec!R72/86400</f>
        <v>9.46412037037037E-2</v>
      </c>
      <c r="S72" s="105">
        <f>AgeStanSec!S72/86400</f>
        <v>0.13371527777777778</v>
      </c>
      <c r="T72" s="105">
        <f>AgeStanSec!T72/86400</f>
        <v>0.16105324074074073</v>
      </c>
      <c r="U72" s="105">
        <f>AgeStanSec!U72/86400</f>
        <v>0.29329861111111111</v>
      </c>
      <c r="V72" s="105">
        <f>AgeStanSec!V72/86400</f>
        <v>0.40462962962962962</v>
      </c>
      <c r="W72" s="105">
        <f>AgeStanSec!W72/86400</f>
        <v>0.68092592592592593</v>
      </c>
      <c r="X72" s="105">
        <f>AgeStanSec!X72/86400</f>
        <v>0.74611111111111106</v>
      </c>
      <c r="Y72" s="105"/>
      <c r="Z72" s="46"/>
    </row>
    <row r="73" spans="1:26">
      <c r="A73" s="461">
        <v>72</v>
      </c>
      <c r="B73" s="468">
        <f>AgeStanSec!B73/86400</f>
        <v>2.638888888888889E-3</v>
      </c>
      <c r="C73" s="468">
        <f>AgeStanSec!C73/86400</f>
        <v>4.409722222222222E-3</v>
      </c>
      <c r="D73" s="468">
        <f>AgeStanSec!D73/86400</f>
        <v>8.6342592592592599E-3</v>
      </c>
      <c r="E73" s="468">
        <f>AgeStanSec!E73/86400</f>
        <v>1.4953703703703703E-2</v>
      </c>
      <c r="F73" s="105">
        <f>AgeStanSec!F73/86400</f>
        <v>1.7939814814814815E-2</v>
      </c>
      <c r="G73" s="105">
        <f>AgeStanSec!G73/86400</f>
        <v>1.9293981481481481E-2</v>
      </c>
      <c r="H73" s="105">
        <f>AgeStanSec!H73/86400</f>
        <v>2.4016203703703703E-2</v>
      </c>
      <c r="I73" s="105">
        <f>AgeStanSec!I73/86400</f>
        <v>2.4189814814814813E-2</v>
      </c>
      <c r="J73" s="105">
        <f>AgeStanSec!J73/86400</f>
        <v>3.0104166666666668E-2</v>
      </c>
      <c r="K73" s="105">
        <f>AgeStanSec!K73/86400</f>
        <v>3.4143518518518517E-2</v>
      </c>
      <c r="L73" s="105">
        <f>AgeStanSec!L73/86400</f>
        <v>3.6562499999999998E-2</v>
      </c>
      <c r="M73" s="105">
        <f>AgeStanSec!M73/86400</f>
        <v>4.6458333333333331E-2</v>
      </c>
      <c r="N73" s="105">
        <f>AgeStanSec!N73/86400</f>
        <v>5.016203703703704E-2</v>
      </c>
      <c r="O73" s="105">
        <f>AgeStanSec!O73/86400</f>
        <v>6.3460648148148155E-2</v>
      </c>
      <c r="P73" s="105">
        <f>AgeStanSec!P73/86400</f>
        <v>6.7418981481481483E-2</v>
      </c>
      <c r="Q73" s="105">
        <f>AgeStanSec!Q73/86400</f>
        <v>7.993055555555556E-2</v>
      </c>
      <c r="R73" s="105">
        <f>AgeStanSec!R73/86400</f>
        <v>9.6180555555555561E-2</v>
      </c>
      <c r="S73" s="105">
        <f>AgeStanSec!S73/86400</f>
        <v>0.13593749999999999</v>
      </c>
      <c r="T73" s="105">
        <f>AgeStanSec!T73/86400</f>
        <v>0.16372685185185185</v>
      </c>
      <c r="U73" s="105">
        <f>AgeStanSec!U73/86400</f>
        <v>0.2981597222222222</v>
      </c>
      <c r="V73" s="105">
        <f>AgeStanSec!V73/86400</f>
        <v>0.4113310185185185</v>
      </c>
      <c r="W73" s="105">
        <f>AgeStanSec!W73/86400</f>
        <v>0.69221064814814814</v>
      </c>
      <c r="X73" s="105">
        <f>AgeStanSec!X73/86400</f>
        <v>0.75847222222222221</v>
      </c>
      <c r="Y73" s="105"/>
      <c r="Z73" s="46"/>
    </row>
    <row r="74" spans="1:26">
      <c r="A74" s="461">
        <v>73</v>
      </c>
      <c r="B74" s="468">
        <f>AgeStanSec!B74/86400</f>
        <v>2.673611111111111E-3</v>
      </c>
      <c r="C74" s="468">
        <f>AgeStanSec!C74/86400</f>
        <v>4.4791666666666669E-3</v>
      </c>
      <c r="D74" s="468">
        <f>AgeStanSec!D74/86400</f>
        <v>8.7615740740740744E-3</v>
      </c>
      <c r="E74" s="468">
        <f>AgeStanSec!E74/86400</f>
        <v>1.5185185185185185E-2</v>
      </c>
      <c r="F74" s="105">
        <f>AgeStanSec!F74/86400</f>
        <v>1.8217592592592594E-2</v>
      </c>
      <c r="G74" s="105">
        <f>AgeStanSec!G74/86400</f>
        <v>1.9583333333333335E-2</v>
      </c>
      <c r="H74" s="105">
        <f>AgeStanSec!H74/86400</f>
        <v>2.4386574074074074E-2</v>
      </c>
      <c r="I74" s="105">
        <f>AgeStanSec!I74/86400</f>
        <v>2.4560185185185185E-2</v>
      </c>
      <c r="J74" s="105">
        <f>AgeStanSec!J74/86400</f>
        <v>3.0567129629629628E-2</v>
      </c>
      <c r="K74" s="105">
        <f>AgeStanSec!K74/86400</f>
        <v>3.4664351851851849E-2</v>
      </c>
      <c r="L74" s="105">
        <f>AgeStanSec!L74/86400</f>
        <v>3.712962962962963E-2</v>
      </c>
      <c r="M74" s="105">
        <f>AgeStanSec!M74/86400</f>
        <v>4.7199074074074074E-2</v>
      </c>
      <c r="N74" s="105">
        <f>AgeStanSec!N74/86400</f>
        <v>5.0972222222222224E-2</v>
      </c>
      <c r="O74" s="105">
        <f>AgeStanSec!O74/86400</f>
        <v>6.4490740740740737E-2</v>
      </c>
      <c r="P74" s="105">
        <f>AgeStanSec!P74/86400</f>
        <v>6.851851851851852E-2</v>
      </c>
      <c r="Q74" s="105">
        <f>AgeStanSec!Q74/86400</f>
        <v>8.1250000000000003E-2</v>
      </c>
      <c r="R74" s="105">
        <f>AgeStanSec!R74/86400</f>
        <v>9.7777777777777783E-2</v>
      </c>
      <c r="S74" s="105">
        <f>AgeStanSec!S74/86400</f>
        <v>0.13824074074074075</v>
      </c>
      <c r="T74" s="105">
        <f>AgeStanSec!T74/86400</f>
        <v>0.16650462962962964</v>
      </c>
      <c r="U74" s="105">
        <f>AgeStanSec!U74/86400</f>
        <v>0.30322916666666666</v>
      </c>
      <c r="V74" s="105">
        <f>AgeStanSec!V74/86400</f>
        <v>0.41833333333333333</v>
      </c>
      <c r="W74" s="105">
        <f>AgeStanSec!W74/86400</f>
        <v>0.70398148148148143</v>
      </c>
      <c r="X74" s="105">
        <f>AgeStanSec!X74/86400</f>
        <v>0.77136574074074071</v>
      </c>
      <c r="Y74" s="105"/>
      <c r="Z74" s="46"/>
    </row>
    <row r="75" spans="1:26">
      <c r="A75" s="461">
        <v>74</v>
      </c>
      <c r="B75" s="468">
        <f>AgeStanSec!B75/86400</f>
        <v>2.7199074074074074E-3</v>
      </c>
      <c r="C75" s="468">
        <f>AgeStanSec!C75/86400</f>
        <v>4.5370370370370373E-3</v>
      </c>
      <c r="D75" s="468">
        <f>AgeStanSec!D75/86400</f>
        <v>8.9004629629629625E-3</v>
      </c>
      <c r="E75" s="468">
        <f>AgeStanSec!E75/86400</f>
        <v>1.5416666666666667E-2</v>
      </c>
      <c r="F75" s="105">
        <f>AgeStanSec!F75/86400</f>
        <v>1.849537037037037E-2</v>
      </c>
      <c r="G75" s="105">
        <f>AgeStanSec!G75/86400</f>
        <v>1.9884259259259258E-2</v>
      </c>
      <c r="H75" s="105">
        <f>AgeStanSec!H75/86400</f>
        <v>2.4756944444444446E-2</v>
      </c>
      <c r="I75" s="105">
        <f>AgeStanSec!I75/86400</f>
        <v>2.4930555555555556E-2</v>
      </c>
      <c r="J75" s="105">
        <f>AgeStanSec!J75/86400</f>
        <v>3.1030092592592592E-2</v>
      </c>
      <c r="K75" s="105">
        <f>AgeStanSec!K75/86400</f>
        <v>3.5208333333333335E-2</v>
      </c>
      <c r="L75" s="105">
        <f>AgeStanSec!L75/86400</f>
        <v>3.7708333333333337E-2</v>
      </c>
      <c r="M75" s="105">
        <f>AgeStanSec!M75/86400</f>
        <v>4.7951388888888891E-2</v>
      </c>
      <c r="N75" s="105">
        <f>AgeStanSec!N75/86400</f>
        <v>5.1782407407407409E-2</v>
      </c>
      <c r="O75" s="105">
        <f>AgeStanSec!O75/86400</f>
        <v>6.5543981481481481E-2</v>
      </c>
      <c r="P75" s="105">
        <f>AgeStanSec!P75/86400</f>
        <v>6.9641203703703705E-2</v>
      </c>
      <c r="Q75" s="105">
        <f>AgeStanSec!Q75/86400</f>
        <v>8.261574074074074E-2</v>
      </c>
      <c r="R75" s="105">
        <f>AgeStanSec!R75/86400</f>
        <v>9.9467592592592594E-2</v>
      </c>
      <c r="S75" s="105">
        <f>AgeStanSec!S75/86400</f>
        <v>0.14070601851851852</v>
      </c>
      <c r="T75" s="105">
        <f>AgeStanSec!T75/86400</f>
        <v>0.16946759259259259</v>
      </c>
      <c r="U75" s="105">
        <f>AgeStanSec!U75/86400</f>
        <v>0.30862268518518521</v>
      </c>
      <c r="V75" s="105">
        <f>AgeStanSec!V75/86400</f>
        <v>0.42576388888888889</v>
      </c>
      <c r="W75" s="105">
        <f>AgeStanSec!W75/86400</f>
        <v>0.71650462962962957</v>
      </c>
      <c r="X75" s="105">
        <f>AgeStanSec!X75/86400</f>
        <v>0.78508101851851853</v>
      </c>
      <c r="Y75" s="105"/>
      <c r="Z75" s="46"/>
    </row>
    <row r="76" spans="1:26">
      <c r="A76" s="466">
        <v>75</v>
      </c>
      <c r="B76" s="436">
        <f>AgeStanSec!B76/86400</f>
        <v>2.7546296296296294E-3</v>
      </c>
      <c r="C76" s="436">
        <f>AgeStanSec!C76/86400</f>
        <v>4.6064814814814814E-3</v>
      </c>
      <c r="D76" s="436">
        <f>AgeStanSec!D76/86400</f>
        <v>9.0393518518518522E-3</v>
      </c>
      <c r="E76" s="436">
        <f>AgeStanSec!E76/86400</f>
        <v>1.5659722222222221E-2</v>
      </c>
      <c r="F76" s="106">
        <f>AgeStanSec!F76/86400</f>
        <v>1.8784722222222223E-2</v>
      </c>
      <c r="G76" s="106">
        <f>AgeStanSec!G76/86400</f>
        <v>2.0196759259259258E-2</v>
      </c>
      <c r="H76" s="106">
        <f>AgeStanSec!H76/86400</f>
        <v>2.5150462962962961E-2</v>
      </c>
      <c r="I76" s="106">
        <f>AgeStanSec!I76/86400</f>
        <v>2.5324074074074075E-2</v>
      </c>
      <c r="J76" s="106">
        <f>AgeStanSec!J76/86400</f>
        <v>3.152777777777778E-2</v>
      </c>
      <c r="K76" s="436">
        <f>AgeStanSec!K76/86400</f>
        <v>3.5763888888888887E-2</v>
      </c>
      <c r="L76" s="106">
        <f>AgeStanSec!L76/86400</f>
        <v>3.8321759259259257E-2</v>
      </c>
      <c r="M76" s="106">
        <f>AgeStanSec!M76/86400</f>
        <v>4.8726851851851855E-2</v>
      </c>
      <c r="N76" s="106">
        <f>AgeStanSec!N76/86400</f>
        <v>5.2638888888888888E-2</v>
      </c>
      <c r="O76" s="106">
        <f>AgeStanSec!O76/86400</f>
        <v>6.6643518518518519E-2</v>
      </c>
      <c r="P76" s="106">
        <f>AgeStanSec!P76/86400</f>
        <v>7.0810185185185184E-2</v>
      </c>
      <c r="Q76" s="106">
        <f>AgeStanSec!Q76/86400</f>
        <v>8.4062499999999998E-2</v>
      </c>
      <c r="R76" s="106">
        <f>AgeStanSec!R76/86400</f>
        <v>0.10128472222222222</v>
      </c>
      <c r="S76" s="106">
        <f>AgeStanSec!S76/86400</f>
        <v>0.14344907407407406</v>
      </c>
      <c r="T76" s="106">
        <f>AgeStanSec!T76/86400</f>
        <v>0.17277777777777778</v>
      </c>
      <c r="U76" s="106">
        <f>AgeStanSec!U76/86400</f>
        <v>0.31465277777777778</v>
      </c>
      <c r="V76" s="106">
        <f>AgeStanSec!V76/86400</f>
        <v>0.43409722222222225</v>
      </c>
      <c r="W76" s="106">
        <f>AgeStanSec!W76/86400</f>
        <v>0.73050925925925925</v>
      </c>
      <c r="X76" s="106">
        <f>AgeStanSec!X76/86400</f>
        <v>0.8004282407407407</v>
      </c>
      <c r="Y76" s="106"/>
      <c r="Z76" s="46"/>
    </row>
    <row r="77" spans="1:26">
      <c r="A77" s="461">
        <v>76</v>
      </c>
      <c r="B77" s="468">
        <f>AgeStanSec!B77/86400</f>
        <v>2.7893518518518519E-3</v>
      </c>
      <c r="C77" s="468">
        <f>AgeStanSec!C77/86400</f>
        <v>4.6759259259259263E-3</v>
      </c>
      <c r="D77" s="468">
        <f>AgeStanSec!D77/86400</f>
        <v>9.1782407407407403E-3</v>
      </c>
      <c r="E77" s="468">
        <f>AgeStanSec!E77/86400</f>
        <v>1.5914351851851853E-2</v>
      </c>
      <c r="F77" s="105">
        <f>AgeStanSec!F77/86400</f>
        <v>1.9085648148148147E-2</v>
      </c>
      <c r="G77" s="105">
        <f>AgeStanSec!G77/86400</f>
        <v>2.0532407407407409E-2</v>
      </c>
      <c r="H77" s="105">
        <f>AgeStanSec!H77/86400</f>
        <v>2.5567129629629631E-2</v>
      </c>
      <c r="I77" s="105">
        <f>AgeStanSec!I77/86400</f>
        <v>2.5740740740740741E-2</v>
      </c>
      <c r="J77" s="105">
        <f>AgeStanSec!J77/86400</f>
        <v>3.2048611111111111E-2</v>
      </c>
      <c r="K77" s="105">
        <f>AgeStanSec!K77/86400</f>
        <v>3.636574074074074E-2</v>
      </c>
      <c r="L77" s="105">
        <f>AgeStanSec!L77/86400</f>
        <v>3.8958333333333331E-2</v>
      </c>
      <c r="M77" s="105">
        <f>AgeStanSec!M77/86400</f>
        <v>4.9560185185185186E-2</v>
      </c>
      <c r="N77" s="105">
        <f>AgeStanSec!N77/86400</f>
        <v>5.3541666666666668E-2</v>
      </c>
      <c r="O77" s="105">
        <f>AgeStanSec!O77/86400</f>
        <v>6.7800925925925931E-2</v>
      </c>
      <c r="P77" s="105">
        <f>AgeStanSec!P77/86400</f>
        <v>7.2048611111111105E-2</v>
      </c>
      <c r="Q77" s="105">
        <f>AgeStanSec!Q77/86400</f>
        <v>8.5625000000000007E-2</v>
      </c>
      <c r="R77" s="105">
        <f>AgeStanSec!R77/86400</f>
        <v>0.10324074074074074</v>
      </c>
      <c r="S77" s="105">
        <f>AgeStanSec!S77/86400</f>
        <v>0.14650462962962962</v>
      </c>
      <c r="T77" s="105">
        <f>AgeStanSec!T77/86400</f>
        <v>0.17645833333333333</v>
      </c>
      <c r="U77" s="105">
        <f>AgeStanSec!U77/86400</f>
        <v>0.32134259259259257</v>
      </c>
      <c r="V77" s="105">
        <f>AgeStanSec!V77/86400</f>
        <v>0.44332175925925926</v>
      </c>
      <c r="W77" s="105">
        <f>AgeStanSec!W77/86400</f>
        <v>0.74605324074074075</v>
      </c>
      <c r="X77" s="105">
        <f>AgeStanSec!X77/86400</f>
        <v>0.81745370370370374</v>
      </c>
      <c r="Y77" s="105"/>
      <c r="Z77" s="46"/>
    </row>
    <row r="78" spans="1:26">
      <c r="A78" s="461">
        <v>77</v>
      </c>
      <c r="B78" s="468">
        <f>AgeStanSec!B78/86400</f>
        <v>2.8356481481481483E-3</v>
      </c>
      <c r="C78" s="468">
        <f>AgeStanSec!C78/86400</f>
        <v>4.7453703703703703E-3</v>
      </c>
      <c r="D78" s="468">
        <f>AgeStanSec!D78/86400</f>
        <v>9.3171296296296301E-3</v>
      </c>
      <c r="E78" s="468">
        <f>AgeStanSec!E78/86400</f>
        <v>1.6168981481481482E-2</v>
      </c>
      <c r="F78" s="105">
        <f>AgeStanSec!F78/86400</f>
        <v>1.9409722222222221E-2</v>
      </c>
      <c r="G78" s="105">
        <f>AgeStanSec!G78/86400</f>
        <v>2.087962962962963E-2</v>
      </c>
      <c r="H78" s="105">
        <f>AgeStanSec!H78/86400</f>
        <v>2.6006944444444444E-2</v>
      </c>
      <c r="I78" s="105">
        <f>AgeStanSec!I78/86400</f>
        <v>2.6192129629629631E-2</v>
      </c>
      <c r="J78" s="105">
        <f>AgeStanSec!J78/86400</f>
        <v>3.2627314814814817E-2</v>
      </c>
      <c r="K78" s="105">
        <f>AgeStanSec!K78/86400</f>
        <v>3.7025462962962961E-2</v>
      </c>
      <c r="L78" s="105">
        <f>AgeStanSec!L78/86400</f>
        <v>3.9675925925925927E-2</v>
      </c>
      <c r="M78" s="105">
        <f>AgeStanSec!M78/86400</f>
        <v>5.0497685185185187E-2</v>
      </c>
      <c r="N78" s="105">
        <f>AgeStanSec!N78/86400</f>
        <v>5.4537037037037037E-2</v>
      </c>
      <c r="O78" s="105">
        <f>AgeStanSec!O78/86400</f>
        <v>6.9097222222222227E-2</v>
      </c>
      <c r="P78" s="105">
        <f>AgeStanSec!P78/86400</f>
        <v>7.3437500000000003E-2</v>
      </c>
      <c r="Q78" s="105">
        <f>AgeStanSec!Q78/86400</f>
        <v>8.7326388888888884E-2</v>
      </c>
      <c r="R78" s="105">
        <f>AgeStanSec!R78/86400</f>
        <v>0.10541666666666667</v>
      </c>
      <c r="S78" s="105">
        <f>AgeStanSec!S78/86400</f>
        <v>0.14986111111111111</v>
      </c>
      <c r="T78" s="105">
        <f>AgeStanSec!T78/86400</f>
        <v>0.18049768518518519</v>
      </c>
      <c r="U78" s="105">
        <f>AgeStanSec!U78/86400</f>
        <v>0.32871527777777776</v>
      </c>
      <c r="V78" s="105">
        <f>AgeStanSec!V78/86400</f>
        <v>0.45348379629629632</v>
      </c>
      <c r="W78" s="105">
        <f>AgeStanSec!W78/86400</f>
        <v>0.76314814814814813</v>
      </c>
      <c r="X78" s="105">
        <f>AgeStanSec!X78/86400</f>
        <v>0.83619212962962963</v>
      </c>
      <c r="Y78" s="105"/>
      <c r="Z78" s="46"/>
    </row>
    <row r="79" spans="1:26">
      <c r="A79" s="461">
        <v>78</v>
      </c>
      <c r="B79" s="468">
        <f>AgeStanSec!B79/86400</f>
        <v>2.8819444444444444E-3</v>
      </c>
      <c r="C79" s="468">
        <f>AgeStanSec!C79/86400</f>
        <v>4.8148148148148152E-3</v>
      </c>
      <c r="D79" s="468">
        <f>AgeStanSec!D79/86400</f>
        <v>9.4675925925925934E-3</v>
      </c>
      <c r="E79" s="468">
        <f>AgeStanSec!E79/86400</f>
        <v>1.6446759259259258E-2</v>
      </c>
      <c r="F79" s="105">
        <f>AgeStanSec!F79/86400</f>
        <v>1.9756944444444445E-2</v>
      </c>
      <c r="G79" s="105">
        <f>AgeStanSec!G79/86400</f>
        <v>2.1261574074074075E-2</v>
      </c>
      <c r="H79" s="105">
        <f>AgeStanSec!H79/86400</f>
        <v>2.6504629629629628E-2</v>
      </c>
      <c r="I79" s="105">
        <f>AgeStanSec!I79/86400</f>
        <v>2.6689814814814816E-2</v>
      </c>
      <c r="J79" s="105">
        <f>AgeStanSec!J79/86400</f>
        <v>3.3263888888888891E-2</v>
      </c>
      <c r="K79" s="105">
        <f>AgeStanSec!K79/86400</f>
        <v>3.7766203703703705E-2</v>
      </c>
      <c r="L79" s="105">
        <f>AgeStanSec!L79/86400</f>
        <v>4.0474537037037038E-2</v>
      </c>
      <c r="M79" s="105">
        <f>AgeStanSec!M79/86400</f>
        <v>5.1516203703703703E-2</v>
      </c>
      <c r="N79" s="105">
        <f>AgeStanSec!N79/86400</f>
        <v>5.5671296296296295E-2</v>
      </c>
      <c r="O79" s="105">
        <f>AgeStanSec!O79/86400</f>
        <v>7.0555555555555552E-2</v>
      </c>
      <c r="P79" s="105">
        <f>AgeStanSec!P79/86400</f>
        <v>7.4988425925925931E-2</v>
      </c>
      <c r="Q79" s="105">
        <f>AgeStanSec!Q79/86400</f>
        <v>8.925925925925926E-2</v>
      </c>
      <c r="R79" s="105">
        <f>AgeStanSec!R79/86400</f>
        <v>0.1078587962962963</v>
      </c>
      <c r="S79" s="105">
        <f>AgeStanSec!S79/86400</f>
        <v>0.15361111111111111</v>
      </c>
      <c r="T79" s="105">
        <f>AgeStanSec!T79/86400</f>
        <v>0.18502314814814816</v>
      </c>
      <c r="U79" s="105">
        <f>AgeStanSec!U79/86400</f>
        <v>0.3369328703703704</v>
      </c>
      <c r="V79" s="105">
        <f>AgeStanSec!V79/86400</f>
        <v>0.46483796296296298</v>
      </c>
      <c r="W79" s="105">
        <f>AgeStanSec!W79/86400</f>
        <v>0.78224537037037034</v>
      </c>
      <c r="X79" s="105"/>
      <c r="Y79" s="105"/>
      <c r="Z79" s="46"/>
    </row>
    <row r="80" spans="1:26">
      <c r="A80" s="461">
        <v>79</v>
      </c>
      <c r="B80" s="468">
        <f>AgeStanSec!B80/86400</f>
        <v>2.9166666666666668E-3</v>
      </c>
      <c r="C80" s="468">
        <f>AgeStanSec!C80/86400</f>
        <v>4.8958333333333336E-3</v>
      </c>
      <c r="D80" s="468">
        <f>AgeStanSec!D80/86400</f>
        <v>9.6412037037037039E-3</v>
      </c>
      <c r="E80" s="468">
        <f>AgeStanSec!E80/86400</f>
        <v>1.6759259259259258E-2</v>
      </c>
      <c r="F80" s="105">
        <f>AgeStanSec!F80/86400</f>
        <v>2.0150462962962964E-2</v>
      </c>
      <c r="G80" s="105">
        <f>AgeStanSec!G80/86400</f>
        <v>2.1678240740740741E-2</v>
      </c>
      <c r="H80" s="105">
        <f>AgeStanSec!H80/86400</f>
        <v>2.704861111111111E-2</v>
      </c>
      <c r="I80" s="105">
        <f>AgeStanSec!I80/86400</f>
        <v>2.7245370370370371E-2</v>
      </c>
      <c r="J80" s="105">
        <f>AgeStanSec!J80/86400</f>
        <v>3.3981481481481481E-2</v>
      </c>
      <c r="K80" s="105">
        <f>AgeStanSec!K80/86400</f>
        <v>3.8587962962962963E-2</v>
      </c>
      <c r="L80" s="105">
        <f>AgeStanSec!L80/86400</f>
        <v>4.1354166666666664E-2</v>
      </c>
      <c r="M80" s="105">
        <f>AgeStanSec!M80/86400</f>
        <v>5.2673611111111109E-2</v>
      </c>
      <c r="N80" s="105">
        <f>AgeStanSec!N80/86400</f>
        <v>5.6909722222222223E-2</v>
      </c>
      <c r="O80" s="105">
        <f>AgeStanSec!O80/86400</f>
        <v>7.2164351851851855E-2</v>
      </c>
      <c r="P80" s="105">
        <f>AgeStanSec!P80/86400</f>
        <v>7.6701388888888888E-2</v>
      </c>
      <c r="Q80" s="105">
        <f>AgeStanSec!Q80/86400</f>
        <v>9.1388888888888895E-2</v>
      </c>
      <c r="R80" s="105">
        <f>AgeStanSec!R80/86400</f>
        <v>0.11054398148148148</v>
      </c>
      <c r="S80" s="105">
        <f>AgeStanSec!S80/86400</f>
        <v>0.15774305555555557</v>
      </c>
      <c r="T80" s="105">
        <f>AgeStanSec!T80/86400</f>
        <v>0.19</v>
      </c>
      <c r="U80" s="105">
        <f>AgeStanSec!U80/86400</f>
        <v>0.34600694444444446</v>
      </c>
      <c r="V80" s="105">
        <f>AgeStanSec!V80/86400</f>
        <v>0.47734953703703703</v>
      </c>
      <c r="W80" s="105">
        <f>AgeStanSec!W80/86400</f>
        <v>0.80331018518518515</v>
      </c>
      <c r="X80" s="105"/>
      <c r="Y80" s="105"/>
      <c r="Z80" s="46"/>
    </row>
    <row r="81" spans="1:26">
      <c r="A81" s="466">
        <v>80</v>
      </c>
      <c r="B81" s="436">
        <f>AgeStanSec!B81/86400</f>
        <v>2.9629629629629628E-3</v>
      </c>
      <c r="C81" s="436">
        <f>AgeStanSec!C81/86400</f>
        <v>4.9884259259259257E-3</v>
      </c>
      <c r="D81" s="436">
        <f>AgeStanSec!D81/86400</f>
        <v>9.8263888888888897E-3</v>
      </c>
      <c r="E81" s="436">
        <f>AgeStanSec!E81/86400</f>
        <v>1.7118055555555556E-2</v>
      </c>
      <c r="F81" s="106">
        <f>AgeStanSec!F81/86400</f>
        <v>2.0578703703703703E-2</v>
      </c>
      <c r="G81" s="106">
        <f>AgeStanSec!G81/86400</f>
        <v>2.2152777777777778E-2</v>
      </c>
      <c r="H81" s="106">
        <f>AgeStanSec!H81/86400</f>
        <v>2.7662037037037037E-2</v>
      </c>
      <c r="I81" s="106">
        <f>AgeStanSec!I81/86400</f>
        <v>2.7858796296296295E-2</v>
      </c>
      <c r="J81" s="106">
        <f>AgeStanSec!J81/86400</f>
        <v>3.4768518518518518E-2</v>
      </c>
      <c r="K81" s="436">
        <f>AgeStanSec!K81/86400</f>
        <v>3.9490740740740743E-2</v>
      </c>
      <c r="L81" s="106">
        <f>AgeStanSec!L81/86400</f>
        <v>4.2326388888888886E-2</v>
      </c>
      <c r="M81" s="106">
        <f>AgeStanSec!M81/86400</f>
        <v>5.3946759259259257E-2</v>
      </c>
      <c r="N81" s="106">
        <f>AgeStanSec!N81/86400</f>
        <v>5.828703703703704E-2</v>
      </c>
      <c r="O81" s="106">
        <f>AgeStanSec!O81/86400</f>
        <v>7.3935185185185187E-2</v>
      </c>
      <c r="P81" s="106">
        <f>AgeStanSec!P81/86400</f>
        <v>7.8611111111111118E-2</v>
      </c>
      <c r="Q81" s="106">
        <f>AgeStanSec!Q81/86400</f>
        <v>9.3761574074074081E-2</v>
      </c>
      <c r="R81" s="106">
        <f>AgeStanSec!R81/86400</f>
        <v>0.1135300925925926</v>
      </c>
      <c r="S81" s="106">
        <f>AgeStanSec!S81/86400</f>
        <v>0.16237268518518519</v>
      </c>
      <c r="T81" s="106">
        <f>AgeStanSec!T81/86400</f>
        <v>0.1955787037037037</v>
      </c>
      <c r="U81" s="106">
        <f>AgeStanSec!U81/86400</f>
        <v>0.35615740740740742</v>
      </c>
      <c r="V81" s="106">
        <f>AgeStanSec!V81/86400</f>
        <v>0.49135416666666665</v>
      </c>
      <c r="W81" s="106">
        <f>AgeStanSec!W81/86400</f>
        <v>0.82686342592592588</v>
      </c>
      <c r="X81" s="106"/>
      <c r="Y81" s="106"/>
      <c r="Z81" s="46"/>
    </row>
    <row r="82" spans="1:26">
      <c r="A82" s="461">
        <v>81</v>
      </c>
      <c r="B82" s="468">
        <f>AgeStanSec!B82/86400</f>
        <v>3.0208333333333333E-3</v>
      </c>
      <c r="C82" s="468">
        <f>AgeStanSec!C82/86400</f>
        <v>5.0810185185185186E-3</v>
      </c>
      <c r="D82" s="468">
        <f>AgeStanSec!D82/86400</f>
        <v>1.0034722222222223E-2</v>
      </c>
      <c r="E82" s="468">
        <f>AgeStanSec!E82/86400</f>
        <v>1.7500000000000002E-2</v>
      </c>
      <c r="F82" s="105">
        <f>AgeStanSec!F82/86400</f>
        <v>2.1064814814814814E-2</v>
      </c>
      <c r="G82" s="105">
        <f>AgeStanSec!G82/86400</f>
        <v>2.2685185185185187E-2</v>
      </c>
      <c r="H82" s="105">
        <f>AgeStanSec!H82/86400</f>
        <v>2.8333333333333332E-2</v>
      </c>
      <c r="I82" s="105">
        <f>AgeStanSec!I82/86400</f>
        <v>2.8541666666666667E-2</v>
      </c>
      <c r="J82" s="105">
        <f>AgeStanSec!J82/86400</f>
        <v>3.5648148148148151E-2</v>
      </c>
      <c r="K82" s="105">
        <f>AgeStanSec!K82/86400</f>
        <v>4.0497685185185185E-2</v>
      </c>
      <c r="L82" s="105">
        <f>AgeStanSec!L82/86400</f>
        <v>4.341435185185185E-2</v>
      </c>
      <c r="M82" s="105">
        <f>AgeStanSec!M82/86400</f>
        <v>5.5358796296296295E-2</v>
      </c>
      <c r="N82" s="105">
        <f>AgeStanSec!N82/86400</f>
        <v>5.9837962962962961E-2</v>
      </c>
      <c r="O82" s="105">
        <f>AgeStanSec!O82/86400</f>
        <v>7.5949074074074072E-2</v>
      </c>
      <c r="P82" s="105">
        <f>AgeStanSec!P82/86400</f>
        <v>8.0740740740740738E-2</v>
      </c>
      <c r="Q82" s="105">
        <f>AgeStanSec!Q82/86400</f>
        <v>9.6412037037037032E-2</v>
      </c>
      <c r="R82" s="105">
        <f>AgeStanSec!R82/86400</f>
        <v>0.11689814814814815</v>
      </c>
      <c r="S82" s="105">
        <f>AgeStanSec!S82/86400</f>
        <v>0.16753472222222221</v>
      </c>
      <c r="T82" s="105">
        <f>AgeStanSec!T82/86400</f>
        <v>0.20178240740740741</v>
      </c>
      <c r="U82" s="105">
        <f>AgeStanSec!U82/86400</f>
        <v>0.36746527777777777</v>
      </c>
      <c r="V82" s="105">
        <f>AgeStanSec!V82/86400</f>
        <v>0.50695601851851857</v>
      </c>
      <c r="W82" s="105"/>
      <c r="X82" s="105"/>
      <c r="Y82" s="105"/>
      <c r="Z82" s="46"/>
    </row>
    <row r="83" spans="1:26">
      <c r="A83" s="461">
        <v>82</v>
      </c>
      <c r="B83" s="468">
        <f>AgeStanSec!B83/86400</f>
        <v>3.0787037037037037E-3</v>
      </c>
      <c r="C83" s="468">
        <f>AgeStanSec!C83/86400</f>
        <v>5.185185185185185E-3</v>
      </c>
      <c r="D83" s="468">
        <f>AgeStanSec!D83/86400</f>
        <v>1.0266203703703704E-2</v>
      </c>
      <c r="E83" s="468">
        <f>AgeStanSec!E83/86400</f>
        <v>1.7939814814814815E-2</v>
      </c>
      <c r="F83" s="105">
        <f>AgeStanSec!F83/86400</f>
        <v>2.1597222222222223E-2</v>
      </c>
      <c r="G83" s="105">
        <f>AgeStanSec!G83/86400</f>
        <v>2.326388888888889E-2</v>
      </c>
      <c r="H83" s="105">
        <f>AgeStanSec!H83/86400</f>
        <v>2.9085648148148149E-2</v>
      </c>
      <c r="I83" s="105">
        <f>AgeStanSec!I83/86400</f>
        <v>2.929398148148148E-2</v>
      </c>
      <c r="J83" s="105">
        <f>AgeStanSec!J83/86400</f>
        <v>3.6620370370370373E-2</v>
      </c>
      <c r="K83" s="105">
        <f>AgeStanSec!K83/86400</f>
        <v>4.162037037037037E-2</v>
      </c>
      <c r="L83" s="105">
        <f>AgeStanSec!L83/86400</f>
        <v>4.4618055555555557E-2</v>
      </c>
      <c r="M83" s="105">
        <f>AgeStanSec!M83/86400</f>
        <v>5.693287037037037E-2</v>
      </c>
      <c r="N83" s="105">
        <f>AgeStanSec!N83/86400</f>
        <v>6.1539351851851852E-2</v>
      </c>
      <c r="O83" s="105">
        <f>AgeStanSec!O83/86400</f>
        <v>7.8159722222222228E-2</v>
      </c>
      <c r="P83" s="105">
        <f>AgeStanSec!P83/86400</f>
        <v>8.3113425925925924E-2</v>
      </c>
      <c r="Q83" s="105">
        <f>AgeStanSec!Q83/86400</f>
        <v>9.9363425925925924E-2</v>
      </c>
      <c r="R83" s="105">
        <f>AgeStanSec!R83/86400</f>
        <v>0.12061342592592593</v>
      </c>
      <c r="S83" s="105">
        <f>AgeStanSec!S83/86400</f>
        <v>0.17325231481481482</v>
      </c>
      <c r="T83" s="105">
        <f>AgeStanSec!T83/86400</f>
        <v>0.20868055555555556</v>
      </c>
      <c r="U83" s="105">
        <f>AgeStanSec!U83/86400</f>
        <v>0.38002314814814814</v>
      </c>
      <c r="V83" s="105">
        <f>AgeStanSec!V83/86400</f>
        <v>0.52428240740740739</v>
      </c>
      <c r="W83" s="105"/>
      <c r="X83" s="105"/>
      <c r="Y83" s="105"/>
      <c r="Z83" s="46"/>
    </row>
    <row r="84" spans="1:26">
      <c r="A84" s="461">
        <v>83</v>
      </c>
      <c r="B84" s="468">
        <f>AgeStanSec!B84/86400</f>
        <v>3.1481481481481482E-3</v>
      </c>
      <c r="C84" s="468">
        <f>AgeStanSec!C84/86400</f>
        <v>5.3125000000000004E-3</v>
      </c>
      <c r="D84" s="468">
        <f>AgeStanSec!D84/86400</f>
        <v>1.0532407407407407E-2</v>
      </c>
      <c r="E84" s="468">
        <f>AgeStanSec!E84/86400</f>
        <v>1.8414351851851852E-2</v>
      </c>
      <c r="F84" s="105">
        <f>AgeStanSec!F84/86400</f>
        <v>2.2187499999999999E-2</v>
      </c>
      <c r="G84" s="105">
        <f>AgeStanSec!G84/86400</f>
        <v>2.3900462962962964E-2</v>
      </c>
      <c r="H84" s="105">
        <f>AgeStanSec!H84/86400</f>
        <v>2.991898148148148E-2</v>
      </c>
      <c r="I84" s="105">
        <f>AgeStanSec!I84/86400</f>
        <v>3.0138888888888889E-2</v>
      </c>
      <c r="J84" s="105">
        <f>AgeStanSec!J84/86400</f>
        <v>3.7696759259259256E-2</v>
      </c>
      <c r="K84" s="105">
        <f>AgeStanSec!K84/86400</f>
        <v>4.2858796296296298E-2</v>
      </c>
      <c r="L84" s="105">
        <f>AgeStanSec!L84/86400</f>
        <v>4.5960648148148146E-2</v>
      </c>
      <c r="M84" s="105">
        <f>AgeStanSec!M84/86400</f>
        <v>5.8668981481481482E-2</v>
      </c>
      <c r="N84" s="105">
        <f>AgeStanSec!N84/86400</f>
        <v>6.3449074074074074E-2</v>
      </c>
      <c r="O84" s="105">
        <f>AgeStanSec!O84/86400</f>
        <v>8.0625000000000002E-2</v>
      </c>
      <c r="P84" s="105">
        <f>AgeStanSec!P84/86400</f>
        <v>8.5752314814814809E-2</v>
      </c>
      <c r="Q84" s="105">
        <f>AgeStanSec!Q84/86400</f>
        <v>0.10265046296296296</v>
      </c>
      <c r="R84" s="105">
        <f>AgeStanSec!R84/86400</f>
        <v>0.1247800925925926</v>
      </c>
      <c r="S84" s="105">
        <f>AgeStanSec!S84/86400</f>
        <v>0.17971064814814816</v>
      </c>
      <c r="T84" s="105">
        <f>AgeStanSec!T84/86400</f>
        <v>0.21644675925925927</v>
      </c>
      <c r="U84" s="105">
        <f>AgeStanSec!U84/86400</f>
        <v>0.39417824074074076</v>
      </c>
      <c r="V84" s="105">
        <f>AgeStanSec!V84/86400</f>
        <v>0.54380787037037037</v>
      </c>
      <c r="W84" s="105"/>
      <c r="X84" s="105"/>
      <c r="Y84" s="105"/>
      <c r="Z84" s="46"/>
    </row>
    <row r="85" spans="1:26">
      <c r="A85" s="461">
        <v>84</v>
      </c>
      <c r="B85" s="468">
        <f>AgeStanSec!B85/86400</f>
        <v>3.2291666666666666E-3</v>
      </c>
      <c r="C85" s="468">
        <f>AgeStanSec!C85/86400</f>
        <v>5.4513888888888893E-3</v>
      </c>
      <c r="D85" s="468">
        <f>AgeStanSec!D85/86400</f>
        <v>1.0821759259259258E-2</v>
      </c>
      <c r="E85" s="468">
        <f>AgeStanSec!E85/86400</f>
        <v>1.894675925925926E-2</v>
      </c>
      <c r="F85" s="105">
        <f>AgeStanSec!F85/86400</f>
        <v>2.2858796296296297E-2</v>
      </c>
      <c r="G85" s="105">
        <f>AgeStanSec!G85/86400</f>
        <v>2.462962962962963E-2</v>
      </c>
      <c r="H85" s="105">
        <f>AgeStanSec!H85/86400</f>
        <v>3.0844907407407408E-2</v>
      </c>
      <c r="I85" s="105">
        <f>AgeStanSec!I85/86400</f>
        <v>3.1064814814814816E-2</v>
      </c>
      <c r="J85" s="105">
        <f>AgeStanSec!J85/86400</f>
        <v>3.8900462962962963E-2</v>
      </c>
      <c r="K85" s="105">
        <f>AgeStanSec!K85/86400</f>
        <v>4.4247685185185189E-2</v>
      </c>
      <c r="L85" s="105">
        <f>AgeStanSec!L85/86400</f>
        <v>4.7453703703703706E-2</v>
      </c>
      <c r="M85" s="105">
        <f>AgeStanSec!M85/86400</f>
        <v>6.0624999999999998E-2</v>
      </c>
      <c r="N85" s="105">
        <f>AgeStanSec!N85/86400</f>
        <v>6.5567129629629628E-2</v>
      </c>
      <c r="O85" s="105">
        <f>AgeStanSec!O85/86400</f>
        <v>8.3402777777777784E-2</v>
      </c>
      <c r="P85" s="105">
        <f>AgeStanSec!P85/86400</f>
        <v>8.8715277777777782E-2</v>
      </c>
      <c r="Q85" s="105">
        <f>AgeStanSec!Q85/86400</f>
        <v>0.10633101851851852</v>
      </c>
      <c r="R85" s="105">
        <f>AgeStanSec!R85/86400</f>
        <v>0.12944444444444445</v>
      </c>
      <c r="S85" s="105">
        <f>AgeStanSec!S85/86400</f>
        <v>0.18693287037037037</v>
      </c>
      <c r="T85" s="105">
        <f>AgeStanSec!T85/86400</f>
        <v>0.22515046296296296</v>
      </c>
      <c r="U85" s="105">
        <f>AgeStanSec!U85/86400</f>
        <v>0.41002314814814816</v>
      </c>
      <c r="V85" s="105">
        <f>AgeStanSec!V85/86400</f>
        <v>0.56565972222222227</v>
      </c>
      <c r="W85" s="105"/>
      <c r="X85" s="105"/>
      <c r="Y85" s="105"/>
      <c r="Z85" s="46"/>
    </row>
    <row r="86" spans="1:26">
      <c r="A86" s="466">
        <v>85</v>
      </c>
      <c r="B86" s="436">
        <f>AgeStanSec!B86/86400</f>
        <v>3.3217592592592591E-3</v>
      </c>
      <c r="C86" s="436">
        <f>AgeStanSec!C86/86400</f>
        <v>5.6018518518518518E-3</v>
      </c>
      <c r="D86" s="436">
        <f>AgeStanSec!D86/86400</f>
        <v>1.1145833333333334E-2</v>
      </c>
      <c r="E86" s="436">
        <f>AgeStanSec!E86/86400</f>
        <v>1.954861111111111E-2</v>
      </c>
      <c r="F86" s="106">
        <f>AgeStanSec!F86/86400</f>
        <v>2.3587962962962963E-2</v>
      </c>
      <c r="G86" s="106">
        <f>AgeStanSec!G86/86400</f>
        <v>2.5428240740740741E-2</v>
      </c>
      <c r="H86" s="106">
        <f>AgeStanSec!H86/86400</f>
        <v>3.1886574074074074E-2</v>
      </c>
      <c r="I86" s="106">
        <f>AgeStanSec!I86/86400</f>
        <v>3.2118055555555552E-2</v>
      </c>
      <c r="J86" s="106">
        <f>AgeStanSec!J86/86400</f>
        <v>4.0254629629629626E-2</v>
      </c>
      <c r="K86" s="436">
        <f>AgeStanSec!K86/86400</f>
        <v>4.5798611111111109E-2</v>
      </c>
      <c r="L86" s="106">
        <f>AgeStanSec!L86/86400</f>
        <v>4.9131944444444443E-2</v>
      </c>
      <c r="M86" s="106">
        <f>AgeStanSec!M86/86400</f>
        <v>6.2824074074074074E-2</v>
      </c>
      <c r="N86" s="106">
        <f>AgeStanSec!N86/86400</f>
        <v>6.7974537037037042E-2</v>
      </c>
      <c r="O86" s="106">
        <f>AgeStanSec!O86/86400</f>
        <v>8.6527777777777773E-2</v>
      </c>
      <c r="P86" s="106">
        <f>AgeStanSec!P86/86400</f>
        <v>9.2060185185185189E-2</v>
      </c>
      <c r="Q86" s="106">
        <f>AgeStanSec!Q86/86400</f>
        <v>0.11050925925925927</v>
      </c>
      <c r="R86" s="106">
        <f>AgeStanSec!R86/86400</f>
        <v>0.13472222222222222</v>
      </c>
      <c r="S86" s="106">
        <f>AgeStanSec!S86/86400</f>
        <v>0.19513888888888889</v>
      </c>
      <c r="T86" s="106">
        <f>AgeStanSec!T86/86400</f>
        <v>0.23503472222222221</v>
      </c>
      <c r="U86" s="106">
        <f>AgeStanSec!U86/86400</f>
        <v>0.42802083333333335</v>
      </c>
      <c r="V86" s="106">
        <f>AgeStanSec!V86/86400</f>
        <v>0.59049768518518519</v>
      </c>
      <c r="W86" s="106"/>
      <c r="X86" s="106"/>
      <c r="Y86" s="106"/>
      <c r="Z86" s="46"/>
    </row>
    <row r="87" spans="1:26">
      <c r="A87" s="461">
        <v>86</v>
      </c>
      <c r="B87" s="468">
        <f>AgeStanSec!B87/86400</f>
        <v>3.425925925925926E-3</v>
      </c>
      <c r="C87" s="468">
        <f>AgeStanSec!C87/86400</f>
        <v>5.7870370370370367E-3</v>
      </c>
      <c r="D87" s="468">
        <f>AgeStanSec!D87/86400</f>
        <v>1.150462962962963E-2</v>
      </c>
      <c r="E87" s="468">
        <f>AgeStanSec!E87/86400</f>
        <v>2.0219907407407409E-2</v>
      </c>
      <c r="F87" s="105">
        <f>AgeStanSec!F87/86400</f>
        <v>2.4421296296296295E-2</v>
      </c>
      <c r="G87" s="105">
        <f>AgeStanSec!G87/86400</f>
        <v>2.6331018518518517E-2</v>
      </c>
      <c r="H87" s="105">
        <f>AgeStanSec!H87/86400</f>
        <v>3.304398148148148E-2</v>
      </c>
      <c r="I87" s="105">
        <f>AgeStanSec!I87/86400</f>
        <v>3.3287037037037039E-2</v>
      </c>
      <c r="J87" s="105">
        <f>AgeStanSec!J87/86400</f>
        <v>4.175925925925926E-2</v>
      </c>
      <c r="K87" s="105">
        <f>AgeStanSec!K87/86400</f>
        <v>4.7534722222222221E-2</v>
      </c>
      <c r="L87" s="105">
        <f>AgeStanSec!L87/86400</f>
        <v>5.1018518518518519E-2</v>
      </c>
      <c r="M87" s="105">
        <f>AgeStanSec!M87/86400</f>
        <v>6.5300925925925929E-2</v>
      </c>
      <c r="N87" s="105">
        <f>AgeStanSec!N87/86400</f>
        <v>7.0659722222222221E-2</v>
      </c>
      <c r="O87" s="105">
        <f>AgeStanSec!O87/86400</f>
        <v>9.0046296296296291E-2</v>
      </c>
      <c r="P87" s="105">
        <f>AgeStanSec!P87/86400</f>
        <v>9.5821759259259259E-2</v>
      </c>
      <c r="Q87" s="105">
        <f>AgeStanSec!Q87/86400</f>
        <v>0.11520833333333333</v>
      </c>
      <c r="R87" s="105">
        <f>AgeStanSec!R87/86400</f>
        <v>0.14070601851851852</v>
      </c>
      <c r="S87" s="105">
        <f>AgeStanSec!S87/86400</f>
        <v>0.20446759259259259</v>
      </c>
      <c r="T87" s="105">
        <f>AgeStanSec!T87/86400</f>
        <v>0.24627314814814816</v>
      </c>
      <c r="U87" s="105">
        <f>AgeStanSec!U87/86400</f>
        <v>0.44848379629629631</v>
      </c>
      <c r="V87" s="105">
        <f>AgeStanSec!V87/86400</f>
        <v>0.61872685185185183</v>
      </c>
      <c r="W87" s="105"/>
      <c r="X87" s="105"/>
      <c r="Y87" s="105"/>
      <c r="Z87" s="46"/>
    </row>
    <row r="88" spans="1:26">
      <c r="A88" s="461">
        <v>87</v>
      </c>
      <c r="B88" s="468">
        <f>AgeStanSec!B88/86400</f>
        <v>3.5300925925925925E-3</v>
      </c>
      <c r="C88" s="468">
        <f>AgeStanSec!C88/86400</f>
        <v>5.9837962962962961E-3</v>
      </c>
      <c r="D88" s="468">
        <f>AgeStanSec!D88/86400</f>
        <v>1.1921296296296296E-2</v>
      </c>
      <c r="E88" s="468">
        <f>AgeStanSec!E88/86400</f>
        <v>2.0960648148148148E-2</v>
      </c>
      <c r="F88" s="105">
        <f>AgeStanSec!F88/86400</f>
        <v>2.5347222222222222E-2</v>
      </c>
      <c r="G88" s="105">
        <f>AgeStanSec!G88/86400</f>
        <v>2.7349537037037037E-2</v>
      </c>
      <c r="H88" s="105">
        <f>AgeStanSec!H88/86400</f>
        <v>3.4351851851851849E-2</v>
      </c>
      <c r="I88" s="105">
        <f>AgeStanSec!I88/86400</f>
        <v>3.4606481481481481E-2</v>
      </c>
      <c r="J88" s="105">
        <f>AgeStanSec!J88/86400</f>
        <v>4.3460648148148151E-2</v>
      </c>
      <c r="K88" s="105">
        <f>AgeStanSec!K88/86400</f>
        <v>4.9502314814814811E-2</v>
      </c>
      <c r="L88" s="105">
        <f>AgeStanSec!L88/86400</f>
        <v>5.3124999999999999E-2</v>
      </c>
      <c r="M88" s="105">
        <f>AgeStanSec!M88/86400</f>
        <v>6.8090277777777777E-2</v>
      </c>
      <c r="N88" s="105">
        <f>AgeStanSec!N88/86400</f>
        <v>7.3703703703703702E-2</v>
      </c>
      <c r="O88" s="105">
        <f>AgeStanSec!O88/86400</f>
        <v>9.4016203703703699E-2</v>
      </c>
      <c r="P88" s="105">
        <f>AgeStanSec!P88/86400</f>
        <v>0.10008101851851851</v>
      </c>
      <c r="Q88" s="105">
        <f>AgeStanSec!Q88/86400</f>
        <v>0.12053240740740741</v>
      </c>
      <c r="R88" s="105">
        <f>AgeStanSec!R88/86400</f>
        <v>0.14748842592592593</v>
      </c>
      <c r="S88" s="105">
        <f>AgeStanSec!S88/86400</f>
        <v>0.21509259259259259</v>
      </c>
      <c r="T88" s="105">
        <f>AgeStanSec!T88/86400</f>
        <v>0.25907407407407407</v>
      </c>
      <c r="U88" s="105">
        <f>AgeStanSec!U88/86400</f>
        <v>0.47179398148148149</v>
      </c>
      <c r="V88" s="105">
        <f>AgeStanSec!V88/86400</f>
        <v>0.65087962962962964</v>
      </c>
      <c r="W88" s="105"/>
      <c r="X88" s="105"/>
      <c r="Y88" s="105"/>
      <c r="Z88" s="46"/>
    </row>
    <row r="89" spans="1:26">
      <c r="A89" s="461">
        <v>88</v>
      </c>
      <c r="B89" s="468">
        <f>AgeStanSec!B89/86400</f>
        <v>3.6574074074074074E-3</v>
      </c>
      <c r="C89" s="468">
        <f>AgeStanSec!C89/86400</f>
        <v>6.2037037037037035E-3</v>
      </c>
      <c r="D89" s="468">
        <f>AgeStanSec!D89/86400</f>
        <v>1.238425925925926E-2</v>
      </c>
      <c r="E89" s="468">
        <f>AgeStanSec!E89/86400</f>
        <v>2.1805555555555557E-2</v>
      </c>
      <c r="F89" s="105">
        <f>AgeStanSec!F89/86400</f>
        <v>2.6400462962962962E-2</v>
      </c>
      <c r="G89" s="105">
        <f>AgeStanSec!G89/86400</f>
        <v>2.8472222222222222E-2</v>
      </c>
      <c r="H89" s="105">
        <f>AgeStanSec!H89/86400</f>
        <v>3.5821759259259262E-2</v>
      </c>
      <c r="I89" s="105">
        <f>AgeStanSec!I89/86400</f>
        <v>3.6087962962962961E-2</v>
      </c>
      <c r="J89" s="105">
        <f>AgeStanSec!J89/86400</f>
        <v>4.5370370370370373E-2</v>
      </c>
      <c r="K89" s="105">
        <f>AgeStanSec!K89/86400</f>
        <v>5.1712962962962961E-2</v>
      </c>
      <c r="L89" s="105">
        <f>AgeStanSec!L89/86400</f>
        <v>5.5543981481481479E-2</v>
      </c>
      <c r="M89" s="105">
        <f>AgeStanSec!M89/86400</f>
        <v>7.1261574074074074E-2</v>
      </c>
      <c r="N89" s="105">
        <f>AgeStanSec!N89/86400</f>
        <v>7.7175925925925926E-2</v>
      </c>
      <c r="O89" s="105">
        <f>AgeStanSec!O89/86400</f>
        <v>9.8587962962962961E-2</v>
      </c>
      <c r="P89" s="105">
        <f>AgeStanSec!P89/86400</f>
        <v>0.10496527777777778</v>
      </c>
      <c r="Q89" s="105">
        <f>AgeStanSec!Q89/86400</f>
        <v>0.12666666666666668</v>
      </c>
      <c r="R89" s="105">
        <f>AgeStanSec!R89/86400</f>
        <v>0.15528935185185186</v>
      </c>
      <c r="S89" s="105">
        <f>AgeStanSec!S89/86400</f>
        <v>0.22739583333333332</v>
      </c>
      <c r="T89" s="105">
        <f>AgeStanSec!T89/86400</f>
        <v>0.2738888888888889</v>
      </c>
      <c r="U89" s="105">
        <f>AgeStanSec!U89/86400</f>
        <v>0.4987847222222222</v>
      </c>
      <c r="V89" s="105">
        <f>AgeStanSec!V89/86400</f>
        <v>0.68811342592592595</v>
      </c>
      <c r="W89" s="105"/>
      <c r="X89" s="105"/>
      <c r="Y89" s="105"/>
      <c r="Z89" s="46"/>
    </row>
    <row r="90" spans="1:26">
      <c r="A90" s="461">
        <v>89</v>
      </c>
      <c r="B90" s="468">
        <f>AgeStanSec!B90/86400</f>
        <v>3.8078703703703703E-3</v>
      </c>
      <c r="C90" s="468">
        <f>AgeStanSec!C90/86400</f>
        <v>6.4583333333333333E-3</v>
      </c>
      <c r="D90" s="468">
        <f>AgeStanSec!D90/86400</f>
        <v>1.2905092592592593E-2</v>
      </c>
      <c r="E90" s="468">
        <f>AgeStanSec!E90/86400</f>
        <v>2.2766203703703705E-2</v>
      </c>
      <c r="F90" s="105">
        <f>AgeStanSec!F90/86400</f>
        <v>2.7581018518518519E-2</v>
      </c>
      <c r="G90" s="105">
        <f>AgeStanSec!G90/86400</f>
        <v>2.9768518518518517E-2</v>
      </c>
      <c r="H90" s="105">
        <f>AgeStanSec!H90/86400</f>
        <v>3.7488425925925925E-2</v>
      </c>
      <c r="I90" s="105">
        <f>AgeStanSec!I90/86400</f>
        <v>3.7777777777777778E-2</v>
      </c>
      <c r="J90" s="105">
        <f>AgeStanSec!J90/86400</f>
        <v>4.7557870370370368E-2</v>
      </c>
      <c r="K90" s="105">
        <f>AgeStanSec!K90/86400</f>
        <v>5.423611111111111E-2</v>
      </c>
      <c r="L90" s="105">
        <f>AgeStanSec!L90/86400</f>
        <v>5.8275462962962966E-2</v>
      </c>
      <c r="M90" s="105">
        <f>AgeStanSec!M90/86400</f>
        <v>7.4872685185185181E-2</v>
      </c>
      <c r="N90" s="105">
        <f>AgeStanSec!N90/86400</f>
        <v>8.1134259259259253E-2</v>
      </c>
      <c r="O90" s="105">
        <f>AgeStanSec!O90/86400</f>
        <v>0.10377314814814814</v>
      </c>
      <c r="P90" s="105">
        <f>AgeStanSec!P90/86400</f>
        <v>0.11055555555555556</v>
      </c>
      <c r="Q90" s="105">
        <f>AgeStanSec!Q90/86400</f>
        <v>0.13368055555555555</v>
      </c>
      <c r="R90" s="105">
        <f>AgeStanSec!R90/86400</f>
        <v>0.16427083333333334</v>
      </c>
      <c r="S90" s="105">
        <f>AgeStanSec!S90/86400</f>
        <v>0.24164351851851851</v>
      </c>
      <c r="T90" s="105">
        <f>AgeStanSec!T90/86400</f>
        <v>0.29105324074074074</v>
      </c>
      <c r="U90" s="105">
        <f>AgeStanSec!U90/86400</f>
        <v>0.53003472222222225</v>
      </c>
      <c r="V90" s="105">
        <f>AgeStanSec!V90/86400</f>
        <v>0.73123842592592592</v>
      </c>
      <c r="W90" s="105"/>
      <c r="X90" s="105"/>
      <c r="Y90" s="105"/>
      <c r="Z90" s="46"/>
    </row>
    <row r="91" spans="1:26">
      <c r="A91" s="466">
        <v>90</v>
      </c>
      <c r="B91" s="436">
        <f>AgeStanSec!B91/86400</f>
        <v>3.9699074074074072E-3</v>
      </c>
      <c r="C91" s="436">
        <f>AgeStanSec!C91/86400</f>
        <v>6.7476851851851856E-3</v>
      </c>
      <c r="D91" s="436">
        <f>AgeStanSec!D91/86400</f>
        <v>1.3506944444444445E-2</v>
      </c>
      <c r="E91" s="436">
        <f>AgeStanSec!E91/86400</f>
        <v>2.3854166666666666E-2</v>
      </c>
      <c r="F91" s="106">
        <f>AgeStanSec!F91/86400</f>
        <v>2.8935185185185185E-2</v>
      </c>
      <c r="G91" s="106">
        <f>AgeStanSec!G91/86400</f>
        <v>3.125E-2</v>
      </c>
      <c r="H91" s="106">
        <f>AgeStanSec!H91/86400</f>
        <v>3.9409722222222221E-2</v>
      </c>
      <c r="I91" s="106">
        <f>AgeStanSec!I91/86400</f>
        <v>3.9710648148148148E-2</v>
      </c>
      <c r="J91" s="106">
        <f>AgeStanSec!J91/86400</f>
        <v>5.0057870370370371E-2</v>
      </c>
      <c r="K91" s="436">
        <f>AgeStanSec!K91/86400</f>
        <v>5.7141203703703701E-2</v>
      </c>
      <c r="L91" s="106">
        <f>AgeStanSec!L91/86400</f>
        <v>6.1400462962962962E-2</v>
      </c>
      <c r="M91" s="106">
        <f>AgeStanSec!M91/86400</f>
        <v>7.9039351851851847E-2</v>
      </c>
      <c r="N91" s="106">
        <f>AgeStanSec!N91/86400</f>
        <v>8.5694444444444448E-2</v>
      </c>
      <c r="O91" s="106">
        <f>AgeStanSec!O91/86400</f>
        <v>0.1097800925925926</v>
      </c>
      <c r="P91" s="106">
        <f>AgeStanSec!P91/86400</f>
        <v>0.11701388888888889</v>
      </c>
      <c r="Q91" s="106">
        <f>AgeStanSec!Q91/86400</f>
        <v>0.14184027777777777</v>
      </c>
      <c r="R91" s="106">
        <f>AgeStanSec!R91/86400</f>
        <v>0.17478009259259258</v>
      </c>
      <c r="S91" s="106">
        <f>AgeStanSec!S91/86400</f>
        <v>0.25847222222222221</v>
      </c>
      <c r="T91" s="106">
        <f>AgeStanSec!T91/86400</f>
        <v>0.31131944444444443</v>
      </c>
      <c r="U91" s="106">
        <f>AgeStanSec!U91/86400</f>
        <v>0.56693287037037032</v>
      </c>
      <c r="V91" s="106">
        <f>AgeStanSec!V91/86400</f>
        <v>0.78214120370370366</v>
      </c>
      <c r="W91" s="106"/>
      <c r="X91" s="106"/>
      <c r="Y91" s="106"/>
      <c r="Z91" s="46"/>
    </row>
    <row r="92" spans="1:26">
      <c r="A92" s="461">
        <v>91</v>
      </c>
      <c r="B92" s="468">
        <f>AgeStanSec!B92/86400</f>
        <v>4.1666666666666666E-3</v>
      </c>
      <c r="C92" s="468">
        <f>AgeStanSec!C92/86400</f>
        <v>7.0717592592592594E-3</v>
      </c>
      <c r="D92" s="468">
        <f>AgeStanSec!D92/86400</f>
        <v>1.4189814814814815E-2</v>
      </c>
      <c r="E92" s="468">
        <f>AgeStanSec!E92/86400</f>
        <v>2.5104166666666667E-2</v>
      </c>
      <c r="F92" s="105">
        <f>AgeStanSec!F92/86400</f>
        <v>3.0497685185185187E-2</v>
      </c>
      <c r="G92" s="105">
        <f>AgeStanSec!G92/86400</f>
        <v>3.2939814814814818E-2</v>
      </c>
      <c r="H92" s="105">
        <f>AgeStanSec!H92/86400</f>
        <v>4.1608796296296297E-2</v>
      </c>
      <c r="I92" s="105">
        <f>AgeStanSec!I92/86400</f>
        <v>4.1921296296296297E-2</v>
      </c>
      <c r="J92" s="105">
        <f>AgeStanSec!J92/86400</f>
        <v>5.2928240740740741E-2</v>
      </c>
      <c r="K92" s="105">
        <f>AgeStanSec!K92/86400</f>
        <v>6.0486111111111109E-2</v>
      </c>
      <c r="L92" s="105">
        <f>AgeStanSec!L92/86400</f>
        <v>6.5046296296296297E-2</v>
      </c>
      <c r="M92" s="105">
        <f>AgeStanSec!M92/86400</f>
        <v>8.3888888888888888E-2</v>
      </c>
      <c r="N92" s="105">
        <f>AgeStanSec!N92/86400</f>
        <v>9.0995370370370365E-2</v>
      </c>
      <c r="O92" s="105">
        <f>AgeStanSec!O92/86400</f>
        <v>0.11686342592592593</v>
      </c>
      <c r="P92" s="105">
        <f>AgeStanSec!P92/86400</f>
        <v>0.1245949074074074</v>
      </c>
      <c r="Q92" s="105">
        <f>AgeStanSec!Q92/86400</f>
        <v>0.15144675925925927</v>
      </c>
      <c r="R92" s="105">
        <f>AgeStanSec!R92/86400</f>
        <v>0.18717592592592591</v>
      </c>
      <c r="S92" s="105">
        <f>AgeStanSec!S92/86400</f>
        <v>0.27849537037037037</v>
      </c>
      <c r="T92" s="105">
        <f>AgeStanSec!T92/86400</f>
        <v>0.33542824074074074</v>
      </c>
      <c r="U92" s="105">
        <f>AgeStanSec!U92/86400</f>
        <v>0.61085648148148153</v>
      </c>
      <c r="V92" s="105">
        <f>AgeStanSec!V92/86400</f>
        <v>0.84273148148148147</v>
      </c>
      <c r="W92" s="105"/>
      <c r="X92" s="105"/>
      <c r="Y92" s="105"/>
      <c r="Z92" s="46"/>
    </row>
    <row r="93" spans="1:26">
      <c r="A93" s="461">
        <v>92</v>
      </c>
      <c r="B93" s="468">
        <f>AgeStanSec!B93/86400</f>
        <v>4.386574074074074E-3</v>
      </c>
      <c r="C93" s="468">
        <f>AgeStanSec!C93/86400</f>
        <v>7.4537037037037037E-3</v>
      </c>
      <c r="D93" s="468">
        <f>AgeStanSec!D93/86400</f>
        <v>1.4988425925925926E-2</v>
      </c>
      <c r="E93" s="468">
        <f>AgeStanSec!E93/86400</f>
        <v>2.6550925925925926E-2</v>
      </c>
      <c r="F93" s="105">
        <f>AgeStanSec!F93/86400</f>
        <v>3.229166666666667E-2</v>
      </c>
      <c r="G93" s="105">
        <f>AgeStanSec!G93/86400</f>
        <v>3.4907407407407408E-2</v>
      </c>
      <c r="H93" s="105">
        <f>AgeStanSec!H93/86400</f>
        <v>4.4166666666666667E-2</v>
      </c>
      <c r="I93" s="105">
        <f>AgeStanSec!I93/86400</f>
        <v>4.4502314814814814E-2</v>
      </c>
      <c r="J93" s="105">
        <f>AgeStanSec!J93/86400</f>
        <v>5.6284722222222222E-2</v>
      </c>
      <c r="K93" s="105">
        <f>AgeStanSec!K93/86400</f>
        <v>6.4409722222222215E-2</v>
      </c>
      <c r="L93" s="105">
        <f>AgeStanSec!L93/86400</f>
        <v>6.9293981481481484E-2</v>
      </c>
      <c r="M93" s="105">
        <f>AgeStanSec!M93/86400</f>
        <v>8.9571759259259254E-2</v>
      </c>
      <c r="N93" s="105">
        <f>AgeStanSec!N93/86400</f>
        <v>9.723379629629629E-2</v>
      </c>
      <c r="O93" s="105">
        <f>AgeStanSec!O93/86400</f>
        <v>0.12513888888888888</v>
      </c>
      <c r="P93" s="105">
        <f>AgeStanSec!P93/86400</f>
        <v>0.13350694444444444</v>
      </c>
      <c r="Q93" s="105">
        <f>AgeStanSec!Q93/86400</f>
        <v>0.1628125</v>
      </c>
      <c r="R93" s="105">
        <f>AgeStanSec!R93/86400</f>
        <v>0.20192129629629629</v>
      </c>
      <c r="S93" s="105">
        <f>AgeStanSec!S93/86400</f>
        <v>0.30259259259259258</v>
      </c>
      <c r="T93" s="105">
        <f>AgeStanSec!T93/86400</f>
        <v>0.3644560185185185</v>
      </c>
      <c r="U93" s="105">
        <f>AgeStanSec!U93/86400</f>
        <v>0.66370370370370368</v>
      </c>
      <c r="V93" s="105"/>
      <c r="W93" s="105"/>
      <c r="X93" s="105"/>
      <c r="Y93" s="105"/>
      <c r="Z93" s="46"/>
    </row>
    <row r="94" spans="1:26">
      <c r="A94" s="461">
        <v>93</v>
      </c>
      <c r="B94" s="468">
        <f>AgeStanSec!B94/86400</f>
        <v>4.6412037037037038E-3</v>
      </c>
      <c r="C94" s="468">
        <f>AgeStanSec!C94/86400</f>
        <v>7.905092592592592E-3</v>
      </c>
      <c r="D94" s="468">
        <f>AgeStanSec!D94/86400</f>
        <v>1.5914351851851853E-2</v>
      </c>
      <c r="E94" s="468">
        <f>AgeStanSec!E94/86400</f>
        <v>2.8229166666666666E-2</v>
      </c>
      <c r="F94" s="105">
        <f>AgeStanSec!F94/86400</f>
        <v>3.439814814814815E-2</v>
      </c>
      <c r="G94" s="105">
        <f>AgeStanSec!G94/86400</f>
        <v>3.7199074074074072E-2</v>
      </c>
      <c r="H94" s="105">
        <f>AgeStanSec!H94/86400</f>
        <v>4.7164351851851853E-2</v>
      </c>
      <c r="I94" s="105">
        <f>AgeStanSec!I94/86400</f>
        <v>4.7523148148148148E-2</v>
      </c>
      <c r="J94" s="105">
        <f>AgeStanSec!J94/86400</f>
        <v>6.0219907407407409E-2</v>
      </c>
      <c r="K94" s="105">
        <f>AgeStanSec!K94/86400</f>
        <v>6.8993055555555557E-2</v>
      </c>
      <c r="L94" s="105">
        <f>AgeStanSec!L94/86400</f>
        <v>7.4305555555555555E-2</v>
      </c>
      <c r="M94" s="105">
        <f>AgeStanSec!M94/86400</f>
        <v>9.6296296296296297E-2</v>
      </c>
      <c r="N94" s="105">
        <f>AgeStanSec!N94/86400</f>
        <v>0.10461805555555556</v>
      </c>
      <c r="O94" s="105">
        <f>AgeStanSec!O94/86400</f>
        <v>0.13502314814814814</v>
      </c>
      <c r="P94" s="105">
        <f>AgeStanSec!P94/86400</f>
        <v>0.14417824074074073</v>
      </c>
      <c r="Q94" s="105">
        <f>AgeStanSec!Q94/86400</f>
        <v>0.17649305555555556</v>
      </c>
      <c r="R94" s="105">
        <f>AgeStanSec!R94/86400</f>
        <v>0.21986111111111112</v>
      </c>
      <c r="S94" s="105">
        <f>AgeStanSec!S94/86400</f>
        <v>0.33234953703703701</v>
      </c>
      <c r="T94" s="105">
        <f>AgeStanSec!T94/86400</f>
        <v>0.40030092592592592</v>
      </c>
      <c r="U94" s="105">
        <f>AgeStanSec!U94/86400</f>
        <v>0.72896990740740741</v>
      </c>
      <c r="V94" s="105"/>
      <c r="W94" s="105"/>
      <c r="X94" s="105"/>
      <c r="Y94" s="105"/>
      <c r="Z94" s="46"/>
    </row>
    <row r="95" spans="1:26">
      <c r="A95" s="461">
        <v>94</v>
      </c>
      <c r="B95" s="468">
        <f>AgeStanSec!B95/86400</f>
        <v>4.9421296296296297E-3</v>
      </c>
      <c r="C95" s="468">
        <f>AgeStanSec!C95/86400</f>
        <v>8.4259259259259253E-3</v>
      </c>
      <c r="D95" s="468">
        <f>AgeStanSec!D95/86400</f>
        <v>1.7002314814814814E-2</v>
      </c>
      <c r="E95" s="468">
        <f>AgeStanSec!E95/86400</f>
        <v>3.0208333333333334E-2</v>
      </c>
      <c r="F95" s="105">
        <f>AgeStanSec!F95/86400</f>
        <v>3.6874999999999998E-2</v>
      </c>
      <c r="G95" s="105">
        <f>AgeStanSec!G95/86400</f>
        <v>3.9918981481481479E-2</v>
      </c>
      <c r="H95" s="105">
        <f>AgeStanSec!H95/86400</f>
        <v>5.0717592592592592E-2</v>
      </c>
      <c r="I95" s="105">
        <f>AgeStanSec!I95/86400</f>
        <v>5.1111111111111114E-2</v>
      </c>
      <c r="J95" s="105">
        <f>AgeStanSec!J95/86400</f>
        <v>6.491898148148148E-2</v>
      </c>
      <c r="K95" s="105">
        <f>AgeStanSec!K95/86400</f>
        <v>7.4513888888888893E-2</v>
      </c>
      <c r="L95" s="105">
        <f>AgeStanSec!L95/86400</f>
        <v>8.0289351851851848E-2</v>
      </c>
      <c r="M95" s="105">
        <f>AgeStanSec!M95/86400</f>
        <v>0.10438657407407408</v>
      </c>
      <c r="N95" s="105">
        <f>AgeStanSec!N95/86400</f>
        <v>0.11357638888888889</v>
      </c>
      <c r="O95" s="105">
        <f>AgeStanSec!O95/86400</f>
        <v>0.14708333333333334</v>
      </c>
      <c r="P95" s="105">
        <f>AgeStanSec!P95/86400</f>
        <v>0.15715277777777778</v>
      </c>
      <c r="Q95" s="105">
        <f>AgeStanSec!Q95/86400</f>
        <v>0.1932638888888889</v>
      </c>
      <c r="R95" s="105">
        <f>AgeStanSec!R95/86400</f>
        <v>0.24195601851851853</v>
      </c>
      <c r="S95" s="105">
        <f>AgeStanSec!S95/86400</f>
        <v>0.36965277777777777</v>
      </c>
      <c r="T95" s="105">
        <f>AgeStanSec!T95/86400</f>
        <v>0.44523148148148151</v>
      </c>
      <c r="U95" s="105">
        <f>AgeStanSec!U95/86400</f>
        <v>0.81079861111111107</v>
      </c>
      <c r="V95" s="105"/>
      <c r="W95" s="105"/>
      <c r="X95" s="105"/>
      <c r="Y95" s="105"/>
      <c r="Z95" s="46"/>
    </row>
    <row r="96" spans="1:26">
      <c r="A96" s="466">
        <v>95</v>
      </c>
      <c r="B96" s="436">
        <f>AgeStanSec!B96/86400</f>
        <v>5.3009259259259259E-3</v>
      </c>
      <c r="C96" s="436">
        <f>AgeStanSec!C96/86400</f>
        <v>9.0509259259259258E-3</v>
      </c>
      <c r="D96" s="436">
        <f>AgeStanSec!D96/86400</f>
        <v>1.8287037037037036E-2</v>
      </c>
      <c r="E96" s="436">
        <f>AgeStanSec!E96/86400</f>
        <v>3.2569444444444443E-2</v>
      </c>
      <c r="F96" s="106">
        <f>AgeStanSec!F96/86400</f>
        <v>3.9849537037037037E-2</v>
      </c>
      <c r="G96" s="106">
        <f>AgeStanSec!G96/86400</f>
        <v>4.3159722222222224E-2</v>
      </c>
      <c r="H96" s="106">
        <f>AgeStanSec!H96/86400</f>
        <v>5.5011574074074074E-2</v>
      </c>
      <c r="I96" s="106">
        <f>AgeStanSec!I96/86400</f>
        <v>5.5428240740740743E-2</v>
      </c>
      <c r="J96" s="106">
        <f>AgeStanSec!J96/86400</f>
        <v>7.0613425925925927E-2</v>
      </c>
      <c r="K96" s="436">
        <f>AgeStanSec!K96/86400</f>
        <v>8.1180555555555561E-2</v>
      </c>
      <c r="L96" s="106">
        <f>AgeStanSec!L96/86400</f>
        <v>8.7615740740740744E-2</v>
      </c>
      <c r="M96" s="106">
        <f>AgeStanSec!M96/86400</f>
        <v>0.11435185185185186</v>
      </c>
      <c r="N96" s="106">
        <f>AgeStanSec!N96/86400</f>
        <v>0.12458333333333334</v>
      </c>
      <c r="O96" s="106">
        <f>AgeStanSec!O96/86400</f>
        <v>0.1620138888888889</v>
      </c>
      <c r="P96" s="106">
        <f>AgeStanSec!P96/86400</f>
        <v>0.17331018518518518</v>
      </c>
      <c r="Q96" s="106">
        <f>AgeStanSec!Q96/86400</f>
        <v>0.21424768518518519</v>
      </c>
      <c r="R96" s="106">
        <f>AgeStanSec!R96/86400</f>
        <v>0.27002314814814815</v>
      </c>
      <c r="S96" s="106">
        <f>AgeStanSec!S96/86400</f>
        <v>0.41812500000000002</v>
      </c>
      <c r="T96" s="106">
        <f>AgeStanSec!T96/86400</f>
        <v>0.50362268518518516</v>
      </c>
      <c r="U96" s="106">
        <f>AgeStanSec!U96/86400</f>
        <v>0.91712962962962963</v>
      </c>
      <c r="V96" s="106"/>
      <c r="W96" s="106"/>
      <c r="X96" s="106"/>
      <c r="Y96" s="106"/>
      <c r="Z96" s="46"/>
    </row>
    <row r="97" spans="1:26">
      <c r="A97" s="461">
        <v>96</v>
      </c>
      <c r="B97" s="468">
        <f>AgeStanSec!B97/86400</f>
        <v>5.7407407407407407E-3</v>
      </c>
      <c r="C97" s="468">
        <f>AgeStanSec!C97/86400</f>
        <v>9.8148148148148144E-3</v>
      </c>
      <c r="D97" s="468">
        <f>AgeStanSec!D97/86400</f>
        <v>1.9861111111111111E-2</v>
      </c>
      <c r="E97" s="468">
        <f>AgeStanSec!E97/86400</f>
        <v>3.5428240740740739E-2</v>
      </c>
      <c r="F97" s="105">
        <f>AgeStanSec!F97/86400</f>
        <v>4.3449074074074077E-2</v>
      </c>
      <c r="G97" s="105">
        <f>AgeStanSec!G97/86400</f>
        <v>4.7118055555555559E-2</v>
      </c>
      <c r="H97" s="105">
        <f>AgeStanSec!H97/86400</f>
        <v>6.0231481481481483E-2</v>
      </c>
      <c r="I97" s="105">
        <f>AgeStanSec!I97/86400</f>
        <v>6.0717592592592594E-2</v>
      </c>
      <c r="J97" s="105">
        <f>AgeStanSec!J97/86400</f>
        <v>7.7615740740740735E-2</v>
      </c>
      <c r="K97" s="105">
        <f>AgeStanSec!K97/86400</f>
        <v>8.9456018518518518E-2</v>
      </c>
      <c r="L97" s="105">
        <f>AgeStanSec!L97/86400</f>
        <v>9.6631944444444451E-2</v>
      </c>
      <c r="M97" s="105">
        <f>AgeStanSec!M97/86400</f>
        <v>0.1267824074074074</v>
      </c>
      <c r="N97" s="105">
        <f>AgeStanSec!N97/86400</f>
        <v>0.13835648148148147</v>
      </c>
      <c r="O97" s="105">
        <f>AgeStanSec!O97/86400</f>
        <v>0.18087962962962964</v>
      </c>
      <c r="P97" s="105">
        <f>AgeStanSec!P97/86400</f>
        <v>0.19377314814814814</v>
      </c>
      <c r="Q97" s="105">
        <f>AgeStanSec!Q97/86400</f>
        <v>0.24135416666666668</v>
      </c>
      <c r="R97" s="105">
        <f>AgeStanSec!R97/86400</f>
        <v>0.3066550925925926</v>
      </c>
      <c r="S97" s="105">
        <f>AgeStanSec!S97/86400</f>
        <v>0.48329861111111111</v>
      </c>
      <c r="T97" s="105">
        <f>AgeStanSec!T97/86400</f>
        <v>0.58211805555555551</v>
      </c>
      <c r="U97" s="105"/>
      <c r="V97" s="105"/>
      <c r="W97" s="105"/>
      <c r="X97" s="105"/>
      <c r="Y97" s="105"/>
      <c r="Z97" s="46"/>
    </row>
    <row r="98" spans="1:26">
      <c r="A98" s="461">
        <v>97</v>
      </c>
      <c r="B98" s="468">
        <f>AgeStanSec!B98/86400</f>
        <v>6.2731481481481484E-3</v>
      </c>
      <c r="C98" s="468">
        <f>AgeStanSec!C98/86400</f>
        <v>1.074074074074074E-2</v>
      </c>
      <c r="D98" s="468">
        <f>AgeStanSec!D98/86400</f>
        <v>2.179398148148148E-2</v>
      </c>
      <c r="E98" s="468">
        <f>AgeStanSec!E98/86400</f>
        <v>3.8958333333333331E-2</v>
      </c>
      <c r="F98" s="105">
        <f>AgeStanSec!F98/86400</f>
        <v>4.7928240740740743E-2</v>
      </c>
      <c r="G98" s="105">
        <f>AgeStanSec!G98/86400</f>
        <v>5.2048611111111108E-2</v>
      </c>
      <c r="H98" s="105">
        <f>AgeStanSec!H98/86400</f>
        <v>6.6805555555555562E-2</v>
      </c>
      <c r="I98" s="105">
        <f>AgeStanSec!I98/86400</f>
        <v>6.7349537037037041E-2</v>
      </c>
      <c r="J98" s="105">
        <f>AgeStanSec!J98/86400</f>
        <v>8.6446759259259265E-2</v>
      </c>
      <c r="K98" s="105">
        <f>AgeStanSec!K98/86400</f>
        <v>9.9953703703703697E-2</v>
      </c>
      <c r="L98" s="105">
        <f>AgeStanSec!L98/86400</f>
        <v>0.10815972222222223</v>
      </c>
      <c r="M98" s="105">
        <f>AgeStanSec!M98/86400</f>
        <v>0.14278935185185185</v>
      </c>
      <c r="N98" s="105">
        <f>AgeStanSec!N98/86400</f>
        <v>0.15615740740740741</v>
      </c>
      <c r="O98" s="105">
        <f>AgeStanSec!O98/86400</f>
        <v>0.20553240740740741</v>
      </c>
      <c r="P98" s="105">
        <f>AgeStanSec!P98/86400</f>
        <v>0.22060185185185185</v>
      </c>
      <c r="Q98" s="105">
        <f>AgeStanSec!Q98/86400</f>
        <v>0.27718749999999998</v>
      </c>
      <c r="R98" s="105">
        <f>AgeStanSec!R98/86400</f>
        <v>0.35618055555555556</v>
      </c>
      <c r="S98" s="105">
        <f>AgeStanSec!S98/86400</f>
        <v>0.5750925925925926</v>
      </c>
      <c r="T98" s="105">
        <f>AgeStanSec!T98/86400</f>
        <v>0.69267361111111114</v>
      </c>
      <c r="U98" s="105"/>
      <c r="V98" s="105"/>
      <c r="W98" s="105"/>
      <c r="X98" s="105"/>
      <c r="Y98" s="105"/>
      <c r="Z98" s="46"/>
    </row>
    <row r="99" spans="1:26">
      <c r="A99" s="461">
        <v>98</v>
      </c>
      <c r="B99" s="468">
        <f>AgeStanSec!B99/86400</f>
        <v>6.9328703703703705E-3</v>
      </c>
      <c r="C99" s="468">
        <f>AgeStanSec!C99/86400</f>
        <v>1.1909722222222223E-2</v>
      </c>
      <c r="D99" s="468">
        <f>AgeStanSec!D99/86400</f>
        <v>2.4236111111111111E-2</v>
      </c>
      <c r="E99" s="468">
        <f>AgeStanSec!E99/86400</f>
        <v>4.3425925925925923E-2</v>
      </c>
      <c r="F99" s="105">
        <f>AgeStanSec!F99/86400</f>
        <v>5.3634259259259257E-2</v>
      </c>
      <c r="G99" s="105">
        <f>AgeStanSec!G99/86400</f>
        <v>5.8321759259259261E-2</v>
      </c>
      <c r="H99" s="105">
        <f>AgeStanSec!H99/86400</f>
        <v>7.5231481481481483E-2</v>
      </c>
      <c r="I99" s="105">
        <f>AgeStanSec!I99/86400</f>
        <v>7.5856481481481483E-2</v>
      </c>
      <c r="J99" s="105">
        <f>AgeStanSec!J99/86400</f>
        <v>9.7881944444444438E-2</v>
      </c>
      <c r="K99" s="105">
        <f>AgeStanSec!K99/86400</f>
        <v>0.11364583333333333</v>
      </c>
      <c r="L99" s="105">
        <f>AgeStanSec!L99/86400</f>
        <v>0.12325231481481481</v>
      </c>
      <c r="M99" s="105">
        <f>AgeStanSec!M99/86400</f>
        <v>0.16412037037037036</v>
      </c>
      <c r="N99" s="105">
        <f>AgeStanSec!N99/86400</f>
        <v>0.18</v>
      </c>
      <c r="O99" s="105">
        <f>AgeStanSec!O99/86400</f>
        <v>0.23921296296296296</v>
      </c>
      <c r="P99" s="105">
        <f>AgeStanSec!P99/86400</f>
        <v>0.25741898148148146</v>
      </c>
      <c r="Q99" s="105">
        <f>AgeStanSec!Q99/86400</f>
        <v>0.32756944444444447</v>
      </c>
      <c r="R99" s="105">
        <f>AgeStanSec!R99/86400</f>
        <v>0.42736111111111114</v>
      </c>
      <c r="S99" s="105">
        <f>AgeStanSec!S99/86400</f>
        <v>0.71498842592592593</v>
      </c>
      <c r="T99" s="105">
        <f>AgeStanSec!T99/86400</f>
        <v>0.8611805555555555</v>
      </c>
      <c r="U99" s="105"/>
      <c r="V99" s="105"/>
      <c r="W99" s="105"/>
      <c r="X99" s="105"/>
      <c r="Y99" s="105"/>
      <c r="Z99" s="46"/>
    </row>
    <row r="100" spans="1:26">
      <c r="A100" s="461">
        <v>99</v>
      </c>
      <c r="B100" s="468">
        <f>AgeStanSec!B100/86400</f>
        <v>7.8009259259259256E-3</v>
      </c>
      <c r="C100" s="468">
        <f>AgeStanSec!C100/86400</f>
        <v>1.3414351851851853E-2</v>
      </c>
      <c r="D100" s="468">
        <f>AgeStanSec!D100/86400</f>
        <v>2.7384259259259261E-2</v>
      </c>
      <c r="E100" s="468">
        <f>AgeStanSec!E100/86400</f>
        <v>4.9224537037037039E-2</v>
      </c>
      <c r="F100" s="105">
        <f>AgeStanSec!F100/86400</f>
        <v>6.1111111111111109E-2</v>
      </c>
      <c r="G100" s="105">
        <f>AgeStanSec!G100/86400</f>
        <v>6.6597222222222224E-2</v>
      </c>
      <c r="H100" s="105">
        <f>AgeStanSec!H100/86400</f>
        <v>8.6469907407407412E-2</v>
      </c>
      <c r="I100" s="105">
        <f>AgeStanSec!I100/86400</f>
        <v>8.7199074074074068E-2</v>
      </c>
      <c r="J100" s="105">
        <f>AgeStanSec!J100/86400</f>
        <v>0.11331018518518518</v>
      </c>
      <c r="K100" s="105">
        <f>AgeStanSec!K100/86400</f>
        <v>0.13229166666666667</v>
      </c>
      <c r="L100" s="105">
        <f>AgeStanSec!L100/86400</f>
        <v>0.14391203703703703</v>
      </c>
      <c r="M100" s="105">
        <f>AgeStanSec!M100/86400</f>
        <v>0.19393518518518518</v>
      </c>
      <c r="N100" s="105">
        <f>AgeStanSec!N100/86400</f>
        <v>0.21354166666666666</v>
      </c>
      <c r="O100" s="105">
        <f>AgeStanSec!O100/86400</f>
        <v>0.28748842592592594</v>
      </c>
      <c r="P100" s="105">
        <f>AgeStanSec!P100/86400</f>
        <v>0.31050925925925926</v>
      </c>
      <c r="Q100" s="105">
        <f>AgeStanSec!Q100/86400</f>
        <v>0.40250000000000002</v>
      </c>
      <c r="R100" s="105">
        <f>AgeStanSec!R100/86400</f>
        <v>0.53775462962962961</v>
      </c>
      <c r="S100" s="105"/>
      <c r="T100" s="105"/>
      <c r="U100" s="105"/>
      <c r="V100" s="105"/>
      <c r="W100" s="105"/>
      <c r="X100" s="105"/>
      <c r="Y100" s="105"/>
      <c r="Z100" s="46"/>
    </row>
    <row r="101" spans="1:26" ht="15.75" thickBot="1">
      <c r="A101" s="56">
        <v>100</v>
      </c>
      <c r="B101" s="436">
        <f>AgeStanSec!B101/86400</f>
        <v>8.9467592592592585E-3</v>
      </c>
      <c r="C101" s="147">
        <f>AgeStanSec!C101/86400</f>
        <v>1.5428240740740741E-2</v>
      </c>
      <c r="D101" s="146">
        <f>AgeStanSec!D101/86400</f>
        <v>3.1620370370370368E-2</v>
      </c>
      <c r="E101" s="146">
        <f>AgeStanSec!E101/86400</f>
        <v>5.7048611111111112E-2</v>
      </c>
      <c r="F101" s="106">
        <f>AgeStanSec!F101/86400</f>
        <v>7.1354166666666663E-2</v>
      </c>
      <c r="G101" s="106">
        <f>AgeStanSec!G101/86400</f>
        <v>7.795138888888889E-2</v>
      </c>
      <c r="H101" s="106">
        <f>AgeStanSec!H101/86400</f>
        <v>0.1021875</v>
      </c>
      <c r="I101" s="106">
        <f>AgeStanSec!I101/86400</f>
        <v>0.10306712962962963</v>
      </c>
      <c r="J101" s="106">
        <f>AgeStanSec!J101/86400</f>
        <v>0.14087962962962963</v>
      </c>
      <c r="K101" s="436">
        <f>AgeStanSec!K101/86400</f>
        <v>0.15916666666666668</v>
      </c>
      <c r="L101" s="106">
        <f>AgeStanSec!L101/86400</f>
        <v>0.17390046296296297</v>
      </c>
      <c r="M101" s="106">
        <f>AgeStanSec!M101/86400</f>
        <v>0.23827546296296295</v>
      </c>
      <c r="N101" s="106">
        <f>AgeStanSec!N101/86400</f>
        <v>0.26391203703703703</v>
      </c>
      <c r="O101" s="106">
        <f>AgeStanSec!O101/86400</f>
        <v>0.36304398148148148</v>
      </c>
      <c r="P101" s="106">
        <f>AgeStanSec!P101/86400</f>
        <v>0.39401620370370372</v>
      </c>
      <c r="Q101" s="106">
        <f>AgeStanSec!Q101/86400</f>
        <v>0.52609953703703705</v>
      </c>
      <c r="R101" s="106">
        <f>AgeStanSec!R101/86400</f>
        <v>0.73092592592592598</v>
      </c>
      <c r="S101" s="106"/>
      <c r="T101" s="106"/>
      <c r="U101" s="106"/>
      <c r="V101" s="106"/>
      <c r="W101" s="106"/>
      <c r="X101" s="106"/>
      <c r="Y101" s="106"/>
    </row>
    <row r="102" spans="1:26" ht="15.75">
      <c r="A102" s="148" t="s">
        <v>1772</v>
      </c>
      <c r="B102" s="148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6">
      <c r="A103" s="149" t="s">
        <v>934</v>
      </c>
      <c r="B103" s="149"/>
    </row>
    <row r="104" spans="1:26" ht="15.75">
      <c r="A104" s="150" t="s">
        <v>1771</v>
      </c>
      <c r="B104" s="150"/>
    </row>
    <row r="105" spans="1:26" ht="15.75">
      <c r="A105" s="150" t="s">
        <v>930</v>
      </c>
      <c r="B105" s="150"/>
    </row>
    <row r="106" spans="1:26" ht="15.75">
      <c r="A106" s="150" t="s">
        <v>2358</v>
      </c>
      <c r="B106" s="150"/>
    </row>
    <row r="107" spans="1:26" ht="15.75">
      <c r="A107" s="150" t="s">
        <v>2386</v>
      </c>
      <c r="B107" s="150"/>
    </row>
  </sheetData>
  <hyperlinks>
    <hyperlink ref="A103" r:id="rId1" xr:uid="{41220ED4-6381-4C49-B733-00BA896D4A3A}"/>
  </hyperlinks>
  <pageMargins left="0.5" right="0.5" top="0.5" bottom="0.5" header="0" footer="0"/>
  <pageSetup orientation="portrait" verticalDpi="0" r:id="rId2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D25" sqref="D25"/>
    </sheetView>
  </sheetViews>
  <sheetFormatPr defaultColWidth="9.6640625" defaultRowHeight="15"/>
  <cols>
    <col min="1" max="15" width="8.6640625" style="1" customWidth="1"/>
    <col min="16" max="16384" width="9.6640625" style="1"/>
  </cols>
  <sheetData>
    <row r="1" spans="1:22" ht="23.25">
      <c r="A1" s="43" t="s">
        <v>125</v>
      </c>
    </row>
    <row r="2" spans="1:22">
      <c r="A2" s="44" t="s">
        <v>52</v>
      </c>
      <c r="B2" s="45" t="s">
        <v>108</v>
      </c>
      <c r="C2" s="45" t="s">
        <v>109</v>
      </c>
      <c r="D2" s="45" t="s">
        <v>110</v>
      </c>
      <c r="E2" s="45" t="s">
        <v>111</v>
      </c>
      <c r="F2" s="45" t="s">
        <v>112</v>
      </c>
      <c r="G2" s="45" t="s">
        <v>113</v>
      </c>
      <c r="H2" s="45" t="s">
        <v>114</v>
      </c>
      <c r="I2" s="45" t="s">
        <v>115</v>
      </c>
      <c r="J2" s="45" t="s">
        <v>116</v>
      </c>
      <c r="K2" s="45" t="s">
        <v>117</v>
      </c>
      <c r="L2" s="45" t="s">
        <v>9</v>
      </c>
      <c r="M2" s="45" t="s">
        <v>118</v>
      </c>
      <c r="N2" s="45" t="s">
        <v>119</v>
      </c>
      <c r="O2" s="45" t="s">
        <v>10</v>
      </c>
      <c r="P2" s="45" t="s">
        <v>80</v>
      </c>
      <c r="Q2" s="45" t="s">
        <v>120</v>
      </c>
      <c r="R2" s="45" t="s">
        <v>121</v>
      </c>
      <c r="S2" s="45" t="s">
        <v>122</v>
      </c>
      <c r="T2" s="45" t="s">
        <v>123</v>
      </c>
      <c r="U2" s="45" t="s">
        <v>124</v>
      </c>
      <c r="V2" s="46"/>
    </row>
    <row r="3" spans="1:22">
      <c r="A3" s="44" t="s">
        <v>0</v>
      </c>
      <c r="B3" s="61">
        <f>Parameters!B16</f>
        <v>5</v>
      </c>
      <c r="C3" s="62">
        <f>Parameters!B17</f>
        <v>6</v>
      </c>
      <c r="D3" s="61">
        <f>Parameters!B18</f>
        <v>6.4373760000000004</v>
      </c>
      <c r="E3" s="61">
        <f>Parameters!B19</f>
        <v>8</v>
      </c>
      <c r="F3" s="62">
        <f>Parameters!B20</f>
        <v>8.0467200000000005</v>
      </c>
      <c r="G3" s="61">
        <f>Parameters!B21</f>
        <v>10</v>
      </c>
      <c r="H3" s="61">
        <f>Parameters!B23</f>
        <v>12</v>
      </c>
      <c r="I3" s="61">
        <f>Parameters!B24</f>
        <v>15</v>
      </c>
      <c r="J3" s="61">
        <f>Parameters!B25</f>
        <v>16.093440000000001</v>
      </c>
      <c r="K3" s="61">
        <f>Parameters!B26</f>
        <v>20</v>
      </c>
      <c r="L3" s="61">
        <f>Parameters!B27</f>
        <v>21.0975</v>
      </c>
      <c r="M3" s="61">
        <f>Parameters!B28</f>
        <v>25</v>
      </c>
      <c r="N3" s="61">
        <f>Parameters!B29</f>
        <v>30</v>
      </c>
      <c r="O3" s="61">
        <f>Parameters!B30</f>
        <v>42.195</v>
      </c>
      <c r="P3" s="61">
        <f>Parameters!$B31</f>
        <v>50</v>
      </c>
      <c r="Q3" s="61">
        <f>Parameters!$B32</f>
        <v>80.467200000000005</v>
      </c>
      <c r="R3" s="61">
        <f>Parameters!$B33</f>
        <v>100</v>
      </c>
      <c r="S3" s="61">
        <f>Parameters!$B34</f>
        <v>150</v>
      </c>
      <c r="T3" s="61">
        <f>Parameters!$B35</f>
        <v>160.93440000000001</v>
      </c>
      <c r="U3" s="61">
        <f>Parameters!$B36</f>
        <v>200</v>
      </c>
      <c r="V3" s="46"/>
    </row>
    <row r="4" spans="1:22">
      <c r="A4" s="48" t="s">
        <v>106</v>
      </c>
      <c r="B4" s="49">
        <f>'5K'!$E$5</f>
        <v>834</v>
      </c>
      <c r="C4" s="49">
        <f>'6K'!$E$5</f>
        <v>1008</v>
      </c>
      <c r="D4" s="49">
        <f>'8K'!$E$5</f>
        <v>1365</v>
      </c>
      <c r="E4" s="49">
        <f>'8K'!$E$5</f>
        <v>1365</v>
      </c>
      <c r="F4" s="49">
        <f>'5MI'!$E$5</f>
        <v>1375</v>
      </c>
      <c r="G4" s="49">
        <f>'10K'!$E$5</f>
        <v>1726.0000000000002</v>
      </c>
      <c r="H4" s="49">
        <f>'12K'!$E$5</f>
        <v>2084</v>
      </c>
      <c r="I4" s="49">
        <f>'15K'!$E$5</f>
        <v>2629</v>
      </c>
      <c r="J4" s="49">
        <f>'10MI'!$E$5</f>
        <v>2832</v>
      </c>
      <c r="K4" s="49">
        <f>'20K'!$E$5</f>
        <v>3557</v>
      </c>
      <c r="L4" s="49">
        <f>H.Marathon!$E$5</f>
        <v>3772</v>
      </c>
      <c r="M4" s="49">
        <f>'25K'!$E$5</f>
        <v>4500</v>
      </c>
      <c r="N4" s="49">
        <f>'30K'!$E$5</f>
        <v>5450.0000000000009</v>
      </c>
      <c r="O4" s="49">
        <f>Marathon!$E$5</f>
        <v>7796</v>
      </c>
      <c r="P4" s="49">
        <f>Parameters!$H31</f>
        <v>9390</v>
      </c>
      <c r="Q4" s="49">
        <f>Parameters!$H32</f>
        <v>17100</v>
      </c>
      <c r="R4" s="49">
        <f>Parameters!$H33</f>
        <v>23590.999999999996</v>
      </c>
      <c r="S4" s="49">
        <f>Parameters!$H34</f>
        <v>39700</v>
      </c>
      <c r="T4" s="49">
        <f>Parameters!$H35</f>
        <v>43500</v>
      </c>
      <c r="U4" s="49">
        <f>Parameters!$H36</f>
        <v>57600</v>
      </c>
      <c r="V4" s="46"/>
    </row>
    <row r="5" spans="1:22">
      <c r="A5" s="48" t="s">
        <v>107</v>
      </c>
      <c r="B5" s="50">
        <f t="shared" ref="B5:U5" si="0">B4/86400</f>
        <v>9.6527777777777775E-3</v>
      </c>
      <c r="C5" s="50">
        <f t="shared" si="0"/>
        <v>1.1666666666666667E-2</v>
      </c>
      <c r="D5" s="50">
        <f t="shared" si="0"/>
        <v>1.579861111111111E-2</v>
      </c>
      <c r="E5" s="50">
        <f t="shared" si="0"/>
        <v>1.579861111111111E-2</v>
      </c>
      <c r="F5" s="50">
        <f t="shared" si="0"/>
        <v>1.5914351851851853E-2</v>
      </c>
      <c r="G5" s="50">
        <f t="shared" si="0"/>
        <v>1.9976851851851853E-2</v>
      </c>
      <c r="H5" s="50">
        <f t="shared" si="0"/>
        <v>2.4120370370370372E-2</v>
      </c>
      <c r="I5" s="50">
        <f t="shared" si="0"/>
        <v>3.0428240740740742E-2</v>
      </c>
      <c r="J5" s="50">
        <f t="shared" si="0"/>
        <v>3.2777777777777781E-2</v>
      </c>
      <c r="K5" s="50">
        <f t="shared" si="0"/>
        <v>4.116898148148148E-2</v>
      </c>
      <c r="L5" s="50">
        <f t="shared" si="0"/>
        <v>4.3657407407407409E-2</v>
      </c>
      <c r="M5" s="50">
        <f t="shared" si="0"/>
        <v>5.2083333333333336E-2</v>
      </c>
      <c r="N5" s="50">
        <f t="shared" si="0"/>
        <v>6.307870370370372E-2</v>
      </c>
      <c r="O5" s="50">
        <f t="shared" si="0"/>
        <v>9.0231481481481482E-2</v>
      </c>
      <c r="P5" s="50">
        <f t="shared" si="0"/>
        <v>0.10868055555555556</v>
      </c>
      <c r="Q5" s="50">
        <f t="shared" si="0"/>
        <v>0.19791666666666666</v>
      </c>
      <c r="R5" s="50">
        <f t="shared" si="0"/>
        <v>0.27304398148148146</v>
      </c>
      <c r="S5" s="50">
        <f t="shared" si="0"/>
        <v>0.45949074074074076</v>
      </c>
      <c r="T5" s="51">
        <f t="shared" si="0"/>
        <v>0.50347222222222221</v>
      </c>
      <c r="U5" s="51">
        <f t="shared" si="0"/>
        <v>0.66666666666666663</v>
      </c>
      <c r="V5" s="63"/>
    </row>
    <row r="6" spans="1:22">
      <c r="A6" s="64">
        <v>5</v>
      </c>
      <c r="B6" s="65">
        <f>AgeStanSec!E6/B$3</f>
        <v>241.6</v>
      </c>
      <c r="C6" s="65">
        <f>AgeStanSec!F6/C$3</f>
        <v>243.83333333333334</v>
      </c>
      <c r="D6" s="65">
        <f>AgeStanSec!G6/D$3</f>
        <v>245.28627813568758</v>
      </c>
      <c r="E6" s="65">
        <f>AgeStanSec!H6/E$3</f>
        <v>248.5</v>
      </c>
      <c r="F6" s="65">
        <f>AgeStanSec!I6/F$3</f>
        <v>248.79702537182851</v>
      </c>
      <c r="G6" s="65">
        <f>AgeStanSec!J6/G$3</f>
        <v>252</v>
      </c>
      <c r="H6" s="65">
        <f>AgeStanSec!L6/H$3</f>
        <v>260.66666666666669</v>
      </c>
      <c r="I6" s="65">
        <f>AgeStanSec!M6/I$3</f>
        <v>272.46666666666664</v>
      </c>
      <c r="J6" s="65">
        <f>AgeStanSec!N6/J$3</f>
        <v>276.75872902250853</v>
      </c>
      <c r="K6" s="65">
        <f>AgeStanSec!O6/K$3</f>
        <v>289.89999999999998</v>
      </c>
      <c r="L6" s="65">
        <f>AgeStanSec!P6/L$3</f>
        <v>294.06327763953072</v>
      </c>
      <c r="M6" s="65">
        <f>AgeStanSec!Q6/M$3</f>
        <v>304.32</v>
      </c>
      <c r="N6" s="65">
        <f>AgeStanSec!R6/N$3</f>
        <v>316.66666666666669</v>
      </c>
      <c r="O6" s="65">
        <f>AgeStanSec!S6/O$3</f>
        <v>341.84145040881623</v>
      </c>
      <c r="P6" s="65">
        <f>AgeStanSec!T6/P$3</f>
        <v>347.46</v>
      </c>
      <c r="Q6" s="65">
        <f>AgeStanSec!U6/Q$3</f>
        <v>393.16640817625068</v>
      </c>
      <c r="R6" s="65">
        <f>AgeStanSec!V6/R$3</f>
        <v>436.47</v>
      </c>
      <c r="S6" s="65">
        <f>AgeStanSec!W6/S$3</f>
        <v>489.67333333333335</v>
      </c>
      <c r="T6" s="65">
        <f>AgeStanSec!X6/T$3</f>
        <v>500.08574922452874</v>
      </c>
      <c r="U6" s="65">
        <f>AgeStanSec!Y6/U$3</f>
        <v>532.84</v>
      </c>
      <c r="V6" s="46"/>
    </row>
    <row r="7" spans="1:22">
      <c r="A7" s="66">
        <v>6</v>
      </c>
      <c r="B7" s="67">
        <f>AgeStanSec!E7/B$3</f>
        <v>231</v>
      </c>
      <c r="C7" s="67">
        <f>AgeStanSec!F7/C$3</f>
        <v>233</v>
      </c>
      <c r="D7" s="67">
        <f>AgeStanSec!G7/D$3</f>
        <v>234.25693947347489</v>
      </c>
      <c r="E7" s="67">
        <f>AgeStanSec!H7/E$3</f>
        <v>237.125</v>
      </c>
      <c r="F7" s="67">
        <f>AgeStanSec!I7/F$3</f>
        <v>237.48806967310904</v>
      </c>
      <c r="G7" s="67">
        <f>AgeStanSec!J7/G$3</f>
        <v>240.3</v>
      </c>
      <c r="H7" s="67">
        <f>AgeStanSec!L7/H$3</f>
        <v>247.75</v>
      </c>
      <c r="I7" s="67">
        <f>AgeStanSec!M7/I$3</f>
        <v>257.8</v>
      </c>
      <c r="J7" s="67">
        <f>AgeStanSec!N7/J$3</f>
        <v>261.41086057424639</v>
      </c>
      <c r="K7" s="67">
        <f>AgeStanSec!O7/K$3</f>
        <v>272.55</v>
      </c>
      <c r="L7" s="67">
        <f>AgeStanSec!P7/L$3</f>
        <v>276.14646285104868</v>
      </c>
      <c r="M7" s="67">
        <f>AgeStanSec!Q7/M$3</f>
        <v>284.48</v>
      </c>
      <c r="N7" s="67">
        <f>AgeStanSec!R7/N$3</f>
        <v>294.46666666666664</v>
      </c>
      <c r="O7" s="67">
        <f>AgeStanSec!S7/O$3</f>
        <v>314.53963739779596</v>
      </c>
      <c r="P7" s="67">
        <f>AgeStanSec!T7/P$3</f>
        <v>319.72000000000003</v>
      </c>
      <c r="Q7" s="67">
        <f>AgeStanSec!U7/Q$3</f>
        <v>361.77473554442054</v>
      </c>
      <c r="R7" s="67">
        <f>AgeStanSec!V7/R$3</f>
        <v>401.62</v>
      </c>
      <c r="S7" s="67">
        <f>AgeStanSec!W7/S$3</f>
        <v>450.57333333333332</v>
      </c>
      <c r="T7" s="67">
        <f>AgeStanSec!X7/T$3</f>
        <v>460.15643641135762</v>
      </c>
      <c r="U7" s="67">
        <f>AgeStanSec!Y7/U$3</f>
        <v>490.29500000000002</v>
      </c>
      <c r="V7" s="46"/>
    </row>
    <row r="8" spans="1:22">
      <c r="A8" s="66">
        <v>7</v>
      </c>
      <c r="B8" s="67">
        <f>AgeStanSec!E8/B$3</f>
        <v>221.6</v>
      </c>
      <c r="C8" s="67">
        <f>AgeStanSec!F8/C$3</f>
        <v>223.5</v>
      </c>
      <c r="D8" s="67">
        <f>AgeStanSec!G8/D$3</f>
        <v>224.62568599379622</v>
      </c>
      <c r="E8" s="67">
        <f>AgeStanSec!H8/E$3</f>
        <v>227.25</v>
      </c>
      <c r="F8" s="67">
        <f>AgeStanSec!I8/F$3</f>
        <v>227.67040483575914</v>
      </c>
      <c r="G8" s="67">
        <f>AgeStanSec!J8/G$3</f>
        <v>230.2</v>
      </c>
      <c r="H8" s="67">
        <f>AgeStanSec!L8/H$3</f>
        <v>236.66666666666666</v>
      </c>
      <c r="I8" s="67">
        <f>AgeStanSec!M8/I$3</f>
        <v>245.33333333333334</v>
      </c>
      <c r="J8" s="67">
        <f>AgeStanSec!N8/J$3</f>
        <v>248.4242026564861</v>
      </c>
      <c r="K8" s="67">
        <f>AgeStanSec!O8/K$3</f>
        <v>258</v>
      </c>
      <c r="L8" s="67">
        <f>AgeStanSec!P8/L$3</f>
        <v>261.12098589880316</v>
      </c>
      <c r="M8" s="67">
        <f>AgeStanSec!Q8/M$3</f>
        <v>268</v>
      </c>
      <c r="N8" s="67">
        <f>AgeStanSec!R8/N$3</f>
        <v>276.3</v>
      </c>
      <c r="O8" s="67">
        <f>AgeStanSec!S8/O$3</f>
        <v>292.7598056641782</v>
      </c>
      <c r="P8" s="67">
        <f>AgeStanSec!T8/P$3</f>
        <v>297.58</v>
      </c>
      <c r="Q8" s="67">
        <f>AgeStanSec!U8/Q$3</f>
        <v>336.73347649725599</v>
      </c>
      <c r="R8" s="67">
        <f>AgeStanSec!V8/R$3</f>
        <v>373.81</v>
      </c>
      <c r="S8" s="67">
        <f>AgeStanSec!W8/S$3</f>
        <v>419.37333333333333</v>
      </c>
      <c r="T8" s="67">
        <f>AgeStanSec!X8/T$3</f>
        <v>428.29252167342713</v>
      </c>
      <c r="U8" s="67">
        <f>AgeStanSec!Y8/U$3</f>
        <v>456.34500000000003</v>
      </c>
      <c r="V8" s="46"/>
    </row>
    <row r="9" spans="1:22">
      <c r="A9" s="66">
        <v>8</v>
      </c>
      <c r="B9" s="67">
        <f>AgeStanSec!E9/B$3</f>
        <v>213.4</v>
      </c>
      <c r="C9" s="67">
        <f>AgeStanSec!F9/C$3</f>
        <v>215.16666666666666</v>
      </c>
      <c r="D9" s="67">
        <f>AgeStanSec!G9/D$3</f>
        <v>216.2371748985922</v>
      </c>
      <c r="E9" s="67">
        <f>AgeStanSec!H9/E$3</f>
        <v>218.75</v>
      </c>
      <c r="F9" s="67">
        <f>AgeStanSec!I9/F$3</f>
        <v>219.09548238288394</v>
      </c>
      <c r="G9" s="67">
        <f>AgeStanSec!J9/G$3</f>
        <v>221.5</v>
      </c>
      <c r="H9" s="67">
        <f>AgeStanSec!L9/H$3</f>
        <v>227.08333333333334</v>
      </c>
      <c r="I9" s="67">
        <f>AgeStanSec!M9/I$3</f>
        <v>234.6</v>
      </c>
      <c r="J9" s="67">
        <f>AgeStanSec!N9/J$3</f>
        <v>237.30165831543783</v>
      </c>
      <c r="K9" s="67">
        <f>AgeStanSec!O9/K$3</f>
        <v>245.55</v>
      </c>
      <c r="L9" s="67">
        <f>AgeStanSec!P9/L$3</f>
        <v>248.32326104988744</v>
      </c>
      <c r="M9" s="67">
        <f>AgeStanSec!Q9/M$3</f>
        <v>254.16</v>
      </c>
      <c r="N9" s="67">
        <f>AgeStanSec!R9/N$3</f>
        <v>261.2</v>
      </c>
      <c r="O9" s="67">
        <f>AgeStanSec!S9/O$3</f>
        <v>275.03258679938381</v>
      </c>
      <c r="P9" s="67">
        <f>AgeStanSec!T9/P$3</f>
        <v>279.54000000000002</v>
      </c>
      <c r="Q9" s="67">
        <f>AgeStanSec!U9/Q$3</f>
        <v>316.32764654418196</v>
      </c>
      <c r="R9" s="67">
        <f>AgeStanSec!V9/R$3</f>
        <v>351.16</v>
      </c>
      <c r="S9" s="67">
        <f>AgeStanSec!W9/S$3</f>
        <v>393.96666666666664</v>
      </c>
      <c r="T9" s="67">
        <f>AgeStanSec!X9/T$3</f>
        <v>402.34406068559611</v>
      </c>
      <c r="U9" s="67">
        <f>AgeStanSec!Y9/U$3</f>
        <v>428.7</v>
      </c>
      <c r="V9" s="46"/>
    </row>
    <row r="10" spans="1:22">
      <c r="A10" s="66">
        <v>9</v>
      </c>
      <c r="B10" s="67">
        <f>AgeStanSec!E10/B$3</f>
        <v>206.2</v>
      </c>
      <c r="C10" s="67">
        <f>AgeStanSec!F10/C$3</f>
        <v>207.83333333333334</v>
      </c>
      <c r="D10" s="67">
        <f>AgeStanSec!G10/D$3</f>
        <v>208.93606338980354</v>
      </c>
      <c r="E10" s="67">
        <f>AgeStanSec!H10/E$3</f>
        <v>211.25</v>
      </c>
      <c r="F10" s="67">
        <f>AgeStanSec!I10/F$3</f>
        <v>211.51475383758847</v>
      </c>
      <c r="G10" s="67">
        <f>AgeStanSec!J10/G$3</f>
        <v>213.8</v>
      </c>
      <c r="H10" s="67">
        <f>AgeStanSec!L10/H$3</f>
        <v>218.75</v>
      </c>
      <c r="I10" s="67">
        <f>AgeStanSec!M10/I$3</f>
        <v>225.33333333333334</v>
      </c>
      <c r="J10" s="67">
        <f>AgeStanSec!N10/J$3</f>
        <v>227.73254195498288</v>
      </c>
      <c r="K10" s="67">
        <f>AgeStanSec!O10/K$3</f>
        <v>234.9</v>
      </c>
      <c r="L10" s="67">
        <f>AgeStanSec!P10/L$3</f>
        <v>237.32669747600426</v>
      </c>
      <c r="M10" s="67">
        <f>AgeStanSec!Q10/M$3</f>
        <v>242.44</v>
      </c>
      <c r="N10" s="67">
        <f>AgeStanSec!R10/N$3</f>
        <v>248.53333333333333</v>
      </c>
      <c r="O10" s="67">
        <f>AgeStanSec!S10/O$3</f>
        <v>260.4810996563574</v>
      </c>
      <c r="P10" s="67">
        <f>AgeStanSec!T10/P$3</f>
        <v>264.76</v>
      </c>
      <c r="Q10" s="67">
        <f>AgeStanSec!U10/Q$3</f>
        <v>299.60033404915293</v>
      </c>
      <c r="R10" s="67">
        <f>AgeStanSec!V10/R$3</f>
        <v>332.6</v>
      </c>
      <c r="S10" s="67">
        <f>AgeStanSec!W10/S$3</f>
        <v>373.14</v>
      </c>
      <c r="T10" s="67">
        <f>AgeStanSec!X10/T$3</f>
        <v>381.07452477531217</v>
      </c>
      <c r="U10" s="67">
        <f>AgeStanSec!Y10/U$3</f>
        <v>406.03500000000003</v>
      </c>
      <c r="V10" s="46"/>
    </row>
    <row r="11" spans="1:22">
      <c r="A11" s="68">
        <v>10</v>
      </c>
      <c r="B11" s="69">
        <f>AgeStanSec!E11/B$3</f>
        <v>199.8</v>
      </c>
      <c r="C11" s="69">
        <f>AgeStanSec!F11/C$3</f>
        <v>201.33333333333334</v>
      </c>
      <c r="D11" s="69">
        <f>AgeStanSec!G11/D$3</f>
        <v>202.41166587131153</v>
      </c>
      <c r="E11" s="69">
        <f>AgeStanSec!H11/E$3</f>
        <v>204.625</v>
      </c>
      <c r="F11" s="69">
        <f>AgeStanSec!I11/F$3</f>
        <v>204.92821919987273</v>
      </c>
      <c r="G11" s="69">
        <f>AgeStanSec!J11/G$3</f>
        <v>207.1</v>
      </c>
      <c r="H11" s="69">
        <f>AgeStanSec!L11/H$3</f>
        <v>211.41666666666666</v>
      </c>
      <c r="I11" s="69">
        <f>AgeStanSec!M11/I$3</f>
        <v>217.26666666666668</v>
      </c>
      <c r="J11" s="69">
        <f>AgeStanSec!N11/J$3</f>
        <v>219.34403085977888</v>
      </c>
      <c r="K11" s="69">
        <f>AgeStanSec!O11/K$3</f>
        <v>225.7</v>
      </c>
      <c r="L11" s="69">
        <f>AgeStanSec!P11/L$3</f>
        <v>227.89430027254414</v>
      </c>
      <c r="M11" s="69">
        <f>AgeStanSec!Q11/M$3</f>
        <v>232.4</v>
      </c>
      <c r="N11" s="69">
        <f>AgeStanSec!R11/N$3</f>
        <v>237.83333333333334</v>
      </c>
      <c r="O11" s="69">
        <f>AgeStanSec!S11/O$3</f>
        <v>248.3943595212703</v>
      </c>
      <c r="P11" s="69">
        <f>AgeStanSec!T11/P$3</f>
        <v>252.48</v>
      </c>
      <c r="Q11" s="69">
        <f>AgeStanSec!U11/Q$3</f>
        <v>285.70647419072611</v>
      </c>
      <c r="R11" s="69">
        <f>AgeStanSec!V11/R$3</f>
        <v>317.17</v>
      </c>
      <c r="S11" s="69">
        <f>AgeStanSec!W11/S$3</f>
        <v>355.83333333333331</v>
      </c>
      <c r="T11" s="69">
        <f>AgeStanSec!X11/T$3</f>
        <v>363.39651435616003</v>
      </c>
      <c r="U11" s="69">
        <f>AgeStanSec!Y11/U$3</f>
        <v>387.2</v>
      </c>
      <c r="V11" s="46"/>
    </row>
    <row r="12" spans="1:22">
      <c r="A12" s="66">
        <v>11</v>
      </c>
      <c r="B12" s="67">
        <f>AgeStanSec!E12/B$3</f>
        <v>194</v>
      </c>
      <c r="C12" s="67">
        <f>AgeStanSec!F12/C$3</f>
        <v>195.5</v>
      </c>
      <c r="D12" s="67">
        <f>AgeStanSec!G12/D$3</f>
        <v>196.66398234311617</v>
      </c>
      <c r="E12" s="67">
        <f>AgeStanSec!H12/E$3</f>
        <v>198.875</v>
      </c>
      <c r="F12" s="67">
        <f>AgeStanSec!I12/F$3</f>
        <v>199.0873299928418</v>
      </c>
      <c r="G12" s="67">
        <f>AgeStanSec!J12/G$3</f>
        <v>201.3</v>
      </c>
      <c r="H12" s="67">
        <f>AgeStanSec!L12/H$3</f>
        <v>205.08333333333334</v>
      </c>
      <c r="I12" s="67">
        <f>AgeStanSec!M12/I$3</f>
        <v>210.2</v>
      </c>
      <c r="J12" s="67">
        <f>AgeStanSec!N12/J$3</f>
        <v>212.13612502982579</v>
      </c>
      <c r="K12" s="67">
        <f>AgeStanSec!O12/K$3</f>
        <v>217.75</v>
      </c>
      <c r="L12" s="67">
        <f>AgeStanSec!P12/L$3</f>
        <v>219.7416755539756</v>
      </c>
      <c r="M12" s="67">
        <f>AgeStanSec!Q12/M$3</f>
        <v>223.84</v>
      </c>
      <c r="N12" s="67">
        <f>AgeStanSec!R12/N$3</f>
        <v>228.76666666666668</v>
      </c>
      <c r="O12" s="67">
        <f>AgeStanSec!S12/O$3</f>
        <v>238.36947505628629</v>
      </c>
      <c r="P12" s="67">
        <f>AgeStanSec!T12/P$3</f>
        <v>242.3</v>
      </c>
      <c r="Q12" s="67">
        <f>AgeStanSec!U12/Q$3</f>
        <v>274.17382486280121</v>
      </c>
      <c r="R12" s="67">
        <f>AgeStanSec!V12/R$3</f>
        <v>304.36</v>
      </c>
      <c r="S12" s="67">
        <f>AgeStanSec!W12/S$3</f>
        <v>341.46</v>
      </c>
      <c r="T12" s="67">
        <f>AgeStanSec!X12/T$3</f>
        <v>348.72594050743652</v>
      </c>
      <c r="U12" s="67">
        <f>AgeStanSec!Y12/U$3</f>
        <v>371.565</v>
      </c>
      <c r="V12" s="46"/>
    </row>
    <row r="13" spans="1:22">
      <c r="A13" s="66">
        <v>12</v>
      </c>
      <c r="B13" s="67">
        <f>AgeStanSec!E13/B$3</f>
        <v>189</v>
      </c>
      <c r="C13" s="67">
        <f>AgeStanSec!F13/C$3</f>
        <v>190.5</v>
      </c>
      <c r="D13" s="67">
        <f>AgeStanSec!G13/D$3</f>
        <v>191.53767000715817</v>
      </c>
      <c r="E13" s="67">
        <f>AgeStanSec!H13/E$3</f>
        <v>193.75</v>
      </c>
      <c r="F13" s="67">
        <f>AgeStanSec!I13/F$3</f>
        <v>193.99208621649566</v>
      </c>
      <c r="G13" s="67">
        <f>AgeStanSec!J13/G$3</f>
        <v>196.2</v>
      </c>
      <c r="H13" s="67">
        <f>AgeStanSec!L13/H$3</f>
        <v>199.58333333333334</v>
      </c>
      <c r="I13" s="67">
        <f>AgeStanSec!M13/I$3</f>
        <v>204.13333333333333</v>
      </c>
      <c r="J13" s="67">
        <f>AgeStanSec!N13/J$3</f>
        <v>205.86027598822872</v>
      </c>
      <c r="K13" s="67">
        <f>AgeStanSec!O13/K$3</f>
        <v>210.8</v>
      </c>
      <c r="L13" s="67">
        <f>AgeStanSec!P13/L$3</f>
        <v>212.63182841568906</v>
      </c>
      <c r="M13" s="67">
        <f>AgeStanSec!Q13/M$3</f>
        <v>216.44</v>
      </c>
      <c r="N13" s="67">
        <f>AgeStanSec!R13/N$3</f>
        <v>221.06666666666666</v>
      </c>
      <c r="O13" s="67">
        <f>AgeStanSec!S13/O$3</f>
        <v>229.97985543310818</v>
      </c>
      <c r="P13" s="67">
        <f>AgeStanSec!T13/P$3</f>
        <v>233.76</v>
      </c>
      <c r="Q13" s="67">
        <f>AgeStanSec!U13/Q$3</f>
        <v>264.51771653543307</v>
      </c>
      <c r="R13" s="67">
        <f>AgeStanSec!V13/R$3</f>
        <v>293.64</v>
      </c>
      <c r="S13" s="67">
        <f>AgeStanSec!W13/S$3</f>
        <v>329.43333333333334</v>
      </c>
      <c r="T13" s="67">
        <f>AgeStanSec!X13/T$3</f>
        <v>336.44143203690447</v>
      </c>
      <c r="U13" s="67">
        <f>AgeStanSec!Y13/U$3</f>
        <v>358.47500000000002</v>
      </c>
      <c r="V13" s="46"/>
    </row>
    <row r="14" spans="1:22">
      <c r="A14" s="66">
        <v>13</v>
      </c>
      <c r="B14" s="67">
        <f>AgeStanSec!E14/B$3</f>
        <v>184.4</v>
      </c>
      <c r="C14" s="67">
        <f>AgeStanSec!F14/C$3</f>
        <v>186</v>
      </c>
      <c r="D14" s="67">
        <f>AgeStanSec!G14/D$3</f>
        <v>187.03272886343751</v>
      </c>
      <c r="E14" s="67">
        <f>AgeStanSec!H14/E$3</f>
        <v>189.25</v>
      </c>
      <c r="F14" s="67">
        <f>AgeStanSec!I14/F$3</f>
        <v>189.51821363238685</v>
      </c>
      <c r="G14" s="67">
        <f>AgeStanSec!J14/G$3</f>
        <v>191.7</v>
      </c>
      <c r="H14" s="67">
        <f>AgeStanSec!L14/H$3</f>
        <v>194.66666666666666</v>
      </c>
      <c r="I14" s="67">
        <f>AgeStanSec!M14/I$3</f>
        <v>198.8</v>
      </c>
      <c r="J14" s="67">
        <f>AgeStanSec!N14/J$3</f>
        <v>200.33007237731647</v>
      </c>
      <c r="K14" s="67">
        <f>AgeStanSec!O14/K$3</f>
        <v>204.8</v>
      </c>
      <c r="L14" s="67">
        <f>AgeStanSec!P14/L$3</f>
        <v>206.46996089584073</v>
      </c>
      <c r="M14" s="67">
        <f>AgeStanSec!Q14/M$3</f>
        <v>210.12</v>
      </c>
      <c r="N14" s="67">
        <f>AgeStanSec!R14/N$3</f>
        <v>214.5</v>
      </c>
      <c r="O14" s="67">
        <f>AgeStanSec!S14/O$3</f>
        <v>223.01220523758738</v>
      </c>
      <c r="P14" s="67">
        <f>AgeStanSec!T14/P$3</f>
        <v>226.68</v>
      </c>
      <c r="Q14" s="67">
        <f>AgeStanSec!U14/Q$3</f>
        <v>256.50202815557145</v>
      </c>
      <c r="R14" s="67">
        <f>AgeStanSec!V14/R$3</f>
        <v>284.74</v>
      </c>
      <c r="S14" s="67">
        <f>AgeStanSec!W14/S$3</f>
        <v>319.45333333333332</v>
      </c>
      <c r="T14" s="67">
        <f>AgeStanSec!X14/T$3</f>
        <v>326.2509444842122</v>
      </c>
      <c r="U14" s="67">
        <f>AgeStanSec!Y14/U$3</f>
        <v>347.61500000000001</v>
      </c>
      <c r="V14" s="46"/>
    </row>
    <row r="15" spans="1:22">
      <c r="A15" s="66">
        <v>14</v>
      </c>
      <c r="B15" s="67">
        <f>AgeStanSec!E15/B$3</f>
        <v>180.4</v>
      </c>
      <c r="C15" s="67">
        <f>AgeStanSec!F15/C$3</f>
        <v>182</v>
      </c>
      <c r="D15" s="67">
        <f>AgeStanSec!G15/D$3</f>
        <v>182.99381611389484</v>
      </c>
      <c r="E15" s="67">
        <f>AgeStanSec!H15/E$3</f>
        <v>185.25</v>
      </c>
      <c r="F15" s="67">
        <f>AgeStanSec!I15/F$3</f>
        <v>185.54143800206791</v>
      </c>
      <c r="G15" s="67">
        <f>AgeStanSec!J15/G$3</f>
        <v>187.8</v>
      </c>
      <c r="H15" s="67">
        <f>AgeStanSec!L15/H$3</f>
        <v>190.5</v>
      </c>
      <c r="I15" s="67">
        <f>AgeStanSec!M15/I$3</f>
        <v>194.13333333333333</v>
      </c>
      <c r="J15" s="67">
        <f>AgeStanSec!N15/J$3</f>
        <v>195.54551419708898</v>
      </c>
      <c r="K15" s="67">
        <f>AgeStanSec!O15/K$3</f>
        <v>199.55</v>
      </c>
      <c r="L15" s="67">
        <f>AgeStanSec!P15/L$3</f>
        <v>201.11387605166487</v>
      </c>
      <c r="M15" s="67">
        <f>AgeStanSec!Q15/M$3</f>
        <v>204.64</v>
      </c>
      <c r="N15" s="67">
        <f>AgeStanSec!R15/N$3</f>
        <v>208.93333333333334</v>
      </c>
      <c r="O15" s="67">
        <f>AgeStanSec!S15/O$3</f>
        <v>217.20583007465339</v>
      </c>
      <c r="P15" s="67">
        <f>AgeStanSec!T15/P$3</f>
        <v>220.78</v>
      </c>
      <c r="Q15" s="67">
        <f>AgeStanSec!U15/Q$3</f>
        <v>249.82850155094249</v>
      </c>
      <c r="R15" s="67">
        <f>AgeStanSec!V15/R$3</f>
        <v>277.35000000000002</v>
      </c>
      <c r="S15" s="67">
        <f>AgeStanSec!W15/S$3</f>
        <v>311.15333333333331</v>
      </c>
      <c r="T15" s="67">
        <f>AgeStanSec!X15/T$3</f>
        <v>317.76922771017257</v>
      </c>
      <c r="U15" s="67">
        <f>AgeStanSec!Y15/U$3</f>
        <v>338.58499999999998</v>
      </c>
      <c r="V15" s="46"/>
    </row>
    <row r="16" spans="1:22">
      <c r="A16" s="68">
        <v>15</v>
      </c>
      <c r="B16" s="69">
        <f>AgeStanSec!E16/B$3</f>
        <v>176.8</v>
      </c>
      <c r="C16" s="69">
        <f>AgeStanSec!F16/C$3</f>
        <v>178.5</v>
      </c>
      <c r="D16" s="69">
        <f>AgeStanSec!G16/D$3</f>
        <v>179.57627455658951</v>
      </c>
      <c r="E16" s="69">
        <f>AgeStanSec!H16/E$3</f>
        <v>181.875</v>
      </c>
      <c r="F16" s="69">
        <f>AgeStanSec!I16/F$3</f>
        <v>182.06175932553884</v>
      </c>
      <c r="G16" s="69">
        <f>AgeStanSec!J16/G$3</f>
        <v>184.4</v>
      </c>
      <c r="H16" s="69">
        <f>AgeStanSec!L16/H$3</f>
        <v>186.83333333333334</v>
      </c>
      <c r="I16" s="69">
        <f>AgeStanSec!M16/I$3</f>
        <v>190.13333333333333</v>
      </c>
      <c r="J16" s="69">
        <f>AgeStanSec!N16/J$3</f>
        <v>191.38232720909886</v>
      </c>
      <c r="K16" s="69">
        <f>AgeStanSec!O16/K$3</f>
        <v>195.05</v>
      </c>
      <c r="L16" s="69">
        <f>AgeStanSec!P16/L$3</f>
        <v>196.4687759213177</v>
      </c>
      <c r="M16" s="69">
        <f>AgeStanSec!Q16/M$3</f>
        <v>199.96</v>
      </c>
      <c r="N16" s="69">
        <f>AgeStanSec!R16/N$3</f>
        <v>204.26666666666668</v>
      </c>
      <c r="O16" s="69">
        <f>AgeStanSec!S16/O$3</f>
        <v>212.48963147292332</v>
      </c>
      <c r="P16" s="69">
        <f>AgeStanSec!T16/P$3</f>
        <v>215.98</v>
      </c>
      <c r="Q16" s="69">
        <f>AgeStanSec!U16/Q$3</f>
        <v>244.39771733078817</v>
      </c>
      <c r="R16" s="69">
        <f>AgeStanSec!V16/R$3</f>
        <v>271.32</v>
      </c>
      <c r="S16" s="69">
        <f>AgeStanSec!W16/S$3</f>
        <v>304.38666666666666</v>
      </c>
      <c r="T16" s="69">
        <f>AgeStanSec!X16/T$3</f>
        <v>310.8657937644158</v>
      </c>
      <c r="U16" s="69">
        <f>AgeStanSec!Y16/U$3</f>
        <v>331.22500000000002</v>
      </c>
      <c r="V16" s="46"/>
    </row>
    <row r="17" spans="1:22">
      <c r="A17" s="66">
        <v>16</v>
      </c>
      <c r="B17" s="67">
        <f>AgeStanSec!E17/B$3</f>
        <v>173.4</v>
      </c>
      <c r="C17" s="67">
        <f>AgeStanSec!F17/C$3</f>
        <v>175.16666666666666</v>
      </c>
      <c r="D17" s="67">
        <f>AgeStanSec!G17/D$3</f>
        <v>176.15873299928415</v>
      </c>
      <c r="E17" s="67">
        <f>AgeStanSec!H17/E$3</f>
        <v>178.625</v>
      </c>
      <c r="F17" s="67">
        <f>AgeStanSec!I17/F$3</f>
        <v>178.83062912590469</v>
      </c>
      <c r="G17" s="67">
        <f>AgeStanSec!J17/G$3</f>
        <v>181.3</v>
      </c>
      <c r="H17" s="67">
        <f>AgeStanSec!L17/H$3</f>
        <v>183.5</v>
      </c>
      <c r="I17" s="67">
        <f>AgeStanSec!M17/I$3</f>
        <v>186.46666666666667</v>
      </c>
      <c r="J17" s="67">
        <f>AgeStanSec!N17/J$3</f>
        <v>187.59196293645113</v>
      </c>
      <c r="K17" s="67">
        <f>AgeStanSec!O17/K$3</f>
        <v>190.9</v>
      </c>
      <c r="L17" s="67">
        <f>AgeStanSec!P17/L$3</f>
        <v>192.25026661926768</v>
      </c>
      <c r="M17" s="67">
        <f>AgeStanSec!Q17/M$3</f>
        <v>195.76</v>
      </c>
      <c r="N17" s="67">
        <f>AgeStanSec!R17/N$3</f>
        <v>200.06666666666666</v>
      </c>
      <c r="O17" s="67">
        <f>AgeStanSec!S17/O$3</f>
        <v>208.31852115179524</v>
      </c>
      <c r="P17" s="67">
        <f>AgeStanSec!T17/P$3</f>
        <v>211.74</v>
      </c>
      <c r="Q17" s="67">
        <f>AgeStanSec!U17/Q$3</f>
        <v>239.6131591505607</v>
      </c>
      <c r="R17" s="67">
        <f>AgeStanSec!V17/R$3</f>
        <v>265.99</v>
      </c>
      <c r="S17" s="67">
        <f>AgeStanSec!W17/S$3</f>
        <v>298.42</v>
      </c>
      <c r="T17" s="67">
        <f>AgeStanSec!X17/T$3</f>
        <v>304.76392865664519</v>
      </c>
      <c r="U17" s="67">
        <f>AgeStanSec!Y17/U$3</f>
        <v>324.72500000000002</v>
      </c>
      <c r="V17" s="46"/>
    </row>
    <row r="18" spans="1:22">
      <c r="A18" s="66">
        <v>17</v>
      </c>
      <c r="B18" s="67">
        <f>AgeStanSec!E18/B$3</f>
        <v>170</v>
      </c>
      <c r="C18" s="67">
        <f>AgeStanSec!F18/C$3</f>
        <v>171.83333333333334</v>
      </c>
      <c r="D18" s="67">
        <f>AgeStanSec!G18/D$3</f>
        <v>172.89653424003816</v>
      </c>
      <c r="E18" s="67">
        <f>AgeStanSec!H18/E$3</f>
        <v>175.5</v>
      </c>
      <c r="F18" s="67">
        <f>AgeStanSec!I18/F$3</f>
        <v>175.72377316471804</v>
      </c>
      <c r="G18" s="67">
        <f>AgeStanSec!J18/G$3</f>
        <v>178.3</v>
      </c>
      <c r="H18" s="67">
        <f>AgeStanSec!L18/H$3</f>
        <v>180.25</v>
      </c>
      <c r="I18" s="67">
        <f>AgeStanSec!M18/I$3</f>
        <v>182.93333333333334</v>
      </c>
      <c r="J18" s="67">
        <f>AgeStanSec!N18/J$3</f>
        <v>183.98801002147457</v>
      </c>
      <c r="K18" s="67">
        <f>AgeStanSec!O18/K$3</f>
        <v>186.95</v>
      </c>
      <c r="L18" s="67">
        <f>AgeStanSec!P18/L$3</f>
        <v>188.22135324090533</v>
      </c>
      <c r="M18" s="67">
        <f>AgeStanSec!Q18/M$3</f>
        <v>191.72</v>
      </c>
      <c r="N18" s="67">
        <f>AgeStanSec!R18/N$3</f>
        <v>196</v>
      </c>
      <c r="O18" s="67">
        <f>AgeStanSec!S18/O$3</f>
        <v>204.31330726389382</v>
      </c>
      <c r="P18" s="67">
        <f>AgeStanSec!T18/P$3</f>
        <v>207.68</v>
      </c>
      <c r="Q18" s="67">
        <f>AgeStanSec!U18/Q$3</f>
        <v>235.0025849041597</v>
      </c>
      <c r="R18" s="67">
        <f>AgeStanSec!V18/R$3</f>
        <v>260.88</v>
      </c>
      <c r="S18" s="67">
        <f>AgeStanSec!W18/S$3</f>
        <v>292.67333333333335</v>
      </c>
      <c r="T18" s="67">
        <f>AgeStanSec!X18/T$3</f>
        <v>298.90439831384714</v>
      </c>
      <c r="U18" s="67">
        <f>AgeStanSec!Y18/U$3</f>
        <v>318.48</v>
      </c>
      <c r="V18" s="46"/>
    </row>
    <row r="19" spans="1:22">
      <c r="A19" s="66">
        <v>18</v>
      </c>
      <c r="B19" s="67">
        <f>AgeStanSec!E19/B$3</f>
        <v>167.6</v>
      </c>
      <c r="C19" s="67">
        <f>AgeStanSec!F19/C$3</f>
        <v>169.33333333333334</v>
      </c>
      <c r="D19" s="67">
        <f>AgeStanSec!G19/D$3</f>
        <v>170.41104947108883</v>
      </c>
      <c r="E19" s="67">
        <f>AgeStanSec!H19/E$3</f>
        <v>173</v>
      </c>
      <c r="F19" s="67">
        <f>AgeStanSec!I19/F$3</f>
        <v>173.23828839576871</v>
      </c>
      <c r="G19" s="67">
        <f>AgeStanSec!J19/G$3</f>
        <v>175.8</v>
      </c>
      <c r="H19" s="67">
        <f>AgeStanSec!L19/H$3</f>
        <v>177.5</v>
      </c>
      <c r="I19" s="67">
        <f>AgeStanSec!M19/I$3</f>
        <v>179.86666666666667</v>
      </c>
      <c r="J19" s="67">
        <f>AgeStanSec!N19/J$3</f>
        <v>180.81901694106418</v>
      </c>
      <c r="K19" s="67">
        <f>AgeStanSec!O19/K$3</f>
        <v>183.55</v>
      </c>
      <c r="L19" s="67">
        <f>AgeStanSec!P19/L$3</f>
        <v>184.71382865268396</v>
      </c>
      <c r="M19" s="67">
        <f>AgeStanSec!Q19/M$3</f>
        <v>188.16</v>
      </c>
      <c r="N19" s="67">
        <f>AgeStanSec!R19/N$3</f>
        <v>192.33333333333334</v>
      </c>
      <c r="O19" s="67">
        <f>AgeStanSec!S19/O$3</f>
        <v>200.45029031875814</v>
      </c>
      <c r="P19" s="67">
        <f>AgeStanSec!T19/P$3</f>
        <v>203.76</v>
      </c>
      <c r="Q19" s="67">
        <f>AgeStanSec!U19/Q$3</f>
        <v>230.56599459158514</v>
      </c>
      <c r="R19" s="67">
        <f>AgeStanSec!V19/R$3</f>
        <v>255.95</v>
      </c>
      <c r="S19" s="67">
        <f>AgeStanSec!W19/S$3</f>
        <v>287.15333333333331</v>
      </c>
      <c r="T19" s="67">
        <f>AgeStanSec!X19/T$3</f>
        <v>293.25613417640977</v>
      </c>
      <c r="U19" s="67">
        <f>AgeStanSec!Y19/U$3</f>
        <v>312.46499999999997</v>
      </c>
      <c r="V19" s="46"/>
    </row>
    <row r="20" spans="1:22">
      <c r="A20" s="66">
        <v>19</v>
      </c>
      <c r="B20" s="67">
        <f>AgeStanSec!E20/B$3</f>
        <v>166.8</v>
      </c>
      <c r="C20" s="67">
        <f>AgeStanSec!F20/C$3</f>
        <v>168.33333333333334</v>
      </c>
      <c r="D20" s="67">
        <f>AgeStanSec!G20/D$3</f>
        <v>169.3236498846735</v>
      </c>
      <c r="E20" s="67">
        <f>AgeStanSec!H20/E$3</f>
        <v>171.5</v>
      </c>
      <c r="F20" s="67">
        <f>AgeStanSec!I20/F$3</f>
        <v>171.87127177284657</v>
      </c>
      <c r="G20" s="67">
        <f>AgeStanSec!J20/G$3</f>
        <v>174</v>
      </c>
      <c r="H20" s="67">
        <f>AgeStanSec!L20/H$3</f>
        <v>175.5</v>
      </c>
      <c r="I20" s="67">
        <f>AgeStanSec!M20/I$3</f>
        <v>177.66666666666666</v>
      </c>
      <c r="J20" s="67">
        <f>AgeStanSec!N20/J$3</f>
        <v>178.51994352978605</v>
      </c>
      <c r="K20" s="67">
        <f>AgeStanSec!O20/K$3</f>
        <v>181</v>
      </c>
      <c r="L20" s="67">
        <f>AgeStanSec!P20/L$3</f>
        <v>182.059485721057</v>
      </c>
      <c r="M20" s="67">
        <f>AgeStanSec!Q20/M$3</f>
        <v>185.28</v>
      </c>
      <c r="N20" s="67">
        <f>AgeStanSec!R20/N$3</f>
        <v>189.2</v>
      </c>
      <c r="O20" s="67">
        <f>AgeStanSec!S20/O$3</f>
        <v>196.75316980684914</v>
      </c>
      <c r="P20" s="67">
        <f>AgeStanSec!T20/P$3</f>
        <v>199.98</v>
      </c>
      <c r="Q20" s="67">
        <f>AgeStanSec!U20/Q$3</f>
        <v>226.29096078899227</v>
      </c>
      <c r="R20" s="67">
        <f>AgeStanSec!V20/R$3</f>
        <v>251.21</v>
      </c>
      <c r="S20" s="67">
        <f>AgeStanSec!W20/S$3</f>
        <v>281.83333333333331</v>
      </c>
      <c r="T20" s="67">
        <f>AgeStanSec!X20/T$3</f>
        <v>287.82534995625542</v>
      </c>
      <c r="U20" s="67">
        <f>AgeStanSec!Y20/U$3</f>
        <v>306.67500000000001</v>
      </c>
      <c r="V20" s="46"/>
    </row>
    <row r="21" spans="1:22">
      <c r="A21" s="68">
        <v>20</v>
      </c>
      <c r="B21" s="69">
        <f>AgeStanSec!E21/B$3</f>
        <v>166.8</v>
      </c>
      <c r="C21" s="69">
        <f>AgeStanSec!F21/C$3</f>
        <v>168.16666666666666</v>
      </c>
      <c r="D21" s="69">
        <f>AgeStanSec!G21/D$3</f>
        <v>169.01296428855483</v>
      </c>
      <c r="E21" s="69">
        <f>AgeStanSec!H21/E$3</f>
        <v>170.875</v>
      </c>
      <c r="F21" s="69">
        <f>AgeStanSec!I21/F$3</f>
        <v>171.12562634216175</v>
      </c>
      <c r="G21" s="69">
        <f>AgeStanSec!J21/G$3</f>
        <v>172.9</v>
      </c>
      <c r="H21" s="69">
        <f>AgeStanSec!L21/H$3</f>
        <v>174.25</v>
      </c>
      <c r="I21" s="69">
        <f>AgeStanSec!M21/I$3</f>
        <v>176.2</v>
      </c>
      <c r="J21" s="69">
        <f>AgeStanSec!N21/J$3</f>
        <v>177.02865266841644</v>
      </c>
      <c r="K21" s="69">
        <f>AgeStanSec!O21/K$3</f>
        <v>179.2</v>
      </c>
      <c r="L21" s="69">
        <f>AgeStanSec!P21/L$3</f>
        <v>180.21092546510249</v>
      </c>
      <c r="M21" s="69">
        <f>AgeStanSec!Q21/M$3</f>
        <v>183.12</v>
      </c>
      <c r="N21" s="69">
        <f>AgeStanSec!R21/N$3</f>
        <v>186.63333333333333</v>
      </c>
      <c r="O21" s="69">
        <f>AgeStanSec!S21/O$3</f>
        <v>193.41154165185449</v>
      </c>
      <c r="P21" s="69">
        <f>AgeStanSec!T21/P$3</f>
        <v>196.58</v>
      </c>
      <c r="Q21" s="69">
        <f>AgeStanSec!U21/Q$3</f>
        <v>222.45088682096554</v>
      </c>
      <c r="R21" s="69">
        <f>AgeStanSec!V21/R$3</f>
        <v>246.95</v>
      </c>
      <c r="S21" s="69">
        <f>AgeStanSec!W21/S$3</f>
        <v>277.05333333333334</v>
      </c>
      <c r="T21" s="69">
        <f>AgeStanSec!X21/T$3</f>
        <v>282.94137238527003</v>
      </c>
      <c r="U21" s="69">
        <f>AgeStanSec!Y21/U$3</f>
        <v>301.47500000000002</v>
      </c>
      <c r="V21" s="46"/>
    </row>
    <row r="22" spans="1:22">
      <c r="A22" s="66">
        <v>21</v>
      </c>
      <c r="B22" s="67">
        <f>AgeStanSec!E22/B$3</f>
        <v>166.8</v>
      </c>
      <c r="C22" s="67">
        <f>AgeStanSec!F22/C$3</f>
        <v>168</v>
      </c>
      <c r="D22" s="67">
        <f>AgeStanSec!G22/D$3</f>
        <v>168.85762149049549</v>
      </c>
      <c r="E22" s="67">
        <f>AgeStanSec!H22/E$3</f>
        <v>170.625</v>
      </c>
      <c r="F22" s="67">
        <f>AgeStanSec!I22/F$3</f>
        <v>170.87707786526684</v>
      </c>
      <c r="G22" s="67">
        <f>AgeStanSec!J22/G$3</f>
        <v>172.6</v>
      </c>
      <c r="H22" s="67">
        <f>AgeStanSec!L22/H$3</f>
        <v>173.75</v>
      </c>
      <c r="I22" s="67">
        <f>AgeStanSec!M22/I$3</f>
        <v>175.46666666666667</v>
      </c>
      <c r="J22" s="67">
        <f>AgeStanSec!N22/J$3</f>
        <v>176.22087011850789</v>
      </c>
      <c r="K22" s="67">
        <f>AgeStanSec!O22/K$3</f>
        <v>178.2</v>
      </c>
      <c r="L22" s="67">
        <f>AgeStanSec!P22/L$3</f>
        <v>179.16814788482048</v>
      </c>
      <c r="M22" s="67">
        <f>AgeStanSec!Q22/M$3</f>
        <v>181.64</v>
      </c>
      <c r="N22" s="67">
        <f>AgeStanSec!R22/N$3</f>
        <v>184.76666666666668</v>
      </c>
      <c r="O22" s="67">
        <f>AgeStanSec!S22/O$3</f>
        <v>190.68610024884464</v>
      </c>
      <c r="P22" s="67">
        <f>AgeStanSec!T22/P$3</f>
        <v>193.82</v>
      </c>
      <c r="Q22" s="67">
        <f>AgeStanSec!U22/Q$3</f>
        <v>219.33160343593414</v>
      </c>
      <c r="R22" s="67">
        <f>AgeStanSec!V22/R$3</f>
        <v>243.48</v>
      </c>
      <c r="S22" s="67">
        <f>AgeStanSec!W22/S$3</f>
        <v>273.16000000000003</v>
      </c>
      <c r="T22" s="67">
        <f>AgeStanSec!X22/T$3</f>
        <v>278.97081046687344</v>
      </c>
      <c r="U22" s="67">
        <f>AgeStanSec!Y22/U$3</f>
        <v>297.245</v>
      </c>
      <c r="V22" s="46"/>
    </row>
    <row r="23" spans="1:22">
      <c r="A23" s="66">
        <v>22</v>
      </c>
      <c r="B23" s="67">
        <f>AgeStanSec!E23/B$3</f>
        <v>166.8</v>
      </c>
      <c r="C23" s="67">
        <f>AgeStanSec!F23/C$3</f>
        <v>168</v>
      </c>
      <c r="D23" s="67">
        <f>AgeStanSec!G23/D$3</f>
        <v>168.85762149049549</v>
      </c>
      <c r="E23" s="67">
        <f>AgeStanSec!H23/E$3</f>
        <v>170.625</v>
      </c>
      <c r="F23" s="67">
        <f>AgeStanSec!I23/F$3</f>
        <v>170.87707786526684</v>
      </c>
      <c r="G23" s="67">
        <f>AgeStanSec!J23/G$3</f>
        <v>172.6</v>
      </c>
      <c r="H23" s="67">
        <f>AgeStanSec!L23/H$3</f>
        <v>173.66666666666666</v>
      </c>
      <c r="I23" s="67">
        <f>AgeStanSec!M23/I$3</f>
        <v>175.26666666666668</v>
      </c>
      <c r="J23" s="67">
        <f>AgeStanSec!N23/J$3</f>
        <v>175.97232164161298</v>
      </c>
      <c r="K23" s="67">
        <f>AgeStanSec!O23/K$3</f>
        <v>177.85</v>
      </c>
      <c r="L23" s="67">
        <f>AgeStanSec!P23/L$3</f>
        <v>178.78895603744519</v>
      </c>
      <c r="M23" s="67">
        <f>AgeStanSec!Q23/M$3</f>
        <v>180.88</v>
      </c>
      <c r="N23" s="67">
        <f>AgeStanSec!R23/N$3</f>
        <v>183.53333333333333</v>
      </c>
      <c r="O23" s="67">
        <f>AgeStanSec!S23/O$3</f>
        <v>188.50574712643677</v>
      </c>
      <c r="P23" s="67">
        <f>AgeStanSec!T23/P$3</f>
        <v>191.62</v>
      </c>
      <c r="Q23" s="67">
        <f>AgeStanSec!U23/Q$3</f>
        <v>216.8212638192953</v>
      </c>
      <c r="R23" s="67">
        <f>AgeStanSec!V23/R$3</f>
        <v>240.7</v>
      </c>
      <c r="S23" s="67">
        <f>AgeStanSec!W23/S$3</f>
        <v>270.04000000000002</v>
      </c>
      <c r="T23" s="67">
        <f>AgeStanSec!X23/T$3</f>
        <v>275.78317625069593</v>
      </c>
      <c r="U23" s="67">
        <f>AgeStanSec!Y23/U$3</f>
        <v>293.85000000000002</v>
      </c>
      <c r="V23" s="46"/>
    </row>
    <row r="24" spans="1:22">
      <c r="A24" s="66">
        <v>23</v>
      </c>
      <c r="B24" s="67">
        <f>AgeStanSec!E24/B$3</f>
        <v>166.8</v>
      </c>
      <c r="C24" s="67">
        <f>AgeStanSec!F24/C$3</f>
        <v>168</v>
      </c>
      <c r="D24" s="67">
        <f>AgeStanSec!G24/D$3</f>
        <v>168.85762149049549</v>
      </c>
      <c r="E24" s="67">
        <f>AgeStanSec!H24/E$3</f>
        <v>170.625</v>
      </c>
      <c r="F24" s="67">
        <f>AgeStanSec!I24/F$3</f>
        <v>170.87707786526684</v>
      </c>
      <c r="G24" s="67">
        <f>AgeStanSec!J24/G$3</f>
        <v>172.6</v>
      </c>
      <c r="H24" s="67">
        <f>AgeStanSec!L24/H$3</f>
        <v>173.66666666666666</v>
      </c>
      <c r="I24" s="67">
        <f>AgeStanSec!M24/I$3</f>
        <v>175.26666666666668</v>
      </c>
      <c r="J24" s="67">
        <f>AgeStanSec!N24/J$3</f>
        <v>175.97232164161298</v>
      </c>
      <c r="K24" s="67">
        <f>AgeStanSec!O24/K$3</f>
        <v>177.85</v>
      </c>
      <c r="L24" s="67">
        <f>AgeStanSec!P24/L$3</f>
        <v>178.78895603744519</v>
      </c>
      <c r="M24" s="67">
        <f>AgeStanSec!Q24/M$3</f>
        <v>180.48</v>
      </c>
      <c r="N24" s="67">
        <f>AgeStanSec!R24/N$3</f>
        <v>182.7</v>
      </c>
      <c r="O24" s="67">
        <f>AgeStanSec!S24/O$3</f>
        <v>186.84678279416991</v>
      </c>
      <c r="P24" s="67">
        <f>AgeStanSec!T24/P$3</f>
        <v>189.92</v>
      </c>
      <c r="Q24" s="67">
        <f>AgeStanSec!U24/Q$3</f>
        <v>214.91986797104906</v>
      </c>
      <c r="R24" s="67">
        <f>AgeStanSec!V24/R$3</f>
        <v>238.58</v>
      </c>
      <c r="S24" s="67">
        <f>AgeStanSec!W24/S$3</f>
        <v>267.66666666666669</v>
      </c>
      <c r="T24" s="67">
        <f>AgeStanSec!X24/T$3</f>
        <v>273.35982860097033</v>
      </c>
      <c r="U24" s="67">
        <f>AgeStanSec!Y24/U$3</f>
        <v>291.26</v>
      </c>
      <c r="V24" s="46"/>
    </row>
    <row r="25" spans="1:22">
      <c r="A25" s="66">
        <v>24</v>
      </c>
      <c r="B25" s="67">
        <f>AgeStanSec!E25/B$3</f>
        <v>166.8</v>
      </c>
      <c r="C25" s="67">
        <f>AgeStanSec!F25/C$3</f>
        <v>168</v>
      </c>
      <c r="D25" s="67">
        <f>AgeStanSec!G25/D$3</f>
        <v>168.85762149049549</v>
      </c>
      <c r="E25" s="67">
        <f>AgeStanSec!H25/E$3</f>
        <v>170.625</v>
      </c>
      <c r="F25" s="67">
        <f>AgeStanSec!I25/F$3</f>
        <v>170.87707786526684</v>
      </c>
      <c r="G25" s="67">
        <f>AgeStanSec!J25/G$3</f>
        <v>172.6</v>
      </c>
      <c r="H25" s="67">
        <f>AgeStanSec!L25/H$3</f>
        <v>173.66666666666666</v>
      </c>
      <c r="I25" s="67">
        <f>AgeStanSec!M25/I$3</f>
        <v>175.26666666666668</v>
      </c>
      <c r="J25" s="67">
        <f>AgeStanSec!N25/J$3</f>
        <v>175.97232164161298</v>
      </c>
      <c r="K25" s="67">
        <f>AgeStanSec!O25/K$3</f>
        <v>177.85</v>
      </c>
      <c r="L25" s="67">
        <f>AgeStanSec!P25/L$3</f>
        <v>178.78895603744519</v>
      </c>
      <c r="M25" s="67">
        <f>AgeStanSec!Q25/M$3</f>
        <v>180.2</v>
      </c>
      <c r="N25" s="67">
        <f>AgeStanSec!R25/N$3</f>
        <v>182.13333333333333</v>
      </c>
      <c r="O25" s="67">
        <f>AgeStanSec!S25/O$3</f>
        <v>185.68550776158312</v>
      </c>
      <c r="P25" s="67">
        <f>AgeStanSec!T25/P$3</f>
        <v>188.74</v>
      </c>
      <c r="Q25" s="67">
        <f>AgeStanSec!U25/Q$3</f>
        <v>213.5777061958164</v>
      </c>
      <c r="R25" s="67">
        <f>AgeStanSec!V25/R$3</f>
        <v>237.1</v>
      </c>
      <c r="S25" s="67">
        <f>AgeStanSec!W25/S$3</f>
        <v>265.99333333333334</v>
      </c>
      <c r="T25" s="67">
        <f>AgeStanSec!X25/T$3</f>
        <v>271.65727153424001</v>
      </c>
      <c r="U25" s="67">
        <f>AgeStanSec!Y25/U$3</f>
        <v>289.44499999999999</v>
      </c>
      <c r="V25" s="46"/>
    </row>
    <row r="26" spans="1:22">
      <c r="A26" s="68">
        <v>25</v>
      </c>
      <c r="B26" s="69">
        <f>AgeStanSec!E26/B$3</f>
        <v>166.8</v>
      </c>
      <c r="C26" s="69">
        <f>AgeStanSec!F26/C$3</f>
        <v>168</v>
      </c>
      <c r="D26" s="69">
        <f>AgeStanSec!G26/D$3</f>
        <v>168.85762149049549</v>
      </c>
      <c r="E26" s="69">
        <f>AgeStanSec!H26/E$3</f>
        <v>170.625</v>
      </c>
      <c r="F26" s="69">
        <f>AgeStanSec!I26/F$3</f>
        <v>170.87707786526684</v>
      </c>
      <c r="G26" s="69">
        <f>AgeStanSec!J26/G$3</f>
        <v>172.6</v>
      </c>
      <c r="H26" s="69">
        <f>AgeStanSec!L26/H$3</f>
        <v>173.66666666666666</v>
      </c>
      <c r="I26" s="69">
        <f>AgeStanSec!M26/I$3</f>
        <v>175.26666666666668</v>
      </c>
      <c r="J26" s="69">
        <f>AgeStanSec!N26/J$3</f>
        <v>175.97232164161298</v>
      </c>
      <c r="K26" s="69">
        <f>AgeStanSec!O26/K$3</f>
        <v>177.85</v>
      </c>
      <c r="L26" s="69">
        <f>AgeStanSec!P26/L$3</f>
        <v>178.78895603744519</v>
      </c>
      <c r="M26" s="69">
        <f>AgeStanSec!Q26/M$3</f>
        <v>180.04</v>
      </c>
      <c r="N26" s="69">
        <f>AgeStanSec!R26/N$3</f>
        <v>181.76666666666668</v>
      </c>
      <c r="O26" s="69">
        <f>AgeStanSec!S26/O$3</f>
        <v>184.97452304775447</v>
      </c>
      <c r="P26" s="69">
        <f>AgeStanSec!T26/P$3</f>
        <v>188.02</v>
      </c>
      <c r="Q26" s="69">
        <f>AgeStanSec!U26/Q$3</f>
        <v>212.76992364590788</v>
      </c>
      <c r="R26" s="69">
        <f>AgeStanSec!V26/R$3</f>
        <v>236.19</v>
      </c>
      <c r="S26" s="69">
        <f>AgeStanSec!W26/S$3</f>
        <v>264.98666666666668</v>
      </c>
      <c r="T26" s="69">
        <f>AgeStanSec!X26/T$3</f>
        <v>270.61958164320367</v>
      </c>
      <c r="U26" s="69">
        <f>AgeStanSec!Y26/U$3</f>
        <v>288.34500000000003</v>
      </c>
      <c r="V26" s="46"/>
    </row>
    <row r="27" spans="1:22">
      <c r="A27" s="66">
        <v>26</v>
      </c>
      <c r="B27" s="67">
        <f>AgeStanSec!E27/B$3</f>
        <v>166.8</v>
      </c>
      <c r="C27" s="67">
        <f>AgeStanSec!F27/C$3</f>
        <v>168</v>
      </c>
      <c r="D27" s="67">
        <f>AgeStanSec!G27/D$3</f>
        <v>168.85762149049549</v>
      </c>
      <c r="E27" s="67">
        <f>AgeStanSec!H27/E$3</f>
        <v>170.625</v>
      </c>
      <c r="F27" s="67">
        <f>AgeStanSec!I27/F$3</f>
        <v>170.87707786526684</v>
      </c>
      <c r="G27" s="67">
        <f>AgeStanSec!J27/G$3</f>
        <v>172.6</v>
      </c>
      <c r="H27" s="67">
        <f>AgeStanSec!L27/H$3</f>
        <v>173.66666666666666</v>
      </c>
      <c r="I27" s="67">
        <f>AgeStanSec!M27/I$3</f>
        <v>175.26666666666668</v>
      </c>
      <c r="J27" s="67">
        <f>AgeStanSec!N27/J$3</f>
        <v>175.97232164161298</v>
      </c>
      <c r="K27" s="67">
        <f>AgeStanSec!O27/K$3</f>
        <v>177.85</v>
      </c>
      <c r="L27" s="67">
        <f>AgeStanSec!P27/L$3</f>
        <v>178.78895603744519</v>
      </c>
      <c r="M27" s="67">
        <f>AgeStanSec!Q27/M$3</f>
        <v>180</v>
      </c>
      <c r="N27" s="67">
        <f>AgeStanSec!R27/N$3</f>
        <v>181.66666666666666</v>
      </c>
      <c r="O27" s="67">
        <f>AgeStanSec!S27/O$3</f>
        <v>184.76122763360587</v>
      </c>
      <c r="P27" s="67">
        <f>AgeStanSec!T27/P$3</f>
        <v>187.8</v>
      </c>
      <c r="Q27" s="67">
        <f>AgeStanSec!U27/Q$3</f>
        <v>212.5089477451682</v>
      </c>
      <c r="R27" s="67">
        <f>AgeStanSec!V27/R$3</f>
        <v>235.91</v>
      </c>
      <c r="S27" s="67">
        <f>AgeStanSec!W27/S$3</f>
        <v>264.66666666666669</v>
      </c>
      <c r="T27" s="67">
        <f>AgeStanSec!X27/T$3</f>
        <v>270.29646862324029</v>
      </c>
      <c r="U27" s="67">
        <f>AgeStanSec!Y27/U$3</f>
        <v>288</v>
      </c>
      <c r="V27" s="46"/>
    </row>
    <row r="28" spans="1:22">
      <c r="A28" s="66">
        <v>27</v>
      </c>
      <c r="B28" s="67">
        <f>AgeStanSec!E28/B$3</f>
        <v>166.8</v>
      </c>
      <c r="C28" s="67">
        <f>AgeStanSec!F28/C$3</f>
        <v>168</v>
      </c>
      <c r="D28" s="67">
        <f>AgeStanSec!G28/D$3</f>
        <v>168.85762149049549</v>
      </c>
      <c r="E28" s="67">
        <f>AgeStanSec!H28/E$3</f>
        <v>170.625</v>
      </c>
      <c r="F28" s="67">
        <f>AgeStanSec!I28/F$3</f>
        <v>170.87707786526684</v>
      </c>
      <c r="G28" s="67">
        <f>AgeStanSec!J28/G$3</f>
        <v>172.6</v>
      </c>
      <c r="H28" s="67">
        <f>AgeStanSec!L28/H$3</f>
        <v>173.66666666666666</v>
      </c>
      <c r="I28" s="67">
        <f>AgeStanSec!M28/I$3</f>
        <v>175.26666666666668</v>
      </c>
      <c r="J28" s="67">
        <f>AgeStanSec!N28/J$3</f>
        <v>175.97232164161298</v>
      </c>
      <c r="K28" s="67">
        <f>AgeStanSec!O28/K$3</f>
        <v>177.85</v>
      </c>
      <c r="L28" s="67">
        <f>AgeStanSec!P28/L$3</f>
        <v>178.78895603744519</v>
      </c>
      <c r="M28" s="67">
        <f>AgeStanSec!Q28/M$3</f>
        <v>180</v>
      </c>
      <c r="N28" s="67">
        <f>AgeStanSec!R28/N$3</f>
        <v>181.66666666666666</v>
      </c>
      <c r="O28" s="67">
        <f>AgeStanSec!S28/O$3</f>
        <v>184.76122763360587</v>
      </c>
      <c r="P28" s="67">
        <f>AgeStanSec!T28/P$3</f>
        <v>187.8</v>
      </c>
      <c r="Q28" s="67">
        <f>AgeStanSec!U28/Q$3</f>
        <v>212.5089477451682</v>
      </c>
      <c r="R28" s="67">
        <f>AgeStanSec!V28/R$3</f>
        <v>235.91</v>
      </c>
      <c r="S28" s="67">
        <f>AgeStanSec!W28/S$3</f>
        <v>264.66666666666669</v>
      </c>
      <c r="T28" s="67">
        <f>AgeStanSec!X28/T$3</f>
        <v>270.29646862324029</v>
      </c>
      <c r="U28" s="67">
        <f>AgeStanSec!Y28/U$3</f>
        <v>288</v>
      </c>
      <c r="V28" s="46"/>
    </row>
    <row r="29" spans="1:22">
      <c r="A29" s="66">
        <v>28</v>
      </c>
      <c r="B29" s="67">
        <f>AgeStanSec!E29/B$3</f>
        <v>167</v>
      </c>
      <c r="C29" s="67">
        <f>AgeStanSec!F29/C$3</f>
        <v>168.16666666666666</v>
      </c>
      <c r="D29" s="67">
        <f>AgeStanSec!G29/D$3</f>
        <v>169.01296428855483</v>
      </c>
      <c r="E29" s="67">
        <f>AgeStanSec!H29/E$3</f>
        <v>170.75</v>
      </c>
      <c r="F29" s="67">
        <f>AgeStanSec!I29/F$3</f>
        <v>171.00135210371431</v>
      </c>
      <c r="G29" s="67">
        <f>AgeStanSec!J29/G$3</f>
        <v>172.6</v>
      </c>
      <c r="H29" s="67">
        <f>AgeStanSec!L29/H$3</f>
        <v>173.66666666666666</v>
      </c>
      <c r="I29" s="67">
        <f>AgeStanSec!M29/I$3</f>
        <v>175.33333333333334</v>
      </c>
      <c r="J29" s="67">
        <f>AgeStanSec!N29/J$3</f>
        <v>176.03445876083671</v>
      </c>
      <c r="K29" s="67">
        <f>AgeStanSec!O29/K$3</f>
        <v>177.9</v>
      </c>
      <c r="L29" s="67">
        <f>AgeStanSec!P29/L$3</f>
        <v>178.8363550183671</v>
      </c>
      <c r="M29" s="67">
        <f>AgeStanSec!Q29/M$3</f>
        <v>180.04</v>
      </c>
      <c r="N29" s="67">
        <f>AgeStanSec!R29/N$3</f>
        <v>181.7</v>
      </c>
      <c r="O29" s="67">
        <f>AgeStanSec!S29/O$3</f>
        <v>184.80862661452778</v>
      </c>
      <c r="P29" s="67">
        <f>AgeStanSec!T29/P$3</f>
        <v>187.84</v>
      </c>
      <c r="Q29" s="67">
        <f>AgeStanSec!U29/Q$3</f>
        <v>212.54623001670245</v>
      </c>
      <c r="R29" s="67">
        <f>AgeStanSec!V29/R$3</f>
        <v>235.96</v>
      </c>
      <c r="S29" s="67">
        <f>AgeStanSec!W29/S$3</f>
        <v>264.72000000000003</v>
      </c>
      <c r="T29" s="67">
        <f>AgeStanSec!X29/T$3</f>
        <v>270.35239203054164</v>
      </c>
      <c r="U29" s="67">
        <f>AgeStanSec!Y29/U$3</f>
        <v>288.06</v>
      </c>
      <c r="V29" s="46"/>
    </row>
    <row r="30" spans="1:22">
      <c r="A30" s="66">
        <v>29</v>
      </c>
      <c r="B30" s="67">
        <f>AgeStanSec!E30/B$3</f>
        <v>167.2</v>
      </c>
      <c r="C30" s="67">
        <f>AgeStanSec!F30/C$3</f>
        <v>168.33333333333334</v>
      </c>
      <c r="D30" s="67">
        <f>AgeStanSec!G30/D$3</f>
        <v>169.16830708661416</v>
      </c>
      <c r="E30" s="67">
        <f>AgeStanSec!H30/E$3</f>
        <v>170.875</v>
      </c>
      <c r="F30" s="67">
        <f>AgeStanSec!I30/F$3</f>
        <v>171.12562634216175</v>
      </c>
      <c r="G30" s="67">
        <f>AgeStanSec!J30/G$3</f>
        <v>172.8</v>
      </c>
      <c r="H30" s="67">
        <f>AgeStanSec!L30/H$3</f>
        <v>173.83333333333334</v>
      </c>
      <c r="I30" s="67">
        <f>AgeStanSec!M30/I$3</f>
        <v>175.4</v>
      </c>
      <c r="J30" s="67">
        <f>AgeStanSec!N30/J$3</f>
        <v>176.15873299928415</v>
      </c>
      <c r="K30" s="67">
        <f>AgeStanSec!O30/K$3</f>
        <v>178</v>
      </c>
      <c r="L30" s="67">
        <f>AgeStanSec!P30/L$3</f>
        <v>178.93115298021092</v>
      </c>
      <c r="M30" s="67">
        <f>AgeStanSec!Q30/M$3</f>
        <v>180.16</v>
      </c>
      <c r="N30" s="67">
        <f>AgeStanSec!R30/N$3</f>
        <v>181.8</v>
      </c>
      <c r="O30" s="67">
        <f>AgeStanSec!S30/O$3</f>
        <v>184.90342457637161</v>
      </c>
      <c r="P30" s="67">
        <f>AgeStanSec!T30/P$3</f>
        <v>187.96</v>
      </c>
      <c r="Q30" s="67">
        <f>AgeStanSec!U30/Q$3</f>
        <v>212.68293167899466</v>
      </c>
      <c r="R30" s="67">
        <f>AgeStanSec!V30/R$3</f>
        <v>236.1</v>
      </c>
      <c r="S30" s="67">
        <f>AgeStanSec!W30/S$3</f>
        <v>264.88</v>
      </c>
      <c r="T30" s="67">
        <f>AgeStanSec!X30/T$3</f>
        <v>270.5139485405233</v>
      </c>
      <c r="U30" s="67">
        <f>AgeStanSec!Y30/U$3</f>
        <v>288.23</v>
      </c>
      <c r="V30" s="46"/>
    </row>
    <row r="31" spans="1:22">
      <c r="A31" s="68">
        <v>30</v>
      </c>
      <c r="B31" s="69">
        <f>AgeStanSec!E31/B$3</f>
        <v>167.4</v>
      </c>
      <c r="C31" s="69">
        <f>AgeStanSec!F31/C$3</f>
        <v>168.66666666666666</v>
      </c>
      <c r="D31" s="69">
        <f>AgeStanSec!G31/D$3</f>
        <v>169.47899268273284</v>
      </c>
      <c r="E31" s="69">
        <f>AgeStanSec!H31/E$3</f>
        <v>171.125</v>
      </c>
      <c r="F31" s="69">
        <f>AgeStanSec!I31/F$3</f>
        <v>171.37417481905669</v>
      </c>
      <c r="G31" s="69">
        <f>AgeStanSec!J31/G$3</f>
        <v>172.9</v>
      </c>
      <c r="H31" s="69">
        <f>AgeStanSec!L31/H$3</f>
        <v>174</v>
      </c>
      <c r="I31" s="69">
        <f>AgeStanSec!M31/I$3</f>
        <v>175.66666666666666</v>
      </c>
      <c r="J31" s="69">
        <f>AgeStanSec!N31/J$3</f>
        <v>176.34514435695536</v>
      </c>
      <c r="K31" s="69">
        <f>AgeStanSec!O31/K$3</f>
        <v>178.2</v>
      </c>
      <c r="L31" s="69">
        <f>AgeStanSec!P31/L$3</f>
        <v>179.16814788482048</v>
      </c>
      <c r="M31" s="69">
        <f>AgeStanSec!Q31/M$3</f>
        <v>180.36</v>
      </c>
      <c r="N31" s="69">
        <f>AgeStanSec!R31/N$3</f>
        <v>182</v>
      </c>
      <c r="O31" s="69">
        <f>AgeStanSec!S31/O$3</f>
        <v>185.0693210095983</v>
      </c>
      <c r="P31" s="69">
        <f>AgeStanSec!T31/P$3</f>
        <v>188.12</v>
      </c>
      <c r="Q31" s="69">
        <f>AgeStanSec!U31/Q$3</f>
        <v>212.86934303666587</v>
      </c>
      <c r="R31" s="69">
        <f>AgeStanSec!V31/R$3</f>
        <v>236.31</v>
      </c>
      <c r="S31" s="69">
        <f>AgeStanSec!W31/S$3</f>
        <v>265.12</v>
      </c>
      <c r="T31" s="69">
        <f>AgeStanSec!X31/T$3</f>
        <v>270.75628330549591</v>
      </c>
      <c r="U31" s="69">
        <f>AgeStanSec!Y31/U$3</f>
        <v>288.49</v>
      </c>
      <c r="V31" s="46"/>
    </row>
    <row r="32" spans="1:22">
      <c r="A32" s="66">
        <v>31</v>
      </c>
      <c r="B32" s="67">
        <f>AgeStanSec!E32/B$3</f>
        <v>167.8</v>
      </c>
      <c r="C32" s="67">
        <f>AgeStanSec!F32/C$3</f>
        <v>169</v>
      </c>
      <c r="D32" s="67">
        <f>AgeStanSec!G32/D$3</f>
        <v>169.78967827885148</v>
      </c>
      <c r="E32" s="67">
        <f>AgeStanSec!H32/E$3</f>
        <v>171.375</v>
      </c>
      <c r="F32" s="67">
        <f>AgeStanSec!I32/F$3</f>
        <v>171.62272329595163</v>
      </c>
      <c r="G32" s="67">
        <f>AgeStanSec!J32/G$3</f>
        <v>173.2</v>
      </c>
      <c r="H32" s="67">
        <f>AgeStanSec!L32/H$3</f>
        <v>174.33333333333334</v>
      </c>
      <c r="I32" s="67">
        <f>AgeStanSec!M32/I$3</f>
        <v>175.93333333333334</v>
      </c>
      <c r="J32" s="67">
        <f>AgeStanSec!N32/J$3</f>
        <v>176.65582995307403</v>
      </c>
      <c r="K32" s="67">
        <f>AgeStanSec!O32/K$3</f>
        <v>178.55</v>
      </c>
      <c r="L32" s="67">
        <f>AgeStanSec!P32/L$3</f>
        <v>179.45254177035193</v>
      </c>
      <c r="M32" s="67">
        <f>AgeStanSec!Q32/M$3</f>
        <v>180.64</v>
      </c>
      <c r="N32" s="67">
        <f>AgeStanSec!R32/N$3</f>
        <v>182.3</v>
      </c>
      <c r="O32" s="67">
        <f>AgeStanSec!S32/O$3</f>
        <v>185.30631591420783</v>
      </c>
      <c r="P32" s="67">
        <f>AgeStanSec!T32/P$3</f>
        <v>188.36</v>
      </c>
      <c r="Q32" s="67">
        <f>AgeStanSec!U32/Q$3</f>
        <v>213.14274636125029</v>
      </c>
      <c r="R32" s="67">
        <f>AgeStanSec!V32/R$3</f>
        <v>236.62</v>
      </c>
      <c r="S32" s="67">
        <f>AgeStanSec!W32/S$3</f>
        <v>265.45999999999998</v>
      </c>
      <c r="T32" s="67">
        <f>AgeStanSec!X32/T$3</f>
        <v>271.11046488507117</v>
      </c>
      <c r="U32" s="67">
        <f>AgeStanSec!Y32/U$3</f>
        <v>288.86500000000001</v>
      </c>
      <c r="V32" s="46"/>
    </row>
    <row r="33" spans="1:22">
      <c r="A33" s="66">
        <v>32</v>
      </c>
      <c r="B33" s="67">
        <f>AgeStanSec!E33/B$3</f>
        <v>168.4</v>
      </c>
      <c r="C33" s="67">
        <f>AgeStanSec!F33/C$3</f>
        <v>169.33333333333334</v>
      </c>
      <c r="D33" s="67">
        <f>AgeStanSec!G33/D$3</f>
        <v>170.25570667302949</v>
      </c>
      <c r="E33" s="67">
        <f>AgeStanSec!H33/E$3</f>
        <v>171.75</v>
      </c>
      <c r="F33" s="67">
        <f>AgeStanSec!I33/F$3</f>
        <v>171.99554601129404</v>
      </c>
      <c r="G33" s="67">
        <f>AgeStanSec!J33/G$3</f>
        <v>173.6</v>
      </c>
      <c r="H33" s="67">
        <f>AgeStanSec!L33/H$3</f>
        <v>174.66666666666666</v>
      </c>
      <c r="I33" s="67">
        <f>AgeStanSec!M33/I$3</f>
        <v>176.26666666666668</v>
      </c>
      <c r="J33" s="67">
        <f>AgeStanSec!N33/J$3</f>
        <v>177.02865266841644</v>
      </c>
      <c r="K33" s="67">
        <f>AgeStanSec!O33/K$3</f>
        <v>178.9</v>
      </c>
      <c r="L33" s="67">
        <f>AgeStanSec!P33/L$3</f>
        <v>179.83173361772722</v>
      </c>
      <c r="M33" s="67">
        <f>AgeStanSec!Q33/M$3</f>
        <v>181</v>
      </c>
      <c r="N33" s="67">
        <f>AgeStanSec!R33/N$3</f>
        <v>182.63333333333333</v>
      </c>
      <c r="O33" s="67">
        <f>AgeStanSec!S33/O$3</f>
        <v>185.63810878066121</v>
      </c>
      <c r="P33" s="67">
        <f>AgeStanSec!T33/P$3</f>
        <v>188.68</v>
      </c>
      <c r="Q33" s="67">
        <f>AgeStanSec!U33/Q$3</f>
        <v>213.5155690765927</v>
      </c>
      <c r="R33" s="67">
        <f>AgeStanSec!V33/R$3</f>
        <v>237.02</v>
      </c>
      <c r="S33" s="67">
        <f>AgeStanSec!W33/S$3</f>
        <v>265.91333333333336</v>
      </c>
      <c r="T33" s="67">
        <f>AgeStanSec!X33/T$3</f>
        <v>271.57027956732679</v>
      </c>
      <c r="U33" s="67">
        <f>AgeStanSec!Y33/U$3</f>
        <v>289.36</v>
      </c>
      <c r="V33" s="46"/>
    </row>
    <row r="34" spans="1:22">
      <c r="A34" s="66">
        <v>33</v>
      </c>
      <c r="B34" s="67">
        <f>AgeStanSec!E34/B$3</f>
        <v>169</v>
      </c>
      <c r="C34" s="67">
        <f>AgeStanSec!F34/C$3</f>
        <v>170</v>
      </c>
      <c r="D34" s="67">
        <f>AgeStanSec!G34/D$3</f>
        <v>170.7217350672075</v>
      </c>
      <c r="E34" s="67">
        <f>AgeStanSec!H34/E$3</f>
        <v>172.25</v>
      </c>
      <c r="F34" s="67">
        <f>AgeStanSec!I34/F$3</f>
        <v>172.49264296508389</v>
      </c>
      <c r="G34" s="67">
        <f>AgeStanSec!J34/G$3</f>
        <v>174</v>
      </c>
      <c r="H34" s="67">
        <f>AgeStanSec!L34/H$3</f>
        <v>175.08333333333334</v>
      </c>
      <c r="I34" s="67">
        <f>AgeStanSec!M34/I$3</f>
        <v>176.73333333333332</v>
      </c>
      <c r="J34" s="67">
        <f>AgeStanSec!N34/J$3</f>
        <v>177.46361250298256</v>
      </c>
      <c r="K34" s="67">
        <f>AgeStanSec!O34/K$3</f>
        <v>179.35</v>
      </c>
      <c r="L34" s="67">
        <f>AgeStanSec!P34/L$3</f>
        <v>180.30572342694632</v>
      </c>
      <c r="M34" s="67">
        <f>AgeStanSec!Q34/M$3</f>
        <v>181.48</v>
      </c>
      <c r="N34" s="67">
        <f>AgeStanSec!R34/N$3</f>
        <v>183.06666666666666</v>
      </c>
      <c r="O34" s="67">
        <f>AgeStanSec!S34/O$3</f>
        <v>186.01730062803651</v>
      </c>
      <c r="P34" s="67">
        <f>AgeStanSec!T34/P$3</f>
        <v>189.08</v>
      </c>
      <c r="Q34" s="67">
        <f>AgeStanSec!U34/Q$3</f>
        <v>213.96295633500355</v>
      </c>
      <c r="R34" s="67">
        <f>AgeStanSec!V34/R$3</f>
        <v>237.53</v>
      </c>
      <c r="S34" s="67">
        <f>AgeStanSec!W34/S$3</f>
        <v>266.48</v>
      </c>
      <c r="T34" s="67">
        <f>AgeStanSec!X34/T$3</f>
        <v>272.1481547761075</v>
      </c>
      <c r="U34" s="67">
        <f>AgeStanSec!Y34/U$3</f>
        <v>289.97000000000003</v>
      </c>
      <c r="V34" s="46"/>
    </row>
    <row r="35" spans="1:22">
      <c r="A35" s="66">
        <v>34</v>
      </c>
      <c r="B35" s="67">
        <f>AgeStanSec!E35/B$3</f>
        <v>169.6</v>
      </c>
      <c r="C35" s="67">
        <f>AgeStanSec!F35/C$3</f>
        <v>170.5</v>
      </c>
      <c r="D35" s="67">
        <f>AgeStanSec!G35/D$3</f>
        <v>171.34310625944482</v>
      </c>
      <c r="E35" s="67">
        <f>AgeStanSec!H35/E$3</f>
        <v>172.875</v>
      </c>
      <c r="F35" s="67">
        <f>AgeStanSec!I35/F$3</f>
        <v>173.11401415732124</v>
      </c>
      <c r="G35" s="67">
        <f>AgeStanSec!J35/G$3</f>
        <v>174.5</v>
      </c>
      <c r="H35" s="67">
        <f>AgeStanSec!L35/H$3</f>
        <v>175.58333333333334</v>
      </c>
      <c r="I35" s="67">
        <f>AgeStanSec!M35/I$3</f>
        <v>177.26666666666668</v>
      </c>
      <c r="J35" s="67">
        <f>AgeStanSec!N35/J$3</f>
        <v>177.96070945677243</v>
      </c>
      <c r="K35" s="67">
        <f>AgeStanSec!O35/K$3</f>
        <v>179.9</v>
      </c>
      <c r="L35" s="67">
        <f>AgeStanSec!P35/L$3</f>
        <v>180.87451119800923</v>
      </c>
      <c r="M35" s="67">
        <f>AgeStanSec!Q35/M$3</f>
        <v>182</v>
      </c>
      <c r="N35" s="67">
        <f>AgeStanSec!R35/N$3</f>
        <v>183.56666666666666</v>
      </c>
      <c r="O35" s="67">
        <f>AgeStanSec!S35/O$3</f>
        <v>186.4912904372556</v>
      </c>
      <c r="P35" s="67">
        <f>AgeStanSec!T35/P$3</f>
        <v>189.56</v>
      </c>
      <c r="Q35" s="67">
        <f>AgeStanSec!U35/Q$3</f>
        <v>214.50976298417243</v>
      </c>
      <c r="R35" s="67">
        <f>AgeStanSec!V35/R$3</f>
        <v>238.12</v>
      </c>
      <c r="S35" s="67">
        <f>AgeStanSec!W35/S$3</f>
        <v>267.15333333333331</v>
      </c>
      <c r="T35" s="67">
        <f>AgeStanSec!X35/T$3</f>
        <v>272.83166308756859</v>
      </c>
      <c r="U35" s="67">
        <f>AgeStanSec!Y35/U$3</f>
        <v>290.70499999999998</v>
      </c>
      <c r="V35" s="46"/>
    </row>
    <row r="36" spans="1:22">
      <c r="A36" s="68">
        <v>35</v>
      </c>
      <c r="B36" s="69">
        <f>AgeStanSec!E36/B$3</f>
        <v>170.4</v>
      </c>
      <c r="C36" s="69">
        <f>AgeStanSec!F36/C$3</f>
        <v>171.33333333333334</v>
      </c>
      <c r="D36" s="69">
        <f>AgeStanSec!G36/D$3</f>
        <v>171.96447745168217</v>
      </c>
      <c r="E36" s="69">
        <f>AgeStanSec!H36/E$3</f>
        <v>173.5</v>
      </c>
      <c r="F36" s="69">
        <f>AgeStanSec!I36/F$3</f>
        <v>173.73538534955856</v>
      </c>
      <c r="G36" s="69">
        <f>AgeStanSec!J36/G$3</f>
        <v>175.1</v>
      </c>
      <c r="H36" s="69">
        <f>AgeStanSec!L36/H$3</f>
        <v>176.25</v>
      </c>
      <c r="I36" s="69">
        <f>AgeStanSec!M36/I$3</f>
        <v>177.86666666666667</v>
      </c>
      <c r="J36" s="69">
        <f>AgeStanSec!N36/J$3</f>
        <v>178.64421776823352</v>
      </c>
      <c r="K36" s="69">
        <f>AgeStanSec!O36/K$3</f>
        <v>180.55</v>
      </c>
      <c r="L36" s="69">
        <f>AgeStanSec!P36/L$3</f>
        <v>181.538096930916</v>
      </c>
      <c r="M36" s="69">
        <f>AgeStanSec!Q36/M$3</f>
        <v>182.64</v>
      </c>
      <c r="N36" s="69">
        <f>AgeStanSec!R36/N$3</f>
        <v>184.16666666666666</v>
      </c>
      <c r="O36" s="69">
        <f>AgeStanSec!S36/O$3</f>
        <v>187.0126792273966</v>
      </c>
      <c r="P36" s="69">
        <f>AgeStanSec!T36/P$3</f>
        <v>190.1</v>
      </c>
      <c r="Q36" s="69">
        <f>AgeStanSec!U36/Q$3</f>
        <v>215.10627932872026</v>
      </c>
      <c r="R36" s="69">
        <f>AgeStanSec!V36/R$3</f>
        <v>238.8</v>
      </c>
      <c r="S36" s="69">
        <f>AgeStanSec!W36/S$3</f>
        <v>267.90666666666669</v>
      </c>
      <c r="T36" s="69">
        <f>AgeStanSec!X36/T$3</f>
        <v>273.60837707786527</v>
      </c>
      <c r="U36" s="69">
        <f>AgeStanSec!Y36/U$3</f>
        <v>291.52499999999998</v>
      </c>
      <c r="V36" s="46"/>
    </row>
    <row r="37" spans="1:22">
      <c r="A37" s="66">
        <v>36</v>
      </c>
      <c r="B37" s="67">
        <f>AgeStanSec!E37/B$3</f>
        <v>171.2</v>
      </c>
      <c r="C37" s="67">
        <f>AgeStanSec!F37/C$3</f>
        <v>172</v>
      </c>
      <c r="D37" s="67">
        <f>AgeStanSec!G37/D$3</f>
        <v>172.74119144197883</v>
      </c>
      <c r="E37" s="67">
        <f>AgeStanSec!H37/E$3</f>
        <v>174.25</v>
      </c>
      <c r="F37" s="67">
        <f>AgeStanSec!I37/F$3</f>
        <v>174.48103078024337</v>
      </c>
      <c r="G37" s="67">
        <f>AgeStanSec!J37/G$3</f>
        <v>175.8</v>
      </c>
      <c r="H37" s="67">
        <f>AgeStanSec!L37/H$3</f>
        <v>176.91666666666666</v>
      </c>
      <c r="I37" s="67">
        <f>AgeStanSec!M37/I$3</f>
        <v>178.6</v>
      </c>
      <c r="J37" s="67">
        <f>AgeStanSec!N37/J$3</f>
        <v>179.32772607969457</v>
      </c>
      <c r="K37" s="67">
        <f>AgeStanSec!O37/K$3</f>
        <v>181.3</v>
      </c>
      <c r="L37" s="67">
        <f>AgeStanSec!P37/L$3</f>
        <v>182.24908164474465</v>
      </c>
      <c r="M37" s="67">
        <f>AgeStanSec!Q37/M$3</f>
        <v>183.32</v>
      </c>
      <c r="N37" s="67">
        <f>AgeStanSec!R37/N$3</f>
        <v>184.83333333333334</v>
      </c>
      <c r="O37" s="67">
        <f>AgeStanSec!S37/O$3</f>
        <v>187.62886597938143</v>
      </c>
      <c r="P37" s="67">
        <f>AgeStanSec!T37/P$3</f>
        <v>190.72</v>
      </c>
      <c r="Q37" s="67">
        <f>AgeStanSec!U37/Q$3</f>
        <v>215.81464248787083</v>
      </c>
      <c r="R37" s="67">
        <f>AgeStanSec!V37/R$3</f>
        <v>239.58</v>
      </c>
      <c r="S37" s="67">
        <f>AgeStanSec!W37/S$3</f>
        <v>268.77999999999997</v>
      </c>
      <c r="T37" s="67">
        <f>AgeStanSec!X37/T$3</f>
        <v>274.49693788276466</v>
      </c>
      <c r="U37" s="67">
        <f>AgeStanSec!Y37/U$3</f>
        <v>292.47500000000002</v>
      </c>
      <c r="V37" s="46"/>
    </row>
    <row r="38" spans="1:22">
      <c r="A38" s="66">
        <v>37</v>
      </c>
      <c r="B38" s="67">
        <f>AgeStanSec!E38/B$3</f>
        <v>172.2</v>
      </c>
      <c r="C38" s="67">
        <f>AgeStanSec!F38/C$3</f>
        <v>173</v>
      </c>
      <c r="D38" s="67">
        <f>AgeStanSec!G38/D$3</f>
        <v>173.67324823033482</v>
      </c>
      <c r="E38" s="67">
        <f>AgeStanSec!H38/E$3</f>
        <v>175</v>
      </c>
      <c r="F38" s="67">
        <f>AgeStanSec!I38/F$3</f>
        <v>175.22667621092816</v>
      </c>
      <c r="G38" s="67">
        <f>AgeStanSec!J38/G$3</f>
        <v>176.5</v>
      </c>
      <c r="H38" s="67">
        <f>AgeStanSec!L38/H$3</f>
        <v>177.66666666666666</v>
      </c>
      <c r="I38" s="67">
        <f>AgeStanSec!M38/I$3</f>
        <v>179.4</v>
      </c>
      <c r="J38" s="67">
        <f>AgeStanSec!N38/J$3</f>
        <v>180.13550862960309</v>
      </c>
      <c r="K38" s="67">
        <f>AgeStanSec!O38/K$3</f>
        <v>182.15</v>
      </c>
      <c r="L38" s="67">
        <f>AgeStanSec!P38/L$3</f>
        <v>183.10226330133901</v>
      </c>
      <c r="M38" s="67">
        <f>AgeStanSec!Q38/M$3</f>
        <v>184.12</v>
      </c>
      <c r="N38" s="67">
        <f>AgeStanSec!R38/N$3</f>
        <v>185.6</v>
      </c>
      <c r="O38" s="67">
        <f>AgeStanSec!S38/O$3</f>
        <v>188.31615120274913</v>
      </c>
      <c r="P38" s="67">
        <f>AgeStanSec!T38/P$3</f>
        <v>191.42</v>
      </c>
      <c r="Q38" s="67">
        <f>AgeStanSec!U38/Q$3</f>
        <v>216.59757019008987</v>
      </c>
      <c r="R38" s="67">
        <f>AgeStanSec!V38/R$3</f>
        <v>240.45</v>
      </c>
      <c r="S38" s="67">
        <f>AgeStanSec!W38/S$3</f>
        <v>269.76666666666665</v>
      </c>
      <c r="T38" s="67">
        <f>AgeStanSec!X38/T$3</f>
        <v>275.50355921418912</v>
      </c>
      <c r="U38" s="67">
        <f>AgeStanSec!Y38/U$3</f>
        <v>293.55</v>
      </c>
      <c r="V38" s="46"/>
    </row>
    <row r="39" spans="1:22">
      <c r="A39" s="66">
        <v>38</v>
      </c>
      <c r="B39" s="67">
        <f>AgeStanSec!E39/B$3</f>
        <v>173.2</v>
      </c>
      <c r="C39" s="67">
        <f>AgeStanSec!F39/C$3</f>
        <v>174</v>
      </c>
      <c r="D39" s="67">
        <f>AgeStanSec!G39/D$3</f>
        <v>174.60530501869084</v>
      </c>
      <c r="E39" s="67">
        <f>AgeStanSec!H39/E$3</f>
        <v>176</v>
      </c>
      <c r="F39" s="67">
        <f>AgeStanSec!I39/F$3</f>
        <v>176.22087011850789</v>
      </c>
      <c r="G39" s="67">
        <f>AgeStanSec!J39/G$3</f>
        <v>177.4</v>
      </c>
      <c r="H39" s="67">
        <f>AgeStanSec!L39/H$3</f>
        <v>178.58333333333334</v>
      </c>
      <c r="I39" s="67">
        <f>AgeStanSec!M39/I$3</f>
        <v>180.26666666666668</v>
      </c>
      <c r="J39" s="67">
        <f>AgeStanSec!N39/J$3</f>
        <v>181.06756541795912</v>
      </c>
      <c r="K39" s="67">
        <f>AgeStanSec!O39/K$3</f>
        <v>183.05</v>
      </c>
      <c r="L39" s="67">
        <f>AgeStanSec!P39/L$3</f>
        <v>184.05024291977722</v>
      </c>
      <c r="M39" s="67">
        <f>AgeStanSec!Q39/M$3</f>
        <v>185.04</v>
      </c>
      <c r="N39" s="67">
        <f>AgeStanSec!R39/N$3</f>
        <v>186.46666666666667</v>
      </c>
      <c r="O39" s="67">
        <f>AgeStanSec!S39/O$3</f>
        <v>189.09823438796064</v>
      </c>
      <c r="P39" s="67">
        <f>AgeStanSec!T39/P$3</f>
        <v>192.2</v>
      </c>
      <c r="Q39" s="67">
        <f>AgeStanSec!U39/Q$3</f>
        <v>217.49234470691161</v>
      </c>
      <c r="R39" s="67">
        <f>AgeStanSec!V39/R$3</f>
        <v>241.44</v>
      </c>
      <c r="S39" s="67">
        <f>AgeStanSec!W39/S$3</f>
        <v>270.86666666666667</v>
      </c>
      <c r="T39" s="67">
        <f>AgeStanSec!X39/T$3</f>
        <v>276.62824107213868</v>
      </c>
      <c r="U39" s="67">
        <f>AgeStanSec!Y39/U$3</f>
        <v>294.75</v>
      </c>
      <c r="V39" s="46"/>
    </row>
    <row r="40" spans="1:22">
      <c r="A40" s="66">
        <v>39</v>
      </c>
      <c r="B40" s="67">
        <f>AgeStanSec!E40/B$3</f>
        <v>174.4</v>
      </c>
      <c r="C40" s="67">
        <f>AgeStanSec!F40/C$3</f>
        <v>175</v>
      </c>
      <c r="D40" s="67">
        <f>AgeStanSec!G40/D$3</f>
        <v>175.69270460510617</v>
      </c>
      <c r="E40" s="67">
        <f>AgeStanSec!H40/E$3</f>
        <v>177</v>
      </c>
      <c r="F40" s="67">
        <f>AgeStanSec!I40/F$3</f>
        <v>177.21506402608765</v>
      </c>
      <c r="G40" s="67">
        <f>AgeStanSec!J40/G$3</f>
        <v>178.3</v>
      </c>
      <c r="H40" s="67">
        <f>AgeStanSec!L40/H$3</f>
        <v>179.5</v>
      </c>
      <c r="I40" s="67">
        <f>AgeStanSec!M40/I$3</f>
        <v>181.26666666666668</v>
      </c>
      <c r="J40" s="67">
        <f>AgeStanSec!N40/J$3</f>
        <v>182.06175932553884</v>
      </c>
      <c r="K40" s="67">
        <f>AgeStanSec!O40/K$3</f>
        <v>184.1</v>
      </c>
      <c r="L40" s="67">
        <f>AgeStanSec!P40/L$3</f>
        <v>185.09302050005925</v>
      </c>
      <c r="M40" s="67">
        <f>AgeStanSec!Q40/M$3</f>
        <v>186.04</v>
      </c>
      <c r="N40" s="67">
        <f>AgeStanSec!R40/N$3</f>
        <v>187.4</v>
      </c>
      <c r="O40" s="67">
        <f>AgeStanSec!S40/O$3</f>
        <v>189.95141604455503</v>
      </c>
      <c r="P40" s="67">
        <f>AgeStanSec!T40/P$3</f>
        <v>193.08</v>
      </c>
      <c r="Q40" s="67">
        <f>AgeStanSec!U40/Q$3</f>
        <v>218.4741111906466</v>
      </c>
      <c r="R40" s="67">
        <f>AgeStanSec!V40/R$3</f>
        <v>242.53</v>
      </c>
      <c r="S40" s="67">
        <f>AgeStanSec!W40/S$3</f>
        <v>272.09333333333331</v>
      </c>
      <c r="T40" s="67">
        <f>AgeStanSec!X40/T$3</f>
        <v>277.88341088045809</v>
      </c>
      <c r="U40" s="67">
        <f>AgeStanSec!Y40/U$3</f>
        <v>296.08499999999998</v>
      </c>
      <c r="V40" s="46"/>
    </row>
    <row r="41" spans="1:22">
      <c r="A41" s="68">
        <v>40</v>
      </c>
      <c r="B41" s="69">
        <f>AgeStanSec!E41/B$3</f>
        <v>175.6</v>
      </c>
      <c r="C41" s="69">
        <f>AgeStanSec!F41/C$3</f>
        <v>176.16666666666666</v>
      </c>
      <c r="D41" s="69">
        <f>AgeStanSec!G41/D$3</f>
        <v>176.93544698958084</v>
      </c>
      <c r="E41" s="69">
        <f>AgeStanSec!H41/E$3</f>
        <v>178</v>
      </c>
      <c r="F41" s="69">
        <f>AgeStanSec!I41/F$3</f>
        <v>178.33353217211484</v>
      </c>
      <c r="G41" s="69">
        <f>AgeStanSec!J41/G$3</f>
        <v>179.4</v>
      </c>
      <c r="H41" s="69">
        <f>AgeStanSec!L41/H$3</f>
        <v>180.58333333333334</v>
      </c>
      <c r="I41" s="69">
        <f>AgeStanSec!M41/I$3</f>
        <v>182.33333333333334</v>
      </c>
      <c r="J41" s="69">
        <f>AgeStanSec!N41/J$3</f>
        <v>183.11809035234231</v>
      </c>
      <c r="K41" s="69">
        <f>AgeStanSec!O41/K$3</f>
        <v>185.2</v>
      </c>
      <c r="L41" s="69">
        <f>AgeStanSec!P41/L$3</f>
        <v>186.23059604218508</v>
      </c>
      <c r="M41" s="69">
        <f>AgeStanSec!Q41/M$3</f>
        <v>187.12</v>
      </c>
      <c r="N41" s="69">
        <f>AgeStanSec!R41/N$3</f>
        <v>188.43333333333334</v>
      </c>
      <c r="O41" s="69">
        <f>AgeStanSec!S41/O$3</f>
        <v>190.87569617253229</v>
      </c>
      <c r="P41" s="69">
        <f>AgeStanSec!T41/P$3</f>
        <v>194</v>
      </c>
      <c r="Q41" s="69">
        <f>AgeStanSec!U41/Q$3</f>
        <v>219.53044221745009</v>
      </c>
      <c r="R41" s="69">
        <f>AgeStanSec!V41/R$3</f>
        <v>243.71</v>
      </c>
      <c r="S41" s="69">
        <f>AgeStanSec!W41/S$3</f>
        <v>273.41333333333336</v>
      </c>
      <c r="T41" s="69">
        <f>AgeStanSec!X41/T$3</f>
        <v>279.2317863676131</v>
      </c>
      <c r="U41" s="69">
        <f>AgeStanSec!Y41/U$3</f>
        <v>297.52</v>
      </c>
      <c r="V41" s="46"/>
    </row>
    <row r="42" spans="1:22">
      <c r="A42" s="66">
        <v>41</v>
      </c>
      <c r="B42" s="67">
        <f>AgeStanSec!E42/B$3</f>
        <v>177</v>
      </c>
      <c r="C42" s="67">
        <f>AgeStanSec!F42/C$3</f>
        <v>177.5</v>
      </c>
      <c r="D42" s="67">
        <f>AgeStanSec!G42/D$3</f>
        <v>178.17818937405551</v>
      </c>
      <c r="E42" s="67">
        <f>AgeStanSec!H42/E$3</f>
        <v>179.25</v>
      </c>
      <c r="F42" s="67">
        <f>AgeStanSec!I42/F$3</f>
        <v>179.45200031814204</v>
      </c>
      <c r="G42" s="67">
        <f>AgeStanSec!J42/G$3</f>
        <v>180.5</v>
      </c>
      <c r="H42" s="67">
        <f>AgeStanSec!L42/H$3</f>
        <v>181.75</v>
      </c>
      <c r="I42" s="67">
        <f>AgeStanSec!M42/I$3</f>
        <v>183.53333333333333</v>
      </c>
      <c r="J42" s="67">
        <f>AgeStanSec!N42/J$3</f>
        <v>184.36083273681697</v>
      </c>
      <c r="K42" s="67">
        <f>AgeStanSec!O42/K$3</f>
        <v>186.45</v>
      </c>
      <c r="L42" s="67">
        <f>AgeStanSec!P42/L$3</f>
        <v>187.46296954615477</v>
      </c>
      <c r="M42" s="67">
        <f>AgeStanSec!Q42/M$3</f>
        <v>188.28</v>
      </c>
      <c r="N42" s="67">
        <f>AgeStanSec!R42/N$3</f>
        <v>189.56666666666666</v>
      </c>
      <c r="O42" s="67">
        <f>AgeStanSec!S42/O$3</f>
        <v>191.87107477189241</v>
      </c>
      <c r="P42" s="67">
        <f>AgeStanSec!T42/P$3</f>
        <v>195.04</v>
      </c>
      <c r="Q42" s="67">
        <f>AgeStanSec!U42/Q$3</f>
        <v>220.69862005885628</v>
      </c>
      <c r="R42" s="67">
        <f>AgeStanSec!V42/R$3</f>
        <v>245</v>
      </c>
      <c r="S42" s="67">
        <f>AgeStanSec!W42/S$3</f>
        <v>274.86666666666667</v>
      </c>
      <c r="T42" s="67">
        <f>AgeStanSec!X42/T$3</f>
        <v>280.71064980513796</v>
      </c>
      <c r="U42" s="67">
        <f>AgeStanSec!Y42/U$3</f>
        <v>299.09500000000003</v>
      </c>
      <c r="V42" s="46"/>
    </row>
    <row r="43" spans="1:22">
      <c r="A43" s="66">
        <v>42</v>
      </c>
      <c r="B43" s="67">
        <f>AgeStanSec!E43/B$3</f>
        <v>178.4</v>
      </c>
      <c r="C43" s="67">
        <f>AgeStanSec!F43/C$3</f>
        <v>179</v>
      </c>
      <c r="D43" s="67">
        <f>AgeStanSec!G43/D$3</f>
        <v>179.57627455658951</v>
      </c>
      <c r="E43" s="67">
        <f>AgeStanSec!H43/E$3</f>
        <v>180.5</v>
      </c>
      <c r="F43" s="67">
        <f>AgeStanSec!I43/F$3</f>
        <v>180.81901694106418</v>
      </c>
      <c r="G43" s="67">
        <f>AgeStanSec!J43/G$3</f>
        <v>181.7</v>
      </c>
      <c r="H43" s="67">
        <f>AgeStanSec!L43/H$3</f>
        <v>183</v>
      </c>
      <c r="I43" s="67">
        <f>AgeStanSec!M43/I$3</f>
        <v>184.86666666666667</v>
      </c>
      <c r="J43" s="67">
        <f>AgeStanSec!N43/J$3</f>
        <v>185.66571224051538</v>
      </c>
      <c r="K43" s="67">
        <f>AgeStanSec!O43/K$3</f>
        <v>187.8</v>
      </c>
      <c r="L43" s="67">
        <f>AgeStanSec!P43/L$3</f>
        <v>188.83753999289016</v>
      </c>
      <c r="M43" s="67">
        <f>AgeStanSec!Q43/M$3</f>
        <v>189.6</v>
      </c>
      <c r="N43" s="67">
        <f>AgeStanSec!R43/N$3</f>
        <v>190.8</v>
      </c>
      <c r="O43" s="67">
        <f>AgeStanSec!S43/O$3</f>
        <v>192.98495082355728</v>
      </c>
      <c r="P43" s="67">
        <f>AgeStanSec!T43/P$3</f>
        <v>196.16</v>
      </c>
      <c r="Q43" s="67">
        <f>AgeStanSec!U43/Q$3</f>
        <v>221.96621729102043</v>
      </c>
      <c r="R43" s="67">
        <f>AgeStanSec!V43/R$3</f>
        <v>246.41</v>
      </c>
      <c r="S43" s="67">
        <f>AgeStanSec!W43/S$3</f>
        <v>276.44</v>
      </c>
      <c r="T43" s="67">
        <f>AgeStanSec!X43/T$3</f>
        <v>282.32621490495507</v>
      </c>
      <c r="U43" s="67">
        <f>AgeStanSec!Y43/U$3</f>
        <v>300.815</v>
      </c>
      <c r="V43" s="46"/>
    </row>
    <row r="44" spans="1:22">
      <c r="A44" s="66">
        <v>43</v>
      </c>
      <c r="B44" s="67">
        <f>AgeStanSec!E44/B$3</f>
        <v>180</v>
      </c>
      <c r="C44" s="67">
        <f>AgeStanSec!F44/C$3</f>
        <v>180.5</v>
      </c>
      <c r="D44" s="67">
        <f>AgeStanSec!G44/D$3</f>
        <v>181.12970253718285</v>
      </c>
      <c r="E44" s="67">
        <f>AgeStanSec!H44/E$3</f>
        <v>182</v>
      </c>
      <c r="F44" s="67">
        <f>AgeStanSec!I44/F$3</f>
        <v>182.18603356398631</v>
      </c>
      <c r="G44" s="67">
        <f>AgeStanSec!J44/G$3</f>
        <v>183.1</v>
      </c>
      <c r="H44" s="67">
        <f>AgeStanSec!L44/H$3</f>
        <v>184.33333333333334</v>
      </c>
      <c r="I44" s="67">
        <f>AgeStanSec!M44/I$3</f>
        <v>186.26666666666668</v>
      </c>
      <c r="J44" s="67">
        <f>AgeStanSec!N44/J$3</f>
        <v>187.09486598266125</v>
      </c>
      <c r="K44" s="67">
        <f>AgeStanSec!O44/K$3</f>
        <v>189.25</v>
      </c>
      <c r="L44" s="67">
        <f>AgeStanSec!P44/L$3</f>
        <v>190.30690840146937</v>
      </c>
      <c r="M44" s="67">
        <f>AgeStanSec!Q44/M$3</f>
        <v>191</v>
      </c>
      <c r="N44" s="67">
        <f>AgeStanSec!R44/N$3</f>
        <v>192.13333333333333</v>
      </c>
      <c r="O44" s="67">
        <f>AgeStanSec!S44/O$3</f>
        <v>194.16992534660505</v>
      </c>
      <c r="P44" s="67">
        <f>AgeStanSec!T44/P$3</f>
        <v>197.38</v>
      </c>
      <c r="Q44" s="67">
        <f>AgeStanSec!U44/Q$3</f>
        <v>223.34566133778731</v>
      </c>
      <c r="R44" s="67">
        <f>AgeStanSec!V44/R$3</f>
        <v>247.93</v>
      </c>
      <c r="S44" s="67">
        <f>AgeStanSec!W44/S$3</f>
        <v>278.16000000000003</v>
      </c>
      <c r="T44" s="67">
        <f>AgeStanSec!X44/T$3</f>
        <v>284.07226795514197</v>
      </c>
      <c r="U44" s="67">
        <f>AgeStanSec!Y44/U$3</f>
        <v>302.68</v>
      </c>
      <c r="V44" s="46"/>
    </row>
    <row r="45" spans="1:22">
      <c r="A45" s="66">
        <v>44</v>
      </c>
      <c r="B45" s="67">
        <f>AgeStanSec!E45/B$3</f>
        <v>181.8</v>
      </c>
      <c r="C45" s="67">
        <f>AgeStanSec!F45/C$3</f>
        <v>182.16666666666666</v>
      </c>
      <c r="D45" s="67">
        <f>AgeStanSec!G45/D$3</f>
        <v>182.8384733158355</v>
      </c>
      <c r="E45" s="67">
        <f>AgeStanSec!H45/E$3</f>
        <v>183.5</v>
      </c>
      <c r="F45" s="67">
        <f>AgeStanSec!I45/F$3</f>
        <v>183.80159866380339</v>
      </c>
      <c r="G45" s="67">
        <f>AgeStanSec!J45/G$3</f>
        <v>184.5</v>
      </c>
      <c r="H45" s="67">
        <f>AgeStanSec!L45/H$3</f>
        <v>185.83333333333334</v>
      </c>
      <c r="I45" s="67">
        <f>AgeStanSec!M45/I$3</f>
        <v>187.73333333333332</v>
      </c>
      <c r="J45" s="67">
        <f>AgeStanSec!N45/J$3</f>
        <v>188.58615684403085</v>
      </c>
      <c r="K45" s="67">
        <f>AgeStanSec!O45/K$3</f>
        <v>190.85</v>
      </c>
      <c r="L45" s="67">
        <f>AgeStanSec!P45/L$3</f>
        <v>191.91847375281432</v>
      </c>
      <c r="M45" s="67">
        <f>AgeStanSec!Q45/M$3</f>
        <v>192.52</v>
      </c>
      <c r="N45" s="67">
        <f>AgeStanSec!R45/N$3</f>
        <v>193.56666666666666</v>
      </c>
      <c r="O45" s="67">
        <f>AgeStanSec!S45/O$3</f>
        <v>195.44969783149662</v>
      </c>
      <c r="P45" s="67">
        <f>AgeStanSec!T45/P$3</f>
        <v>198.66</v>
      </c>
      <c r="Q45" s="67">
        <f>AgeStanSec!U45/Q$3</f>
        <v>224.79966992762266</v>
      </c>
      <c r="R45" s="67">
        <f>AgeStanSec!V45/R$3</f>
        <v>249.56</v>
      </c>
      <c r="S45" s="67">
        <f>AgeStanSec!W45/S$3</f>
        <v>279.98</v>
      </c>
      <c r="T45" s="67">
        <f>AgeStanSec!X45/T$3</f>
        <v>285.93638153185395</v>
      </c>
      <c r="U45" s="67">
        <f>AgeStanSec!Y45/U$3</f>
        <v>304.66500000000002</v>
      </c>
      <c r="V45" s="46"/>
    </row>
    <row r="46" spans="1:22">
      <c r="A46" s="68">
        <v>45</v>
      </c>
      <c r="B46" s="69">
        <f>AgeStanSec!E46/B$3</f>
        <v>183.8</v>
      </c>
      <c r="C46" s="69">
        <f>AgeStanSec!F46/C$3</f>
        <v>184</v>
      </c>
      <c r="D46" s="69">
        <f>AgeStanSec!G46/D$3</f>
        <v>184.54724409448818</v>
      </c>
      <c r="E46" s="69">
        <f>AgeStanSec!H46/E$3</f>
        <v>185.125</v>
      </c>
      <c r="F46" s="69">
        <f>AgeStanSec!I46/F$3</f>
        <v>185.41716376362044</v>
      </c>
      <c r="G46" s="69">
        <f>AgeStanSec!J46/G$3</f>
        <v>186</v>
      </c>
      <c r="H46" s="69">
        <f>AgeStanSec!L46/H$3</f>
        <v>187.41666666666666</v>
      </c>
      <c r="I46" s="69">
        <f>AgeStanSec!M46/I$3</f>
        <v>189.4</v>
      </c>
      <c r="J46" s="69">
        <f>AgeStanSec!N46/J$3</f>
        <v>190.26385906307164</v>
      </c>
      <c r="K46" s="69">
        <f>AgeStanSec!O46/K$3</f>
        <v>192.55</v>
      </c>
      <c r="L46" s="69">
        <f>AgeStanSec!P46/L$3</f>
        <v>193.62483706600307</v>
      </c>
      <c r="M46" s="69">
        <f>AgeStanSec!Q46/M$3</f>
        <v>194.16</v>
      </c>
      <c r="N46" s="69">
        <f>AgeStanSec!R46/N$3</f>
        <v>195.1</v>
      </c>
      <c r="O46" s="69">
        <f>AgeStanSec!S46/O$3</f>
        <v>196.84796776869297</v>
      </c>
      <c r="P46" s="69">
        <f>AgeStanSec!T46/P$3</f>
        <v>200.08</v>
      </c>
      <c r="Q46" s="69">
        <f>AgeStanSec!U46/Q$3</f>
        <v>226.41523502743973</v>
      </c>
      <c r="R46" s="69">
        <f>AgeStanSec!V46/R$3</f>
        <v>251.34</v>
      </c>
      <c r="S46" s="69">
        <f>AgeStanSec!W46/S$3</f>
        <v>281.98</v>
      </c>
      <c r="T46" s="69">
        <f>AgeStanSec!X46/T$3</f>
        <v>287.98069275431476</v>
      </c>
      <c r="U46" s="69">
        <f>AgeStanSec!Y46/U$3</f>
        <v>306.83999999999997</v>
      </c>
      <c r="V46" s="46"/>
    </row>
    <row r="47" spans="1:22">
      <c r="A47" s="66">
        <v>46</v>
      </c>
      <c r="B47" s="67">
        <f>AgeStanSec!E47/B$3</f>
        <v>185.8</v>
      </c>
      <c r="C47" s="67">
        <f>AgeStanSec!F47/C$3</f>
        <v>185.83333333333334</v>
      </c>
      <c r="D47" s="67">
        <f>AgeStanSec!G47/D$3</f>
        <v>186.41135767120016</v>
      </c>
      <c r="E47" s="67">
        <f>AgeStanSec!H47/E$3</f>
        <v>187</v>
      </c>
      <c r="F47" s="67">
        <f>AgeStanSec!I47/F$3</f>
        <v>187.15700310188498</v>
      </c>
      <c r="G47" s="67">
        <f>AgeStanSec!J47/G$3</f>
        <v>187.7</v>
      </c>
      <c r="H47" s="67">
        <f>AgeStanSec!L47/H$3</f>
        <v>189.08333333333334</v>
      </c>
      <c r="I47" s="67">
        <f>AgeStanSec!M47/I$3</f>
        <v>191.13333333333333</v>
      </c>
      <c r="J47" s="67">
        <f>AgeStanSec!N47/J$3</f>
        <v>192.00369840133618</v>
      </c>
      <c r="K47" s="67">
        <f>AgeStanSec!O47/K$3</f>
        <v>194.35</v>
      </c>
      <c r="L47" s="67">
        <f>AgeStanSec!P47/L$3</f>
        <v>195.47339732195758</v>
      </c>
      <c r="M47" s="67">
        <f>AgeStanSec!Q47/M$3</f>
        <v>195.92</v>
      </c>
      <c r="N47" s="67">
        <f>AgeStanSec!R47/N$3</f>
        <v>196.76666666666668</v>
      </c>
      <c r="O47" s="67">
        <f>AgeStanSec!S47/O$3</f>
        <v>198.31733617727218</v>
      </c>
      <c r="P47" s="67">
        <f>AgeStanSec!T47/P$3</f>
        <v>201.58</v>
      </c>
      <c r="Q47" s="67">
        <f>AgeStanSec!U47/Q$3</f>
        <v>228.11779209417003</v>
      </c>
      <c r="R47" s="67">
        <f>AgeStanSec!V47/R$3</f>
        <v>253.23</v>
      </c>
      <c r="S47" s="67">
        <f>AgeStanSec!W47/S$3</f>
        <v>284.10000000000002</v>
      </c>
      <c r="T47" s="67">
        <f>AgeStanSec!X47/T$3</f>
        <v>290.14306450330071</v>
      </c>
      <c r="U47" s="67">
        <f>AgeStanSec!Y47/U$3</f>
        <v>309.14499999999998</v>
      </c>
      <c r="V47" s="46"/>
    </row>
    <row r="48" spans="1:22">
      <c r="A48" s="66">
        <v>47</v>
      </c>
      <c r="B48" s="67">
        <f>AgeStanSec!E48/B$3</f>
        <v>187.8</v>
      </c>
      <c r="C48" s="67">
        <f>AgeStanSec!F48/C$3</f>
        <v>187.83333333333334</v>
      </c>
      <c r="D48" s="67">
        <f>AgeStanSec!G48/D$3</f>
        <v>188.27547124791218</v>
      </c>
      <c r="E48" s="67">
        <f>AgeStanSec!H48/E$3</f>
        <v>188.875</v>
      </c>
      <c r="F48" s="67">
        <f>AgeStanSec!I48/F$3</f>
        <v>189.02111667859697</v>
      </c>
      <c r="G48" s="67">
        <f>AgeStanSec!J48/G$3</f>
        <v>189.5</v>
      </c>
      <c r="H48" s="67">
        <f>AgeStanSec!L48/H$3</f>
        <v>190.91666666666666</v>
      </c>
      <c r="I48" s="67">
        <f>AgeStanSec!M48/I$3</f>
        <v>193</v>
      </c>
      <c r="J48" s="67">
        <f>AgeStanSec!N48/J$3</f>
        <v>193.92994909727193</v>
      </c>
      <c r="K48" s="67">
        <f>AgeStanSec!O48/K$3</f>
        <v>196.3</v>
      </c>
      <c r="L48" s="67">
        <f>AgeStanSec!P48/L$3</f>
        <v>197.46415452067779</v>
      </c>
      <c r="M48" s="67">
        <f>AgeStanSec!Q48/M$3</f>
        <v>197.8</v>
      </c>
      <c r="N48" s="67">
        <f>AgeStanSec!R48/N$3</f>
        <v>198.53333333333333</v>
      </c>
      <c r="O48" s="67">
        <f>AgeStanSec!S48/O$3</f>
        <v>199.90520203815618</v>
      </c>
      <c r="P48" s="67">
        <f>AgeStanSec!T48/P$3</f>
        <v>203.2</v>
      </c>
      <c r="Q48" s="67">
        <f>AgeStanSec!U48/Q$3</f>
        <v>229.93219597550305</v>
      </c>
      <c r="R48" s="67">
        <f>AgeStanSec!V48/R$3</f>
        <v>255.26</v>
      </c>
      <c r="S48" s="67">
        <f>AgeStanSec!W48/S$3</f>
        <v>286.37333333333333</v>
      </c>
      <c r="T48" s="67">
        <f>AgeStanSec!X48/T$3</f>
        <v>292.46699276226832</v>
      </c>
      <c r="U48" s="67">
        <f>AgeStanSec!Y48/U$3</f>
        <v>311.62</v>
      </c>
      <c r="V48" s="46"/>
    </row>
    <row r="49" spans="1:22">
      <c r="A49" s="66">
        <v>48</v>
      </c>
      <c r="B49" s="67">
        <f>AgeStanSec!E49/B$3</f>
        <v>189.8</v>
      </c>
      <c r="C49" s="67">
        <f>AgeStanSec!F49/C$3</f>
        <v>189.83333333333334</v>
      </c>
      <c r="D49" s="67">
        <f>AgeStanSec!G49/D$3</f>
        <v>190.2949276226835</v>
      </c>
      <c r="E49" s="67">
        <f>AgeStanSec!H49/E$3</f>
        <v>190.75</v>
      </c>
      <c r="F49" s="67">
        <f>AgeStanSec!I49/F$3</f>
        <v>191.00950449375645</v>
      </c>
      <c r="G49" s="67">
        <f>AgeStanSec!J49/G$3</f>
        <v>191.4</v>
      </c>
      <c r="H49" s="67">
        <f>AgeStanSec!L49/H$3</f>
        <v>192.91666666666666</v>
      </c>
      <c r="I49" s="67">
        <f>AgeStanSec!M49/I$3</f>
        <v>195.06666666666666</v>
      </c>
      <c r="J49" s="67">
        <f>AgeStanSec!N49/J$3</f>
        <v>195.98047403165512</v>
      </c>
      <c r="K49" s="67">
        <f>AgeStanSec!O49/K$3</f>
        <v>198.45</v>
      </c>
      <c r="L49" s="67">
        <f>AgeStanSec!P49/L$3</f>
        <v>199.59710866216375</v>
      </c>
      <c r="M49" s="67">
        <f>AgeStanSec!Q49/M$3</f>
        <v>199.8</v>
      </c>
      <c r="N49" s="67">
        <f>AgeStanSec!R49/N$3</f>
        <v>200.43333333333334</v>
      </c>
      <c r="O49" s="67">
        <f>AgeStanSec!S49/O$3</f>
        <v>201.58786586088399</v>
      </c>
      <c r="P49" s="67">
        <f>AgeStanSec!T49/P$3</f>
        <v>204.9</v>
      </c>
      <c r="Q49" s="67">
        <f>AgeStanSec!U49/Q$3</f>
        <v>231.87087409528354</v>
      </c>
      <c r="R49" s="67">
        <f>AgeStanSec!V49/R$3</f>
        <v>257.39999999999998</v>
      </c>
      <c r="S49" s="67">
        <f>AgeStanSec!W49/S$3</f>
        <v>288.77999999999997</v>
      </c>
      <c r="T49" s="67">
        <f>AgeStanSec!X49/T$3</f>
        <v>294.92140897160579</v>
      </c>
      <c r="U49" s="67">
        <f>AgeStanSec!Y49/U$3</f>
        <v>314.24</v>
      </c>
      <c r="V49" s="46"/>
    </row>
    <row r="50" spans="1:22">
      <c r="A50" s="66">
        <v>49</v>
      </c>
      <c r="B50" s="67">
        <f>AgeStanSec!E50/B$3</f>
        <v>192</v>
      </c>
      <c r="C50" s="67">
        <f>AgeStanSec!F50/C$3</f>
        <v>192</v>
      </c>
      <c r="D50" s="67">
        <f>AgeStanSec!G50/D$3</f>
        <v>192.46972679551419</v>
      </c>
      <c r="E50" s="67">
        <f>AgeStanSec!H50/E$3</f>
        <v>192.875</v>
      </c>
      <c r="F50" s="67">
        <f>AgeStanSec!I50/F$3</f>
        <v>193.12216654736338</v>
      </c>
      <c r="G50" s="67">
        <f>AgeStanSec!J50/G$3</f>
        <v>193.5</v>
      </c>
      <c r="H50" s="67">
        <f>AgeStanSec!L50/H$3</f>
        <v>195</v>
      </c>
      <c r="I50" s="67">
        <f>AgeStanSec!M50/I$3</f>
        <v>197.26666666666668</v>
      </c>
      <c r="J50" s="67">
        <f>AgeStanSec!N50/J$3</f>
        <v>198.15527320448578</v>
      </c>
      <c r="K50" s="67">
        <f>AgeStanSec!O50/K$3</f>
        <v>200.7</v>
      </c>
      <c r="L50" s="67">
        <f>AgeStanSec!P50/L$3</f>
        <v>201.87225974641544</v>
      </c>
      <c r="M50" s="67">
        <f>AgeStanSec!Q50/M$3</f>
        <v>201.96</v>
      </c>
      <c r="N50" s="67">
        <f>AgeStanSec!R50/N$3</f>
        <v>202.5</v>
      </c>
      <c r="O50" s="67">
        <f>AgeStanSec!S50/O$3</f>
        <v>203.41272662637752</v>
      </c>
      <c r="P50" s="67">
        <f>AgeStanSec!T50/P$3</f>
        <v>206.76</v>
      </c>
      <c r="Q50" s="67">
        <f>AgeStanSec!U50/Q$3</f>
        <v>233.95868130120098</v>
      </c>
      <c r="R50" s="67">
        <f>AgeStanSec!V50/R$3</f>
        <v>259.73</v>
      </c>
      <c r="S50" s="67">
        <f>AgeStanSec!W50/S$3</f>
        <v>291.38666666666666</v>
      </c>
      <c r="T50" s="67">
        <f>AgeStanSec!X50/T$3</f>
        <v>297.58709138630394</v>
      </c>
      <c r="U50" s="67">
        <f>AgeStanSec!Y50/U$3</f>
        <v>317.07499999999999</v>
      </c>
      <c r="V50" s="46"/>
    </row>
    <row r="51" spans="1:22">
      <c r="A51" s="68">
        <v>50</v>
      </c>
      <c r="B51" s="69">
        <f>AgeStanSec!E51/B$3</f>
        <v>194.2</v>
      </c>
      <c r="C51" s="69">
        <f>AgeStanSec!F51/C$3</f>
        <v>194.16666666666666</v>
      </c>
      <c r="D51" s="69">
        <f>AgeStanSec!G51/D$3</f>
        <v>194.64452596834485</v>
      </c>
      <c r="E51" s="69">
        <f>AgeStanSec!H51/E$3</f>
        <v>195</v>
      </c>
      <c r="F51" s="69">
        <f>AgeStanSec!I51/F$3</f>
        <v>195.23482860097033</v>
      </c>
      <c r="G51" s="69">
        <f>AgeStanSec!J51/G$3</f>
        <v>195.6</v>
      </c>
      <c r="H51" s="69">
        <f>AgeStanSec!L51/H$3</f>
        <v>197.25</v>
      </c>
      <c r="I51" s="69">
        <f>AgeStanSec!M51/I$3</f>
        <v>199.53333333333333</v>
      </c>
      <c r="J51" s="69">
        <f>AgeStanSec!N51/J$3</f>
        <v>200.45434661576394</v>
      </c>
      <c r="K51" s="69">
        <f>AgeStanSec!O51/K$3</f>
        <v>203.05</v>
      </c>
      <c r="L51" s="69">
        <f>AgeStanSec!P51/L$3</f>
        <v>204.24220879251095</v>
      </c>
      <c r="M51" s="69">
        <f>AgeStanSec!Q51/M$3</f>
        <v>204.24</v>
      </c>
      <c r="N51" s="69">
        <f>AgeStanSec!R51/N$3</f>
        <v>204.63333333333333</v>
      </c>
      <c r="O51" s="69">
        <f>AgeStanSec!S51/O$3</f>
        <v>205.3323853537149</v>
      </c>
      <c r="P51" s="69">
        <f>AgeStanSec!T51/P$3</f>
        <v>208.72</v>
      </c>
      <c r="Q51" s="69">
        <f>AgeStanSec!U51/Q$3</f>
        <v>236.17076274556587</v>
      </c>
      <c r="R51" s="69">
        <f>AgeStanSec!V51/R$3</f>
        <v>262.18</v>
      </c>
      <c r="S51" s="69">
        <f>AgeStanSec!W51/S$3</f>
        <v>294.14</v>
      </c>
      <c r="T51" s="69">
        <f>AgeStanSec!X51/T$3</f>
        <v>300.39568917521672</v>
      </c>
      <c r="U51" s="69">
        <f>AgeStanSec!Y51/U$3</f>
        <v>320.07</v>
      </c>
      <c r="V51" s="46"/>
    </row>
    <row r="52" spans="1:22">
      <c r="A52" s="66">
        <v>51</v>
      </c>
      <c r="B52" s="67">
        <f>AgeStanSec!E52/B$3</f>
        <v>196.4</v>
      </c>
      <c r="C52" s="67">
        <f>AgeStanSec!F52/C$3</f>
        <v>196.33333333333334</v>
      </c>
      <c r="D52" s="67">
        <f>AgeStanSec!G52/D$3</f>
        <v>196.81932514117551</v>
      </c>
      <c r="E52" s="67">
        <f>AgeStanSec!H52/E$3</f>
        <v>197.25</v>
      </c>
      <c r="F52" s="67">
        <f>AgeStanSec!I52/F$3</f>
        <v>197.47176489302473</v>
      </c>
      <c r="G52" s="67">
        <f>AgeStanSec!J52/G$3</f>
        <v>197.9</v>
      </c>
      <c r="H52" s="67">
        <f>AgeStanSec!L52/H$3</f>
        <v>199.5</v>
      </c>
      <c r="I52" s="67">
        <f>AgeStanSec!M52/I$3</f>
        <v>201.86666666666667</v>
      </c>
      <c r="J52" s="67">
        <f>AgeStanSec!N52/J$3</f>
        <v>202.8155571462658</v>
      </c>
      <c r="K52" s="67">
        <f>AgeStanSec!O52/K$3</f>
        <v>205.5</v>
      </c>
      <c r="L52" s="67">
        <f>AgeStanSec!P52/L$3</f>
        <v>206.70695580045029</v>
      </c>
      <c r="M52" s="67">
        <f>AgeStanSec!Q52/M$3</f>
        <v>206.6</v>
      </c>
      <c r="N52" s="67">
        <f>AgeStanSec!R52/N$3</f>
        <v>206.9</v>
      </c>
      <c r="O52" s="67">
        <f>AgeStanSec!S52/O$3</f>
        <v>207.39424102381798</v>
      </c>
      <c r="P52" s="67">
        <f>AgeStanSec!T52/P$3</f>
        <v>210.8</v>
      </c>
      <c r="Q52" s="67">
        <f>AgeStanSec!U52/Q$3</f>
        <v>238.53197327606776</v>
      </c>
      <c r="R52" s="67">
        <f>AgeStanSec!V52/R$3</f>
        <v>264.8</v>
      </c>
      <c r="S52" s="67">
        <f>AgeStanSec!W52/S$3</f>
        <v>297.08</v>
      </c>
      <c r="T52" s="67">
        <f>AgeStanSec!X52/T$3</f>
        <v>303.39691203372303</v>
      </c>
      <c r="U52" s="67">
        <f>AgeStanSec!Y52/U$3</f>
        <v>323.27</v>
      </c>
      <c r="V52" s="46"/>
    </row>
    <row r="53" spans="1:22">
      <c r="A53" s="66">
        <v>52</v>
      </c>
      <c r="B53" s="67">
        <f>AgeStanSec!E53/B$3</f>
        <v>198.6</v>
      </c>
      <c r="C53" s="67">
        <f>AgeStanSec!F53/C$3</f>
        <v>198.66666666666666</v>
      </c>
      <c r="D53" s="67">
        <f>AgeStanSec!G53/D$3</f>
        <v>199.14946711206554</v>
      </c>
      <c r="E53" s="67">
        <f>AgeStanSec!H53/E$3</f>
        <v>199.5</v>
      </c>
      <c r="F53" s="67">
        <f>AgeStanSec!I53/F$3</f>
        <v>199.83297542352659</v>
      </c>
      <c r="G53" s="67">
        <f>AgeStanSec!J53/G$3</f>
        <v>200.2</v>
      </c>
      <c r="H53" s="67">
        <f>AgeStanSec!L53/H$3</f>
        <v>201.83333333333334</v>
      </c>
      <c r="I53" s="67">
        <f>AgeStanSec!M53/I$3</f>
        <v>204.26666666666668</v>
      </c>
      <c r="J53" s="67">
        <f>AgeStanSec!N53/J$3</f>
        <v>205.2389047959914</v>
      </c>
      <c r="K53" s="67">
        <f>AgeStanSec!O53/K$3</f>
        <v>207.95</v>
      </c>
      <c r="L53" s="67">
        <f>AgeStanSec!P53/L$3</f>
        <v>209.21910178931154</v>
      </c>
      <c r="M53" s="67">
        <f>AgeStanSec!Q53/M$3</f>
        <v>209</v>
      </c>
      <c r="N53" s="67">
        <f>AgeStanSec!R53/N$3</f>
        <v>209.23333333333332</v>
      </c>
      <c r="O53" s="67">
        <f>AgeStanSec!S53/O$3</f>
        <v>209.57459414622585</v>
      </c>
      <c r="P53" s="67">
        <f>AgeStanSec!T53/P$3</f>
        <v>213.02</v>
      </c>
      <c r="Q53" s="67">
        <f>AgeStanSec!U53/Q$3</f>
        <v>241.05474031655132</v>
      </c>
      <c r="R53" s="67">
        <f>AgeStanSec!V53/R$3</f>
        <v>267.58999999999997</v>
      </c>
      <c r="S53" s="67">
        <f>AgeStanSec!W53/S$3</f>
        <v>300.21333333333331</v>
      </c>
      <c r="T53" s="67">
        <f>AgeStanSec!X53/T$3</f>
        <v>306.59697367374531</v>
      </c>
      <c r="U53" s="67">
        <f>AgeStanSec!Y53/U$3</f>
        <v>326.68</v>
      </c>
      <c r="V53" s="46"/>
    </row>
    <row r="54" spans="1:22">
      <c r="A54" s="66">
        <v>53</v>
      </c>
      <c r="B54" s="67">
        <f>AgeStanSec!E54/B$3</f>
        <v>201</v>
      </c>
      <c r="C54" s="67">
        <f>AgeStanSec!F54/C$3</f>
        <v>201</v>
      </c>
      <c r="D54" s="67">
        <f>AgeStanSec!G54/D$3</f>
        <v>201.47960908295553</v>
      </c>
      <c r="E54" s="67">
        <f>AgeStanSec!H54/E$3</f>
        <v>201.875</v>
      </c>
      <c r="F54" s="67">
        <f>AgeStanSec!I54/F$3</f>
        <v>202.06991171558099</v>
      </c>
      <c r="G54" s="67">
        <f>AgeStanSec!J54/G$3</f>
        <v>202.5</v>
      </c>
      <c r="H54" s="67">
        <f>AgeStanSec!L54/H$3</f>
        <v>204.25</v>
      </c>
      <c r="I54" s="67">
        <f>AgeStanSec!M54/I$3</f>
        <v>206.73333333333332</v>
      </c>
      <c r="J54" s="67">
        <f>AgeStanSec!N54/J$3</f>
        <v>207.72438956494074</v>
      </c>
      <c r="K54" s="67">
        <f>AgeStanSec!O54/K$3</f>
        <v>210.5</v>
      </c>
      <c r="L54" s="67">
        <f>AgeStanSec!P54/L$3</f>
        <v>211.77864675909467</v>
      </c>
      <c r="M54" s="67">
        <f>AgeStanSec!Q54/M$3</f>
        <v>211.52</v>
      </c>
      <c r="N54" s="67">
        <f>AgeStanSec!R54/N$3</f>
        <v>211.66666666666666</v>
      </c>
      <c r="O54" s="67">
        <f>AgeStanSec!S54/O$3</f>
        <v>211.87344472093849</v>
      </c>
      <c r="P54" s="67">
        <f>AgeStanSec!T54/P$3</f>
        <v>215.36</v>
      </c>
      <c r="Q54" s="67">
        <f>AgeStanSec!U54/Q$3</f>
        <v>243.70178159548237</v>
      </c>
      <c r="R54" s="67">
        <f>AgeStanSec!V54/R$3</f>
        <v>270.54000000000002</v>
      </c>
      <c r="S54" s="67">
        <f>AgeStanSec!W54/S$3</f>
        <v>303.52</v>
      </c>
      <c r="T54" s="67">
        <f>AgeStanSec!X54/T$3</f>
        <v>309.97101924759403</v>
      </c>
      <c r="U54" s="67">
        <f>AgeStanSec!Y54/U$3</f>
        <v>330.27499999999998</v>
      </c>
      <c r="V54" s="46"/>
    </row>
    <row r="55" spans="1:22">
      <c r="A55" s="66">
        <v>54</v>
      </c>
      <c r="B55" s="67">
        <f>AgeStanSec!E55/B$3</f>
        <v>203.4</v>
      </c>
      <c r="C55" s="67">
        <f>AgeStanSec!F55/C$3</f>
        <v>203.33333333333334</v>
      </c>
      <c r="D55" s="67">
        <f>AgeStanSec!G55/D$3</f>
        <v>203.80975105384553</v>
      </c>
      <c r="E55" s="67">
        <f>AgeStanSec!H55/E$3</f>
        <v>204.25</v>
      </c>
      <c r="F55" s="67">
        <f>AgeStanSec!I55/F$3</f>
        <v>204.55539648453032</v>
      </c>
      <c r="G55" s="67">
        <f>AgeStanSec!J55/G$3</f>
        <v>204.9</v>
      </c>
      <c r="H55" s="67">
        <f>AgeStanSec!L55/H$3</f>
        <v>206.66666666666666</v>
      </c>
      <c r="I55" s="67">
        <f>AgeStanSec!M55/I$3</f>
        <v>209.2</v>
      </c>
      <c r="J55" s="67">
        <f>AgeStanSec!N55/J$3</f>
        <v>210.27201145311381</v>
      </c>
      <c r="K55" s="67">
        <f>AgeStanSec!O55/K$3</f>
        <v>213.1</v>
      </c>
      <c r="L55" s="67">
        <f>AgeStanSec!P55/L$3</f>
        <v>214.38559070979974</v>
      </c>
      <c r="M55" s="67">
        <f>AgeStanSec!Q55/M$3</f>
        <v>214.08</v>
      </c>
      <c r="N55" s="67">
        <f>AgeStanSec!R55/N$3</f>
        <v>214.2</v>
      </c>
      <c r="O55" s="67">
        <f>AgeStanSec!S55/O$3</f>
        <v>214.36189121933879</v>
      </c>
      <c r="P55" s="67">
        <f>AgeStanSec!T55/P$3</f>
        <v>217.9</v>
      </c>
      <c r="Q55" s="67">
        <f>AgeStanSec!U55/Q$3</f>
        <v>246.56008907977412</v>
      </c>
      <c r="R55" s="67">
        <f>AgeStanSec!V55/R$3</f>
        <v>273.70999999999998</v>
      </c>
      <c r="S55" s="67">
        <f>AgeStanSec!W55/S$3</f>
        <v>307.07333333333332</v>
      </c>
      <c r="T55" s="67">
        <f>AgeStanSec!X55/T$3</f>
        <v>313.60604072218246</v>
      </c>
      <c r="U55" s="67">
        <f>AgeStanSec!Y55/U$3</f>
        <v>334.14499999999998</v>
      </c>
      <c r="V55" s="46"/>
    </row>
    <row r="56" spans="1:22">
      <c r="A56" s="68">
        <v>55</v>
      </c>
      <c r="B56" s="69">
        <f>AgeStanSec!E56/B$3</f>
        <v>205.8</v>
      </c>
      <c r="C56" s="69">
        <f>AgeStanSec!F56/C$3</f>
        <v>205.83333333333334</v>
      </c>
      <c r="D56" s="69">
        <f>AgeStanSec!G56/D$3</f>
        <v>206.29523582279487</v>
      </c>
      <c r="E56" s="69">
        <f>AgeStanSec!H56/E$3</f>
        <v>206.75</v>
      </c>
      <c r="F56" s="69">
        <f>AgeStanSec!I56/F$3</f>
        <v>206.91660701503218</v>
      </c>
      <c r="G56" s="69">
        <f>AgeStanSec!J56/G$3</f>
        <v>207.3</v>
      </c>
      <c r="H56" s="69">
        <f>AgeStanSec!L56/H$3</f>
        <v>209.16666666666666</v>
      </c>
      <c r="I56" s="69">
        <f>AgeStanSec!M56/I$3</f>
        <v>211.8</v>
      </c>
      <c r="J56" s="69">
        <f>AgeStanSec!N56/J$3</f>
        <v>212.81963334128687</v>
      </c>
      <c r="K56" s="69">
        <f>AgeStanSec!O56/K$3</f>
        <v>215.8</v>
      </c>
      <c r="L56" s="69">
        <f>AgeStanSec!P56/L$3</f>
        <v>217.08733262234861</v>
      </c>
      <c r="M56" s="69">
        <f>AgeStanSec!Q56/M$3</f>
        <v>216.76</v>
      </c>
      <c r="N56" s="69">
        <f>AgeStanSec!R56/N$3</f>
        <v>216.86666666666667</v>
      </c>
      <c r="O56" s="69">
        <f>AgeStanSec!S56/O$3</f>
        <v>216.99253466050479</v>
      </c>
      <c r="P56" s="69">
        <f>AgeStanSec!T56/P$3</f>
        <v>220.56</v>
      </c>
      <c r="Q56" s="69">
        <f>AgeStanSec!U56/Q$3</f>
        <v>249.56752565020281</v>
      </c>
      <c r="R56" s="69">
        <f>AgeStanSec!V56/R$3</f>
        <v>277.05</v>
      </c>
      <c r="S56" s="69">
        <f>AgeStanSec!W56/S$3</f>
        <v>310.82666666666665</v>
      </c>
      <c r="T56" s="69">
        <f>AgeStanSec!X56/T$3</f>
        <v>317.43368726636442</v>
      </c>
      <c r="U56" s="69">
        <f>AgeStanSec!Y56/U$3</f>
        <v>338.22500000000002</v>
      </c>
      <c r="V56" s="46"/>
    </row>
    <row r="57" spans="1:22">
      <c r="A57" s="66">
        <v>56</v>
      </c>
      <c r="B57" s="67">
        <f>AgeStanSec!E57/B$3</f>
        <v>208.2</v>
      </c>
      <c r="C57" s="67">
        <f>AgeStanSec!F57/C$3</f>
        <v>208.33333333333334</v>
      </c>
      <c r="D57" s="67">
        <f>AgeStanSec!G57/D$3</f>
        <v>208.7807205917442</v>
      </c>
      <c r="E57" s="67">
        <f>AgeStanSec!H57/E$3</f>
        <v>209.25</v>
      </c>
      <c r="F57" s="67">
        <f>AgeStanSec!I57/F$3</f>
        <v>209.40209178398155</v>
      </c>
      <c r="G57" s="67">
        <f>AgeStanSec!J57/G$3</f>
        <v>209.8</v>
      </c>
      <c r="H57" s="67">
        <f>AgeStanSec!L57/H$3</f>
        <v>211.75</v>
      </c>
      <c r="I57" s="67">
        <f>AgeStanSec!M57/I$3</f>
        <v>214.4</v>
      </c>
      <c r="J57" s="67">
        <f>AgeStanSec!N57/J$3</f>
        <v>215.49152946790741</v>
      </c>
      <c r="K57" s="67">
        <f>AgeStanSec!O57/K$3</f>
        <v>218.5</v>
      </c>
      <c r="L57" s="67">
        <f>AgeStanSec!P57/L$3</f>
        <v>219.83647351581942</v>
      </c>
      <c r="M57" s="67">
        <f>AgeStanSec!Q57/M$3</f>
        <v>219.52</v>
      </c>
      <c r="N57" s="67">
        <f>AgeStanSec!R57/N$3</f>
        <v>219.6</v>
      </c>
      <c r="O57" s="67">
        <f>AgeStanSec!S57/O$3</f>
        <v>219.76537504443655</v>
      </c>
      <c r="P57" s="67">
        <f>AgeStanSec!T57/P$3</f>
        <v>223.38</v>
      </c>
      <c r="Q57" s="67">
        <f>AgeStanSec!U57/Q$3</f>
        <v>252.77380100214745</v>
      </c>
      <c r="R57" s="67">
        <f>AgeStanSec!V57/R$3</f>
        <v>280.61</v>
      </c>
      <c r="S57" s="67">
        <f>AgeStanSec!W57/S$3</f>
        <v>314.82</v>
      </c>
      <c r="T57" s="67">
        <f>AgeStanSec!X57/T$3</f>
        <v>321.5160959993637</v>
      </c>
      <c r="U57" s="67">
        <f>AgeStanSec!Y57/U$3</f>
        <v>342.57</v>
      </c>
      <c r="V57" s="46"/>
    </row>
    <row r="58" spans="1:22">
      <c r="A58" s="66">
        <v>57</v>
      </c>
      <c r="B58" s="67">
        <f>AgeStanSec!E58/B$3</f>
        <v>210.8</v>
      </c>
      <c r="C58" s="67">
        <f>AgeStanSec!F58/C$3</f>
        <v>210.83333333333334</v>
      </c>
      <c r="D58" s="67">
        <f>AgeStanSec!G58/D$3</f>
        <v>211.26620536069353</v>
      </c>
      <c r="E58" s="67">
        <f>AgeStanSec!H58/E$3</f>
        <v>211.75</v>
      </c>
      <c r="F58" s="67">
        <f>AgeStanSec!I58/F$3</f>
        <v>212.01185079137835</v>
      </c>
      <c r="G58" s="67">
        <f>AgeStanSec!J58/G$3</f>
        <v>212.4</v>
      </c>
      <c r="H58" s="67">
        <f>AgeStanSec!L58/H$3</f>
        <v>214.33333333333334</v>
      </c>
      <c r="I58" s="67">
        <f>AgeStanSec!M58/I$3</f>
        <v>217.13333333333333</v>
      </c>
      <c r="J58" s="67">
        <f>AgeStanSec!N58/J$3</f>
        <v>218.22556271375169</v>
      </c>
      <c r="K58" s="67">
        <f>AgeStanSec!O58/K$3</f>
        <v>221.35</v>
      </c>
      <c r="L58" s="67">
        <f>AgeStanSec!P58/L$3</f>
        <v>222.72781135205594</v>
      </c>
      <c r="M58" s="67">
        <f>AgeStanSec!Q58/M$3</f>
        <v>222.4</v>
      </c>
      <c r="N58" s="67">
        <f>AgeStanSec!R58/N$3</f>
        <v>222.5</v>
      </c>
      <c r="O58" s="67">
        <f>AgeStanSec!S58/O$3</f>
        <v>222.68041237113403</v>
      </c>
      <c r="P58" s="67">
        <f>AgeStanSec!T58/P$3</f>
        <v>226.34</v>
      </c>
      <c r="Q58" s="67">
        <f>AgeStanSec!U58/Q$3</f>
        <v>256.12920544022904</v>
      </c>
      <c r="R58" s="67">
        <f>AgeStanSec!V58/R$3</f>
        <v>284.33</v>
      </c>
      <c r="S58" s="67">
        <f>AgeStanSec!W58/S$3</f>
        <v>318.99333333333334</v>
      </c>
      <c r="T58" s="67">
        <f>AgeStanSec!X58/T$3</f>
        <v>325.7787023781118</v>
      </c>
      <c r="U58" s="67">
        <f>AgeStanSec!Y58/U$3</f>
        <v>347.11500000000001</v>
      </c>
      <c r="V58" s="46"/>
    </row>
    <row r="59" spans="1:22">
      <c r="A59" s="66">
        <v>58</v>
      </c>
      <c r="B59" s="67">
        <f>AgeStanSec!E59/B$3</f>
        <v>213.4</v>
      </c>
      <c r="C59" s="67">
        <f>AgeStanSec!F59/C$3</f>
        <v>213.5</v>
      </c>
      <c r="D59" s="67">
        <f>AgeStanSec!G59/D$3</f>
        <v>213.9070329277022</v>
      </c>
      <c r="E59" s="67">
        <f>AgeStanSec!H59/E$3</f>
        <v>214.375</v>
      </c>
      <c r="F59" s="67">
        <f>AgeStanSec!I59/F$3</f>
        <v>214.62160979877513</v>
      </c>
      <c r="G59" s="67">
        <f>AgeStanSec!J59/G$3</f>
        <v>215</v>
      </c>
      <c r="H59" s="67">
        <f>AgeStanSec!L59/H$3</f>
        <v>217</v>
      </c>
      <c r="I59" s="67">
        <f>AgeStanSec!M59/I$3</f>
        <v>219.86666666666667</v>
      </c>
      <c r="J59" s="67">
        <f>AgeStanSec!N59/J$3</f>
        <v>221.02173307881966</v>
      </c>
      <c r="K59" s="67">
        <f>AgeStanSec!O59/K$3</f>
        <v>224.2</v>
      </c>
      <c r="L59" s="67">
        <f>AgeStanSec!P59/L$3</f>
        <v>225.61914918829245</v>
      </c>
      <c r="M59" s="67">
        <f>AgeStanSec!Q59/M$3</f>
        <v>225.32</v>
      </c>
      <c r="N59" s="67">
        <f>AgeStanSec!R59/N$3</f>
        <v>225.43333333333334</v>
      </c>
      <c r="O59" s="67">
        <f>AgeStanSec!S59/O$3</f>
        <v>225.71394715013628</v>
      </c>
      <c r="P59" s="67">
        <f>AgeStanSec!T59/P$3</f>
        <v>229.42</v>
      </c>
      <c r="Q59" s="67">
        <f>AgeStanSec!U59/Q$3</f>
        <v>259.59645669291336</v>
      </c>
      <c r="R59" s="67">
        <f>AgeStanSec!V59/R$3</f>
        <v>288.19</v>
      </c>
      <c r="S59" s="67">
        <f>AgeStanSec!W59/S$3</f>
        <v>323.31333333333333</v>
      </c>
      <c r="T59" s="67">
        <f>AgeStanSec!X59/T$3</f>
        <v>330.19665155491924</v>
      </c>
      <c r="U59" s="67">
        <f>AgeStanSec!Y59/U$3</f>
        <v>351.82</v>
      </c>
      <c r="V59" s="46"/>
    </row>
    <row r="60" spans="1:22">
      <c r="A60" s="66">
        <v>59</v>
      </c>
      <c r="B60" s="67">
        <f>AgeStanSec!E60/B$3</f>
        <v>216.2</v>
      </c>
      <c r="C60" s="67">
        <f>AgeStanSec!F60/C$3</f>
        <v>216.16666666666666</v>
      </c>
      <c r="D60" s="67">
        <f>AgeStanSec!G60/D$3</f>
        <v>216.54786049471087</v>
      </c>
      <c r="E60" s="67">
        <f>AgeStanSec!H60/E$3</f>
        <v>217.125</v>
      </c>
      <c r="F60" s="67">
        <f>AgeStanSec!I60/F$3</f>
        <v>217.3556430446194</v>
      </c>
      <c r="G60" s="67">
        <f>AgeStanSec!J60/G$3</f>
        <v>217.7</v>
      </c>
      <c r="H60" s="67">
        <f>AgeStanSec!L60/H$3</f>
        <v>219.75</v>
      </c>
      <c r="I60" s="67">
        <f>AgeStanSec!M60/I$3</f>
        <v>222.73333333333332</v>
      </c>
      <c r="J60" s="67">
        <f>AgeStanSec!N60/J$3</f>
        <v>223.88004056311141</v>
      </c>
      <c r="K60" s="67">
        <f>AgeStanSec!O60/K$3</f>
        <v>227.15</v>
      </c>
      <c r="L60" s="67">
        <f>AgeStanSec!P60/L$3</f>
        <v>228.60528498637279</v>
      </c>
      <c r="M60" s="67">
        <f>AgeStanSec!Q60/M$3</f>
        <v>228.32</v>
      </c>
      <c r="N60" s="67">
        <f>AgeStanSec!R60/N$3</f>
        <v>228.46666666666667</v>
      </c>
      <c r="O60" s="67">
        <f>AgeStanSec!S60/O$3</f>
        <v>228.77118141959949</v>
      </c>
      <c r="P60" s="67">
        <f>AgeStanSec!T60/P$3</f>
        <v>232.54</v>
      </c>
      <c r="Q60" s="67">
        <f>AgeStanSec!U60/Q$3</f>
        <v>263.13827248866619</v>
      </c>
      <c r="R60" s="67">
        <f>AgeStanSec!V60/R$3</f>
        <v>292.11</v>
      </c>
      <c r="S60" s="67">
        <f>AgeStanSec!W60/S$3</f>
        <v>327.72</v>
      </c>
      <c r="T60" s="67">
        <f>AgeStanSec!X60/T$3</f>
        <v>334.68916527479519</v>
      </c>
      <c r="U60" s="67">
        <f>AgeStanSec!Y60/U$3</f>
        <v>356.61</v>
      </c>
      <c r="V60" s="46"/>
    </row>
    <row r="61" spans="1:22">
      <c r="A61" s="68">
        <v>60</v>
      </c>
      <c r="B61" s="69">
        <f>AgeStanSec!E61/B$3</f>
        <v>218.8</v>
      </c>
      <c r="C61" s="69">
        <f>AgeStanSec!F61/C$3</f>
        <v>218.83333333333334</v>
      </c>
      <c r="D61" s="69">
        <f>AgeStanSec!G61/D$3</f>
        <v>219.34403085977888</v>
      </c>
      <c r="E61" s="69">
        <f>AgeStanSec!H61/E$3</f>
        <v>219.875</v>
      </c>
      <c r="F61" s="69">
        <f>AgeStanSec!I61/F$3</f>
        <v>220.08967629046367</v>
      </c>
      <c r="G61" s="69">
        <f>AgeStanSec!J61/G$3</f>
        <v>220.5</v>
      </c>
      <c r="H61" s="69">
        <f>AgeStanSec!L61/H$3</f>
        <v>222.58333333333334</v>
      </c>
      <c r="I61" s="69">
        <f>AgeStanSec!M61/I$3</f>
        <v>225.6</v>
      </c>
      <c r="J61" s="69">
        <f>AgeStanSec!N61/J$3</f>
        <v>226.80048516662688</v>
      </c>
      <c r="K61" s="69">
        <f>AgeStanSec!O61/K$3</f>
        <v>230.2</v>
      </c>
      <c r="L61" s="69">
        <f>AgeStanSec!P61/L$3</f>
        <v>231.63881976537505</v>
      </c>
      <c r="M61" s="69">
        <f>AgeStanSec!Q61/M$3</f>
        <v>231.44</v>
      </c>
      <c r="N61" s="69">
        <f>AgeStanSec!R61/N$3</f>
        <v>231.63333333333333</v>
      </c>
      <c r="O61" s="69">
        <f>AgeStanSec!S61/O$3</f>
        <v>231.9706126318284</v>
      </c>
      <c r="P61" s="69">
        <f>AgeStanSec!T61/P$3</f>
        <v>235.78</v>
      </c>
      <c r="Q61" s="69">
        <f>AgeStanSec!U61/Q$3</f>
        <v>266.80436252286643</v>
      </c>
      <c r="R61" s="69">
        <f>AgeStanSec!V61/R$3</f>
        <v>296.18</v>
      </c>
      <c r="S61" s="69">
        <f>AgeStanSec!W61/S$3</f>
        <v>332.28666666666669</v>
      </c>
      <c r="T61" s="69">
        <f>AgeStanSec!X61/T$3</f>
        <v>339.35566292849757</v>
      </c>
      <c r="U61" s="69">
        <f>AgeStanSec!Y61/U$3</f>
        <v>361.58</v>
      </c>
      <c r="V61" s="46"/>
    </row>
    <row r="62" spans="1:22">
      <c r="A62" s="66">
        <v>61</v>
      </c>
      <c r="B62" s="67">
        <f>AgeStanSec!E62/B$3</f>
        <v>221.6</v>
      </c>
      <c r="C62" s="67">
        <f>AgeStanSec!F62/C$3</f>
        <v>221.66666666666666</v>
      </c>
      <c r="D62" s="67">
        <f>AgeStanSec!G62/D$3</f>
        <v>222.14020122484689</v>
      </c>
      <c r="E62" s="67">
        <f>AgeStanSec!H62/E$3</f>
        <v>222.625</v>
      </c>
      <c r="F62" s="67">
        <f>AgeStanSec!I62/F$3</f>
        <v>222.94798377475541</v>
      </c>
      <c r="G62" s="67">
        <f>AgeStanSec!J62/G$3</f>
        <v>223.3</v>
      </c>
      <c r="H62" s="67">
        <f>AgeStanSec!L62/H$3</f>
        <v>225.5</v>
      </c>
      <c r="I62" s="67">
        <f>AgeStanSec!M62/I$3</f>
        <v>228.6</v>
      </c>
      <c r="J62" s="67">
        <f>AgeStanSec!N62/J$3</f>
        <v>229.84520400858983</v>
      </c>
      <c r="K62" s="67">
        <f>AgeStanSec!O62/K$3</f>
        <v>233.35</v>
      </c>
      <c r="L62" s="67">
        <f>AgeStanSec!P62/L$3</f>
        <v>234.81455148714304</v>
      </c>
      <c r="M62" s="67">
        <f>AgeStanSec!Q62/M$3</f>
        <v>234.6</v>
      </c>
      <c r="N62" s="67">
        <f>AgeStanSec!R62/N$3</f>
        <v>234.83333333333334</v>
      </c>
      <c r="O62" s="67">
        <f>AgeStanSec!S62/O$3</f>
        <v>235.24114231544021</v>
      </c>
      <c r="P62" s="67">
        <f>AgeStanSec!T62/P$3</f>
        <v>239.12</v>
      </c>
      <c r="Q62" s="67">
        <f>AgeStanSec!U62/Q$3</f>
        <v>270.56987194782471</v>
      </c>
      <c r="R62" s="67">
        <f>AgeStanSec!V62/R$3</f>
        <v>300.37</v>
      </c>
      <c r="S62" s="67">
        <f>AgeStanSec!W62/S$3</f>
        <v>336.98</v>
      </c>
      <c r="T62" s="67">
        <f>AgeStanSec!X62/T$3</f>
        <v>344.15264853256974</v>
      </c>
      <c r="U62" s="67">
        <f>AgeStanSec!Y62/U$3</f>
        <v>366.69</v>
      </c>
      <c r="V62" s="46"/>
    </row>
    <row r="63" spans="1:22">
      <c r="A63" s="66">
        <v>62</v>
      </c>
      <c r="B63" s="67">
        <f>AgeStanSec!E63/B$3</f>
        <v>224.6</v>
      </c>
      <c r="C63" s="67">
        <f>AgeStanSec!F63/C$3</f>
        <v>224.66666666666666</v>
      </c>
      <c r="D63" s="67">
        <f>AgeStanSec!G63/D$3</f>
        <v>225.09171438797421</v>
      </c>
      <c r="E63" s="67">
        <f>AgeStanSec!H63/E$3</f>
        <v>225.625</v>
      </c>
      <c r="F63" s="67">
        <f>AgeStanSec!I63/F$3</f>
        <v>225.80629125904716</v>
      </c>
      <c r="G63" s="67">
        <f>AgeStanSec!J63/G$3</f>
        <v>226.2</v>
      </c>
      <c r="H63" s="67">
        <f>AgeStanSec!L63/H$3</f>
        <v>228.5</v>
      </c>
      <c r="I63" s="67">
        <f>AgeStanSec!M63/I$3</f>
        <v>231.66666666666666</v>
      </c>
      <c r="J63" s="67">
        <f>AgeStanSec!N63/J$3</f>
        <v>232.95205996977649</v>
      </c>
      <c r="K63" s="67">
        <f>AgeStanSec!O63/K$3</f>
        <v>236.55</v>
      </c>
      <c r="L63" s="67">
        <f>AgeStanSec!P63/L$3</f>
        <v>238.03768218983291</v>
      </c>
      <c r="M63" s="67">
        <f>AgeStanSec!Q63/M$3</f>
        <v>237.84</v>
      </c>
      <c r="N63" s="67">
        <f>AgeStanSec!R63/N$3</f>
        <v>238.13333333333333</v>
      </c>
      <c r="O63" s="67">
        <f>AgeStanSec!S63/O$3</f>
        <v>238.58277047043489</v>
      </c>
      <c r="P63" s="67">
        <f>AgeStanSec!T63/P$3</f>
        <v>242.52</v>
      </c>
      <c r="Q63" s="67">
        <f>AgeStanSec!U63/Q$3</f>
        <v>274.42237333969615</v>
      </c>
      <c r="R63" s="67">
        <f>AgeStanSec!V63/R$3</f>
        <v>304.64</v>
      </c>
      <c r="S63" s="67">
        <f>AgeStanSec!W63/S$3</f>
        <v>341.76666666666665</v>
      </c>
      <c r="T63" s="67">
        <f>AgeStanSec!X63/T$3</f>
        <v>349.04283981547758</v>
      </c>
      <c r="U63" s="67">
        <f>AgeStanSec!Y63/U$3</f>
        <v>371.9</v>
      </c>
      <c r="V63" s="46"/>
    </row>
    <row r="64" spans="1:22">
      <c r="A64" s="66">
        <v>63</v>
      </c>
      <c r="B64" s="67">
        <f>AgeStanSec!E64/B$3</f>
        <v>227.6</v>
      </c>
      <c r="C64" s="67">
        <f>AgeStanSec!F64/C$3</f>
        <v>227.5</v>
      </c>
      <c r="D64" s="67">
        <f>AgeStanSec!G64/D$3</f>
        <v>228.04322755110155</v>
      </c>
      <c r="E64" s="67">
        <f>AgeStanSec!H64/E$3</f>
        <v>228.5</v>
      </c>
      <c r="F64" s="67">
        <f>AgeStanSec!I64/F$3</f>
        <v>228.78887298178634</v>
      </c>
      <c r="G64" s="67">
        <f>AgeStanSec!J64/G$3</f>
        <v>229.2</v>
      </c>
      <c r="H64" s="67">
        <f>AgeStanSec!L64/H$3</f>
        <v>231.58333333333334</v>
      </c>
      <c r="I64" s="67">
        <f>AgeStanSec!M64/I$3</f>
        <v>234.86666666666667</v>
      </c>
      <c r="J64" s="67">
        <f>AgeStanSec!N64/J$3</f>
        <v>236.1210530501869</v>
      </c>
      <c r="K64" s="67">
        <f>AgeStanSec!O64/K$3</f>
        <v>239.8</v>
      </c>
      <c r="L64" s="67">
        <f>AgeStanSec!P64/L$3</f>
        <v>241.35561085436663</v>
      </c>
      <c r="M64" s="67">
        <f>AgeStanSec!Q64/M$3</f>
        <v>241.24</v>
      </c>
      <c r="N64" s="67">
        <f>AgeStanSec!R64/N$3</f>
        <v>241.5</v>
      </c>
      <c r="O64" s="67">
        <f>AgeStanSec!S64/O$3</f>
        <v>242.06659556819528</v>
      </c>
      <c r="P64" s="67">
        <f>AgeStanSec!T64/P$3</f>
        <v>246.04</v>
      </c>
      <c r="Q64" s="67">
        <f>AgeStanSec!U64/Q$3</f>
        <v>278.41157639385983</v>
      </c>
      <c r="R64" s="67">
        <f>AgeStanSec!V64/R$3</f>
        <v>309.07</v>
      </c>
      <c r="S64" s="67">
        <f>AgeStanSec!W64/S$3</f>
        <v>346.74</v>
      </c>
      <c r="T64" s="67">
        <f>AgeStanSec!X64/T$3</f>
        <v>354.11322874413423</v>
      </c>
      <c r="U64" s="67">
        <f>AgeStanSec!Y64/U$3</f>
        <v>377.31</v>
      </c>
      <c r="V64" s="46"/>
    </row>
    <row r="65" spans="1:22">
      <c r="A65" s="66">
        <v>64</v>
      </c>
      <c r="B65" s="67">
        <f>AgeStanSec!E65/B$3</f>
        <v>230.6</v>
      </c>
      <c r="C65" s="67">
        <f>AgeStanSec!F65/C$3</f>
        <v>230.66666666666666</v>
      </c>
      <c r="D65" s="67">
        <f>AgeStanSec!G65/D$3</f>
        <v>231.15008351228823</v>
      </c>
      <c r="E65" s="67">
        <f>AgeStanSec!H65/E$3</f>
        <v>231.625</v>
      </c>
      <c r="F65" s="67">
        <f>AgeStanSec!I65/F$3</f>
        <v>231.89572894297302</v>
      </c>
      <c r="G65" s="67">
        <f>AgeStanSec!J65/G$3</f>
        <v>232.3</v>
      </c>
      <c r="H65" s="67">
        <f>AgeStanSec!L65/H$3</f>
        <v>234.66666666666666</v>
      </c>
      <c r="I65" s="67">
        <f>AgeStanSec!M65/I$3</f>
        <v>238.06666666666666</v>
      </c>
      <c r="J65" s="67">
        <f>AgeStanSec!N65/J$3</f>
        <v>239.41432036904476</v>
      </c>
      <c r="K65" s="67">
        <f>AgeStanSec!O65/K$3</f>
        <v>243.2</v>
      </c>
      <c r="L65" s="67">
        <f>AgeStanSec!P65/L$3</f>
        <v>244.76833748074415</v>
      </c>
      <c r="M65" s="67">
        <f>AgeStanSec!Q65/M$3</f>
        <v>244.64</v>
      </c>
      <c r="N65" s="67">
        <f>AgeStanSec!R65/N$3</f>
        <v>245</v>
      </c>
      <c r="O65" s="67">
        <f>AgeStanSec!S65/O$3</f>
        <v>245.59781964687758</v>
      </c>
      <c r="P65" s="67">
        <f>AgeStanSec!T65/P$3</f>
        <v>249.64</v>
      </c>
      <c r="Q65" s="67">
        <f>AgeStanSec!U65/Q$3</f>
        <v>282.47534399109202</v>
      </c>
      <c r="R65" s="67">
        <f>AgeStanSec!V65/R$3</f>
        <v>313.58999999999997</v>
      </c>
      <c r="S65" s="67">
        <f>AgeStanSec!W65/S$3</f>
        <v>351.81333333333333</v>
      </c>
      <c r="T65" s="67">
        <f>AgeStanSec!X65/T$3</f>
        <v>359.29546448739359</v>
      </c>
      <c r="U65" s="67">
        <f>AgeStanSec!Y65/U$3</f>
        <v>382.82499999999999</v>
      </c>
      <c r="V65" s="46"/>
    </row>
    <row r="66" spans="1:22">
      <c r="A66" s="68">
        <v>65</v>
      </c>
      <c r="B66" s="69">
        <f>AgeStanSec!E66/B$3</f>
        <v>233.8</v>
      </c>
      <c r="C66" s="69">
        <f>AgeStanSec!F66/C$3</f>
        <v>233.83333333333334</v>
      </c>
      <c r="D66" s="69">
        <f>AgeStanSec!G66/D$3</f>
        <v>234.25693947347489</v>
      </c>
      <c r="E66" s="69">
        <f>AgeStanSec!H66/E$3</f>
        <v>234.75</v>
      </c>
      <c r="F66" s="69">
        <f>AgeStanSec!I66/F$3</f>
        <v>235.0025849041597</v>
      </c>
      <c r="G66" s="69">
        <f>AgeStanSec!J66/G$3</f>
        <v>235.4</v>
      </c>
      <c r="H66" s="69">
        <f>AgeStanSec!L66/H$3</f>
        <v>237.91666666666666</v>
      </c>
      <c r="I66" s="69">
        <f>AgeStanSec!M66/I$3</f>
        <v>241.4</v>
      </c>
      <c r="J66" s="69">
        <f>AgeStanSec!N66/J$3</f>
        <v>242.76972480712635</v>
      </c>
      <c r="K66" s="69">
        <f>AgeStanSec!O66/K$3</f>
        <v>246.7</v>
      </c>
      <c r="L66" s="69">
        <f>AgeStanSec!P66/L$3</f>
        <v>248.32326104988744</v>
      </c>
      <c r="M66" s="69">
        <f>AgeStanSec!Q66/M$3</f>
        <v>248.2</v>
      </c>
      <c r="N66" s="69">
        <f>AgeStanSec!R66/N$3</f>
        <v>248.6</v>
      </c>
      <c r="O66" s="69">
        <f>AgeStanSec!S66/O$3</f>
        <v>249.27124066832562</v>
      </c>
      <c r="P66" s="69">
        <f>AgeStanSec!T66/P$3</f>
        <v>253.38</v>
      </c>
      <c r="Q66" s="69">
        <f>AgeStanSec!U66/Q$3</f>
        <v>286.71309552215064</v>
      </c>
      <c r="R66" s="69">
        <f>AgeStanSec!V66/R$3</f>
        <v>318.27999999999997</v>
      </c>
      <c r="S66" s="69">
        <f>AgeStanSec!W66/S$3</f>
        <v>357.08</v>
      </c>
      <c r="T66" s="69">
        <f>AgeStanSec!X66/T$3</f>
        <v>364.67653901216892</v>
      </c>
      <c r="U66" s="69">
        <f>AgeStanSec!Y66/U$3</f>
        <v>388.56</v>
      </c>
      <c r="V66" s="46"/>
    </row>
    <row r="67" spans="1:22">
      <c r="A67" s="66">
        <v>66</v>
      </c>
      <c r="B67" s="67">
        <f>AgeStanSec!E67/B$3</f>
        <v>237</v>
      </c>
      <c r="C67" s="67">
        <f>AgeStanSec!F67/C$3</f>
        <v>237</v>
      </c>
      <c r="D67" s="67">
        <f>AgeStanSec!G67/D$3</f>
        <v>237.51913823272091</v>
      </c>
      <c r="E67" s="67">
        <f>AgeStanSec!H67/E$3</f>
        <v>238</v>
      </c>
      <c r="F67" s="67">
        <f>AgeStanSec!I67/F$3</f>
        <v>238.23371510379383</v>
      </c>
      <c r="G67" s="67">
        <f>AgeStanSec!J67/G$3</f>
        <v>238.7</v>
      </c>
      <c r="H67" s="67">
        <f>AgeStanSec!L67/H$3</f>
        <v>241.25</v>
      </c>
      <c r="I67" s="67">
        <f>AgeStanSec!M67/I$3</f>
        <v>244.8</v>
      </c>
      <c r="J67" s="67">
        <f>AgeStanSec!N67/J$3</f>
        <v>246.24940348365544</v>
      </c>
      <c r="K67" s="67">
        <f>AgeStanSec!O67/K$3</f>
        <v>250.25</v>
      </c>
      <c r="L67" s="67">
        <f>AgeStanSec!P67/L$3</f>
        <v>251.9255835999526</v>
      </c>
      <c r="M67" s="67">
        <f>AgeStanSec!Q67/M$3</f>
        <v>251.84</v>
      </c>
      <c r="N67" s="67">
        <f>AgeStanSec!R67/N$3</f>
        <v>252.26666666666668</v>
      </c>
      <c r="O67" s="67">
        <f>AgeStanSec!S67/O$3</f>
        <v>253.06315914207843</v>
      </c>
      <c r="P67" s="67">
        <f>AgeStanSec!T67/P$3</f>
        <v>257.22000000000003</v>
      </c>
      <c r="Q67" s="67">
        <f>AgeStanSec!U67/Q$3</f>
        <v>291.06269386781196</v>
      </c>
      <c r="R67" s="67">
        <f>AgeStanSec!V67/R$3</f>
        <v>323.12</v>
      </c>
      <c r="S67" s="67">
        <f>AgeStanSec!W67/S$3</f>
        <v>362.50666666666666</v>
      </c>
      <c r="T67" s="67">
        <f>AgeStanSec!X67/T$3</f>
        <v>370.21917004692591</v>
      </c>
      <c r="U67" s="67">
        <f>AgeStanSec!Y67/U$3</f>
        <v>394.46499999999997</v>
      </c>
      <c r="V67" s="46"/>
    </row>
    <row r="68" spans="1:22">
      <c r="A68" s="66">
        <v>67</v>
      </c>
      <c r="B68" s="67">
        <f>AgeStanSec!E68/B$3</f>
        <v>240.4</v>
      </c>
      <c r="C68" s="67">
        <f>AgeStanSec!F68/C$3</f>
        <v>240.33333333333334</v>
      </c>
      <c r="D68" s="67">
        <f>AgeStanSec!G68/D$3</f>
        <v>240.7813369919669</v>
      </c>
      <c r="E68" s="67">
        <f>AgeStanSec!H68/E$3</f>
        <v>241.25</v>
      </c>
      <c r="F68" s="67">
        <f>AgeStanSec!I68/F$3</f>
        <v>241.58911954187542</v>
      </c>
      <c r="G68" s="67">
        <f>AgeStanSec!J68/G$3</f>
        <v>242</v>
      </c>
      <c r="H68" s="67">
        <f>AgeStanSec!L68/H$3</f>
        <v>244.66666666666666</v>
      </c>
      <c r="I68" s="67">
        <f>AgeStanSec!M68/I$3</f>
        <v>248.33333333333334</v>
      </c>
      <c r="J68" s="67">
        <f>AgeStanSec!N68/J$3</f>
        <v>249.85335639863197</v>
      </c>
      <c r="K68" s="67">
        <f>AgeStanSec!O68/K$3</f>
        <v>253.95</v>
      </c>
      <c r="L68" s="67">
        <f>AgeStanSec!P68/L$3</f>
        <v>255.67010309278351</v>
      </c>
      <c r="M68" s="67">
        <f>AgeStanSec!Q68/M$3</f>
        <v>255.64</v>
      </c>
      <c r="N68" s="67">
        <f>AgeStanSec!R68/N$3</f>
        <v>256.10000000000002</v>
      </c>
      <c r="O68" s="67">
        <f>AgeStanSec!S68/O$3</f>
        <v>256.92617608721412</v>
      </c>
      <c r="P68" s="67">
        <f>AgeStanSec!T68/P$3</f>
        <v>261.16000000000003</v>
      </c>
      <c r="Q68" s="67">
        <f>AgeStanSec!U68/Q$3</f>
        <v>295.52413902807604</v>
      </c>
      <c r="R68" s="67">
        <f>AgeStanSec!V68/R$3</f>
        <v>328.06</v>
      </c>
      <c r="S68" s="67">
        <f>AgeStanSec!W68/S$3</f>
        <v>368.05333333333334</v>
      </c>
      <c r="T68" s="67">
        <f>AgeStanSec!X68/T$3</f>
        <v>375.87986160820805</v>
      </c>
      <c r="U68" s="67">
        <f>AgeStanSec!Y68/U$3</f>
        <v>400.5</v>
      </c>
      <c r="V68" s="46"/>
    </row>
    <row r="69" spans="1:22">
      <c r="A69" s="66">
        <v>68</v>
      </c>
      <c r="B69" s="67">
        <f>AgeStanSec!E69/B$3</f>
        <v>243.8</v>
      </c>
      <c r="C69" s="67">
        <f>AgeStanSec!F69/C$3</f>
        <v>243.66666666666666</v>
      </c>
      <c r="D69" s="67">
        <f>AgeStanSec!G69/D$3</f>
        <v>244.19887854927222</v>
      </c>
      <c r="E69" s="67">
        <f>AgeStanSec!H69/E$3</f>
        <v>244.75</v>
      </c>
      <c r="F69" s="67">
        <f>AgeStanSec!I69/F$3</f>
        <v>245.06879821840451</v>
      </c>
      <c r="G69" s="67">
        <f>AgeStanSec!J69/G$3</f>
        <v>245.4</v>
      </c>
      <c r="H69" s="67">
        <f>AgeStanSec!L69/H$3</f>
        <v>248.16666666666666</v>
      </c>
      <c r="I69" s="67">
        <f>AgeStanSec!M69/I$3</f>
        <v>252</v>
      </c>
      <c r="J69" s="67">
        <f>AgeStanSec!N69/J$3</f>
        <v>253.51944643283224</v>
      </c>
      <c r="K69" s="67">
        <f>AgeStanSec!O69/K$3</f>
        <v>257.75</v>
      </c>
      <c r="L69" s="67">
        <f>AgeStanSec!P69/L$3</f>
        <v>259.50942054745821</v>
      </c>
      <c r="M69" s="67">
        <f>AgeStanSec!Q69/M$3</f>
        <v>259.48</v>
      </c>
      <c r="N69" s="67">
        <f>AgeStanSec!R69/N$3</f>
        <v>260.03333333333336</v>
      </c>
      <c r="O69" s="67">
        <f>AgeStanSec!S69/O$3</f>
        <v>260.95508946557646</v>
      </c>
      <c r="P69" s="67">
        <f>AgeStanSec!T69/P$3</f>
        <v>265.26</v>
      </c>
      <c r="Q69" s="67">
        <f>AgeStanSec!U69/Q$3</f>
        <v>300.15956812216655</v>
      </c>
      <c r="R69" s="67">
        <f>AgeStanSec!V69/R$3</f>
        <v>333.21</v>
      </c>
      <c r="S69" s="67">
        <f>AgeStanSec!W69/S$3</f>
        <v>373.82</v>
      </c>
      <c r="T69" s="67">
        <f>AgeStanSec!X69/T$3</f>
        <v>381.77667422254035</v>
      </c>
      <c r="U69" s="67">
        <f>AgeStanSec!Y69/U$3</f>
        <v>406.78</v>
      </c>
      <c r="V69" s="46"/>
    </row>
    <row r="70" spans="1:22">
      <c r="A70" s="66">
        <v>69</v>
      </c>
      <c r="B70" s="67">
        <f>AgeStanSec!E70/B$3</f>
        <v>247.2</v>
      </c>
      <c r="C70" s="67">
        <f>AgeStanSec!F70/C$3</f>
        <v>247.16666666666666</v>
      </c>
      <c r="D70" s="67">
        <f>AgeStanSec!G70/D$3</f>
        <v>247.77176290463692</v>
      </c>
      <c r="E70" s="67">
        <f>AgeStanSec!H70/E$3</f>
        <v>248.25</v>
      </c>
      <c r="F70" s="67">
        <f>AgeStanSec!I70/F$3</f>
        <v>248.54847689493357</v>
      </c>
      <c r="G70" s="67">
        <f>AgeStanSec!J70/G$3</f>
        <v>248.9</v>
      </c>
      <c r="H70" s="67">
        <f>AgeStanSec!L70/H$3</f>
        <v>251.75</v>
      </c>
      <c r="I70" s="67">
        <f>AgeStanSec!M70/I$3</f>
        <v>255.73333333333332</v>
      </c>
      <c r="J70" s="67">
        <f>AgeStanSec!N70/J$3</f>
        <v>257.24767358625627</v>
      </c>
      <c r="K70" s="67">
        <f>AgeStanSec!O70/K$3</f>
        <v>261.64999999999998</v>
      </c>
      <c r="L70" s="67">
        <f>AgeStanSec!P70/L$3</f>
        <v>263.4909349448987</v>
      </c>
      <c r="M70" s="67">
        <f>AgeStanSec!Q70/M$3</f>
        <v>263.52</v>
      </c>
      <c r="N70" s="67">
        <f>AgeStanSec!R70/N$3</f>
        <v>264.10000000000002</v>
      </c>
      <c r="O70" s="67">
        <f>AgeStanSec!S70/O$3</f>
        <v>265.07880080578269</v>
      </c>
      <c r="P70" s="67">
        <f>AgeStanSec!T70/P$3</f>
        <v>269.44</v>
      </c>
      <c r="Q70" s="67">
        <f>AgeStanSec!U70/Q$3</f>
        <v>304.89441660701499</v>
      </c>
      <c r="R70" s="67">
        <f>AgeStanSec!V70/R$3</f>
        <v>338.46</v>
      </c>
      <c r="S70" s="67">
        <f>AgeStanSec!W70/S$3</f>
        <v>379.72</v>
      </c>
      <c r="T70" s="67">
        <f>AgeStanSec!X70/T$3</f>
        <v>387.79776107532012</v>
      </c>
      <c r="U70" s="67">
        <f>AgeStanSec!Y70/U$3</f>
        <v>413.2</v>
      </c>
      <c r="V70" s="46"/>
    </row>
    <row r="71" spans="1:22">
      <c r="A71" s="68">
        <v>70</v>
      </c>
      <c r="B71" s="69">
        <f>AgeStanSec!E71/B$3</f>
        <v>250.8</v>
      </c>
      <c r="C71" s="69">
        <f>AgeStanSec!F71/C$3</f>
        <v>250.83333333333334</v>
      </c>
      <c r="D71" s="69">
        <f>AgeStanSec!G71/D$3</f>
        <v>251.34464726000158</v>
      </c>
      <c r="E71" s="69">
        <f>AgeStanSec!H71/E$3</f>
        <v>251.875</v>
      </c>
      <c r="F71" s="69">
        <f>AgeStanSec!I71/F$3</f>
        <v>252.1524298099101</v>
      </c>
      <c r="G71" s="69">
        <f>AgeStanSec!J71/G$3</f>
        <v>252.6</v>
      </c>
      <c r="H71" s="69">
        <f>AgeStanSec!L71/H$3</f>
        <v>255.5</v>
      </c>
      <c r="I71" s="69">
        <f>AgeStanSec!M71/I$3</f>
        <v>259.60000000000002</v>
      </c>
      <c r="J71" s="69">
        <f>AgeStanSec!N71/J$3</f>
        <v>261.16231209735145</v>
      </c>
      <c r="K71" s="69">
        <f>AgeStanSec!O71/K$3</f>
        <v>265.7</v>
      </c>
      <c r="L71" s="69">
        <f>AgeStanSec!P71/L$3</f>
        <v>267.51984832326104</v>
      </c>
      <c r="M71" s="69">
        <f>AgeStanSec!Q71/M$3</f>
        <v>267.60000000000002</v>
      </c>
      <c r="N71" s="69">
        <f>AgeStanSec!R71/N$3</f>
        <v>268.26666666666665</v>
      </c>
      <c r="O71" s="69">
        <f>AgeStanSec!S71/O$3</f>
        <v>269.36840857921555</v>
      </c>
      <c r="P71" s="69">
        <f>AgeStanSec!T71/P$3</f>
        <v>273.8</v>
      </c>
      <c r="Q71" s="69">
        <f>AgeStanSec!U71/Q$3</f>
        <v>309.82810387337946</v>
      </c>
      <c r="R71" s="69">
        <f>AgeStanSec!V71/R$3</f>
        <v>343.94</v>
      </c>
      <c r="S71" s="69">
        <f>AgeStanSec!W71/S$3</f>
        <v>385.86666666666667</v>
      </c>
      <c r="T71" s="69">
        <f>AgeStanSec!X71/T$3</f>
        <v>394.07361011691717</v>
      </c>
      <c r="U71" s="69">
        <f>AgeStanSec!Y71/U$3</f>
        <v>419.88499999999999</v>
      </c>
      <c r="V71" s="46"/>
    </row>
    <row r="72" spans="1:22">
      <c r="A72" s="66">
        <v>71</v>
      </c>
      <c r="B72" s="67">
        <f>AgeStanSec!E72/B$3</f>
        <v>254.6</v>
      </c>
      <c r="C72" s="67">
        <f>AgeStanSec!F72/C$3</f>
        <v>254.5</v>
      </c>
      <c r="D72" s="67">
        <f>AgeStanSec!G72/D$3</f>
        <v>255.07287441342558</v>
      </c>
      <c r="E72" s="67">
        <f>AgeStanSec!H72/E$3</f>
        <v>255.625</v>
      </c>
      <c r="F72" s="67">
        <f>AgeStanSec!I72/F$3</f>
        <v>255.8806569633341</v>
      </c>
      <c r="G72" s="67">
        <f>AgeStanSec!J72/G$3</f>
        <v>256.3</v>
      </c>
      <c r="H72" s="67">
        <f>AgeStanSec!L72/H$3</f>
        <v>259.33333333333331</v>
      </c>
      <c r="I72" s="67">
        <f>AgeStanSec!M72/I$3</f>
        <v>263.53333333333336</v>
      </c>
      <c r="J72" s="67">
        <f>AgeStanSec!N72/J$3</f>
        <v>265.20122484689409</v>
      </c>
      <c r="K72" s="67">
        <f>AgeStanSec!O72/K$3</f>
        <v>269.89999999999998</v>
      </c>
      <c r="L72" s="67">
        <f>AgeStanSec!P72/L$3</f>
        <v>271.73835762531104</v>
      </c>
      <c r="M72" s="67">
        <f>AgeStanSec!Q72/M$3</f>
        <v>271.92</v>
      </c>
      <c r="N72" s="67">
        <f>AgeStanSec!R72/N$3</f>
        <v>272.56666666666666</v>
      </c>
      <c r="O72" s="67">
        <f>AgeStanSec!S72/O$3</f>
        <v>273.80021329541415</v>
      </c>
      <c r="P72" s="67">
        <f>AgeStanSec!T72/P$3</f>
        <v>278.3</v>
      </c>
      <c r="Q72" s="67">
        <f>AgeStanSec!U72/Q$3</f>
        <v>314.9233476497256</v>
      </c>
      <c r="R72" s="67">
        <f>AgeStanSec!V72/R$3</f>
        <v>349.6</v>
      </c>
      <c r="S72" s="67">
        <f>AgeStanSec!W72/S$3</f>
        <v>392.21333333333331</v>
      </c>
      <c r="T72" s="67">
        <f>AgeStanSec!X72/T$3</f>
        <v>400.56072536387495</v>
      </c>
      <c r="U72" s="67">
        <f>AgeStanSec!Y72/U$3</f>
        <v>426.79500000000002</v>
      </c>
      <c r="V72" s="46"/>
    </row>
    <row r="73" spans="1:22">
      <c r="A73" s="66">
        <v>72</v>
      </c>
      <c r="B73" s="67">
        <f>AgeStanSec!E73/B$3</f>
        <v>258.39999999999998</v>
      </c>
      <c r="C73" s="67">
        <f>AgeStanSec!F73/C$3</f>
        <v>258.33333333333331</v>
      </c>
      <c r="D73" s="67">
        <f>AgeStanSec!G73/D$3</f>
        <v>258.95644436490892</v>
      </c>
      <c r="E73" s="67">
        <f>AgeStanSec!H73/E$3</f>
        <v>259.375</v>
      </c>
      <c r="F73" s="67">
        <f>AgeStanSec!I73/F$3</f>
        <v>259.7331583552056</v>
      </c>
      <c r="G73" s="67">
        <f>AgeStanSec!J73/G$3</f>
        <v>260.10000000000002</v>
      </c>
      <c r="H73" s="67">
        <f>AgeStanSec!L73/H$3</f>
        <v>263.25</v>
      </c>
      <c r="I73" s="67">
        <f>AgeStanSec!M73/I$3</f>
        <v>267.60000000000002</v>
      </c>
      <c r="J73" s="67">
        <f>AgeStanSec!N73/J$3</f>
        <v>269.30227471566053</v>
      </c>
      <c r="K73" s="67">
        <f>AgeStanSec!O73/K$3</f>
        <v>274.14999999999998</v>
      </c>
      <c r="L73" s="67">
        <f>AgeStanSec!P73/L$3</f>
        <v>276.09906387012677</v>
      </c>
      <c r="M73" s="67">
        <f>AgeStanSec!Q73/M$3</f>
        <v>276.24</v>
      </c>
      <c r="N73" s="67">
        <f>AgeStanSec!R73/N$3</f>
        <v>277</v>
      </c>
      <c r="O73" s="67">
        <f>AgeStanSec!S73/O$3</f>
        <v>278.35051546391753</v>
      </c>
      <c r="P73" s="67">
        <f>AgeStanSec!T73/P$3</f>
        <v>282.92</v>
      </c>
      <c r="Q73" s="67">
        <f>AgeStanSec!U73/Q$3</f>
        <v>320.14286566451921</v>
      </c>
      <c r="R73" s="67">
        <f>AgeStanSec!V73/R$3</f>
        <v>355.39</v>
      </c>
      <c r="S73" s="67">
        <f>AgeStanSec!W73/S$3</f>
        <v>398.71333333333331</v>
      </c>
      <c r="T73" s="67">
        <f>AgeStanSec!X73/T$3</f>
        <v>407.19696969696969</v>
      </c>
      <c r="U73" s="67">
        <f>AgeStanSec!Y73/U$3</f>
        <v>433.86500000000001</v>
      </c>
      <c r="V73" s="46"/>
    </row>
    <row r="74" spans="1:22">
      <c r="A74" s="66">
        <v>73</v>
      </c>
      <c r="B74" s="67">
        <f>AgeStanSec!E74/B$3</f>
        <v>262.39999999999998</v>
      </c>
      <c r="C74" s="67">
        <f>AgeStanSec!F74/C$3</f>
        <v>262.33333333333331</v>
      </c>
      <c r="D74" s="67">
        <f>AgeStanSec!G74/D$3</f>
        <v>262.84001431639223</v>
      </c>
      <c r="E74" s="67">
        <f>AgeStanSec!H74/E$3</f>
        <v>263.375</v>
      </c>
      <c r="F74" s="67">
        <f>AgeStanSec!I74/F$3</f>
        <v>263.70993398552451</v>
      </c>
      <c r="G74" s="67">
        <f>AgeStanSec!J74/G$3</f>
        <v>264.10000000000002</v>
      </c>
      <c r="H74" s="67">
        <f>AgeStanSec!L74/H$3</f>
        <v>267.33333333333331</v>
      </c>
      <c r="I74" s="67">
        <f>AgeStanSec!M74/I$3</f>
        <v>271.86666666666667</v>
      </c>
      <c r="J74" s="67">
        <f>AgeStanSec!N74/J$3</f>
        <v>273.65187306132185</v>
      </c>
      <c r="K74" s="67">
        <f>AgeStanSec!O74/K$3</f>
        <v>278.60000000000002</v>
      </c>
      <c r="L74" s="67">
        <f>AgeStanSec!P74/L$3</f>
        <v>280.60196705770824</v>
      </c>
      <c r="M74" s="67">
        <f>AgeStanSec!Q74/M$3</f>
        <v>280.8</v>
      </c>
      <c r="N74" s="67">
        <f>AgeStanSec!R74/N$3</f>
        <v>281.60000000000002</v>
      </c>
      <c r="O74" s="67">
        <f>AgeStanSec!S74/O$3</f>
        <v>283.0667140656476</v>
      </c>
      <c r="P74" s="67">
        <f>AgeStanSec!T74/P$3</f>
        <v>287.72000000000003</v>
      </c>
      <c r="Q74" s="67">
        <f>AgeStanSec!U74/Q$3</f>
        <v>325.58607730851821</v>
      </c>
      <c r="R74" s="67">
        <f>AgeStanSec!V74/R$3</f>
        <v>361.44</v>
      </c>
      <c r="S74" s="67">
        <f>AgeStanSec!W74/S$3</f>
        <v>405.49333333333334</v>
      </c>
      <c r="T74" s="67">
        <f>AgeStanSec!X74/T$3</f>
        <v>414.11904477849356</v>
      </c>
      <c r="U74" s="67">
        <f>AgeStanSec!Y74/U$3</f>
        <v>441.245</v>
      </c>
      <c r="V74" s="46"/>
    </row>
    <row r="75" spans="1:22">
      <c r="A75" s="66">
        <v>74</v>
      </c>
      <c r="B75" s="67">
        <f>AgeStanSec!E75/B$3</f>
        <v>266.39999999999998</v>
      </c>
      <c r="C75" s="67">
        <f>AgeStanSec!F75/C$3</f>
        <v>266.33333333333331</v>
      </c>
      <c r="D75" s="67">
        <f>AgeStanSec!G75/D$3</f>
        <v>266.87892706593493</v>
      </c>
      <c r="E75" s="67">
        <f>AgeStanSec!H75/E$3</f>
        <v>267.375</v>
      </c>
      <c r="F75" s="67">
        <f>AgeStanSec!I75/F$3</f>
        <v>267.68670961584348</v>
      </c>
      <c r="G75" s="67">
        <f>AgeStanSec!J75/G$3</f>
        <v>268.10000000000002</v>
      </c>
      <c r="H75" s="67">
        <f>AgeStanSec!L75/H$3</f>
        <v>271.5</v>
      </c>
      <c r="I75" s="67">
        <f>AgeStanSec!M75/I$3</f>
        <v>276.2</v>
      </c>
      <c r="J75" s="67">
        <f>AgeStanSec!N75/J$3</f>
        <v>278.00147140698317</v>
      </c>
      <c r="K75" s="67">
        <f>AgeStanSec!O75/K$3</f>
        <v>283.14999999999998</v>
      </c>
      <c r="L75" s="67">
        <f>AgeStanSec!P75/L$3</f>
        <v>285.19966820713353</v>
      </c>
      <c r="M75" s="67">
        <f>AgeStanSec!Q75/M$3</f>
        <v>285.52</v>
      </c>
      <c r="N75" s="67">
        <f>AgeStanSec!R75/N$3</f>
        <v>286.46666666666664</v>
      </c>
      <c r="O75" s="67">
        <f>AgeStanSec!S75/O$3</f>
        <v>288.114705533831</v>
      </c>
      <c r="P75" s="67">
        <f>AgeStanSec!T75/P$3</f>
        <v>292.83999999999997</v>
      </c>
      <c r="Q75" s="67">
        <f>AgeStanSec!U75/Q$3</f>
        <v>331.3772568201702</v>
      </c>
      <c r="R75" s="67">
        <f>AgeStanSec!V75/R$3</f>
        <v>367.86</v>
      </c>
      <c r="S75" s="67">
        <f>AgeStanSec!W75/S$3</f>
        <v>412.70666666666665</v>
      </c>
      <c r="T75" s="67">
        <f>AgeStanSec!X75/T$3</f>
        <v>421.48229340650596</v>
      </c>
      <c r="U75" s="67">
        <f>AgeStanSec!Y75/U$3</f>
        <v>449.09</v>
      </c>
      <c r="V75" s="46"/>
    </row>
    <row r="76" spans="1:22">
      <c r="A76" s="68">
        <v>75</v>
      </c>
      <c r="B76" s="69">
        <f>AgeStanSec!E76/B$3</f>
        <v>270.60000000000002</v>
      </c>
      <c r="C76" s="69">
        <f>AgeStanSec!F76/C$3</f>
        <v>270.5</v>
      </c>
      <c r="D76" s="69">
        <f>AgeStanSec!G76/D$3</f>
        <v>271.07318261353691</v>
      </c>
      <c r="E76" s="69">
        <f>AgeStanSec!H76/E$3</f>
        <v>271.625</v>
      </c>
      <c r="F76" s="69">
        <f>AgeStanSec!I76/F$3</f>
        <v>271.91203372305733</v>
      </c>
      <c r="G76" s="69">
        <f>AgeStanSec!J76/G$3</f>
        <v>272.39999999999998</v>
      </c>
      <c r="H76" s="69">
        <f>AgeStanSec!L76/H$3</f>
        <v>275.91666666666669</v>
      </c>
      <c r="I76" s="69">
        <f>AgeStanSec!M76/I$3</f>
        <v>280.66666666666669</v>
      </c>
      <c r="J76" s="69">
        <f>AgeStanSec!N76/J$3</f>
        <v>282.59961822953949</v>
      </c>
      <c r="K76" s="69">
        <f>AgeStanSec!O76/K$3</f>
        <v>287.89999999999998</v>
      </c>
      <c r="L76" s="69">
        <f>AgeStanSec!P76/L$3</f>
        <v>289.98696528024647</v>
      </c>
      <c r="M76" s="69">
        <f>AgeStanSec!Q76/M$3</f>
        <v>290.52</v>
      </c>
      <c r="N76" s="69">
        <f>AgeStanSec!R76/N$3</f>
        <v>291.7</v>
      </c>
      <c r="O76" s="69">
        <f>AgeStanSec!S76/O$3</f>
        <v>293.7314847730774</v>
      </c>
      <c r="P76" s="69">
        <f>AgeStanSec!T76/P$3</f>
        <v>298.56</v>
      </c>
      <c r="Q76" s="69">
        <f>AgeStanSec!U76/Q$3</f>
        <v>337.85194464328322</v>
      </c>
      <c r="R76" s="69">
        <f>AgeStanSec!V76/R$3</f>
        <v>375.06</v>
      </c>
      <c r="S76" s="69">
        <f>AgeStanSec!W76/S$3</f>
        <v>420.77333333333331</v>
      </c>
      <c r="T76" s="69">
        <f>AgeStanSec!X76/T$3</f>
        <v>429.72167541557303</v>
      </c>
      <c r="U76" s="69">
        <f>AgeStanSec!Y76/U$3</f>
        <v>457.87</v>
      </c>
      <c r="V76" s="46"/>
    </row>
    <row r="77" spans="1:22">
      <c r="A77" s="66">
        <v>76</v>
      </c>
      <c r="B77" s="67">
        <f>AgeStanSec!E77/B$3</f>
        <v>275</v>
      </c>
      <c r="C77" s="67">
        <f>AgeStanSec!F77/C$3</f>
        <v>274.83333333333331</v>
      </c>
      <c r="D77" s="67">
        <f>AgeStanSec!G77/D$3</f>
        <v>275.57812375725757</v>
      </c>
      <c r="E77" s="67">
        <f>AgeStanSec!H77/E$3</f>
        <v>276.125</v>
      </c>
      <c r="F77" s="67">
        <f>AgeStanSec!I77/F$3</f>
        <v>276.38590630716612</v>
      </c>
      <c r="G77" s="67">
        <f>AgeStanSec!J77/G$3</f>
        <v>276.89999999999998</v>
      </c>
      <c r="H77" s="67">
        <f>AgeStanSec!L77/H$3</f>
        <v>280.5</v>
      </c>
      <c r="I77" s="67">
        <f>AgeStanSec!M77/I$3</f>
        <v>285.46666666666664</v>
      </c>
      <c r="J77" s="67">
        <f>AgeStanSec!N77/J$3</f>
        <v>287.44631352899069</v>
      </c>
      <c r="K77" s="67">
        <f>AgeStanSec!O77/K$3</f>
        <v>292.89999999999998</v>
      </c>
      <c r="L77" s="67">
        <f>AgeStanSec!P77/L$3</f>
        <v>295.05865623889088</v>
      </c>
      <c r="M77" s="67">
        <f>AgeStanSec!Q77/M$3</f>
        <v>295.92</v>
      </c>
      <c r="N77" s="67">
        <f>AgeStanSec!R77/N$3</f>
        <v>297.33333333333331</v>
      </c>
      <c r="O77" s="67">
        <f>AgeStanSec!S77/O$3</f>
        <v>299.98815025476949</v>
      </c>
      <c r="P77" s="67">
        <f>AgeStanSec!T77/P$3</f>
        <v>304.92</v>
      </c>
      <c r="Q77" s="67">
        <f>AgeStanSec!U77/Q$3</f>
        <v>345.0349956255468</v>
      </c>
      <c r="R77" s="67">
        <f>AgeStanSec!V77/R$3</f>
        <v>383.03</v>
      </c>
      <c r="S77" s="67">
        <f>AgeStanSec!W77/S$3</f>
        <v>429.72666666666669</v>
      </c>
      <c r="T77" s="67">
        <f>AgeStanSec!X77/T$3</f>
        <v>438.8620456533842</v>
      </c>
      <c r="U77" s="67">
        <f>AgeStanSec!Y77/U$3</f>
        <v>467.61</v>
      </c>
      <c r="V77" s="46"/>
    </row>
    <row r="78" spans="1:22">
      <c r="A78" s="66">
        <v>77</v>
      </c>
      <c r="B78" s="67">
        <f>AgeStanSec!E78/B$3</f>
        <v>279.39999999999998</v>
      </c>
      <c r="C78" s="67">
        <f>AgeStanSec!F78/C$3</f>
        <v>279.5</v>
      </c>
      <c r="D78" s="67">
        <f>AgeStanSec!G78/D$3</f>
        <v>280.23840769903762</v>
      </c>
      <c r="E78" s="67">
        <f>AgeStanSec!H78/E$3</f>
        <v>280.875</v>
      </c>
      <c r="F78" s="67">
        <f>AgeStanSec!I78/F$3</f>
        <v>281.23260160661732</v>
      </c>
      <c r="G78" s="67">
        <f>AgeStanSec!J78/G$3</f>
        <v>281.89999999999998</v>
      </c>
      <c r="H78" s="67">
        <f>AgeStanSec!L78/H$3</f>
        <v>285.66666666666669</v>
      </c>
      <c r="I78" s="67">
        <f>AgeStanSec!M78/I$3</f>
        <v>290.86666666666667</v>
      </c>
      <c r="J78" s="67">
        <f>AgeStanSec!N78/J$3</f>
        <v>292.79010578223176</v>
      </c>
      <c r="K78" s="67">
        <f>AgeStanSec!O78/K$3</f>
        <v>298.5</v>
      </c>
      <c r="L78" s="67">
        <f>AgeStanSec!P78/L$3</f>
        <v>300.74653394952009</v>
      </c>
      <c r="M78" s="67">
        <f>AgeStanSec!Q78/M$3</f>
        <v>301.8</v>
      </c>
      <c r="N78" s="67">
        <f>AgeStanSec!R78/N$3</f>
        <v>303.60000000000002</v>
      </c>
      <c r="O78" s="67">
        <f>AgeStanSec!S78/O$3</f>
        <v>306.8610024884465</v>
      </c>
      <c r="P78" s="67">
        <f>AgeStanSec!T78/P$3</f>
        <v>311.89999999999998</v>
      </c>
      <c r="Q78" s="67">
        <f>AgeStanSec!U78/Q$3</f>
        <v>352.95126461465043</v>
      </c>
      <c r="R78" s="67">
        <f>AgeStanSec!V78/R$3</f>
        <v>391.81</v>
      </c>
      <c r="S78" s="67">
        <f>AgeStanSec!W78/S$3</f>
        <v>439.57333333333332</v>
      </c>
      <c r="T78" s="67">
        <f>AgeStanSec!X78/T$3</f>
        <v>448.92204525570662</v>
      </c>
      <c r="U78" s="67">
        <f>AgeStanSec!Y78/U$3</f>
        <v>478.32499999999999</v>
      </c>
      <c r="V78" s="46"/>
    </row>
    <row r="79" spans="1:22">
      <c r="A79" s="66">
        <v>78</v>
      </c>
      <c r="B79" s="67">
        <f>AgeStanSec!E79/B$3</f>
        <v>284.2</v>
      </c>
      <c r="C79" s="67">
        <f>AgeStanSec!F79/C$3</f>
        <v>284.5</v>
      </c>
      <c r="D79" s="67">
        <f>AgeStanSec!G79/D$3</f>
        <v>285.36472003499563</v>
      </c>
      <c r="E79" s="67">
        <f>AgeStanSec!H79/E$3</f>
        <v>286.25</v>
      </c>
      <c r="F79" s="67">
        <f>AgeStanSec!I79/F$3</f>
        <v>286.5763938598584</v>
      </c>
      <c r="G79" s="67">
        <f>AgeStanSec!J79/G$3</f>
        <v>287.39999999999998</v>
      </c>
      <c r="H79" s="67">
        <f>AgeStanSec!L79/H$3</f>
        <v>291.41666666666669</v>
      </c>
      <c r="I79" s="67">
        <f>AgeStanSec!M79/I$3</f>
        <v>296.73333333333335</v>
      </c>
      <c r="J79" s="67">
        <f>AgeStanSec!N79/J$3</f>
        <v>298.8795434661576</v>
      </c>
      <c r="K79" s="67">
        <f>AgeStanSec!O79/K$3</f>
        <v>304.8</v>
      </c>
      <c r="L79" s="67">
        <f>AgeStanSec!P79/L$3</f>
        <v>307.09799739305606</v>
      </c>
      <c r="M79" s="67">
        <f>AgeStanSec!Q79/M$3</f>
        <v>308.48</v>
      </c>
      <c r="N79" s="67">
        <f>AgeStanSec!R79/N$3</f>
        <v>310.63333333333333</v>
      </c>
      <c r="O79" s="67">
        <f>AgeStanSec!S79/O$3</f>
        <v>314.53963739779596</v>
      </c>
      <c r="P79" s="67">
        <f>AgeStanSec!T79/P$3</f>
        <v>319.72000000000003</v>
      </c>
      <c r="Q79" s="67">
        <f>AgeStanSec!U79/Q$3</f>
        <v>361.77473554442054</v>
      </c>
      <c r="R79" s="67">
        <f>AgeStanSec!V79/R$3</f>
        <v>401.62</v>
      </c>
      <c r="S79" s="67">
        <f>AgeStanSec!W79/S$3</f>
        <v>450.57333333333332</v>
      </c>
      <c r="T79" s="67">
        <f>AgeStanSec!X79/T$3</f>
        <v>460.15643641135762</v>
      </c>
      <c r="U79" s="67">
        <f>AgeStanSec!Y79/U$3</f>
        <v>490.29500000000002</v>
      </c>
      <c r="V79" s="46"/>
    </row>
    <row r="80" spans="1:22">
      <c r="A80" s="66">
        <v>79</v>
      </c>
      <c r="B80" s="67">
        <f>AgeStanSec!E80/B$3</f>
        <v>289.60000000000002</v>
      </c>
      <c r="C80" s="67">
        <f>AgeStanSec!F80/C$3</f>
        <v>290.16666666666669</v>
      </c>
      <c r="D80" s="67">
        <f>AgeStanSec!G80/D$3</f>
        <v>290.95706076513159</v>
      </c>
      <c r="E80" s="67">
        <f>AgeStanSec!H80/E$3</f>
        <v>292.125</v>
      </c>
      <c r="F80" s="67">
        <f>AgeStanSec!I80/F$3</f>
        <v>292.54155730533682</v>
      </c>
      <c r="G80" s="67">
        <f>AgeStanSec!J80/G$3</f>
        <v>293.60000000000002</v>
      </c>
      <c r="H80" s="67">
        <f>AgeStanSec!L80/H$3</f>
        <v>297.75</v>
      </c>
      <c r="I80" s="67">
        <f>AgeStanSec!M80/I$3</f>
        <v>303.39999999999998</v>
      </c>
      <c r="J80" s="67">
        <f>AgeStanSec!N80/J$3</f>
        <v>305.52821522309711</v>
      </c>
      <c r="K80" s="67">
        <f>AgeStanSec!O80/K$3</f>
        <v>311.75</v>
      </c>
      <c r="L80" s="67">
        <f>AgeStanSec!P80/L$3</f>
        <v>314.11304656949875</v>
      </c>
      <c r="M80" s="67">
        <f>AgeStanSec!Q80/M$3</f>
        <v>315.83999999999997</v>
      </c>
      <c r="N80" s="67">
        <f>AgeStanSec!R80/N$3</f>
        <v>318.36666666666667</v>
      </c>
      <c r="O80" s="67">
        <f>AgeStanSec!S80/O$3</f>
        <v>323.0003554923569</v>
      </c>
      <c r="P80" s="67">
        <f>AgeStanSec!T80/P$3</f>
        <v>328.32</v>
      </c>
      <c r="Q80" s="67">
        <f>AgeStanSec!U80/Q$3</f>
        <v>371.51783583870196</v>
      </c>
      <c r="R80" s="67">
        <f>AgeStanSec!V80/R$3</f>
        <v>412.43</v>
      </c>
      <c r="S80" s="67">
        <f>AgeStanSec!W80/S$3</f>
        <v>462.70666666666665</v>
      </c>
      <c r="T80" s="67">
        <f>AgeStanSec!X80/T$3</f>
        <v>472.54657798457009</v>
      </c>
      <c r="U80" s="67">
        <f>AgeStanSec!Y80/U$3</f>
        <v>503.495</v>
      </c>
      <c r="V80" s="46"/>
    </row>
    <row r="81" spans="1:22">
      <c r="A81" s="68">
        <v>80</v>
      </c>
      <c r="B81" s="69">
        <f>AgeStanSec!E81/B$3</f>
        <v>295.8</v>
      </c>
      <c r="C81" s="69">
        <f>AgeStanSec!F81/C$3</f>
        <v>296.33333333333331</v>
      </c>
      <c r="D81" s="69">
        <f>AgeStanSec!G81/D$3</f>
        <v>297.32611548556429</v>
      </c>
      <c r="E81" s="69">
        <f>AgeStanSec!H81/E$3</f>
        <v>298.75</v>
      </c>
      <c r="F81" s="69">
        <f>AgeStanSec!I81/F$3</f>
        <v>299.12809194305254</v>
      </c>
      <c r="G81" s="69">
        <f>AgeStanSec!J81/G$3</f>
        <v>300.39999999999998</v>
      </c>
      <c r="H81" s="69">
        <f>AgeStanSec!L81/H$3</f>
        <v>304.75</v>
      </c>
      <c r="I81" s="69">
        <f>AgeStanSec!M81/I$3</f>
        <v>310.73333333333335</v>
      </c>
      <c r="J81" s="69">
        <f>AgeStanSec!N81/J$3</f>
        <v>312.92253241072137</v>
      </c>
      <c r="K81" s="69">
        <f>AgeStanSec!O81/K$3</f>
        <v>319.39999999999998</v>
      </c>
      <c r="L81" s="69">
        <f>AgeStanSec!P81/L$3</f>
        <v>321.93387842161394</v>
      </c>
      <c r="M81" s="69">
        <f>AgeStanSec!Q81/M$3</f>
        <v>324.04000000000002</v>
      </c>
      <c r="N81" s="69">
        <f>AgeStanSec!R81/N$3</f>
        <v>326.96666666666664</v>
      </c>
      <c r="O81" s="69">
        <f>AgeStanSec!S81/O$3</f>
        <v>332.48015167673896</v>
      </c>
      <c r="P81" s="69">
        <f>AgeStanSec!T81/P$3</f>
        <v>337.96</v>
      </c>
      <c r="Q81" s="69">
        <f>AgeStanSec!U81/Q$3</f>
        <v>382.4166865505448</v>
      </c>
      <c r="R81" s="69">
        <f>AgeStanSec!V81/R$3</f>
        <v>424.53</v>
      </c>
      <c r="S81" s="69">
        <f>AgeStanSec!W81/S$3</f>
        <v>476.27333333333331</v>
      </c>
      <c r="T81" s="69">
        <f>AgeStanSec!X81/T$3</f>
        <v>486.40936928338499</v>
      </c>
      <c r="U81" s="69">
        <f>AgeStanSec!Y81/U$3</f>
        <v>518.26499999999999</v>
      </c>
      <c r="V81" s="46"/>
    </row>
    <row r="82" spans="1:22">
      <c r="A82" s="66">
        <v>81</v>
      </c>
      <c r="B82" s="67">
        <f>AgeStanSec!E82/B$3</f>
        <v>302.39999999999998</v>
      </c>
      <c r="C82" s="67">
        <f>AgeStanSec!F82/C$3</f>
        <v>303.33333333333331</v>
      </c>
      <c r="D82" s="67">
        <f>AgeStanSec!G82/D$3</f>
        <v>304.47188419629362</v>
      </c>
      <c r="E82" s="67">
        <f>AgeStanSec!H82/E$3</f>
        <v>306</v>
      </c>
      <c r="F82" s="67">
        <f>AgeStanSec!I82/F$3</f>
        <v>306.46027201145307</v>
      </c>
      <c r="G82" s="67">
        <f>AgeStanSec!J82/G$3</f>
        <v>308</v>
      </c>
      <c r="H82" s="67">
        <f>AgeStanSec!L82/H$3</f>
        <v>312.58333333333331</v>
      </c>
      <c r="I82" s="67">
        <f>AgeStanSec!M82/I$3</f>
        <v>318.86666666666667</v>
      </c>
      <c r="J82" s="67">
        <f>AgeStanSec!N82/J$3</f>
        <v>321.24890638670166</v>
      </c>
      <c r="K82" s="67">
        <f>AgeStanSec!O82/K$3</f>
        <v>328.1</v>
      </c>
      <c r="L82" s="67">
        <f>AgeStanSec!P82/L$3</f>
        <v>330.6552909112454</v>
      </c>
      <c r="M82" s="67">
        <f>AgeStanSec!Q82/M$3</f>
        <v>333.2</v>
      </c>
      <c r="N82" s="67">
        <f>AgeStanSec!R82/N$3</f>
        <v>336.66666666666669</v>
      </c>
      <c r="O82" s="67">
        <f>AgeStanSec!S82/O$3</f>
        <v>343.05012442232493</v>
      </c>
      <c r="P82" s="67">
        <f>AgeStanSec!T82/P$3</f>
        <v>348.68</v>
      </c>
      <c r="Q82" s="67">
        <f>AgeStanSec!U82/Q$3</f>
        <v>394.55827964686227</v>
      </c>
      <c r="R82" s="67">
        <f>AgeStanSec!V82/R$3</f>
        <v>438.01</v>
      </c>
      <c r="S82" s="67">
        <f>AgeStanSec!W82/S$3</f>
        <v>491.4</v>
      </c>
      <c r="T82" s="67">
        <f>AgeStanSec!X82/T$3</f>
        <v>501.85044341048274</v>
      </c>
      <c r="U82" s="67">
        <f>AgeStanSec!Y82/U$3</f>
        <v>534.72</v>
      </c>
      <c r="V82" s="46"/>
    </row>
    <row r="83" spans="1:22">
      <c r="A83" s="66">
        <v>82</v>
      </c>
      <c r="B83" s="67">
        <f>AgeStanSec!E83/B$3</f>
        <v>310</v>
      </c>
      <c r="C83" s="67">
        <f>AgeStanSec!F83/C$3</f>
        <v>311</v>
      </c>
      <c r="D83" s="67">
        <f>AgeStanSec!G83/D$3</f>
        <v>312.23902409926029</v>
      </c>
      <c r="E83" s="67">
        <f>AgeStanSec!H83/E$3</f>
        <v>314.125</v>
      </c>
      <c r="F83" s="67">
        <f>AgeStanSec!I83/F$3</f>
        <v>314.53809751053842</v>
      </c>
      <c r="G83" s="67">
        <f>AgeStanSec!J83/G$3</f>
        <v>316.39999999999998</v>
      </c>
      <c r="H83" s="67">
        <f>AgeStanSec!L83/H$3</f>
        <v>321.25</v>
      </c>
      <c r="I83" s="67">
        <f>AgeStanSec!M83/I$3</f>
        <v>327.93333333333334</v>
      </c>
      <c r="J83" s="67">
        <f>AgeStanSec!N83/J$3</f>
        <v>330.38306291259045</v>
      </c>
      <c r="K83" s="67">
        <f>AgeStanSec!O83/K$3</f>
        <v>337.65</v>
      </c>
      <c r="L83" s="67">
        <f>AgeStanSec!P83/L$3</f>
        <v>340.37208200023701</v>
      </c>
      <c r="M83" s="67">
        <f>AgeStanSec!Q83/M$3</f>
        <v>343.4</v>
      </c>
      <c r="N83" s="67">
        <f>AgeStanSec!R83/N$3</f>
        <v>347.36666666666667</v>
      </c>
      <c r="O83" s="67">
        <f>AgeStanSec!S83/O$3</f>
        <v>354.75767271003673</v>
      </c>
      <c r="P83" s="67">
        <f>AgeStanSec!T83/P$3</f>
        <v>360.6</v>
      </c>
      <c r="Q83" s="67">
        <f>AgeStanSec!U83/Q$3</f>
        <v>408.04203451841244</v>
      </c>
      <c r="R83" s="67">
        <f>AgeStanSec!V83/R$3</f>
        <v>452.98</v>
      </c>
      <c r="S83" s="67">
        <f>AgeStanSec!W83/S$3</f>
        <v>508.19333333333333</v>
      </c>
      <c r="T83" s="67">
        <f>AgeStanSec!X83/T$3</f>
        <v>519.0002883162332</v>
      </c>
      <c r="U83" s="67">
        <f>AgeStanSec!Y83/U$3</f>
        <v>552.995</v>
      </c>
      <c r="V83" s="46"/>
    </row>
    <row r="84" spans="1:22">
      <c r="A84" s="66">
        <v>83</v>
      </c>
      <c r="B84" s="67">
        <f>AgeStanSec!E84/B$3</f>
        <v>318.2</v>
      </c>
      <c r="C84" s="67">
        <f>AgeStanSec!F84/C$3</f>
        <v>319.5</v>
      </c>
      <c r="D84" s="67">
        <f>AgeStanSec!G84/D$3</f>
        <v>320.78287799252365</v>
      </c>
      <c r="E84" s="67">
        <f>AgeStanSec!H84/E$3</f>
        <v>323.125</v>
      </c>
      <c r="F84" s="67">
        <f>AgeStanSec!I84/F$3</f>
        <v>323.61011691720353</v>
      </c>
      <c r="G84" s="67">
        <f>AgeStanSec!J84/G$3</f>
        <v>325.7</v>
      </c>
      <c r="H84" s="67">
        <f>AgeStanSec!L84/H$3</f>
        <v>330.91666666666669</v>
      </c>
      <c r="I84" s="67">
        <f>AgeStanSec!M84/I$3</f>
        <v>337.93333333333334</v>
      </c>
      <c r="J84" s="67">
        <f>AgeStanSec!N84/J$3</f>
        <v>340.63568758450646</v>
      </c>
      <c r="K84" s="67">
        <f>AgeStanSec!O84/K$3</f>
        <v>348.3</v>
      </c>
      <c r="L84" s="67">
        <f>AgeStanSec!P84/L$3</f>
        <v>351.17904965043249</v>
      </c>
      <c r="M84" s="67">
        <f>AgeStanSec!Q84/M$3</f>
        <v>354.76</v>
      </c>
      <c r="N84" s="67">
        <f>AgeStanSec!R84/N$3</f>
        <v>359.36666666666667</v>
      </c>
      <c r="O84" s="67">
        <f>AgeStanSec!S84/O$3</f>
        <v>367.98198838724966</v>
      </c>
      <c r="P84" s="67">
        <f>AgeStanSec!T84/P$3</f>
        <v>374.02</v>
      </c>
      <c r="Q84" s="67">
        <f>AgeStanSec!U84/Q$3</f>
        <v>423.24077388053763</v>
      </c>
      <c r="R84" s="67">
        <f>AgeStanSec!V84/R$3</f>
        <v>469.85</v>
      </c>
      <c r="S84" s="67">
        <f>AgeStanSec!W84/S$3</f>
        <v>527.12</v>
      </c>
      <c r="T84" s="67">
        <f>AgeStanSec!X84/T$3</f>
        <v>538.33114610673658</v>
      </c>
      <c r="U84" s="67">
        <f>AgeStanSec!Y84/U$3</f>
        <v>573.59</v>
      </c>
      <c r="V84" s="46"/>
    </row>
    <row r="85" spans="1:22">
      <c r="A85" s="66">
        <v>84</v>
      </c>
      <c r="B85" s="67">
        <f>AgeStanSec!E85/B$3</f>
        <v>327.39999999999998</v>
      </c>
      <c r="C85" s="67">
        <f>AgeStanSec!F85/C$3</f>
        <v>329.16666666666669</v>
      </c>
      <c r="D85" s="67">
        <f>AgeStanSec!G85/D$3</f>
        <v>330.56947427026165</v>
      </c>
      <c r="E85" s="67">
        <f>AgeStanSec!H85/E$3</f>
        <v>333.125</v>
      </c>
      <c r="F85" s="67">
        <f>AgeStanSec!I85/F$3</f>
        <v>333.55205599300086</v>
      </c>
      <c r="G85" s="67">
        <f>AgeStanSec!J85/G$3</f>
        <v>336.1</v>
      </c>
      <c r="H85" s="67">
        <f>AgeStanSec!L85/H$3</f>
        <v>341.66666666666669</v>
      </c>
      <c r="I85" s="67">
        <f>AgeStanSec!M85/I$3</f>
        <v>349.2</v>
      </c>
      <c r="J85" s="67">
        <f>AgeStanSec!N85/J$3</f>
        <v>352.00678040244969</v>
      </c>
      <c r="K85" s="67">
        <f>AgeStanSec!O85/K$3</f>
        <v>360.3</v>
      </c>
      <c r="L85" s="67">
        <f>AgeStanSec!P85/L$3</f>
        <v>363.3131887664415</v>
      </c>
      <c r="M85" s="67">
        <f>AgeStanSec!Q85/M$3</f>
        <v>367.48</v>
      </c>
      <c r="N85" s="67">
        <f>AgeStanSec!R85/N$3</f>
        <v>372.8</v>
      </c>
      <c r="O85" s="67">
        <f>AgeStanSec!S85/O$3</f>
        <v>382.77047043488562</v>
      </c>
      <c r="P85" s="67">
        <f>AgeStanSec!T85/P$3</f>
        <v>389.06</v>
      </c>
      <c r="Q85" s="67">
        <f>AgeStanSec!U85/Q$3</f>
        <v>440.25391712399585</v>
      </c>
      <c r="R85" s="67">
        <f>AgeStanSec!V85/R$3</f>
        <v>488.73</v>
      </c>
      <c r="S85" s="67">
        <f>AgeStanSec!W85/S$3</f>
        <v>548.30666666666662</v>
      </c>
      <c r="T85" s="67">
        <f>AgeStanSec!X85/T$3</f>
        <v>559.9672910204406</v>
      </c>
      <c r="U85" s="67">
        <f>AgeStanSec!Y85/U$3</f>
        <v>596.64499999999998</v>
      </c>
      <c r="V85" s="46"/>
    </row>
    <row r="86" spans="1:22">
      <c r="A86" s="68">
        <v>85</v>
      </c>
      <c r="B86" s="69">
        <f>AgeStanSec!E86/B$3</f>
        <v>337.8</v>
      </c>
      <c r="C86" s="69">
        <f>AgeStanSec!F86/C$3</f>
        <v>339.66666666666669</v>
      </c>
      <c r="D86" s="69">
        <f>AgeStanSec!G86/D$3</f>
        <v>341.28812733635567</v>
      </c>
      <c r="E86" s="69">
        <f>AgeStanSec!H86/E$3</f>
        <v>344.375</v>
      </c>
      <c r="F86" s="69">
        <f>AgeStanSec!I86/F$3</f>
        <v>344.86101169172031</v>
      </c>
      <c r="G86" s="69">
        <f>AgeStanSec!J86/G$3</f>
        <v>347.8</v>
      </c>
      <c r="H86" s="69">
        <f>AgeStanSec!L86/H$3</f>
        <v>353.75</v>
      </c>
      <c r="I86" s="69">
        <f>AgeStanSec!M86/I$3</f>
        <v>361.86666666666667</v>
      </c>
      <c r="J86" s="69">
        <f>AgeStanSec!N86/J$3</f>
        <v>364.93130120098624</v>
      </c>
      <c r="K86" s="69">
        <f>AgeStanSec!O86/K$3</f>
        <v>373.8</v>
      </c>
      <c r="L86" s="69">
        <f>AgeStanSec!P86/L$3</f>
        <v>377.01149425287355</v>
      </c>
      <c r="M86" s="69">
        <f>AgeStanSec!Q86/M$3</f>
        <v>381.92</v>
      </c>
      <c r="N86" s="69">
        <f>AgeStanSec!R86/N$3</f>
        <v>388</v>
      </c>
      <c r="O86" s="69">
        <f>AgeStanSec!S86/O$3</f>
        <v>399.57340917170279</v>
      </c>
      <c r="P86" s="69">
        <f>AgeStanSec!T86/P$3</f>
        <v>406.14</v>
      </c>
      <c r="Q86" s="69">
        <f>AgeStanSec!U86/Q$3</f>
        <v>459.57856120257691</v>
      </c>
      <c r="R86" s="69">
        <f>AgeStanSec!V86/R$3</f>
        <v>510.19</v>
      </c>
      <c r="S86" s="69">
        <f>AgeStanSec!W86/S$3</f>
        <v>572.37333333333333</v>
      </c>
      <c r="T86" s="69">
        <f>AgeStanSec!X86/T$3</f>
        <v>584.54873538534957</v>
      </c>
      <c r="U86" s="69">
        <f>AgeStanSec!Y86/U$3</f>
        <v>622.83500000000004</v>
      </c>
      <c r="V86" s="46"/>
    </row>
    <row r="87" spans="1:22">
      <c r="A87" s="66">
        <v>86</v>
      </c>
      <c r="B87" s="67">
        <f>AgeStanSec!E87/B$3</f>
        <v>349.4</v>
      </c>
      <c r="C87" s="67">
        <f>AgeStanSec!F87/C$3</f>
        <v>351.66666666666669</v>
      </c>
      <c r="D87" s="67">
        <f>AgeStanSec!G87/D$3</f>
        <v>353.40486558498367</v>
      </c>
      <c r="E87" s="67">
        <f>AgeStanSec!H87/E$3</f>
        <v>356.875</v>
      </c>
      <c r="F87" s="67">
        <f>AgeStanSec!I87/F$3</f>
        <v>357.4127097749145</v>
      </c>
      <c r="G87" s="67">
        <f>AgeStanSec!J87/G$3</f>
        <v>360.8</v>
      </c>
      <c r="H87" s="67">
        <f>AgeStanSec!L87/H$3</f>
        <v>367.33333333333331</v>
      </c>
      <c r="I87" s="67">
        <f>AgeStanSec!M87/I$3</f>
        <v>376.13333333333333</v>
      </c>
      <c r="J87" s="67">
        <f>AgeStanSec!N87/J$3</f>
        <v>379.34711286089237</v>
      </c>
      <c r="K87" s="67">
        <f>AgeStanSec!O87/K$3</f>
        <v>389</v>
      </c>
      <c r="L87" s="67">
        <f>AgeStanSec!P87/L$3</f>
        <v>392.41616305249437</v>
      </c>
      <c r="M87" s="67">
        <f>AgeStanSec!Q87/M$3</f>
        <v>398.16</v>
      </c>
      <c r="N87" s="67">
        <f>AgeStanSec!R87/N$3</f>
        <v>405.23333333333335</v>
      </c>
      <c r="O87" s="67">
        <f>AgeStanSec!S87/O$3</f>
        <v>418.67519848323263</v>
      </c>
      <c r="P87" s="67">
        <f>AgeStanSec!T87/P$3</f>
        <v>425.56</v>
      </c>
      <c r="Q87" s="67">
        <f>AgeStanSec!U87/Q$3</f>
        <v>481.55024656008902</v>
      </c>
      <c r="R87" s="67">
        <f>AgeStanSec!V87/R$3</f>
        <v>534.58000000000004</v>
      </c>
      <c r="S87" s="67">
        <f>AgeStanSec!W87/S$3</f>
        <v>599.74</v>
      </c>
      <c r="T87" s="67">
        <f>AgeStanSec!X87/T$3</f>
        <v>612.49801161218477</v>
      </c>
      <c r="U87" s="67">
        <f>AgeStanSec!Y87/U$3</f>
        <v>652.61500000000001</v>
      </c>
      <c r="V87" s="46"/>
    </row>
    <row r="88" spans="1:22">
      <c r="A88" s="66">
        <v>87</v>
      </c>
      <c r="B88" s="67">
        <f>AgeStanSec!E88/B$3</f>
        <v>362.2</v>
      </c>
      <c r="C88" s="67">
        <f>AgeStanSec!F88/C$3</f>
        <v>365</v>
      </c>
      <c r="D88" s="67">
        <f>AgeStanSec!G88/D$3</f>
        <v>367.07503181420503</v>
      </c>
      <c r="E88" s="67">
        <f>AgeStanSec!H88/E$3</f>
        <v>371</v>
      </c>
      <c r="F88" s="67">
        <f>AgeStanSec!I88/F$3</f>
        <v>371.57997295792569</v>
      </c>
      <c r="G88" s="67">
        <f>AgeStanSec!J88/G$3</f>
        <v>375.5</v>
      </c>
      <c r="H88" s="67">
        <f>AgeStanSec!L88/H$3</f>
        <v>382.5</v>
      </c>
      <c r="I88" s="67">
        <f>AgeStanSec!M88/I$3</f>
        <v>392.2</v>
      </c>
      <c r="J88" s="67">
        <f>AgeStanSec!N88/J$3</f>
        <v>395.68917521673427</v>
      </c>
      <c r="K88" s="67">
        <f>AgeStanSec!O88/K$3</f>
        <v>406.15</v>
      </c>
      <c r="L88" s="67">
        <f>AgeStanSec!P88/L$3</f>
        <v>409.85898803175729</v>
      </c>
      <c r="M88" s="67">
        <f>AgeStanSec!Q88/M$3</f>
        <v>416.56</v>
      </c>
      <c r="N88" s="67">
        <f>AgeStanSec!R88/N$3</f>
        <v>424.76666666666665</v>
      </c>
      <c r="O88" s="67">
        <f>AgeStanSec!S88/O$3</f>
        <v>440.43133072638938</v>
      </c>
      <c r="P88" s="67">
        <f>AgeStanSec!T88/P$3</f>
        <v>447.68</v>
      </c>
      <c r="Q88" s="67">
        <f>AgeStanSec!U88/Q$3</f>
        <v>506.57907818340885</v>
      </c>
      <c r="R88" s="67">
        <f>AgeStanSec!V88/R$3</f>
        <v>562.36</v>
      </c>
      <c r="S88" s="67">
        <f>AgeStanSec!W88/S$3</f>
        <v>630.90666666666664</v>
      </c>
      <c r="T88" s="67">
        <f>AgeStanSec!X88/T$3</f>
        <v>644.33085779050339</v>
      </c>
      <c r="U88" s="67">
        <f>AgeStanSec!Y88/U$3</f>
        <v>686.53</v>
      </c>
      <c r="V88" s="46"/>
    </row>
    <row r="89" spans="1:22">
      <c r="A89" s="66">
        <v>88</v>
      </c>
      <c r="B89" s="67">
        <f>AgeStanSec!E89/B$3</f>
        <v>376.8</v>
      </c>
      <c r="C89" s="67">
        <f>AgeStanSec!F89/C$3</f>
        <v>380.16666666666669</v>
      </c>
      <c r="D89" s="67">
        <f>AgeStanSec!G89/D$3</f>
        <v>382.14328322596037</v>
      </c>
      <c r="E89" s="67">
        <f>AgeStanSec!H89/E$3</f>
        <v>386.875</v>
      </c>
      <c r="F89" s="67">
        <f>AgeStanSec!I89/F$3</f>
        <v>387.48707547920145</v>
      </c>
      <c r="G89" s="67">
        <f>AgeStanSec!J89/G$3</f>
        <v>392</v>
      </c>
      <c r="H89" s="67">
        <f>AgeStanSec!L89/H$3</f>
        <v>399.91666666666669</v>
      </c>
      <c r="I89" s="67">
        <f>AgeStanSec!M89/I$3</f>
        <v>410.46666666666664</v>
      </c>
      <c r="J89" s="67">
        <f>AgeStanSec!N89/J$3</f>
        <v>414.33031098385425</v>
      </c>
      <c r="K89" s="67">
        <f>AgeStanSec!O89/K$3</f>
        <v>425.9</v>
      </c>
      <c r="L89" s="67">
        <f>AgeStanSec!P89/L$3</f>
        <v>429.8613579808034</v>
      </c>
      <c r="M89" s="67">
        <f>AgeStanSec!Q89/M$3</f>
        <v>437.76</v>
      </c>
      <c r="N89" s="67">
        <f>AgeStanSec!R89/N$3</f>
        <v>447.23333333333335</v>
      </c>
      <c r="O89" s="67">
        <f>AgeStanSec!S89/O$3</f>
        <v>465.62388908638462</v>
      </c>
      <c r="P89" s="67">
        <f>AgeStanSec!T89/P$3</f>
        <v>473.28</v>
      </c>
      <c r="Q89" s="67">
        <f>AgeStanSec!U89/Q$3</f>
        <v>535.55983058935806</v>
      </c>
      <c r="R89" s="67">
        <f>AgeStanSec!V89/R$3</f>
        <v>594.53</v>
      </c>
      <c r="S89" s="67">
        <f>AgeStanSec!W89/S$3</f>
        <v>667</v>
      </c>
      <c r="T89" s="67">
        <f>AgeStanSec!X89/T$3</f>
        <v>681.19059691402208</v>
      </c>
      <c r="U89" s="67">
        <f>AgeStanSec!Y89/U$3</f>
        <v>725.80499999999995</v>
      </c>
      <c r="V89" s="46"/>
    </row>
    <row r="90" spans="1:22">
      <c r="A90" s="66">
        <v>89</v>
      </c>
      <c r="B90" s="67">
        <f>AgeStanSec!E90/B$3</f>
        <v>393.4</v>
      </c>
      <c r="C90" s="67">
        <f>AgeStanSec!F90/C$3</f>
        <v>397.16666666666669</v>
      </c>
      <c r="D90" s="67">
        <f>AgeStanSec!G90/D$3</f>
        <v>399.54167660860571</v>
      </c>
      <c r="E90" s="67">
        <f>AgeStanSec!H90/E$3</f>
        <v>404.875</v>
      </c>
      <c r="F90" s="67">
        <f>AgeStanSec!I90/F$3</f>
        <v>405.63111429253161</v>
      </c>
      <c r="G90" s="67">
        <f>AgeStanSec!J90/G$3</f>
        <v>410.9</v>
      </c>
      <c r="H90" s="67">
        <f>AgeStanSec!L90/H$3</f>
        <v>419.58333333333331</v>
      </c>
      <c r="I90" s="67">
        <f>AgeStanSec!M90/I$3</f>
        <v>431.26666666666665</v>
      </c>
      <c r="J90" s="67">
        <f>AgeStanSec!N90/J$3</f>
        <v>435.58120575837108</v>
      </c>
      <c r="K90" s="67">
        <f>AgeStanSec!O90/K$3</f>
        <v>448.3</v>
      </c>
      <c r="L90" s="67">
        <f>AgeStanSec!P90/L$3</f>
        <v>452.75506576608603</v>
      </c>
      <c r="M90" s="67">
        <f>AgeStanSec!Q90/M$3</f>
        <v>462</v>
      </c>
      <c r="N90" s="67">
        <f>AgeStanSec!R90/N$3</f>
        <v>473.1</v>
      </c>
      <c r="O90" s="67">
        <f>AgeStanSec!S90/O$3</f>
        <v>494.79796184382036</v>
      </c>
      <c r="P90" s="67">
        <f>AgeStanSec!T90/P$3</f>
        <v>502.94</v>
      </c>
      <c r="Q90" s="67">
        <f>AgeStanSec!U90/Q$3</f>
        <v>569.11387497017415</v>
      </c>
      <c r="R90" s="67">
        <f>AgeStanSec!V90/R$3</f>
        <v>631.79</v>
      </c>
      <c r="S90" s="67">
        <f>AgeStanSec!W90/S$3</f>
        <v>708.8</v>
      </c>
      <c r="T90" s="67">
        <f>AgeStanSec!X90/T$3</f>
        <v>723.87879782072696</v>
      </c>
      <c r="U90" s="67">
        <f>AgeStanSec!Y90/U$3</f>
        <v>771.29</v>
      </c>
      <c r="V90" s="46"/>
    </row>
    <row r="91" spans="1:22">
      <c r="A91" s="68">
        <v>90</v>
      </c>
      <c r="B91" s="69">
        <f>AgeStanSec!E91/B$3</f>
        <v>412.2</v>
      </c>
      <c r="C91" s="69">
        <f>AgeStanSec!F91/C$3</f>
        <v>416.66666666666669</v>
      </c>
      <c r="D91" s="69">
        <f>AgeStanSec!G91/D$3</f>
        <v>419.42555476020038</v>
      </c>
      <c r="E91" s="69">
        <f>AgeStanSec!H91/E$3</f>
        <v>425.625</v>
      </c>
      <c r="F91" s="69">
        <f>AgeStanSec!I91/F$3</f>
        <v>426.38491211325857</v>
      </c>
      <c r="G91" s="69">
        <f>AgeStanSec!J91/G$3</f>
        <v>432.5</v>
      </c>
      <c r="H91" s="69">
        <f>AgeStanSec!L91/H$3</f>
        <v>442.08333333333331</v>
      </c>
      <c r="I91" s="69">
        <f>AgeStanSec!M91/I$3</f>
        <v>455.26666666666665</v>
      </c>
      <c r="J91" s="69">
        <f>AgeStanSec!N91/J$3</f>
        <v>460.06323073252202</v>
      </c>
      <c r="K91" s="69">
        <f>AgeStanSec!O91/K$3</f>
        <v>474.25</v>
      </c>
      <c r="L91" s="69">
        <f>AgeStanSec!P91/L$3</f>
        <v>479.20369712051189</v>
      </c>
      <c r="M91" s="69">
        <f>AgeStanSec!Q91/M$3</f>
        <v>490.2</v>
      </c>
      <c r="N91" s="69">
        <f>AgeStanSec!R91/N$3</f>
        <v>503.36666666666667</v>
      </c>
      <c r="O91" s="69">
        <f>AgeStanSec!S91/O$3</f>
        <v>529.25702097404906</v>
      </c>
      <c r="P91" s="69">
        <f>AgeStanSec!T91/P$3</f>
        <v>537.96</v>
      </c>
      <c r="Q91" s="69">
        <f>AgeStanSec!U91/Q$3</f>
        <v>608.7325021872266</v>
      </c>
      <c r="R91" s="69">
        <f>AgeStanSec!V91/R$3</f>
        <v>675.77</v>
      </c>
      <c r="S91" s="69">
        <f>AgeStanSec!W91/S$3</f>
        <v>758.14</v>
      </c>
      <c r="T91" s="69">
        <f>AgeStanSec!X91/T$3</f>
        <v>774.26578779925228</v>
      </c>
      <c r="U91" s="69">
        <f>AgeStanSec!Y91/U$3</f>
        <v>824.98</v>
      </c>
      <c r="V91" s="46"/>
    </row>
    <row r="92" spans="1:22">
      <c r="A92" s="66">
        <v>91</v>
      </c>
      <c r="B92" s="67">
        <f>AgeStanSec!E92/B$3</f>
        <v>433.8</v>
      </c>
      <c r="C92" s="67">
        <f>AgeStanSec!F92/C$3</f>
        <v>439.16666666666669</v>
      </c>
      <c r="D92" s="67">
        <f>AgeStanSec!G92/D$3</f>
        <v>442.10560327686306</v>
      </c>
      <c r="E92" s="67">
        <f>AgeStanSec!H92/E$3</f>
        <v>449.375</v>
      </c>
      <c r="F92" s="67">
        <f>AgeStanSec!I92/F$3</f>
        <v>450.12129165672468</v>
      </c>
      <c r="G92" s="67">
        <f>AgeStanSec!J92/G$3</f>
        <v>457.3</v>
      </c>
      <c r="H92" s="67">
        <f>AgeStanSec!L92/H$3</f>
        <v>468.33333333333331</v>
      </c>
      <c r="I92" s="67">
        <f>AgeStanSec!M92/I$3</f>
        <v>483.2</v>
      </c>
      <c r="J92" s="67">
        <f>AgeStanSec!N92/J$3</f>
        <v>488.52203133699192</v>
      </c>
      <c r="K92" s="67">
        <f>AgeStanSec!O92/K$3</f>
        <v>504.85</v>
      </c>
      <c r="L92" s="67">
        <f>AgeStanSec!P92/L$3</f>
        <v>510.25002962436309</v>
      </c>
      <c r="M92" s="67">
        <f>AgeStanSec!Q92/M$3</f>
        <v>523.4</v>
      </c>
      <c r="N92" s="67">
        <f>AgeStanSec!R92/N$3</f>
        <v>539.06666666666672</v>
      </c>
      <c r="O92" s="67">
        <f>AgeStanSec!S92/O$3</f>
        <v>570.25713947150132</v>
      </c>
      <c r="P92" s="67">
        <f>AgeStanSec!T92/P$3</f>
        <v>579.62</v>
      </c>
      <c r="Q92" s="67">
        <f>AgeStanSec!U92/Q$3</f>
        <v>655.89457567804016</v>
      </c>
      <c r="R92" s="67">
        <f>AgeStanSec!V92/R$3</f>
        <v>728.12</v>
      </c>
      <c r="S92" s="67">
        <f>AgeStanSec!W92/S$3</f>
        <v>816.87333333333333</v>
      </c>
      <c r="T92" s="67">
        <f>AgeStanSec!X92/T$3</f>
        <v>834.24674898592218</v>
      </c>
      <c r="U92" s="67">
        <f>AgeStanSec!Y92/U$3</f>
        <v>888.89</v>
      </c>
      <c r="V92" s="46"/>
    </row>
    <row r="93" spans="1:22">
      <c r="A93" s="66">
        <v>92</v>
      </c>
      <c r="B93" s="67">
        <f>AgeStanSec!E93/B$3</f>
        <v>458.8</v>
      </c>
      <c r="C93" s="67">
        <f>AgeStanSec!F93/C$3</f>
        <v>465</v>
      </c>
      <c r="D93" s="67">
        <f>AgeStanSec!G93/D$3</f>
        <v>468.51387894694977</v>
      </c>
      <c r="E93" s="67">
        <f>AgeStanSec!H93/E$3</f>
        <v>477</v>
      </c>
      <c r="F93" s="67">
        <f>AgeStanSec!I93/F$3</f>
        <v>477.83444683050982</v>
      </c>
      <c r="G93" s="67">
        <f>AgeStanSec!J93/G$3</f>
        <v>486.3</v>
      </c>
      <c r="H93" s="67">
        <f>AgeStanSec!L93/H$3</f>
        <v>498.91666666666669</v>
      </c>
      <c r="I93" s="67">
        <f>AgeStanSec!M93/I$3</f>
        <v>515.93333333333328</v>
      </c>
      <c r="J93" s="67">
        <f>AgeStanSec!N93/J$3</f>
        <v>522.01393859858422</v>
      </c>
      <c r="K93" s="67">
        <f>AgeStanSec!O93/K$3</f>
        <v>540.6</v>
      </c>
      <c r="L93" s="67">
        <f>AgeStanSec!P93/L$3</f>
        <v>546.74724493423389</v>
      </c>
      <c r="M93" s="67">
        <f>AgeStanSec!Q93/M$3</f>
        <v>562.67999999999995</v>
      </c>
      <c r="N93" s="67">
        <f>AgeStanSec!R93/N$3</f>
        <v>581.5333333333333</v>
      </c>
      <c r="O93" s="67">
        <f>AgeStanSec!S93/O$3</f>
        <v>619.59947861120986</v>
      </c>
      <c r="P93" s="67">
        <f>AgeStanSec!T93/P$3</f>
        <v>629.78</v>
      </c>
      <c r="Q93" s="67">
        <f>AgeStanSec!U93/Q$3</f>
        <v>712.63819295315352</v>
      </c>
      <c r="R93" s="67">
        <f>AgeStanSec!V93/R$3</f>
        <v>791.11</v>
      </c>
      <c r="S93" s="67">
        <f>AgeStanSec!W93/S$3</f>
        <v>887.54666666666662</v>
      </c>
      <c r="T93" s="67">
        <f>AgeStanSec!X93/T$3</f>
        <v>906.42522667621085</v>
      </c>
      <c r="U93" s="67">
        <f>AgeStanSec!Y93/U$3</f>
        <v>965.79499999999996</v>
      </c>
      <c r="V93" s="46"/>
    </row>
    <row r="94" spans="1:22">
      <c r="A94" s="66">
        <v>93</v>
      </c>
      <c r="B94" s="67">
        <f>AgeStanSec!E94/B$3</f>
        <v>487.8</v>
      </c>
      <c r="C94" s="67">
        <f>AgeStanSec!F94/C$3</f>
        <v>495.33333333333331</v>
      </c>
      <c r="D94" s="67">
        <f>AgeStanSec!G94/D$3</f>
        <v>499.2717529626978</v>
      </c>
      <c r="E94" s="67">
        <f>AgeStanSec!H94/E$3</f>
        <v>509.375</v>
      </c>
      <c r="F94" s="67">
        <f>AgeStanSec!I94/F$3</f>
        <v>510.27002306529863</v>
      </c>
      <c r="G94" s="67">
        <f>AgeStanSec!J94/G$3</f>
        <v>520.29999999999995</v>
      </c>
      <c r="H94" s="67">
        <f>AgeStanSec!L94/H$3</f>
        <v>535</v>
      </c>
      <c r="I94" s="67">
        <f>AgeStanSec!M94/I$3</f>
        <v>554.66666666666663</v>
      </c>
      <c r="J94" s="67">
        <f>AgeStanSec!N94/J$3</f>
        <v>561.65742066332609</v>
      </c>
      <c r="K94" s="67">
        <f>AgeStanSec!O94/K$3</f>
        <v>583.29999999999995</v>
      </c>
      <c r="L94" s="67">
        <f>AgeStanSec!P94/L$3</f>
        <v>590.44910534423514</v>
      </c>
      <c r="M94" s="67">
        <f>AgeStanSec!Q94/M$3</f>
        <v>609.96</v>
      </c>
      <c r="N94" s="67">
        <f>AgeStanSec!R94/N$3</f>
        <v>633.20000000000005</v>
      </c>
      <c r="O94" s="67">
        <f>AgeStanSec!S94/O$3</f>
        <v>680.53086858632537</v>
      </c>
      <c r="P94" s="67">
        <f>AgeStanSec!T94/P$3</f>
        <v>691.72</v>
      </c>
      <c r="Q94" s="67">
        <f>AgeStanSec!U94/Q$3</f>
        <v>782.7164360136801</v>
      </c>
      <c r="R94" s="67">
        <f>AgeStanSec!V94/R$3</f>
        <v>868.91</v>
      </c>
      <c r="S94" s="67">
        <f>AgeStanSec!W94/S$3</f>
        <v>974.83333333333337</v>
      </c>
      <c r="T94" s="67">
        <f>AgeStanSec!X94/T$3</f>
        <v>995.56713791457878</v>
      </c>
      <c r="U94" s="67">
        <f>AgeStanSec!Y94/U$3</f>
        <v>1060.7750000000001</v>
      </c>
      <c r="V94" s="46"/>
    </row>
    <row r="95" spans="1:22">
      <c r="A95" s="66">
        <v>94</v>
      </c>
      <c r="B95" s="67">
        <f>AgeStanSec!E95/B$3</f>
        <v>522</v>
      </c>
      <c r="C95" s="67">
        <f>AgeStanSec!F95/C$3</f>
        <v>531</v>
      </c>
      <c r="D95" s="67">
        <f>AgeStanSec!G95/D$3</f>
        <v>535.77731050664113</v>
      </c>
      <c r="E95" s="67">
        <f>AgeStanSec!H95/E$3</f>
        <v>547.75</v>
      </c>
      <c r="F95" s="67">
        <f>AgeStanSec!I95/F$3</f>
        <v>548.79503698401334</v>
      </c>
      <c r="G95" s="67">
        <f>AgeStanSec!J95/G$3</f>
        <v>560.9</v>
      </c>
      <c r="H95" s="67">
        <f>AgeStanSec!L95/H$3</f>
        <v>578.08333333333337</v>
      </c>
      <c r="I95" s="67">
        <f>AgeStanSec!M95/I$3</f>
        <v>601.26666666666665</v>
      </c>
      <c r="J95" s="67">
        <f>AgeStanSec!N95/J$3</f>
        <v>609.75155094249578</v>
      </c>
      <c r="K95" s="67">
        <f>AgeStanSec!O95/K$3</f>
        <v>635.4</v>
      </c>
      <c r="L95" s="67">
        <f>AgeStanSec!P95/L$3</f>
        <v>643.58336295769641</v>
      </c>
      <c r="M95" s="67">
        <f>AgeStanSec!Q95/M$3</f>
        <v>667.92</v>
      </c>
      <c r="N95" s="67">
        <f>AgeStanSec!R95/N$3</f>
        <v>696.83333333333337</v>
      </c>
      <c r="O95" s="67">
        <f>AgeStanSec!S95/O$3</f>
        <v>756.91432634198361</v>
      </c>
      <c r="P95" s="67">
        <f>AgeStanSec!T95/P$3</f>
        <v>769.36</v>
      </c>
      <c r="Q95" s="67">
        <f>AgeStanSec!U95/Q$3</f>
        <v>870.57832259603913</v>
      </c>
      <c r="R95" s="67">
        <f>AgeStanSec!V95/R$3</f>
        <v>966.45</v>
      </c>
      <c r="S95" s="67">
        <f>AgeStanSec!W95/S$3</f>
        <v>1084.2533333333333</v>
      </c>
      <c r="T95" s="67">
        <f>AgeStanSec!X95/T$3</f>
        <v>1107.3207468384633</v>
      </c>
      <c r="U95" s="67">
        <f>AgeStanSec!Y95/U$3</f>
        <v>1179.845</v>
      </c>
      <c r="V95" s="46"/>
    </row>
    <row r="96" spans="1:22">
      <c r="A96" s="68">
        <v>95</v>
      </c>
      <c r="B96" s="69">
        <f>AgeStanSec!E96/B$3</f>
        <v>562.79999999999995</v>
      </c>
      <c r="C96" s="69">
        <f>AgeStanSec!F96/C$3</f>
        <v>573.83333333333337</v>
      </c>
      <c r="D96" s="69">
        <f>AgeStanSec!G96/D$3</f>
        <v>579.27329396325456</v>
      </c>
      <c r="E96" s="69">
        <f>AgeStanSec!H96/E$3</f>
        <v>594.125</v>
      </c>
      <c r="F96" s="69">
        <f>AgeStanSec!I96/F$3</f>
        <v>595.14932792491845</v>
      </c>
      <c r="G96" s="69">
        <f>AgeStanSec!J96/G$3</f>
        <v>610.1</v>
      </c>
      <c r="H96" s="69">
        <f>AgeStanSec!L96/H$3</f>
        <v>630.83333333333337</v>
      </c>
      <c r="I96" s="69">
        <f>AgeStanSec!M96/I$3</f>
        <v>658.66666666666663</v>
      </c>
      <c r="J96" s="69">
        <f>AgeStanSec!N96/J$3</f>
        <v>668.84395132426619</v>
      </c>
      <c r="K96" s="69">
        <f>AgeStanSec!O96/K$3</f>
        <v>699.9</v>
      </c>
      <c r="L96" s="69">
        <f>AgeStanSec!P96/L$3</f>
        <v>709.75234032468302</v>
      </c>
      <c r="M96" s="69">
        <f>AgeStanSec!Q96/M$3</f>
        <v>740.44</v>
      </c>
      <c r="N96" s="69">
        <f>AgeStanSec!R96/N$3</f>
        <v>777.66666666666663</v>
      </c>
      <c r="O96" s="69">
        <f>AgeStanSec!S96/O$3</f>
        <v>856.16779239246353</v>
      </c>
      <c r="P96" s="69">
        <f>AgeStanSec!T96/P$3</f>
        <v>870.26</v>
      </c>
      <c r="Q96" s="69">
        <f>AgeStanSec!U96/Q$3</f>
        <v>984.74906545772683</v>
      </c>
      <c r="R96" s="69">
        <f>AgeStanSec!V96/R$3</f>
        <v>1093.19</v>
      </c>
      <c r="S96" s="69">
        <f>AgeStanSec!W96/S$3</f>
        <v>1226.4466666666667</v>
      </c>
      <c r="T96" s="69">
        <f>AgeStanSec!X96/T$3</f>
        <v>1252.5351944643282</v>
      </c>
      <c r="U96" s="69">
        <f>AgeStanSec!Y96/U$3</f>
        <v>1334.57</v>
      </c>
      <c r="V96" s="46"/>
    </row>
    <row r="97" spans="1:22">
      <c r="A97" s="66">
        <v>96</v>
      </c>
      <c r="B97" s="67">
        <f>AgeStanSec!E97/B$3</f>
        <v>612.20000000000005</v>
      </c>
      <c r="C97" s="67">
        <f>AgeStanSec!F97/C$3</f>
        <v>625.66666666666663</v>
      </c>
      <c r="D97" s="67">
        <f>AgeStanSec!G97/D$3</f>
        <v>632.40053089954665</v>
      </c>
      <c r="E97" s="67">
        <f>AgeStanSec!H97/E$3</f>
        <v>650.5</v>
      </c>
      <c r="F97" s="67">
        <f>AgeStanSec!I97/F$3</f>
        <v>651.94265489541078</v>
      </c>
      <c r="G97" s="67">
        <f>AgeStanSec!J97/G$3</f>
        <v>670.6</v>
      </c>
      <c r="H97" s="67">
        <f>AgeStanSec!L97/H$3</f>
        <v>695.75</v>
      </c>
      <c r="I97" s="67">
        <f>AgeStanSec!M97/I$3</f>
        <v>730.26666666666665</v>
      </c>
      <c r="J97" s="67">
        <f>AgeStanSec!N97/J$3</f>
        <v>742.78712320050897</v>
      </c>
      <c r="K97" s="67">
        <f>AgeStanSec!O97/K$3</f>
        <v>781.4</v>
      </c>
      <c r="L97" s="67">
        <f>AgeStanSec!P97/L$3</f>
        <v>793.5537385946202</v>
      </c>
      <c r="M97" s="67">
        <f>AgeStanSec!Q97/M$3</f>
        <v>834.12</v>
      </c>
      <c r="N97" s="67">
        <f>AgeStanSec!R97/N$3</f>
        <v>883.16666666666663</v>
      </c>
      <c r="O97" s="67">
        <f>AgeStanSec!S97/O$3</f>
        <v>989.61962317810162</v>
      </c>
      <c r="P97" s="67">
        <f>AgeStanSec!T97/P$3</f>
        <v>1005.9</v>
      </c>
      <c r="Q97" s="67">
        <f>AgeStanSec!U97/Q$3</f>
        <v>1138.240177364193</v>
      </c>
      <c r="R97" s="67">
        <f>AgeStanSec!V97/R$3</f>
        <v>1263.58</v>
      </c>
      <c r="S97" s="67">
        <f>AgeStanSec!W97/S$3</f>
        <v>1417.6066666666666</v>
      </c>
      <c r="T97" s="67">
        <f>AgeStanSec!X97/T$3</f>
        <v>1447.7575956414539</v>
      </c>
      <c r="U97" s="67">
        <f>AgeStanSec!Y97/U$3</f>
        <v>1542.58</v>
      </c>
      <c r="V97" s="46"/>
    </row>
    <row r="98" spans="1:22">
      <c r="A98" s="66">
        <v>97</v>
      </c>
      <c r="B98" s="67">
        <f>AgeStanSec!E98/B$3</f>
        <v>673.2</v>
      </c>
      <c r="C98" s="67">
        <f>AgeStanSec!F98/C$3</f>
        <v>690.16666666666663</v>
      </c>
      <c r="D98" s="67">
        <f>AgeStanSec!G98/D$3</f>
        <v>698.57656287282271</v>
      </c>
      <c r="E98" s="67">
        <f>AgeStanSec!H98/E$3</f>
        <v>721.5</v>
      </c>
      <c r="F98" s="67">
        <f>AgeStanSec!I98/F$3</f>
        <v>723.15179352580924</v>
      </c>
      <c r="G98" s="67">
        <f>AgeStanSec!J98/G$3</f>
        <v>746.9</v>
      </c>
      <c r="H98" s="67">
        <f>AgeStanSec!L98/H$3</f>
        <v>778.75</v>
      </c>
      <c r="I98" s="67">
        <f>AgeStanSec!M98/I$3</f>
        <v>822.4666666666667</v>
      </c>
      <c r="J98" s="67">
        <f>AgeStanSec!N98/J$3</f>
        <v>838.35401256661089</v>
      </c>
      <c r="K98" s="67">
        <f>AgeStanSec!O98/K$3</f>
        <v>887.9</v>
      </c>
      <c r="L98" s="67">
        <f>AgeStanSec!P98/L$3</f>
        <v>903.42457637160805</v>
      </c>
      <c r="M98" s="67">
        <f>AgeStanSec!Q98/M$3</f>
        <v>957.96</v>
      </c>
      <c r="N98" s="67">
        <f>AgeStanSec!R98/N$3</f>
        <v>1025.8</v>
      </c>
      <c r="O98" s="67">
        <f>AgeStanSec!S98/O$3</f>
        <v>1177.5802820239364</v>
      </c>
      <c r="P98" s="67">
        <f>AgeStanSec!T98/P$3</f>
        <v>1196.94</v>
      </c>
      <c r="Q98" s="67">
        <f>AgeStanSec!U98/Q$3</f>
        <v>1354.4276425674063</v>
      </c>
      <c r="R98" s="67">
        <f>AgeStanSec!V98/R$3</f>
        <v>1503.57</v>
      </c>
      <c r="S98" s="67">
        <f>AgeStanSec!W98/S$3</f>
        <v>1686.8466666666666</v>
      </c>
      <c r="T98" s="67">
        <f>AgeStanSec!X98/T$3</f>
        <v>1722.7329893422411</v>
      </c>
      <c r="U98" s="67">
        <f>AgeStanSec!Y98/U$3</f>
        <v>1835.5650000000001</v>
      </c>
      <c r="V98" s="46"/>
    </row>
    <row r="99" spans="1:22">
      <c r="A99" s="66">
        <v>98</v>
      </c>
      <c r="B99" s="67">
        <f>AgeStanSec!E99/B$3</f>
        <v>750.4</v>
      </c>
      <c r="C99" s="67">
        <f>AgeStanSec!F99/C$3</f>
        <v>772.33333333333337</v>
      </c>
      <c r="D99" s="67">
        <f>AgeStanSec!G99/D$3</f>
        <v>782.77235942098139</v>
      </c>
      <c r="E99" s="67">
        <f>AgeStanSec!H99/E$3</f>
        <v>812.5</v>
      </c>
      <c r="F99" s="67">
        <f>AgeStanSec!I99/F$3</f>
        <v>814.49335878469731</v>
      </c>
      <c r="G99" s="67">
        <f>AgeStanSec!J99/G$3</f>
        <v>845.7</v>
      </c>
      <c r="H99" s="67">
        <f>AgeStanSec!L99/H$3</f>
        <v>887.41666666666663</v>
      </c>
      <c r="I99" s="67">
        <f>AgeStanSec!M99/I$3</f>
        <v>945.33333333333337</v>
      </c>
      <c r="J99" s="67">
        <f>AgeStanSec!N99/J$3</f>
        <v>966.35647816750168</v>
      </c>
      <c r="K99" s="67">
        <f>AgeStanSec!O99/K$3</f>
        <v>1033.4000000000001</v>
      </c>
      <c r="L99" s="67">
        <f>AgeStanSec!P99/L$3</f>
        <v>1054.2007346842042</v>
      </c>
      <c r="M99" s="67">
        <f>AgeStanSec!Q99/M$3</f>
        <v>1132.08</v>
      </c>
      <c r="N99" s="67">
        <f>AgeStanSec!R99/N$3</f>
        <v>1230.8</v>
      </c>
      <c r="O99" s="67">
        <f>AgeStanSec!S99/O$3</f>
        <v>1464.0360232255007</v>
      </c>
      <c r="P99" s="67">
        <f>AgeStanSec!T99/P$3</f>
        <v>1488.12</v>
      </c>
      <c r="Q99" s="67">
        <f>AgeStanSec!U99/Q$3</f>
        <v>1683.9035035393301</v>
      </c>
      <c r="R99" s="67">
        <f>AgeStanSec!V99/R$3</f>
        <v>1869.33</v>
      </c>
      <c r="S99" s="67">
        <f>AgeStanSec!W99/S$3</f>
        <v>2097.1999999999998</v>
      </c>
      <c r="T99" s="67">
        <f>AgeStanSec!X99/T$3</f>
        <v>2141.8105762347886</v>
      </c>
      <c r="U99" s="67">
        <f>AgeStanSec!Y99/U$3</f>
        <v>2282.09</v>
      </c>
      <c r="V99" s="46"/>
    </row>
    <row r="100" spans="1:22">
      <c r="A100" s="66">
        <v>99</v>
      </c>
      <c r="B100" s="67">
        <f>AgeStanSec!E100/B$3</f>
        <v>850.6</v>
      </c>
      <c r="C100" s="67">
        <f>AgeStanSec!F100/C$3</f>
        <v>880</v>
      </c>
      <c r="D100" s="67">
        <f>AgeStanSec!G100/D$3</f>
        <v>893.8424600334049</v>
      </c>
      <c r="E100" s="67">
        <f>AgeStanSec!H100/E$3</f>
        <v>933.875</v>
      </c>
      <c r="F100" s="67">
        <f>AgeStanSec!I100/F$3</f>
        <v>936.28211246321473</v>
      </c>
      <c r="G100" s="67">
        <f>AgeStanSec!J100/G$3</f>
        <v>979</v>
      </c>
      <c r="H100" s="70">
        <f>AgeStanSec!L100/H$3</f>
        <v>1036.1666666666667</v>
      </c>
      <c r="I100" s="71">
        <f>AgeStanSec!M100/I$3</f>
        <v>1117.0666666666666</v>
      </c>
      <c r="J100" s="67">
        <f>AgeStanSec!N100/J$3</f>
        <v>1146.4298496778811</v>
      </c>
      <c r="K100" s="67">
        <f>AgeStanSec!O100/K$3</f>
        <v>1241.95</v>
      </c>
      <c r="L100" s="67">
        <f>AgeStanSec!P100/L$3</f>
        <v>1271.6198601730064</v>
      </c>
      <c r="M100" s="67">
        <f>AgeStanSec!Q100/M$3</f>
        <v>1391.04</v>
      </c>
      <c r="N100" s="67">
        <f>AgeStanSec!R100/N$3</f>
        <v>1548.7333333333333</v>
      </c>
      <c r="O100" s="67">
        <f>AgeStanSec!S100/O$3</f>
        <v>1948.9512975471027</v>
      </c>
      <c r="P100" s="67">
        <f>AgeStanSec!T100/P$3</f>
        <v>1981.02</v>
      </c>
      <c r="Q100" s="67">
        <f>AgeStanSec!U100/Q$3</f>
        <v>2241.658713115406</v>
      </c>
      <c r="R100" s="67">
        <f>AgeStanSec!V100/R$3</f>
        <v>2488.5</v>
      </c>
      <c r="S100" s="67">
        <f>AgeStanSec!W100/S$3</f>
        <v>2791.84</v>
      </c>
      <c r="T100" s="67">
        <f>AgeStanSec!X100/T$3</f>
        <v>2851.2300664121526</v>
      </c>
      <c r="U100" s="67">
        <f>AgeStanSec!Y100/U$3</f>
        <v>3037.9749999999999</v>
      </c>
      <c r="V100" s="46"/>
    </row>
    <row r="101" spans="1:22">
      <c r="A101" s="68">
        <v>100</v>
      </c>
      <c r="B101" s="69">
        <f>AgeStanSec!E101/B$3</f>
        <v>985.8</v>
      </c>
      <c r="C101" s="69">
        <f>AgeStanSec!F101/C$3</f>
        <v>1027.5</v>
      </c>
      <c r="D101" s="69">
        <f>AgeStanSec!G101/D$3</f>
        <v>1046.233744929611</v>
      </c>
      <c r="E101" s="69">
        <f>AgeStanSec!H101/E$3</f>
        <v>1103.625</v>
      </c>
      <c r="F101" s="69">
        <f>AgeStanSec!I101/F$3</f>
        <v>1106.6620933746917</v>
      </c>
      <c r="G101" s="69">
        <f>AgeStanSec!J101/G$3</f>
        <v>1217.2</v>
      </c>
      <c r="H101" s="72">
        <f>AgeStanSec!L101/H$3</f>
        <v>1252.0833333333333</v>
      </c>
      <c r="I101" s="73">
        <f>AgeStanSec!M101/I$3</f>
        <v>1372.4666666666667</v>
      </c>
      <c r="J101" s="69">
        <f>AgeStanSec!N101/J$3</f>
        <v>1416.8505925395689</v>
      </c>
      <c r="K101" s="69">
        <f>AgeStanSec!O101/K$3</f>
        <v>1568.35</v>
      </c>
      <c r="L101" s="69">
        <f>AgeStanSec!P101/L$3</f>
        <v>1613.6035075245882</v>
      </c>
      <c r="M101" s="69">
        <f>AgeStanSec!Q101/M$3</f>
        <v>1818.2</v>
      </c>
      <c r="N101" s="69">
        <f>AgeStanSec!R101/N$3</f>
        <v>2105.0666666666666</v>
      </c>
      <c r="O101" s="69">
        <f>AgeStanSec!S101/O$3</f>
        <v>2956.1796421376939</v>
      </c>
      <c r="P101" s="69">
        <f>AgeStanSec!T101/P$3</f>
        <v>3004.8</v>
      </c>
      <c r="Q101" s="69">
        <f>AgeStanSec!U101/Q$3</f>
        <v>3400.1431639226912</v>
      </c>
      <c r="R101" s="69">
        <f>AgeStanSec!V101/R$3</f>
        <v>3774.56</v>
      </c>
      <c r="S101" s="69">
        <f>AgeStanSec!W101/S$3</f>
        <v>4234.666666666667</v>
      </c>
      <c r="T101" s="69">
        <f>AgeStanSec!X101/T$3</f>
        <v>4324.7434979718446</v>
      </c>
      <c r="U101" s="69">
        <f>AgeStanSec!Y101/U$3</f>
        <v>4608</v>
      </c>
      <c r="V101" s="46"/>
    </row>
    <row r="102" spans="1:2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T106"/>
  <sheetViews>
    <sheetView topLeftCell="A16" workbookViewId="0">
      <selection activeCell="M108" sqref="M108"/>
    </sheetView>
  </sheetViews>
  <sheetFormatPr defaultRowHeight="15.95" customHeight="1"/>
  <cols>
    <col min="1" max="3" width="8.88671875" style="299"/>
    <col min="4" max="4" width="10.5546875" style="299" customWidth="1"/>
    <col min="5" max="5" width="9.6640625" style="299" customWidth="1"/>
    <col min="6" max="6" width="9.88671875" style="299" customWidth="1"/>
    <col min="7" max="7" width="10.77734375" style="299" customWidth="1"/>
    <col min="8" max="8" width="12.44140625" style="299" customWidth="1"/>
    <col min="9" max="9" width="9.5546875" style="299" customWidth="1"/>
    <col min="10" max="10" width="8.88671875" style="299"/>
    <col min="11" max="11" width="9" style="299" bestFit="1" customWidth="1"/>
    <col min="12" max="12" width="8.88671875" style="299"/>
    <col min="13" max="13" width="9" style="299" bestFit="1" customWidth="1"/>
    <col min="14" max="14" width="21.109375" style="299" customWidth="1"/>
    <col min="15" max="15" width="24.88671875" style="299" customWidth="1"/>
    <col min="16" max="16" width="24.109375" style="299" customWidth="1"/>
    <col min="17" max="17" width="22.6640625" style="299" customWidth="1"/>
    <col min="18" max="18" width="10.88671875" style="299" customWidth="1"/>
    <col min="19" max="19" width="9.77734375" style="299" bestFit="1" customWidth="1"/>
    <col min="20" max="16384" width="8.88671875" style="299"/>
  </cols>
  <sheetData>
    <row r="1" spans="1:19" ht="15.95" customHeight="1">
      <c r="A1" s="206" t="s">
        <v>2343</v>
      </c>
      <c r="B1" s="207"/>
      <c r="C1" s="208"/>
      <c r="D1" s="209" t="s">
        <v>32</v>
      </c>
      <c r="E1" s="209" t="s">
        <v>54</v>
      </c>
      <c r="F1" s="209" t="s">
        <v>55</v>
      </c>
      <c r="G1" s="209" t="s">
        <v>56</v>
      </c>
      <c r="H1" s="209" t="s">
        <v>57</v>
      </c>
      <c r="I1" s="209" t="s">
        <v>58</v>
      </c>
      <c r="J1" s="232"/>
      <c r="M1" s="210"/>
    </row>
    <row r="2" spans="1:19" ht="15.95" customHeight="1">
      <c r="A2" s="206"/>
      <c r="B2" s="207"/>
      <c r="C2" s="208"/>
      <c r="D2" s="209"/>
      <c r="E2" s="209"/>
      <c r="F2" s="308">
        <f>(+H$3-H$4)*F$4/2</f>
        <v>1.6E-2</v>
      </c>
      <c r="G2" s="309">
        <f>(+I$4-I$3)*G$4/2</f>
        <v>9.1759499999999994E-2</v>
      </c>
      <c r="H2" s="211"/>
      <c r="I2" s="211"/>
      <c r="J2" s="232"/>
      <c r="M2" s="210"/>
    </row>
    <row r="3" spans="1:19" ht="15.95" customHeight="1">
      <c r="A3" s="206"/>
      <c r="B3" s="207"/>
      <c r="C3" s="208"/>
      <c r="D3" s="209"/>
      <c r="E3" s="209"/>
      <c r="F3" s="308">
        <f>F4/(2*(+H3-H4))</f>
        <v>4.0000000000000001E-3</v>
      </c>
      <c r="G3" s="309">
        <f>G4/(2*(+I4-I3))</f>
        <v>2.5687830687830688E-4</v>
      </c>
      <c r="H3" s="212">
        <v>19</v>
      </c>
      <c r="I3" s="301">
        <v>30.1</v>
      </c>
      <c r="J3" s="267" t="s">
        <v>135</v>
      </c>
      <c r="M3" s="210"/>
    </row>
    <row r="4" spans="1:19" ht="15.95" customHeight="1">
      <c r="A4" s="207"/>
      <c r="B4" s="207"/>
      <c r="C4" s="207"/>
      <c r="D4" s="214">
        <f>Parameters!$G$14</f>
        <v>3.0208333333333333E-3</v>
      </c>
      <c r="E4" s="215">
        <f>D4*1440</f>
        <v>4.3499999999999996</v>
      </c>
      <c r="F4" s="205">
        <v>1.6E-2</v>
      </c>
      <c r="G4" s="216">
        <v>9.7099999999999999E-3</v>
      </c>
      <c r="H4" s="212">
        <v>17</v>
      </c>
      <c r="I4" s="301">
        <v>49</v>
      </c>
      <c r="J4" s="269" t="s">
        <v>38</v>
      </c>
      <c r="M4" s="210"/>
    </row>
    <row r="5" spans="1:19" ht="15.95" customHeight="1">
      <c r="A5" s="207"/>
      <c r="B5" s="207"/>
      <c r="C5" s="207"/>
      <c r="D5" s="214"/>
      <c r="E5" s="207">
        <f>E4*60</f>
        <v>261</v>
      </c>
      <c r="F5" s="205">
        <v>6.9999999999999999E-4</v>
      </c>
      <c r="G5" s="216">
        <v>4.6999999999999999E-4</v>
      </c>
      <c r="H5" s="212">
        <v>15</v>
      </c>
      <c r="I5" s="301">
        <v>78.5</v>
      </c>
      <c r="J5" s="269" t="s">
        <v>39</v>
      </c>
      <c r="M5" s="210"/>
    </row>
    <row r="6" spans="1:19" ht="15.95" customHeight="1">
      <c r="A6" s="218" t="s">
        <v>52</v>
      </c>
      <c r="B6" s="218" t="s">
        <v>963</v>
      </c>
      <c r="C6" s="218" t="s">
        <v>964</v>
      </c>
      <c r="D6" s="218" t="s">
        <v>2365</v>
      </c>
      <c r="E6" s="218" t="s">
        <v>2364</v>
      </c>
      <c r="F6" s="208" t="s">
        <v>2339</v>
      </c>
      <c r="G6" s="218" t="s">
        <v>933</v>
      </c>
      <c r="H6" s="270" t="s">
        <v>1037</v>
      </c>
      <c r="I6" s="221" t="s">
        <v>965</v>
      </c>
      <c r="J6" s="218" t="s">
        <v>2265</v>
      </c>
      <c r="K6" s="218" t="s">
        <v>709</v>
      </c>
      <c r="L6" s="210" t="s">
        <v>1154</v>
      </c>
      <c r="M6" s="210" t="s">
        <v>403</v>
      </c>
      <c r="N6" s="299" t="s">
        <v>404</v>
      </c>
      <c r="O6" s="299" t="s">
        <v>405</v>
      </c>
      <c r="P6" s="299" t="s">
        <v>407</v>
      </c>
      <c r="Q6" s="299" t="s">
        <v>408</v>
      </c>
      <c r="R6" s="299" t="s">
        <v>409</v>
      </c>
      <c r="S6" s="299" t="s">
        <v>1150</v>
      </c>
    </row>
    <row r="7" spans="1:19" ht="15.95" customHeight="1">
      <c r="A7" s="210">
        <v>1</v>
      </c>
      <c r="D7" s="210"/>
      <c r="E7" s="210"/>
      <c r="H7" s="417"/>
      <c r="I7" s="427"/>
    </row>
    <row r="8" spans="1:19" ht="15.95" customHeight="1">
      <c r="A8" s="210">
        <v>2</v>
      </c>
      <c r="D8" s="210"/>
      <c r="E8" s="210"/>
      <c r="H8" s="417"/>
      <c r="I8" s="427"/>
      <c r="J8" s="420"/>
    </row>
    <row r="9" spans="1:19" ht="15.95" customHeight="1">
      <c r="A9" s="210">
        <v>3</v>
      </c>
      <c r="D9" s="217"/>
      <c r="E9" s="232"/>
      <c r="G9" s="405">
        <v>6.7758899676375401</v>
      </c>
      <c r="H9" s="418"/>
      <c r="I9" s="428"/>
      <c r="J9" s="420"/>
    </row>
    <row r="10" spans="1:19" ht="15.95" customHeight="1">
      <c r="A10" s="210">
        <v>4</v>
      </c>
      <c r="D10" s="217">
        <f t="shared" ref="D10:D72" si="0">E$4/E10</f>
        <v>6.292492405612613</v>
      </c>
      <c r="E10" s="232">
        <f t="shared" ref="E10:E19" si="1">ROUND(1-IF(A10&gt;=H$3,0,IF(A10&gt;=H$4,F$3*(A10-H$3)^2,F$2+F$4*(H$4-A10)+(A10&lt;H$5)*F$5*(H$5-A10)^2)),4)</f>
        <v>0.69130000000000003</v>
      </c>
      <c r="G10" s="405">
        <v>6.4612565697478184</v>
      </c>
      <c r="H10" s="418"/>
      <c r="I10" s="428"/>
      <c r="J10" s="420"/>
    </row>
    <row r="11" spans="1:19" ht="15.95" customHeight="1">
      <c r="A11" s="210">
        <v>5</v>
      </c>
      <c r="D11" s="217">
        <f t="shared" si="0"/>
        <v>6.0249307479224372</v>
      </c>
      <c r="E11" s="232">
        <f t="shared" si="1"/>
        <v>0.72199999999999998</v>
      </c>
      <c r="G11" s="405">
        <v>6.1865189289012008</v>
      </c>
      <c r="H11" s="418"/>
      <c r="I11" s="428"/>
      <c r="J11" s="420"/>
    </row>
    <row r="12" spans="1:19" ht="15.95" customHeight="1">
      <c r="A12" s="210">
        <v>6</v>
      </c>
      <c r="D12" s="217">
        <f t="shared" si="0"/>
        <v>5.789964062292027</v>
      </c>
      <c r="E12" s="232">
        <f t="shared" si="1"/>
        <v>0.75129999999999997</v>
      </c>
      <c r="G12" s="405">
        <v>5.9452504547672929</v>
      </c>
      <c r="H12" s="418"/>
      <c r="I12" s="428"/>
      <c r="J12" s="420"/>
    </row>
    <row r="13" spans="1:19" ht="15.95" customHeight="1">
      <c r="A13" s="210">
        <v>7</v>
      </c>
      <c r="D13" s="217">
        <f t="shared" si="0"/>
        <v>5.5826488706365502</v>
      </c>
      <c r="E13" s="232">
        <f t="shared" si="1"/>
        <v>0.7792</v>
      </c>
      <c r="G13" s="405">
        <v>5.7323750855578375</v>
      </c>
      <c r="H13" s="418"/>
      <c r="I13" s="428"/>
      <c r="J13" s="420"/>
    </row>
    <row r="14" spans="1:19" ht="15.95" customHeight="1">
      <c r="A14" s="210">
        <v>8</v>
      </c>
      <c r="D14" s="217">
        <f t="shared" si="0"/>
        <v>5.3990318977286833</v>
      </c>
      <c r="E14" s="232">
        <f t="shared" si="1"/>
        <v>0.80569999999999997</v>
      </c>
      <c r="G14" s="405">
        <v>5.5438335195068476</v>
      </c>
      <c r="H14" s="418"/>
      <c r="I14" s="428"/>
      <c r="J14" s="420"/>
    </row>
    <row r="15" spans="1:19" ht="15.95" customHeight="1">
      <c r="A15" s="210">
        <v>9</v>
      </c>
      <c r="D15" s="217">
        <f t="shared" si="0"/>
        <v>5.2359171882522864</v>
      </c>
      <c r="E15" s="232">
        <f t="shared" si="1"/>
        <v>0.83079999999999998</v>
      </c>
      <c r="G15" s="405">
        <v>5.3763440860215059</v>
      </c>
      <c r="H15" s="418"/>
      <c r="I15" s="428"/>
      <c r="J15" s="420"/>
    </row>
    <row r="16" spans="1:19" ht="15.95" customHeight="1">
      <c r="A16" s="210">
        <v>10</v>
      </c>
      <c r="D16" s="217">
        <f t="shared" si="0"/>
        <v>5.0906963136337033</v>
      </c>
      <c r="E16" s="232">
        <f t="shared" si="1"/>
        <v>0.85450000000000004</v>
      </c>
      <c r="G16" s="405">
        <v>5.227228398673688</v>
      </c>
      <c r="H16" s="416"/>
      <c r="I16" s="230"/>
      <c r="J16" s="420"/>
    </row>
    <row r="17" spans="1:20" ht="15.95" customHeight="1">
      <c r="A17" s="210">
        <v>11</v>
      </c>
      <c r="D17" s="217">
        <f t="shared" si="0"/>
        <v>4.961222627737226</v>
      </c>
      <c r="E17" s="232">
        <f t="shared" si="1"/>
        <v>0.87680000000000002</v>
      </c>
      <c r="G17" s="405">
        <v>5.0942822384428226</v>
      </c>
      <c r="H17" s="418"/>
      <c r="I17" s="428"/>
      <c r="J17" s="420"/>
    </row>
    <row r="18" spans="1:20" ht="15.95" customHeight="1">
      <c r="A18" s="210">
        <v>12</v>
      </c>
      <c r="D18" s="217">
        <f t="shared" si="0"/>
        <v>4.8457168319037534</v>
      </c>
      <c r="E18" s="232">
        <f t="shared" si="1"/>
        <v>0.89770000000000005</v>
      </c>
      <c r="G18" s="405">
        <v>4.975678586016115</v>
      </c>
      <c r="H18" s="418"/>
      <c r="I18" s="428"/>
      <c r="J18" s="420"/>
    </row>
    <row r="19" spans="1:20" ht="15.95" customHeight="1">
      <c r="A19" s="210">
        <v>13</v>
      </c>
      <c r="D19" s="217">
        <f t="shared" si="0"/>
        <v>4.742695159180113</v>
      </c>
      <c r="E19" s="232">
        <f t="shared" si="1"/>
        <v>0.91720000000000002</v>
      </c>
      <c r="G19" s="405">
        <v>4.8698938799244074</v>
      </c>
      <c r="H19" s="418"/>
      <c r="I19" s="428"/>
      <c r="J19" s="420"/>
    </row>
    <row r="20" spans="1:20" ht="15.95" customHeight="1">
      <c r="A20" s="210">
        <v>14</v>
      </c>
      <c r="D20" s="217">
        <f t="shared" si="0"/>
        <v>4.6509141451940552</v>
      </c>
      <c r="E20" s="232">
        <f t="shared" ref="E20:E40" si="2">ROUND(1-IF(A20&gt;=H$3,0,IF(A20&gt;=H$4,F$3*(A20-H$3)^2,F$2+F$4*(H$4-A20)+(A20&lt;H$5)*F$5*(H$5-A20)^2)),4)</f>
        <v>0.93530000000000002</v>
      </c>
      <c r="G20" s="405">
        <v>4.7756513061762718</v>
      </c>
      <c r="H20" s="418"/>
      <c r="I20" s="428"/>
      <c r="J20" s="420"/>
    </row>
    <row r="21" spans="1:20" ht="15.95" customHeight="1">
      <c r="A21" s="210">
        <v>15</v>
      </c>
      <c r="D21" s="217">
        <f t="shared" si="0"/>
        <v>4.5693277310924367</v>
      </c>
      <c r="E21" s="232">
        <f t="shared" si="2"/>
        <v>0.95199999999999996</v>
      </c>
      <c r="G21" s="405">
        <v>4.6918767507002803</v>
      </c>
      <c r="H21" s="418"/>
      <c r="I21" s="428"/>
      <c r="J21" s="420"/>
    </row>
    <row r="22" spans="1:20" ht="15.95" customHeight="1">
      <c r="A22" s="210">
        <v>16</v>
      </c>
      <c r="D22" s="217">
        <f t="shared" si="0"/>
        <v>4.4938016528925617</v>
      </c>
      <c r="E22" s="232">
        <f t="shared" si="2"/>
        <v>0.96799999999999997</v>
      </c>
      <c r="G22" s="405">
        <v>4.6143250688705235</v>
      </c>
      <c r="H22" s="418"/>
      <c r="I22" s="428"/>
      <c r="J22" s="420"/>
    </row>
    <row r="23" spans="1:20" ht="15.95" customHeight="1">
      <c r="A23" s="210">
        <v>17</v>
      </c>
      <c r="D23" s="217">
        <f t="shared" si="0"/>
        <v>4.4207317073170724</v>
      </c>
      <c r="E23" s="232">
        <f t="shared" si="2"/>
        <v>0.98399999999999999</v>
      </c>
      <c r="G23" s="405">
        <v>4.5392953929539299</v>
      </c>
      <c r="H23" s="418"/>
      <c r="I23" s="428"/>
      <c r="J23" s="420"/>
    </row>
    <row r="24" spans="1:20" ht="15.95" customHeight="1">
      <c r="A24" s="210">
        <v>18</v>
      </c>
      <c r="D24" s="217">
        <f t="shared" si="0"/>
        <v>4.3674698795180715</v>
      </c>
      <c r="E24" s="232">
        <f t="shared" si="2"/>
        <v>0.996</v>
      </c>
      <c r="G24" s="405">
        <v>4.4846050870147254</v>
      </c>
      <c r="H24" s="418"/>
      <c r="I24" s="428"/>
      <c r="J24" s="420"/>
    </row>
    <row r="25" spans="1:20" ht="15.95" customHeight="1">
      <c r="A25" s="210">
        <v>19</v>
      </c>
      <c r="D25" s="217">
        <f t="shared" si="0"/>
        <v>4.3499999999999996</v>
      </c>
      <c r="E25" s="232">
        <f t="shared" si="2"/>
        <v>1</v>
      </c>
      <c r="G25" s="405">
        <v>4.4666666666666668</v>
      </c>
      <c r="H25" s="418"/>
      <c r="I25" s="428"/>
      <c r="J25" s="420"/>
    </row>
    <row r="26" spans="1:20" ht="15.95" customHeight="1">
      <c r="A26" s="210">
        <v>20</v>
      </c>
      <c r="D26" s="217">
        <f t="shared" si="0"/>
        <v>4.3499999999999996</v>
      </c>
      <c r="E26" s="232">
        <f t="shared" si="2"/>
        <v>1</v>
      </c>
      <c r="G26" s="405">
        <v>4.4666666666666668</v>
      </c>
      <c r="H26" s="418"/>
      <c r="I26" s="428"/>
      <c r="J26" s="420"/>
    </row>
    <row r="27" spans="1:20" ht="15.95" customHeight="1">
      <c r="A27" s="210">
        <v>21</v>
      </c>
      <c r="B27" s="302">
        <v>3.0208333333333333E-3</v>
      </c>
      <c r="C27" s="217">
        <f>B27*1440</f>
        <v>4.3499999999999996</v>
      </c>
      <c r="D27" s="217">
        <f t="shared" si="0"/>
        <v>4.3499999999999996</v>
      </c>
      <c r="E27" s="232">
        <f>ROUND(1-IF(A27&lt;I$3,0,IF(A27&lt;I$4,G$3*(A27-I$3)^2,G$2+G$4*(A27-I$4)+(A27&gt;I$5)*G$5*(A27-I$5)^2)),4)</f>
        <v>1</v>
      </c>
      <c r="G27" s="405">
        <v>4.4666666666666668</v>
      </c>
      <c r="H27" s="418"/>
      <c r="I27" s="428"/>
      <c r="J27" s="421">
        <v>21</v>
      </c>
      <c r="K27" s="390" t="s">
        <v>2344</v>
      </c>
      <c r="L27" s="389"/>
      <c r="M27" s="389" t="s">
        <v>2346</v>
      </c>
      <c r="N27" s="389" t="s">
        <v>2345</v>
      </c>
      <c r="O27" s="391" t="s">
        <v>248</v>
      </c>
      <c r="P27" s="389" t="s">
        <v>2266</v>
      </c>
      <c r="Q27" s="389" t="s">
        <v>2267</v>
      </c>
      <c r="R27" s="392">
        <v>45200</v>
      </c>
      <c r="S27" s="160" t="s">
        <v>950</v>
      </c>
      <c r="T27" s="388"/>
    </row>
    <row r="28" spans="1:20" ht="15.95" customHeight="1">
      <c r="A28" s="210">
        <v>22</v>
      </c>
      <c r="D28" s="217">
        <f t="shared" si="0"/>
        <v>4.3499999999999996</v>
      </c>
      <c r="E28" s="232">
        <f t="shared" si="2"/>
        <v>1</v>
      </c>
      <c r="G28" s="405">
        <v>4.4666666666666668</v>
      </c>
      <c r="H28" s="418"/>
      <c r="I28" s="428"/>
      <c r="J28" s="420"/>
    </row>
    <row r="29" spans="1:20" ht="15.95" customHeight="1">
      <c r="A29" s="210">
        <v>23</v>
      </c>
      <c r="D29" s="217">
        <f t="shared" si="0"/>
        <v>4.3499999999999996</v>
      </c>
      <c r="E29" s="232">
        <f t="shared" si="2"/>
        <v>1</v>
      </c>
      <c r="G29" s="405">
        <v>4.4666666666666668</v>
      </c>
      <c r="H29" s="418"/>
      <c r="I29" s="428"/>
      <c r="J29" s="420"/>
    </row>
    <row r="30" spans="1:20" ht="15.95" customHeight="1">
      <c r="A30" s="210">
        <v>24</v>
      </c>
      <c r="D30" s="217">
        <f t="shared" si="0"/>
        <v>4.3499999999999996</v>
      </c>
      <c r="E30" s="232">
        <f t="shared" si="2"/>
        <v>1</v>
      </c>
      <c r="G30" s="405">
        <v>4.4666666666666668</v>
      </c>
      <c r="H30" s="418"/>
      <c r="I30" s="428"/>
      <c r="J30" s="420"/>
    </row>
    <row r="31" spans="1:20" ht="15.95" customHeight="1">
      <c r="A31" s="210">
        <v>25</v>
      </c>
      <c r="D31" s="217">
        <f t="shared" si="0"/>
        <v>4.3499999999999996</v>
      </c>
      <c r="E31" s="232">
        <f t="shared" si="2"/>
        <v>1</v>
      </c>
      <c r="G31" s="405">
        <v>4.4666666666666668</v>
      </c>
      <c r="H31" s="418"/>
      <c r="I31" s="428"/>
      <c r="J31" s="420"/>
    </row>
    <row r="32" spans="1:20" ht="15.95" customHeight="1">
      <c r="A32" s="210">
        <v>26</v>
      </c>
      <c r="D32" s="217">
        <f t="shared" si="0"/>
        <v>4.3499999999999996</v>
      </c>
      <c r="E32" s="232">
        <f t="shared" si="2"/>
        <v>1</v>
      </c>
      <c r="G32" s="405">
        <v>4.4666666666666668</v>
      </c>
      <c r="H32" s="418"/>
      <c r="I32" s="428"/>
      <c r="J32" s="420"/>
    </row>
    <row r="33" spans="1:18" ht="15.95" customHeight="1">
      <c r="A33" s="210">
        <v>27</v>
      </c>
      <c r="D33" s="217">
        <f t="shared" si="0"/>
        <v>4.3499999999999996</v>
      </c>
      <c r="E33" s="232">
        <f t="shared" si="2"/>
        <v>1</v>
      </c>
      <c r="G33" s="405">
        <v>4.4666666666666668</v>
      </c>
      <c r="H33" s="418"/>
      <c r="I33" s="428"/>
      <c r="J33" s="420"/>
    </row>
    <row r="34" spans="1:18" ht="15.95" customHeight="1">
      <c r="A34" s="210">
        <v>28</v>
      </c>
      <c r="D34" s="217">
        <f t="shared" si="0"/>
        <v>4.3499999999999996</v>
      </c>
      <c r="E34" s="232">
        <f t="shared" si="2"/>
        <v>1</v>
      </c>
      <c r="G34" s="405">
        <v>4.4666666666666668</v>
      </c>
      <c r="H34" s="418"/>
      <c r="I34" s="428"/>
      <c r="J34" s="420"/>
    </row>
    <row r="35" spans="1:18" ht="15.95" customHeight="1">
      <c r="A35" s="210">
        <v>29</v>
      </c>
      <c r="D35" s="217">
        <f t="shared" si="0"/>
        <v>4.3499999999999996</v>
      </c>
      <c r="E35" s="232">
        <f t="shared" si="2"/>
        <v>1</v>
      </c>
      <c r="G35" s="405">
        <v>4.4666666666666668</v>
      </c>
      <c r="H35" s="418"/>
      <c r="I35" s="428"/>
      <c r="J35" s="420"/>
    </row>
    <row r="36" spans="1:18" ht="15.95" customHeight="1">
      <c r="A36" s="210">
        <v>30</v>
      </c>
      <c r="D36" s="217">
        <f t="shared" si="0"/>
        <v>4.3499999999999996</v>
      </c>
      <c r="E36" s="232">
        <f t="shared" si="2"/>
        <v>1</v>
      </c>
      <c r="G36" s="405">
        <v>4.4666666666666668</v>
      </c>
      <c r="H36" s="418"/>
      <c r="I36" s="428"/>
      <c r="J36" s="420"/>
    </row>
    <row r="37" spans="1:18" ht="15.95" customHeight="1">
      <c r="A37" s="210">
        <v>31</v>
      </c>
      <c r="D37" s="217">
        <f t="shared" si="0"/>
        <v>4.3499999999999996</v>
      </c>
      <c r="E37" s="232">
        <f t="shared" si="2"/>
        <v>1</v>
      </c>
      <c r="G37" s="405">
        <v>4.4675601787024073</v>
      </c>
      <c r="H37" s="418"/>
      <c r="I37" s="428"/>
      <c r="J37" s="420"/>
    </row>
    <row r="38" spans="1:18" ht="15.95" customHeight="1">
      <c r="A38" s="210">
        <v>32</v>
      </c>
      <c r="D38" s="217">
        <f t="shared" si="0"/>
        <v>4.3499999999999996</v>
      </c>
      <c r="E38" s="232">
        <f t="shared" si="2"/>
        <v>1</v>
      </c>
      <c r="G38" s="405">
        <v>4.4711378044711383</v>
      </c>
      <c r="H38" s="418"/>
      <c r="I38" s="428"/>
      <c r="J38" s="420"/>
    </row>
    <row r="39" spans="1:18" ht="15.95" customHeight="1">
      <c r="A39" s="210">
        <v>33</v>
      </c>
      <c r="D39" s="217">
        <f t="shared" si="0"/>
        <v>4.3499999999999996</v>
      </c>
      <c r="E39" s="232">
        <f t="shared" si="2"/>
        <v>1</v>
      </c>
      <c r="G39" s="405">
        <v>4.4769636831378836</v>
      </c>
      <c r="H39" s="418"/>
      <c r="I39" s="428"/>
      <c r="J39" s="420"/>
    </row>
    <row r="40" spans="1:18" ht="15.95" customHeight="1">
      <c r="A40" s="210">
        <v>34</v>
      </c>
      <c r="D40" s="217">
        <f t="shared" si="0"/>
        <v>4.3499999999999996</v>
      </c>
      <c r="E40" s="232">
        <f t="shared" si="2"/>
        <v>1</v>
      </c>
      <c r="G40" s="405">
        <v>4.4850553937811695</v>
      </c>
      <c r="H40" s="418"/>
      <c r="I40" s="428"/>
      <c r="J40" s="420"/>
    </row>
    <row r="41" spans="1:18" ht="15.95" customHeight="1">
      <c r="A41" s="210">
        <v>35</v>
      </c>
      <c r="D41" s="217">
        <f t="shared" si="0"/>
        <v>4.3771382571946065</v>
      </c>
      <c r="E41" s="232">
        <f>ROUND(1-IF(A41&lt;I$3,0,IF(A41&lt;I$4,G$3*(A41-I$3)^2,G$2+G$4*(A41-I$4)+(A41&gt;I$5)*G$5*(A41-I$5)^2)),4)</f>
        <v>0.99380000000000002</v>
      </c>
      <c r="G41" s="405">
        <v>4.4958899513504447</v>
      </c>
      <c r="H41" s="418"/>
      <c r="I41" s="428"/>
      <c r="J41" s="420"/>
    </row>
    <row r="42" spans="1:18" ht="15.95" customHeight="1">
      <c r="A42" s="210">
        <v>36</v>
      </c>
      <c r="D42" s="217">
        <f t="shared" si="0"/>
        <v>4.3890626576531124</v>
      </c>
      <c r="E42" s="232">
        <f>ROUND(1-IF(A42&lt;I$3,0,IF(A42&lt;I$4,G$3*(A42-I$3)^2,G$2+G$4*(A42-I$4)+(A42&gt;I$5)*G$5*(A42-I$5)^2)),4)</f>
        <v>0.99109999999999998</v>
      </c>
      <c r="G42" s="405">
        <v>4.5090517531462408</v>
      </c>
      <c r="H42" s="418"/>
      <c r="I42" s="428"/>
      <c r="J42" s="420"/>
    </row>
    <row r="43" spans="1:18" ht="15.95" customHeight="1">
      <c r="A43" s="210">
        <v>37</v>
      </c>
      <c r="D43" s="217">
        <f t="shared" si="0"/>
        <v>4.4037254504960517</v>
      </c>
      <c r="E43" s="232">
        <f>ROUND(1-IF(A43&lt;I$3,0,IF(A43&lt;I$4,G$3*(A43-I$3)^2,G$2+G$4*(A43-I$4)+(A43&gt;I$5)*G$5*(A43-I$5)^2)),4)</f>
        <v>0.98780000000000001</v>
      </c>
      <c r="G43" s="405">
        <v>4.525039678519569</v>
      </c>
      <c r="H43" s="418"/>
      <c r="I43" s="428"/>
      <c r="J43" s="420"/>
    </row>
    <row r="44" spans="1:18" ht="15.95" customHeight="1">
      <c r="A44" s="210">
        <v>38</v>
      </c>
      <c r="D44" s="217">
        <f t="shared" si="0"/>
        <v>4.4207317073170724</v>
      </c>
      <c r="E44" s="232">
        <f>ROUND(1-IF(A44&lt;I$3,0,IF(A44&lt;I$4,G$3*(A44-I$3)^2,G$2+G$4*(A44-I$4)+(A44&gt;I$5)*G$5*(A44-I$5)^2)),4)</f>
        <v>0.98399999999999999</v>
      </c>
      <c r="G44" s="405">
        <v>4.5434509883701217</v>
      </c>
      <c r="H44" s="418"/>
      <c r="I44" s="428"/>
      <c r="J44" s="420"/>
    </row>
    <row r="45" spans="1:18" ht="15.95" customHeight="1">
      <c r="A45" s="210">
        <v>39</v>
      </c>
      <c r="D45" s="217">
        <f t="shared" si="0"/>
        <v>4.4401347351229967</v>
      </c>
      <c r="E45" s="232">
        <f>ROUND(1-IF(A45&lt;I$3,0,IF(A45&lt;I$4,G$3*(A45-I$3)^2,G$2+G$4*(A45-I$4)+(A45&gt;I$5)*G$5*(A45-I$5)^2)),4)</f>
        <v>0.97970000000000002</v>
      </c>
      <c r="G45" s="405">
        <v>4.5648100834610794</v>
      </c>
      <c r="H45" s="418"/>
      <c r="I45" s="428"/>
      <c r="J45" s="420"/>
    </row>
    <row r="46" spans="1:18" ht="15.95" customHeight="1">
      <c r="A46" s="210">
        <v>40</v>
      </c>
      <c r="B46" s="302">
        <v>3.3217592592592591E-3</v>
      </c>
      <c r="C46" s="217">
        <f t="shared" ref="C46:C88" si="3">B46*1440</f>
        <v>4.7833333333333332</v>
      </c>
      <c r="D46" s="217">
        <f t="shared" si="0"/>
        <v>4.4624538366844479</v>
      </c>
      <c r="E46" s="232">
        <f t="shared" ref="E46:E106" si="4">ROUND(1-IF(A46&lt;I$3,0,IF(A46&lt;I$4,G$3*(A46-I$3)^2,G$2+G$4*(A46-I$4)+(A46&gt;I$5)*G$5*(A46-I$5)^2)),4)</f>
        <v>0.9748</v>
      </c>
      <c r="F46" s="24">
        <v>4.833333333333333</v>
      </c>
      <c r="G46" s="405">
        <v>4.5887267995342782</v>
      </c>
      <c r="H46" s="419">
        <f>100*+G46/+F46</f>
        <v>94.93917516277817</v>
      </c>
      <c r="I46" s="429">
        <f>100*+D46/+C46</f>
        <v>93.291717840092986</v>
      </c>
      <c r="J46" s="422">
        <v>40</v>
      </c>
      <c r="K46" s="404">
        <v>0.19930555555555554</v>
      </c>
      <c r="L46" s="398">
        <v>287</v>
      </c>
      <c r="M46" s="398" t="s">
        <v>2268</v>
      </c>
      <c r="N46" s="398" t="s">
        <v>2269</v>
      </c>
      <c r="O46" s="398" t="s">
        <v>217</v>
      </c>
      <c r="P46" s="398" t="s">
        <v>2270</v>
      </c>
      <c r="Q46" s="398" t="s">
        <v>2271</v>
      </c>
      <c r="R46" s="399">
        <v>44764</v>
      </c>
    </row>
    <row r="47" spans="1:18" ht="15.95" customHeight="1">
      <c r="A47" s="210">
        <v>41</v>
      </c>
      <c r="B47" s="302">
        <v>3.8078703703703707E-3</v>
      </c>
      <c r="C47" s="217">
        <f t="shared" si="3"/>
        <v>5.4833333333333343</v>
      </c>
      <c r="D47" s="217">
        <f t="shared" si="0"/>
        <v>4.4868488911810207</v>
      </c>
      <c r="E47" s="232">
        <f t="shared" si="4"/>
        <v>0.96950000000000003</v>
      </c>
      <c r="F47" s="24">
        <v>5.4833333333333343</v>
      </c>
      <c r="G47" s="405">
        <v>4.6152786388372258</v>
      </c>
      <c r="H47" s="419">
        <f t="shared" ref="H47:H88" si="5">100*+G47/+F47</f>
        <v>84.16921529794331</v>
      </c>
      <c r="I47" s="429">
        <f t="shared" ref="I47:I93" si="6">100*+D47/+C47</f>
        <v>81.827031450109786</v>
      </c>
      <c r="J47" s="422">
        <v>41</v>
      </c>
      <c r="K47" s="398" t="s">
        <v>2272</v>
      </c>
      <c r="L47" s="398">
        <v>329</v>
      </c>
      <c r="M47" s="398" t="s">
        <v>2273</v>
      </c>
      <c r="N47" s="398" t="s">
        <v>2274</v>
      </c>
      <c r="O47" s="398" t="s">
        <v>217</v>
      </c>
      <c r="P47" s="398" t="s">
        <v>2275</v>
      </c>
      <c r="Q47" s="398" t="s">
        <v>2276</v>
      </c>
      <c r="R47" s="399">
        <v>42237</v>
      </c>
    </row>
    <row r="48" spans="1:18" ht="15.95" customHeight="1">
      <c r="A48" s="210">
        <v>42</v>
      </c>
      <c r="B48" s="302">
        <v>3.3912037037037036E-3</v>
      </c>
      <c r="C48" s="217">
        <f t="shared" si="3"/>
        <v>4.8833333333333329</v>
      </c>
      <c r="D48" s="217">
        <f t="shared" si="0"/>
        <v>4.5143212951432128</v>
      </c>
      <c r="E48" s="232">
        <f t="shared" si="4"/>
        <v>0.96360000000000001</v>
      </c>
      <c r="F48" s="24">
        <v>4.8833333333333329</v>
      </c>
      <c r="G48" s="405">
        <v>4.645036051026068</v>
      </c>
      <c r="H48" s="419">
        <f t="shared" si="5"/>
        <v>95.120192171182282</v>
      </c>
      <c r="I48" s="429">
        <f t="shared" si="6"/>
        <v>92.443439490987302</v>
      </c>
      <c r="J48" s="422">
        <v>42</v>
      </c>
      <c r="K48" s="398" t="s">
        <v>2277</v>
      </c>
      <c r="L48" s="398">
        <v>293</v>
      </c>
      <c r="M48" s="398" t="s">
        <v>2278</v>
      </c>
      <c r="N48" s="398" t="s">
        <v>2279</v>
      </c>
      <c r="O48" s="398" t="s">
        <v>217</v>
      </c>
      <c r="P48" s="398" t="s">
        <v>2275</v>
      </c>
      <c r="Q48" s="398" t="s">
        <v>2271</v>
      </c>
      <c r="R48" s="399">
        <v>41495</v>
      </c>
    </row>
    <row r="49" spans="1:18" ht="15.95" customHeight="1">
      <c r="A49" s="210">
        <v>43</v>
      </c>
      <c r="B49" s="302">
        <v>3.472222222222222E-3</v>
      </c>
      <c r="C49" s="217">
        <f t="shared" si="3"/>
        <v>5</v>
      </c>
      <c r="D49" s="217">
        <f t="shared" si="0"/>
        <v>4.5440300846129738</v>
      </c>
      <c r="E49" s="232">
        <f t="shared" si="4"/>
        <v>0.95730000000000004</v>
      </c>
      <c r="F49" s="24">
        <v>5</v>
      </c>
      <c r="G49" s="405">
        <v>4.6776276748001537</v>
      </c>
      <c r="H49" s="419">
        <f t="shared" si="5"/>
        <v>93.552553496003071</v>
      </c>
      <c r="I49" s="429">
        <f t="shared" si="6"/>
        <v>90.880601692259475</v>
      </c>
      <c r="J49" s="424">
        <v>43</v>
      </c>
      <c r="K49" s="397"/>
      <c r="L49" s="397"/>
      <c r="M49" s="398"/>
      <c r="N49" s="398"/>
      <c r="O49" s="397"/>
      <c r="P49" s="398"/>
      <c r="Q49" s="398"/>
      <c r="R49" s="399"/>
    </row>
    <row r="50" spans="1:18" ht="15.95" customHeight="1">
      <c r="A50" s="210">
        <v>44</v>
      </c>
      <c r="B50" s="302">
        <v>3.4375E-3</v>
      </c>
      <c r="C50" s="217">
        <f t="shared" si="3"/>
        <v>4.95</v>
      </c>
      <c r="D50" s="217">
        <f t="shared" si="0"/>
        <v>4.5770202020202015</v>
      </c>
      <c r="E50" s="232">
        <f t="shared" si="4"/>
        <v>0.95040000000000002</v>
      </c>
      <c r="F50" s="24">
        <v>4.95</v>
      </c>
      <c r="G50" s="405">
        <v>4.7136625861826369</v>
      </c>
      <c r="H50" s="419">
        <f t="shared" si="5"/>
        <v>95.225506791568421</v>
      </c>
      <c r="I50" s="429">
        <f t="shared" si="6"/>
        <v>92.465054586266689</v>
      </c>
      <c r="J50" s="424">
        <v>44</v>
      </c>
      <c r="K50" s="397"/>
      <c r="L50" s="397"/>
      <c r="M50" s="398"/>
      <c r="N50" s="398"/>
      <c r="O50" s="397"/>
      <c r="P50" s="398"/>
      <c r="Q50" s="398"/>
      <c r="R50" s="399"/>
    </row>
    <row r="51" spans="1:18" ht="15.95" customHeight="1">
      <c r="A51" s="210">
        <v>45</v>
      </c>
      <c r="B51" s="302">
        <v>3.7152777777777774E-3</v>
      </c>
      <c r="C51" s="217">
        <f t="shared" si="3"/>
        <v>5.35</v>
      </c>
      <c r="D51" s="217">
        <f t="shared" si="0"/>
        <v>4.6129374337221636</v>
      </c>
      <c r="E51" s="232">
        <f t="shared" si="4"/>
        <v>0.94299999999999995</v>
      </c>
      <c r="F51" s="24">
        <v>5.35</v>
      </c>
      <c r="G51" s="405">
        <v>4.7527842803433353</v>
      </c>
      <c r="H51" s="419">
        <f t="shared" si="5"/>
        <v>88.837089352211891</v>
      </c>
      <c r="I51" s="429">
        <f t="shared" si="6"/>
        <v>86.223129602283436</v>
      </c>
      <c r="J51" s="425">
        <v>45</v>
      </c>
      <c r="K51" s="400">
        <v>0.20624999999999999</v>
      </c>
      <c r="L51" s="395">
        <v>297</v>
      </c>
      <c r="M51" s="1" t="s">
        <v>2280</v>
      </c>
      <c r="N51" s="1" t="s">
        <v>2281</v>
      </c>
      <c r="O51" s="395" t="s">
        <v>217</v>
      </c>
      <c r="P51" s="1" t="s">
        <v>2282</v>
      </c>
      <c r="Q51" s="1" t="s">
        <v>2283</v>
      </c>
      <c r="R51" s="393">
        <v>44746</v>
      </c>
    </row>
    <row r="52" spans="1:18" ht="15.95" customHeight="1">
      <c r="A52" s="210">
        <v>46</v>
      </c>
      <c r="B52" s="302">
        <v>3.7615740740740739E-3</v>
      </c>
      <c r="C52" s="217">
        <f t="shared" si="3"/>
        <v>5.4166666666666661</v>
      </c>
      <c r="D52" s="217">
        <f t="shared" si="0"/>
        <v>4.6519088867500793</v>
      </c>
      <c r="E52" s="232">
        <f t="shared" si="4"/>
        <v>0.93510000000000004</v>
      </c>
      <c r="F52" s="24">
        <v>5.4166666666666661</v>
      </c>
      <c r="G52" s="405">
        <v>4.7956481282656931</v>
      </c>
      <c r="H52" s="419">
        <f t="shared" si="5"/>
        <v>88.535042367982044</v>
      </c>
      <c r="I52" s="429">
        <f t="shared" si="6"/>
        <v>85.881394832309169</v>
      </c>
      <c r="J52" s="425">
        <v>46</v>
      </c>
      <c r="K52" s="400"/>
      <c r="L52" s="395"/>
      <c r="M52" s="1"/>
      <c r="N52" s="1"/>
      <c r="O52" s="395"/>
      <c r="P52" s="1"/>
      <c r="Q52" s="1"/>
      <c r="R52" s="393"/>
    </row>
    <row r="53" spans="1:18" ht="15.95" customHeight="1">
      <c r="A53" s="210">
        <v>47</v>
      </c>
      <c r="B53" s="302">
        <v>3.5532407407407405E-3</v>
      </c>
      <c r="C53" s="217">
        <f t="shared" si="3"/>
        <v>5.1166666666666663</v>
      </c>
      <c r="D53" s="217">
        <f t="shared" si="0"/>
        <v>4.6945823440535284</v>
      </c>
      <c r="E53" s="232">
        <f t="shared" si="4"/>
        <v>0.92659999999999998</v>
      </c>
      <c r="F53" s="24">
        <v>5.1166666666666663</v>
      </c>
      <c r="G53" s="405">
        <v>4.8419150858175248</v>
      </c>
      <c r="H53" s="419">
        <f t="shared" si="5"/>
        <v>94.630262263534689</v>
      </c>
      <c r="I53" s="429">
        <f t="shared" si="6"/>
        <v>91.75079499778883</v>
      </c>
      <c r="J53" s="426">
        <v>47</v>
      </c>
      <c r="K53" s="394" t="s">
        <v>2284</v>
      </c>
      <c r="L53" s="394">
        <v>307</v>
      </c>
      <c r="M53" s="394" t="s">
        <v>2278</v>
      </c>
      <c r="N53" s="394" t="s">
        <v>2279</v>
      </c>
      <c r="O53" s="395" t="s">
        <v>217</v>
      </c>
      <c r="P53" s="394" t="s">
        <v>2285</v>
      </c>
      <c r="Q53" s="394" t="s">
        <v>401</v>
      </c>
      <c r="R53" s="396">
        <v>43373</v>
      </c>
    </row>
    <row r="54" spans="1:18" ht="15.95" customHeight="1">
      <c r="A54" s="210">
        <v>48</v>
      </c>
      <c r="B54" s="302">
        <v>3.5416666666666665E-3</v>
      </c>
      <c r="C54" s="217">
        <f t="shared" si="3"/>
        <v>5.0999999999999996</v>
      </c>
      <c r="D54" s="217">
        <f t="shared" si="0"/>
        <v>4.7401111474338018</v>
      </c>
      <c r="E54" s="232">
        <f t="shared" si="4"/>
        <v>0.91769999999999996</v>
      </c>
      <c r="F54" s="24">
        <v>5.0999999999999996</v>
      </c>
      <c r="G54" s="405">
        <v>4.8917606687839958</v>
      </c>
      <c r="H54" s="419">
        <f t="shared" si="5"/>
        <v>95.916875858509727</v>
      </c>
      <c r="I54" s="429">
        <f t="shared" si="6"/>
        <v>92.943355832035337</v>
      </c>
      <c r="J54" s="426">
        <v>48</v>
      </c>
      <c r="K54" s="394" t="s">
        <v>2286</v>
      </c>
      <c r="L54" s="394">
        <v>306</v>
      </c>
      <c r="M54" s="394" t="s">
        <v>2278</v>
      </c>
      <c r="N54" s="394" t="s">
        <v>2279</v>
      </c>
      <c r="O54" s="395" t="s">
        <v>217</v>
      </c>
      <c r="P54" s="394" t="s">
        <v>2275</v>
      </c>
      <c r="Q54" s="394" t="s">
        <v>2276</v>
      </c>
      <c r="R54" s="396">
        <v>43700</v>
      </c>
    </row>
    <row r="55" spans="1:18" ht="15.95" customHeight="1">
      <c r="A55" s="210">
        <v>49</v>
      </c>
      <c r="C55" s="217"/>
      <c r="D55" s="217">
        <f t="shared" si="0"/>
        <v>4.7896939000220211</v>
      </c>
      <c r="E55" s="232">
        <f t="shared" si="4"/>
        <v>0.90820000000000001</v>
      </c>
      <c r="F55" s="24"/>
      <c r="G55" s="405">
        <v>4.9442845546454137</v>
      </c>
      <c r="H55" s="419"/>
      <c r="I55" s="429"/>
      <c r="J55" s="426">
        <v>49</v>
      </c>
      <c r="K55" s="394"/>
      <c r="L55" s="394"/>
      <c r="M55" s="394"/>
      <c r="N55" s="394"/>
      <c r="O55" s="395"/>
      <c r="P55" s="394"/>
      <c r="Q55" s="394"/>
      <c r="R55" s="396"/>
    </row>
    <row r="56" spans="1:18" ht="15.95" customHeight="1">
      <c r="A56" s="210">
        <v>50</v>
      </c>
      <c r="B56" s="302">
        <v>3.9930555555555561E-3</v>
      </c>
      <c r="C56" s="217">
        <f t="shared" si="3"/>
        <v>5.7500000000000009</v>
      </c>
      <c r="D56" s="217">
        <f t="shared" si="0"/>
        <v>4.8414023372287147</v>
      </c>
      <c r="E56" s="232">
        <f t="shared" si="4"/>
        <v>0.89849999999999997</v>
      </c>
      <c r="F56" s="24">
        <v>5.7500000000000009</v>
      </c>
      <c r="G56" s="405">
        <v>4.99794860318526</v>
      </c>
      <c r="H56" s="419">
        <f t="shared" si="5"/>
        <v>86.920845272787119</v>
      </c>
      <c r="I56" s="429">
        <f t="shared" si="6"/>
        <v>84.198301517021108</v>
      </c>
      <c r="J56" s="426">
        <v>50</v>
      </c>
      <c r="K56" s="394" t="s">
        <v>2287</v>
      </c>
      <c r="L56" s="394">
        <v>345</v>
      </c>
      <c r="M56" s="394" t="s">
        <v>1983</v>
      </c>
      <c r="N56" s="394" t="s">
        <v>2288</v>
      </c>
      <c r="O56" s="395" t="s">
        <v>217</v>
      </c>
      <c r="P56" s="394" t="s">
        <v>2275</v>
      </c>
      <c r="Q56" s="394" t="s">
        <v>2276</v>
      </c>
      <c r="R56" s="396">
        <v>42237</v>
      </c>
    </row>
    <row r="57" spans="1:18" ht="15.95" customHeight="1">
      <c r="A57" s="210">
        <v>51</v>
      </c>
      <c r="B57" s="302">
        <v>3.6805555555555554E-3</v>
      </c>
      <c r="C57" s="217">
        <f t="shared" si="3"/>
        <v>5.3</v>
      </c>
      <c r="D57" s="217">
        <f t="shared" si="0"/>
        <v>4.8942394239423939</v>
      </c>
      <c r="E57" s="232">
        <f t="shared" si="4"/>
        <v>0.88880000000000003</v>
      </c>
      <c r="F57" s="24">
        <v>5.3</v>
      </c>
      <c r="G57" s="405">
        <v>5.0527903469079938</v>
      </c>
      <c r="H57" s="419">
        <f t="shared" si="5"/>
        <v>95.335666922792342</v>
      </c>
      <c r="I57" s="429">
        <f t="shared" si="6"/>
        <v>92.344140074384782</v>
      </c>
      <c r="J57" s="426">
        <v>51</v>
      </c>
      <c r="K57" s="394" t="s">
        <v>2289</v>
      </c>
      <c r="L57" s="394">
        <v>318</v>
      </c>
      <c r="M57" s="394" t="s">
        <v>2290</v>
      </c>
      <c r="N57" s="394" t="s">
        <v>2291</v>
      </c>
      <c r="O57" s="395" t="s">
        <v>217</v>
      </c>
      <c r="P57" s="394" t="s">
        <v>2275</v>
      </c>
      <c r="Q57" s="394" t="s">
        <v>2271</v>
      </c>
      <c r="R57" s="396">
        <v>41495</v>
      </c>
    </row>
    <row r="58" spans="1:18" ht="15.95" customHeight="1">
      <c r="A58" s="210">
        <v>52</v>
      </c>
      <c r="B58" s="302">
        <v>3.7037037037037038E-3</v>
      </c>
      <c r="C58" s="217">
        <f t="shared" si="3"/>
        <v>5.3333333333333339</v>
      </c>
      <c r="D58" s="217">
        <f t="shared" si="0"/>
        <v>4.9482425207598677</v>
      </c>
      <c r="E58" s="232">
        <f t="shared" si="4"/>
        <v>0.87909999999999999</v>
      </c>
      <c r="F58" s="24">
        <v>5.3833333333333337</v>
      </c>
      <c r="G58" s="405">
        <v>5.1088489839490645</v>
      </c>
      <c r="H58" s="419">
        <f t="shared" si="5"/>
        <v>94.901219516081682</v>
      </c>
      <c r="I58" s="429">
        <f t="shared" si="6"/>
        <v>92.779547264247512</v>
      </c>
      <c r="J58" s="426">
        <v>52</v>
      </c>
      <c r="K58" s="401">
        <v>0.22222222222222221</v>
      </c>
      <c r="L58" s="394">
        <v>320</v>
      </c>
      <c r="M58" s="394" t="s">
        <v>1215</v>
      </c>
      <c r="N58" s="394" t="s">
        <v>1216</v>
      </c>
      <c r="O58" s="395" t="s">
        <v>217</v>
      </c>
      <c r="P58" s="402" t="s">
        <v>2292</v>
      </c>
      <c r="Q58" s="114" t="s">
        <v>2293</v>
      </c>
      <c r="R58" s="116">
        <v>45101</v>
      </c>
    </row>
    <row r="59" spans="1:18" ht="15.95" customHeight="1">
      <c r="A59" s="210">
        <v>53</v>
      </c>
      <c r="B59" s="302">
        <v>3.7615740740740739E-3</v>
      </c>
      <c r="C59" s="217">
        <f t="shared" si="3"/>
        <v>5.4166666666666661</v>
      </c>
      <c r="D59" s="217">
        <f t="shared" si="0"/>
        <v>5.0034506556245688</v>
      </c>
      <c r="E59" s="232">
        <f t="shared" si="4"/>
        <v>0.86939999999999995</v>
      </c>
      <c r="F59" s="24">
        <v>5.45</v>
      </c>
      <c r="G59" s="405">
        <v>5.1667630614999034</v>
      </c>
      <c r="H59" s="419">
        <f t="shared" si="5"/>
        <v>94.802991954126654</v>
      </c>
      <c r="I59" s="429">
        <f t="shared" si="6"/>
        <v>92.371396719222815</v>
      </c>
      <c r="J59" s="426">
        <v>53</v>
      </c>
      <c r="K59" s="401">
        <v>0.22569444444444445</v>
      </c>
      <c r="L59" s="394">
        <v>325</v>
      </c>
      <c r="M59" s="394" t="s">
        <v>2278</v>
      </c>
      <c r="N59" s="394" t="s">
        <v>2279</v>
      </c>
      <c r="O59" s="395" t="s">
        <v>217</v>
      </c>
      <c r="P59" s="394" t="s">
        <v>2275</v>
      </c>
      <c r="Q59" s="394" t="s">
        <v>2294</v>
      </c>
      <c r="R59" s="396">
        <v>45523</v>
      </c>
    </row>
    <row r="60" spans="1:18" ht="15.95" customHeight="1">
      <c r="A60" s="210">
        <v>54</v>
      </c>
      <c r="B60" s="302">
        <v>3.8773148148148143E-3</v>
      </c>
      <c r="C60" s="217">
        <f t="shared" si="3"/>
        <v>5.583333333333333</v>
      </c>
      <c r="D60" s="217">
        <f t="shared" si="0"/>
        <v>5.0599046178899609</v>
      </c>
      <c r="E60" s="232">
        <f t="shared" si="4"/>
        <v>0.85970000000000002</v>
      </c>
      <c r="F60" s="24">
        <v>5.583333333333333</v>
      </c>
      <c r="G60" s="405">
        <v>5.2253938543128999</v>
      </c>
      <c r="H60" s="419">
        <f t="shared" si="5"/>
        <v>93.589143659335534</v>
      </c>
      <c r="I60" s="429">
        <f t="shared" si="6"/>
        <v>90.625157335342578</v>
      </c>
      <c r="J60" s="426">
        <v>54</v>
      </c>
      <c r="K60" s="394" t="s">
        <v>2295</v>
      </c>
      <c r="L60" s="394">
        <v>335</v>
      </c>
      <c r="M60" s="394" t="s">
        <v>1983</v>
      </c>
      <c r="N60" s="394" t="s">
        <v>2288</v>
      </c>
      <c r="O60" s="395" t="s">
        <v>217</v>
      </c>
      <c r="P60" s="394" t="s">
        <v>2275</v>
      </c>
      <c r="Q60" s="394" t="s">
        <v>2276</v>
      </c>
      <c r="R60" s="396">
        <v>43700</v>
      </c>
    </row>
    <row r="61" spans="1:18" ht="15.95" customHeight="1">
      <c r="A61" s="210">
        <v>55</v>
      </c>
      <c r="B61" s="302">
        <v>3.7615740740740739E-3</v>
      </c>
      <c r="C61" s="217">
        <f t="shared" si="3"/>
        <v>5.4166666666666661</v>
      </c>
      <c r="D61" s="217">
        <f t="shared" si="0"/>
        <v>5.117647058823529</v>
      </c>
      <c r="E61" s="232">
        <f t="shared" si="4"/>
        <v>0.85</v>
      </c>
      <c r="F61" s="24">
        <v>5.65</v>
      </c>
      <c r="G61" s="405">
        <v>5.2853705675856908</v>
      </c>
      <c r="H61" s="419">
        <f t="shared" si="5"/>
        <v>93.546381727180361</v>
      </c>
      <c r="I61" s="429">
        <f t="shared" si="6"/>
        <v>94.479638009049779</v>
      </c>
      <c r="J61" s="426">
        <v>55</v>
      </c>
      <c r="K61" s="403">
        <v>0.22569444444444445</v>
      </c>
      <c r="L61" s="157">
        <v>325</v>
      </c>
      <c r="M61" s="394" t="s">
        <v>289</v>
      </c>
      <c r="N61" s="394" t="s">
        <v>341</v>
      </c>
      <c r="O61" s="395" t="s">
        <v>217</v>
      </c>
      <c r="P61" s="402" t="s">
        <v>2292</v>
      </c>
      <c r="Q61" s="114" t="s">
        <v>2293</v>
      </c>
      <c r="R61" s="116">
        <v>45101</v>
      </c>
    </row>
    <row r="62" spans="1:18" ht="15.95" customHeight="1">
      <c r="A62" s="210">
        <v>56</v>
      </c>
      <c r="B62" s="302">
        <v>3.7847222222222223E-3</v>
      </c>
      <c r="C62" s="217">
        <f t="shared" si="3"/>
        <v>5.45</v>
      </c>
      <c r="D62" s="217">
        <f t="shared" si="0"/>
        <v>5.1767225990717591</v>
      </c>
      <c r="E62" s="232">
        <f t="shared" si="4"/>
        <v>0.84030000000000005</v>
      </c>
      <c r="F62" s="24">
        <v>5.4666666666666668</v>
      </c>
      <c r="G62" s="405">
        <v>5.3467400845902162</v>
      </c>
      <c r="H62" s="419">
        <f t="shared" si="5"/>
        <v>97.806221059577112</v>
      </c>
      <c r="I62" s="429">
        <f t="shared" si="6"/>
        <v>94.985735762784557</v>
      </c>
      <c r="J62" s="426">
        <v>56</v>
      </c>
      <c r="K62" s="401">
        <v>0.22708333333333333</v>
      </c>
      <c r="L62" s="394">
        <v>327</v>
      </c>
      <c r="M62" s="394" t="s">
        <v>2296</v>
      </c>
      <c r="N62" s="394" t="s">
        <v>2297</v>
      </c>
      <c r="O62" s="395" t="s">
        <v>217</v>
      </c>
      <c r="P62" s="394" t="s">
        <v>2275</v>
      </c>
      <c r="Q62" s="394" t="s">
        <v>2276</v>
      </c>
      <c r="R62" s="396">
        <v>43700</v>
      </c>
    </row>
    <row r="63" spans="1:18" ht="15.95" customHeight="1">
      <c r="A63" s="210">
        <v>57</v>
      </c>
      <c r="B63" s="302">
        <v>3.8425925925925923E-3</v>
      </c>
      <c r="C63" s="217">
        <f t="shared" si="3"/>
        <v>5.5333333333333332</v>
      </c>
      <c r="D63" s="217">
        <f t="shared" si="0"/>
        <v>5.2371779436551886</v>
      </c>
      <c r="E63" s="232">
        <f t="shared" si="4"/>
        <v>0.8306</v>
      </c>
      <c r="F63" s="24">
        <v>5.5333333333333332</v>
      </c>
      <c r="G63" s="405">
        <v>5.4095514916636391</v>
      </c>
      <c r="H63" s="419">
        <f t="shared" si="5"/>
        <v>97.762978765005514</v>
      </c>
      <c r="I63" s="429">
        <f t="shared" si="6"/>
        <v>94.647794162443176</v>
      </c>
      <c r="J63" s="426">
        <v>57</v>
      </c>
      <c r="K63" s="394" t="s">
        <v>2298</v>
      </c>
      <c r="L63" s="394">
        <v>332</v>
      </c>
      <c r="M63" s="394" t="s">
        <v>2290</v>
      </c>
      <c r="N63" s="394" t="s">
        <v>2291</v>
      </c>
      <c r="O63" s="395" t="s">
        <v>217</v>
      </c>
      <c r="P63" s="394" t="s">
        <v>2275</v>
      </c>
      <c r="Q63" s="394" t="s">
        <v>2276</v>
      </c>
      <c r="R63" s="396">
        <v>43700</v>
      </c>
    </row>
    <row r="64" spans="1:18" ht="15.95" customHeight="1">
      <c r="A64" s="210">
        <v>58</v>
      </c>
      <c r="B64" s="302">
        <v>3.8888888888888888E-3</v>
      </c>
      <c r="C64" s="217">
        <f t="shared" si="3"/>
        <v>5.6</v>
      </c>
      <c r="D64" s="217">
        <f t="shared" si="0"/>
        <v>5.299062005116336</v>
      </c>
      <c r="E64" s="232">
        <f t="shared" si="4"/>
        <v>0.82089999999999996</v>
      </c>
      <c r="F64" s="24">
        <v>5.9499999999999993</v>
      </c>
      <c r="G64" s="405">
        <v>5.4738562091503269</v>
      </c>
      <c r="H64" s="419">
        <f t="shared" si="5"/>
        <v>91.997583347064321</v>
      </c>
      <c r="I64" s="429">
        <f t="shared" si="6"/>
        <v>94.626107234220299</v>
      </c>
      <c r="J64" s="426">
        <v>58</v>
      </c>
      <c r="K64" s="401">
        <v>0.23333333333333331</v>
      </c>
      <c r="L64" s="394">
        <v>336</v>
      </c>
      <c r="M64" s="115" t="s">
        <v>1983</v>
      </c>
      <c r="N64" s="115" t="s">
        <v>2288</v>
      </c>
      <c r="O64" s="395" t="s">
        <v>217</v>
      </c>
      <c r="P64" s="402" t="s">
        <v>2292</v>
      </c>
      <c r="Q64" s="114" t="s">
        <v>2293</v>
      </c>
      <c r="R64" s="116">
        <v>45101</v>
      </c>
    </row>
    <row r="65" spans="1:18" ht="15.95" customHeight="1">
      <c r="A65" s="210">
        <v>59</v>
      </c>
      <c r="B65" s="302">
        <v>4.1435185185185186E-3</v>
      </c>
      <c r="C65" s="217">
        <f t="shared" si="3"/>
        <v>5.9666666666666668</v>
      </c>
      <c r="D65" s="217">
        <f t="shared" si="0"/>
        <v>5.3630871655776096</v>
      </c>
      <c r="E65" s="232">
        <f t="shared" si="4"/>
        <v>0.81110000000000004</v>
      </c>
      <c r="F65" s="24">
        <v>6.166666666666667</v>
      </c>
      <c r="G65" s="405">
        <v>5.539708131795444</v>
      </c>
      <c r="H65" s="419">
        <f t="shared" si="5"/>
        <v>89.833104839926108</v>
      </c>
      <c r="I65" s="429">
        <f t="shared" si="6"/>
        <v>89.884142439848205</v>
      </c>
      <c r="J65" s="426">
        <v>59</v>
      </c>
      <c r="K65" s="401">
        <v>0.24861111111111112</v>
      </c>
      <c r="L65" s="394">
        <v>358</v>
      </c>
      <c r="M65" s="394" t="s">
        <v>2299</v>
      </c>
      <c r="N65" s="394" t="s">
        <v>2300</v>
      </c>
      <c r="O65" s="395" t="s">
        <v>217</v>
      </c>
      <c r="P65" s="402" t="s">
        <v>2292</v>
      </c>
      <c r="Q65" s="114" t="s">
        <v>2293</v>
      </c>
      <c r="R65" s="116">
        <v>45101</v>
      </c>
    </row>
    <row r="66" spans="1:18" ht="15.95" customHeight="1">
      <c r="A66" s="210">
        <v>60</v>
      </c>
      <c r="B66" s="302">
        <v>4.0046296296296297E-3</v>
      </c>
      <c r="C66" s="217">
        <f t="shared" si="3"/>
        <v>5.7666666666666666</v>
      </c>
      <c r="D66" s="217">
        <f t="shared" si="0"/>
        <v>5.428000998253057</v>
      </c>
      <c r="E66" s="232">
        <f t="shared" si="4"/>
        <v>0.8014</v>
      </c>
      <c r="F66" s="24">
        <v>5.9</v>
      </c>
      <c r="G66" s="405">
        <v>5.6071637793957656</v>
      </c>
      <c r="H66" s="419">
        <f t="shared" si="5"/>
        <v>95.036674227046873</v>
      </c>
      <c r="I66" s="429">
        <f t="shared" si="6"/>
        <v>94.127184940804455</v>
      </c>
      <c r="J66" s="426">
        <v>60</v>
      </c>
      <c r="K66" s="401">
        <v>0.24027777777777778</v>
      </c>
      <c r="L66" s="394">
        <v>346</v>
      </c>
      <c r="M66" s="394" t="s">
        <v>1298</v>
      </c>
      <c r="N66" s="394" t="s">
        <v>2301</v>
      </c>
      <c r="O66" s="395" t="s">
        <v>217</v>
      </c>
      <c r="P66" s="402" t="s">
        <v>2292</v>
      </c>
      <c r="Q66" s="114" t="s">
        <v>2293</v>
      </c>
      <c r="R66" s="116">
        <v>45101</v>
      </c>
    </row>
    <row r="67" spans="1:18" ht="15.95" customHeight="1">
      <c r="A67" s="210">
        <v>61</v>
      </c>
      <c r="B67" s="302">
        <v>3.9814814814814817E-3</v>
      </c>
      <c r="C67" s="217">
        <f t="shared" si="3"/>
        <v>5.7333333333333334</v>
      </c>
      <c r="D67" s="217">
        <f t="shared" si="0"/>
        <v>5.4945054945054945</v>
      </c>
      <c r="E67" s="232">
        <f t="shared" si="4"/>
        <v>0.79169999999999996</v>
      </c>
      <c r="F67" s="24">
        <v>5.7333333333333334</v>
      </c>
      <c r="G67" s="405">
        <v>5.67628245859279</v>
      </c>
      <c r="H67" s="419">
        <f t="shared" si="5"/>
        <v>99.00492660336262</v>
      </c>
      <c r="I67" s="429">
        <f t="shared" si="6"/>
        <v>95.834398159979557</v>
      </c>
      <c r="J67" s="426">
        <v>61</v>
      </c>
      <c r="K67" s="394" t="s">
        <v>2302</v>
      </c>
      <c r="L67" s="394">
        <v>344</v>
      </c>
      <c r="M67" s="394" t="s">
        <v>335</v>
      </c>
      <c r="N67" s="394" t="s">
        <v>336</v>
      </c>
      <c r="O67" s="395" t="s">
        <v>217</v>
      </c>
      <c r="P67" s="394" t="s">
        <v>2275</v>
      </c>
      <c r="Q67" s="394" t="s">
        <v>2271</v>
      </c>
      <c r="R67" s="396">
        <v>41495</v>
      </c>
    </row>
    <row r="68" spans="1:18" ht="15.95" customHeight="1">
      <c r="A68" s="210">
        <v>62</v>
      </c>
      <c r="B68" s="302">
        <v>4.1898148148148146E-3</v>
      </c>
      <c r="C68" s="217">
        <f t="shared" si="3"/>
        <v>6.0333333333333332</v>
      </c>
      <c r="D68" s="217">
        <f t="shared" si="0"/>
        <v>5.562659846547314</v>
      </c>
      <c r="E68" s="232">
        <f t="shared" si="4"/>
        <v>0.78200000000000003</v>
      </c>
      <c r="F68" s="24">
        <v>6.083333333333333</v>
      </c>
      <c r="G68" s="405">
        <v>5.7471264367816097</v>
      </c>
      <c r="H68" s="419">
        <f t="shared" si="5"/>
        <v>94.473311289560712</v>
      </c>
      <c r="I68" s="429">
        <f t="shared" si="6"/>
        <v>92.198781986972051</v>
      </c>
      <c r="J68" s="426">
        <v>62</v>
      </c>
      <c r="K68" s="401">
        <v>0.25138888888888888</v>
      </c>
      <c r="L68" s="394">
        <v>362</v>
      </c>
      <c r="M68" s="1" t="s">
        <v>2303</v>
      </c>
      <c r="N68" s="1" t="s">
        <v>2304</v>
      </c>
      <c r="O68" s="395" t="s">
        <v>217</v>
      </c>
      <c r="P68" s="1" t="s">
        <v>2292</v>
      </c>
      <c r="Q68" s="1" t="s">
        <v>2293</v>
      </c>
      <c r="R68" s="393">
        <v>45101</v>
      </c>
    </row>
    <row r="69" spans="1:18" ht="15.95" customHeight="1">
      <c r="A69" s="210">
        <v>63</v>
      </c>
      <c r="B69" s="302">
        <v>3.9236111111111112E-3</v>
      </c>
      <c r="C69" s="217">
        <f t="shared" si="3"/>
        <v>5.65</v>
      </c>
      <c r="D69" s="217">
        <f t="shared" si="0"/>
        <v>5.6325262203806803</v>
      </c>
      <c r="E69" s="232">
        <f t="shared" si="4"/>
        <v>0.77229999999999999</v>
      </c>
      <c r="F69" s="24">
        <v>5.65</v>
      </c>
      <c r="G69" s="405">
        <v>5.8205195030840073</v>
      </c>
      <c r="H69" s="419">
        <f t="shared" si="5"/>
        <v>103.01804430237181</v>
      </c>
      <c r="I69" s="429">
        <f t="shared" si="6"/>
        <v>99.690729564259826</v>
      </c>
      <c r="J69" s="426">
        <v>63</v>
      </c>
      <c r="K69" s="401">
        <v>0.25138888888888888</v>
      </c>
      <c r="L69" s="394">
        <v>362</v>
      </c>
      <c r="M69" s="1" t="s">
        <v>872</v>
      </c>
      <c r="N69" s="1" t="s">
        <v>2305</v>
      </c>
      <c r="O69" s="395" t="s">
        <v>217</v>
      </c>
      <c r="P69" s="1" t="s">
        <v>2306</v>
      </c>
      <c r="Q69" s="1" t="s">
        <v>2294</v>
      </c>
      <c r="R69" s="393">
        <v>45053</v>
      </c>
    </row>
    <row r="70" spans="1:18" ht="15.95" customHeight="1">
      <c r="A70" s="210">
        <v>64</v>
      </c>
      <c r="B70" s="302">
        <v>4.0277777777777777E-3</v>
      </c>
      <c r="C70" s="217">
        <f t="shared" si="3"/>
        <v>5.8</v>
      </c>
      <c r="D70" s="217">
        <f t="shared" si="0"/>
        <v>5.7041699449252556</v>
      </c>
      <c r="E70" s="232">
        <f t="shared" si="4"/>
        <v>0.76259999999999994</v>
      </c>
      <c r="F70" s="24">
        <v>5.8</v>
      </c>
      <c r="G70" s="405">
        <v>5.8950332145528135</v>
      </c>
      <c r="H70" s="419">
        <f t="shared" si="5"/>
        <v>101.63850369918644</v>
      </c>
      <c r="I70" s="429">
        <f t="shared" si="6"/>
        <v>98.347757671125095</v>
      </c>
      <c r="J70" s="426">
        <v>64</v>
      </c>
      <c r="K70" s="394" t="s">
        <v>2307</v>
      </c>
      <c r="L70" s="394">
        <v>348</v>
      </c>
      <c r="M70" s="394" t="s">
        <v>340</v>
      </c>
      <c r="N70" s="394" t="s">
        <v>341</v>
      </c>
      <c r="O70" s="395" t="s">
        <v>217</v>
      </c>
      <c r="P70" s="394" t="s">
        <v>2275</v>
      </c>
      <c r="Q70" s="394" t="s">
        <v>2271</v>
      </c>
      <c r="R70" s="396">
        <v>41495</v>
      </c>
    </row>
    <row r="71" spans="1:18" ht="15.95" customHeight="1">
      <c r="A71" s="210">
        <v>65</v>
      </c>
      <c r="B71" s="302">
        <v>4.2592592592592595E-3</v>
      </c>
      <c r="C71" s="217">
        <f t="shared" si="3"/>
        <v>6.1333333333333337</v>
      </c>
      <c r="D71" s="217">
        <f t="shared" si="0"/>
        <v>5.7776597157657053</v>
      </c>
      <c r="E71" s="232">
        <f t="shared" si="4"/>
        <v>0.75290000000000001</v>
      </c>
      <c r="F71" s="24">
        <v>6.1333333333333337</v>
      </c>
      <c r="G71" s="405">
        <v>5.9714795008912658</v>
      </c>
      <c r="H71" s="419">
        <f t="shared" si="5"/>
        <v>97.361078818879321</v>
      </c>
      <c r="I71" s="429">
        <f t="shared" si="6"/>
        <v>94.200973626614754</v>
      </c>
      <c r="J71" s="426">
        <v>65</v>
      </c>
      <c r="K71" s="394" t="s">
        <v>2308</v>
      </c>
      <c r="L71" s="394">
        <v>368</v>
      </c>
      <c r="M71" s="394" t="s">
        <v>340</v>
      </c>
      <c r="N71" s="394" t="s">
        <v>341</v>
      </c>
      <c r="O71" s="395" t="s">
        <v>217</v>
      </c>
      <c r="P71" s="394" t="s">
        <v>2275</v>
      </c>
      <c r="Q71" s="394" t="s">
        <v>2276</v>
      </c>
      <c r="R71" s="396">
        <v>41873</v>
      </c>
    </row>
    <row r="72" spans="1:18" ht="15.95" customHeight="1">
      <c r="A72" s="210">
        <v>66</v>
      </c>
      <c r="B72" s="302">
        <v>4.2361111111111106E-3</v>
      </c>
      <c r="C72" s="217">
        <f t="shared" si="3"/>
        <v>6.1</v>
      </c>
      <c r="D72" s="217">
        <f t="shared" si="0"/>
        <v>5.8530678148546826</v>
      </c>
      <c r="E72" s="232">
        <f t="shared" si="4"/>
        <v>0.74319999999999997</v>
      </c>
      <c r="F72" s="24">
        <v>6.1</v>
      </c>
      <c r="G72" s="405">
        <v>6.0499345342904878</v>
      </c>
      <c r="H72" s="419">
        <f t="shared" si="5"/>
        <v>99.179254660499808</v>
      </c>
      <c r="I72" s="429">
        <f t="shared" si="6"/>
        <v>95.95193139106037</v>
      </c>
      <c r="J72" s="426">
        <v>66</v>
      </c>
      <c r="K72" s="394" t="s">
        <v>2309</v>
      </c>
      <c r="L72" s="394">
        <v>366</v>
      </c>
      <c r="M72" s="394" t="s">
        <v>340</v>
      </c>
      <c r="N72" s="394" t="s">
        <v>341</v>
      </c>
      <c r="O72" s="395" t="s">
        <v>217</v>
      </c>
      <c r="P72" s="394" t="s">
        <v>2310</v>
      </c>
      <c r="Q72" s="394" t="s">
        <v>2311</v>
      </c>
      <c r="R72" s="396">
        <v>42399</v>
      </c>
    </row>
    <row r="73" spans="1:18" ht="15.95" customHeight="1">
      <c r="A73" s="210">
        <v>67</v>
      </c>
      <c r="B73" s="302">
        <v>4.6180555555555558E-3</v>
      </c>
      <c r="C73" s="217">
        <f t="shared" si="3"/>
        <v>6.65</v>
      </c>
      <c r="D73" s="217">
        <f t="shared" ref="D73:D104" si="7">E$4/E73</f>
        <v>5.930470347648261</v>
      </c>
      <c r="E73" s="232">
        <f t="shared" si="4"/>
        <v>0.73350000000000004</v>
      </c>
      <c r="F73" s="24"/>
      <c r="G73" s="405">
        <v>6.1304785433250979</v>
      </c>
      <c r="H73" s="419"/>
      <c r="I73" s="429">
        <f t="shared" si="6"/>
        <v>89.180005227793387</v>
      </c>
      <c r="J73" s="426">
        <v>67</v>
      </c>
      <c r="K73" s="401">
        <v>0.27708333333333335</v>
      </c>
      <c r="L73" s="394">
        <v>399</v>
      </c>
      <c r="M73" s="1" t="s">
        <v>2312</v>
      </c>
      <c r="N73" s="1" t="s">
        <v>2313</v>
      </c>
      <c r="O73" s="395" t="s">
        <v>217</v>
      </c>
      <c r="P73" s="1" t="s">
        <v>2314</v>
      </c>
      <c r="Q73" s="1" t="s">
        <v>2315</v>
      </c>
      <c r="R73" s="393">
        <v>44758</v>
      </c>
    </row>
    <row r="74" spans="1:18" ht="15.95" customHeight="1">
      <c r="A74" s="210">
        <v>68</v>
      </c>
      <c r="B74" s="302">
        <v>4.2361111111111115E-3</v>
      </c>
      <c r="C74" s="217">
        <f t="shared" si="3"/>
        <v>6.1000000000000005</v>
      </c>
      <c r="D74" s="217">
        <f t="shared" si="7"/>
        <v>6.0099474993092006</v>
      </c>
      <c r="E74" s="232">
        <f t="shared" si="4"/>
        <v>0.7238</v>
      </c>
      <c r="F74" s="24">
        <v>6.1166666666666663</v>
      </c>
      <c r="G74" s="405">
        <v>6.2131960866138085</v>
      </c>
      <c r="H74" s="419">
        <f t="shared" si="5"/>
        <v>101.57813765581159</v>
      </c>
      <c r="I74" s="429">
        <f t="shared" si="6"/>
        <v>98.523729496872136</v>
      </c>
      <c r="J74" s="426">
        <v>68</v>
      </c>
      <c r="K74" s="401">
        <v>0.25416666666666665</v>
      </c>
      <c r="L74" s="394">
        <v>366</v>
      </c>
      <c r="M74" s="394" t="s">
        <v>340</v>
      </c>
      <c r="N74" s="394" t="s">
        <v>341</v>
      </c>
      <c r="O74" s="395" t="s">
        <v>217</v>
      </c>
      <c r="P74" s="394" t="s">
        <v>2316</v>
      </c>
      <c r="Q74" s="394" t="s">
        <v>2276</v>
      </c>
      <c r="R74" s="396">
        <v>42972</v>
      </c>
    </row>
    <row r="75" spans="1:18" ht="15.95" customHeight="1">
      <c r="A75" s="210">
        <v>69</v>
      </c>
      <c r="B75" s="302">
        <v>4.6180555555555558E-3</v>
      </c>
      <c r="C75" s="217">
        <f t="shared" si="3"/>
        <v>6.65</v>
      </c>
      <c r="D75" s="217">
        <f t="shared" si="7"/>
        <v>6.0924369747899156</v>
      </c>
      <c r="E75" s="232">
        <f t="shared" si="4"/>
        <v>0.71399999999999997</v>
      </c>
      <c r="F75" s="24">
        <v>6.65</v>
      </c>
      <c r="G75" s="405">
        <v>6.29817634893777</v>
      </c>
      <c r="H75" s="419">
        <f t="shared" si="5"/>
        <v>94.709418781019096</v>
      </c>
      <c r="I75" s="429">
        <f t="shared" si="6"/>
        <v>91.615593605863381</v>
      </c>
      <c r="J75" s="426">
        <v>69</v>
      </c>
      <c r="K75" s="394" t="s">
        <v>2317</v>
      </c>
      <c r="L75" s="394">
        <v>399</v>
      </c>
      <c r="M75" s="394" t="s">
        <v>357</v>
      </c>
      <c r="N75" s="394" t="s">
        <v>358</v>
      </c>
      <c r="O75" s="395" t="s">
        <v>217</v>
      </c>
      <c r="P75" s="394" t="s">
        <v>2316</v>
      </c>
      <c r="Q75" s="394" t="s">
        <v>2276</v>
      </c>
      <c r="R75" s="396">
        <v>42972</v>
      </c>
    </row>
    <row r="76" spans="1:18" ht="15.95" customHeight="1">
      <c r="A76" s="210">
        <v>70</v>
      </c>
      <c r="B76" s="302">
        <v>4.6064814814814814E-3</v>
      </c>
      <c r="C76" s="217">
        <f t="shared" si="3"/>
        <v>6.6333333333333329</v>
      </c>
      <c r="D76" s="217">
        <f t="shared" si="7"/>
        <v>6.1763453073974146</v>
      </c>
      <c r="E76" s="232">
        <f t="shared" si="4"/>
        <v>0.70430000000000004</v>
      </c>
      <c r="F76" s="24">
        <v>6.6333333333333329</v>
      </c>
      <c r="G76" s="405">
        <v>6.3855134619966645</v>
      </c>
      <c r="H76" s="419">
        <f t="shared" si="5"/>
        <v>96.264022040150735</v>
      </c>
      <c r="I76" s="429">
        <f t="shared" si="6"/>
        <v>93.110733277347961</v>
      </c>
      <c r="J76" s="426">
        <v>70</v>
      </c>
      <c r="K76" s="394" t="s">
        <v>2318</v>
      </c>
      <c r="L76" s="394">
        <v>398</v>
      </c>
      <c r="M76" s="394" t="s">
        <v>357</v>
      </c>
      <c r="N76" s="394" t="s">
        <v>358</v>
      </c>
      <c r="O76" s="395" t="s">
        <v>217</v>
      </c>
      <c r="P76" s="394" t="s">
        <v>2275</v>
      </c>
      <c r="Q76" s="394" t="s">
        <v>2276</v>
      </c>
      <c r="R76" s="396">
        <v>43336</v>
      </c>
    </row>
    <row r="77" spans="1:18" ht="15.95" customHeight="1">
      <c r="A77" s="210">
        <v>71</v>
      </c>
      <c r="B77" s="302">
        <v>4.4444444444444444E-3</v>
      </c>
      <c r="C77" s="217">
        <f t="shared" si="3"/>
        <v>6.4</v>
      </c>
      <c r="D77" s="217">
        <f t="shared" si="7"/>
        <v>6.2625971782320757</v>
      </c>
      <c r="E77" s="232">
        <f t="shared" si="4"/>
        <v>0.6946</v>
      </c>
      <c r="F77" s="24">
        <v>6.416666666666667</v>
      </c>
      <c r="G77" s="405">
        <v>6.4753068522276997</v>
      </c>
      <c r="H77" s="419">
        <f t="shared" si="5"/>
        <v>100.91387302173038</v>
      </c>
      <c r="I77" s="429">
        <f t="shared" si="6"/>
        <v>97.853080909876169</v>
      </c>
      <c r="J77" s="426">
        <v>71</v>
      </c>
      <c r="K77" s="401">
        <v>0.26666666666666666</v>
      </c>
      <c r="L77" s="394">
        <v>384</v>
      </c>
      <c r="M77" s="394" t="s">
        <v>357</v>
      </c>
      <c r="N77" s="394" t="s">
        <v>358</v>
      </c>
      <c r="O77" s="395" t="s">
        <v>217</v>
      </c>
      <c r="P77" s="394" t="s">
        <v>2275</v>
      </c>
      <c r="Q77" s="394" t="s">
        <v>2276</v>
      </c>
      <c r="R77" s="396">
        <v>43700</v>
      </c>
    </row>
    <row r="78" spans="1:18" ht="15.95" customHeight="1">
      <c r="A78" s="210">
        <v>72</v>
      </c>
      <c r="C78" s="217"/>
      <c r="D78" s="217">
        <f t="shared" si="7"/>
        <v>6.3512921594393346</v>
      </c>
      <c r="E78" s="232">
        <f t="shared" si="4"/>
        <v>0.68489999999999995</v>
      </c>
      <c r="F78" s="24"/>
      <c r="G78" s="405">
        <v>6.5676616183894527</v>
      </c>
      <c r="H78" s="419"/>
      <c r="I78" s="429"/>
      <c r="J78" s="426">
        <v>72</v>
      </c>
      <c r="K78" s="401"/>
      <c r="L78" s="394"/>
      <c r="M78" s="394"/>
      <c r="N78" s="394"/>
      <c r="O78" s="395"/>
      <c r="P78" s="398"/>
      <c r="Q78" s="398"/>
      <c r="R78" s="399"/>
    </row>
    <row r="79" spans="1:18" ht="15.95" customHeight="1">
      <c r="A79" s="210">
        <v>73</v>
      </c>
      <c r="B79" s="302">
        <v>4.8495370370370368E-3</v>
      </c>
      <c r="C79" s="217">
        <f t="shared" si="3"/>
        <v>6.9833333333333325</v>
      </c>
      <c r="D79" s="217">
        <f t="shared" si="7"/>
        <v>6.4425355450236959</v>
      </c>
      <c r="E79" s="232">
        <f t="shared" si="4"/>
        <v>0.67520000000000002</v>
      </c>
      <c r="F79" s="24"/>
      <c r="G79" s="405">
        <v>6.6636829280421699</v>
      </c>
      <c r="H79" s="419"/>
      <c r="I79" s="429">
        <f t="shared" si="6"/>
        <v>92.25587892635366</v>
      </c>
      <c r="J79" s="426">
        <v>73</v>
      </c>
      <c r="K79" s="401">
        <v>0.29097222222222224</v>
      </c>
      <c r="L79" s="394">
        <v>419</v>
      </c>
      <c r="M79" s="394" t="s">
        <v>2319</v>
      </c>
      <c r="N79" s="394" t="s">
        <v>2320</v>
      </c>
      <c r="O79" s="395" t="s">
        <v>217</v>
      </c>
      <c r="P79" s="402" t="s">
        <v>2292</v>
      </c>
      <c r="Q79" s="114" t="s">
        <v>2293</v>
      </c>
      <c r="R79" s="116">
        <v>45101</v>
      </c>
    </row>
    <row r="80" spans="1:18" ht="15.95" customHeight="1">
      <c r="A80" s="210">
        <v>74</v>
      </c>
      <c r="B80" s="302">
        <v>4.7685185185185183E-3</v>
      </c>
      <c r="C80" s="217">
        <f t="shared" si="3"/>
        <v>6.8666666666666663</v>
      </c>
      <c r="D80" s="217">
        <f t="shared" si="7"/>
        <v>6.5364387678437259</v>
      </c>
      <c r="E80" s="232">
        <f t="shared" si="4"/>
        <v>0.66549999999999998</v>
      </c>
      <c r="F80" s="24">
        <v>8.0500000000000007</v>
      </c>
      <c r="G80" s="405">
        <v>6.7615299222928655</v>
      </c>
      <c r="H80" s="419">
        <f t="shared" si="5"/>
        <v>83.994160525377211</v>
      </c>
      <c r="I80" s="429">
        <f t="shared" si="6"/>
        <v>95.190855842384352</v>
      </c>
      <c r="J80" s="426">
        <v>74</v>
      </c>
      <c r="K80" s="401">
        <v>0.28611111111111115</v>
      </c>
      <c r="L80" s="394">
        <v>402</v>
      </c>
      <c r="M80" s="394" t="s">
        <v>340</v>
      </c>
      <c r="N80" s="394" t="s">
        <v>341</v>
      </c>
      <c r="O80" s="395" t="s">
        <v>217</v>
      </c>
      <c r="P80" s="402" t="s">
        <v>2292</v>
      </c>
      <c r="Q80" s="114" t="s">
        <v>2293</v>
      </c>
      <c r="R80" s="116">
        <v>45101</v>
      </c>
    </row>
    <row r="81" spans="1:18" ht="15.95" customHeight="1">
      <c r="A81" s="210">
        <v>75</v>
      </c>
      <c r="B81" s="302">
        <v>4.6759259259259263E-3</v>
      </c>
      <c r="C81" s="217">
        <f t="shared" si="3"/>
        <v>6.7333333333333334</v>
      </c>
      <c r="D81" s="217">
        <f t="shared" si="7"/>
        <v>6.6331198536139055</v>
      </c>
      <c r="E81" s="232">
        <f t="shared" si="4"/>
        <v>0.65580000000000005</v>
      </c>
      <c r="F81" s="24">
        <v>8.3666666666666671</v>
      </c>
      <c r="G81" s="405">
        <v>6.8622932350079378</v>
      </c>
      <c r="H81" s="419">
        <f t="shared" si="5"/>
        <v>82.019441055871752</v>
      </c>
      <c r="I81" s="429">
        <f t="shared" si="6"/>
        <v>98.511680994265916</v>
      </c>
      <c r="J81" s="426">
        <v>75</v>
      </c>
      <c r="K81" s="401">
        <v>0.28055555555555556</v>
      </c>
      <c r="L81" s="394">
        <v>404</v>
      </c>
      <c r="M81" s="394" t="s">
        <v>357</v>
      </c>
      <c r="N81" s="394" t="s">
        <v>358</v>
      </c>
      <c r="O81" s="395" t="s">
        <v>217</v>
      </c>
      <c r="P81" s="402" t="s">
        <v>2292</v>
      </c>
      <c r="Q81" s="114" t="s">
        <v>2293</v>
      </c>
      <c r="R81" s="116">
        <v>45101</v>
      </c>
    </row>
    <row r="82" spans="1:18" ht="15.95" customHeight="1">
      <c r="A82" s="210">
        <v>76</v>
      </c>
      <c r="B82" s="302">
        <v>7.1180555555555554E-3</v>
      </c>
      <c r="C82" s="217">
        <f t="shared" si="3"/>
        <v>10.25</v>
      </c>
      <c r="D82" s="217">
        <f t="shared" si="7"/>
        <v>6.7327039158025066</v>
      </c>
      <c r="E82" s="232">
        <f t="shared" si="4"/>
        <v>0.64610000000000001</v>
      </c>
      <c r="F82" s="24">
        <v>10.25</v>
      </c>
      <c r="G82" s="405">
        <v>6.9661052193803288</v>
      </c>
      <c r="H82" s="419">
        <f t="shared" si="5"/>
        <v>67.962002140295894</v>
      </c>
      <c r="I82" s="429">
        <f t="shared" si="6"/>
        <v>65.684916251731778</v>
      </c>
      <c r="J82" s="426">
        <v>76</v>
      </c>
      <c r="K82" s="394" t="s">
        <v>2321</v>
      </c>
      <c r="L82" s="394">
        <v>615</v>
      </c>
      <c r="M82" s="394" t="s">
        <v>2322</v>
      </c>
      <c r="N82" s="394" t="s">
        <v>2323</v>
      </c>
      <c r="O82" s="395" t="s">
        <v>217</v>
      </c>
      <c r="P82" s="394" t="s">
        <v>2306</v>
      </c>
      <c r="Q82" s="394" t="s">
        <v>2294</v>
      </c>
      <c r="R82" s="396">
        <v>45023</v>
      </c>
    </row>
    <row r="83" spans="1:18" ht="15.95" customHeight="1">
      <c r="A83" s="210">
        <v>77</v>
      </c>
      <c r="C83" s="217"/>
      <c r="D83" s="217">
        <f t="shared" si="7"/>
        <v>6.8353236957888122</v>
      </c>
      <c r="E83" s="232">
        <f t="shared" si="4"/>
        <v>0.63639999999999997</v>
      </c>
      <c r="F83" s="24"/>
      <c r="G83" s="405">
        <v>7.0731063605172872</v>
      </c>
      <c r="H83" s="419"/>
      <c r="I83" s="429"/>
      <c r="J83" s="426">
        <v>77</v>
      </c>
      <c r="K83" s="394"/>
      <c r="L83" s="394"/>
      <c r="M83" s="394"/>
      <c r="N83" s="394"/>
      <c r="O83" s="395"/>
      <c r="P83" s="394"/>
      <c r="Q83" s="394"/>
      <c r="R83" s="396"/>
    </row>
    <row r="84" spans="1:18" ht="15.95" customHeight="1">
      <c r="A84" s="210">
        <v>78</v>
      </c>
      <c r="C84" s="217"/>
      <c r="D84" s="217">
        <f t="shared" si="7"/>
        <v>6.9411201531833404</v>
      </c>
      <c r="E84" s="232">
        <f t="shared" si="4"/>
        <v>0.62670000000000003</v>
      </c>
      <c r="F84" s="24"/>
      <c r="G84" s="405">
        <v>7.1834459097244556</v>
      </c>
      <c r="H84" s="419"/>
      <c r="I84" s="429"/>
      <c r="J84" s="426">
        <v>78</v>
      </c>
      <c r="K84" s="401">
        <v>0.35833333333333334</v>
      </c>
      <c r="L84" s="394">
        <v>516</v>
      </c>
      <c r="M84" s="394" t="s">
        <v>2324</v>
      </c>
      <c r="N84" s="394" t="s">
        <v>2325</v>
      </c>
      <c r="O84" s="395" t="s">
        <v>217</v>
      </c>
      <c r="P84" s="394" t="s">
        <v>2326</v>
      </c>
      <c r="Q84" s="394" t="s">
        <v>2327</v>
      </c>
      <c r="R84" s="396">
        <v>43897</v>
      </c>
    </row>
    <row r="85" spans="1:18" ht="15.95" customHeight="1">
      <c r="A85" s="210">
        <v>79</v>
      </c>
      <c r="C85" s="217"/>
      <c r="D85" s="217">
        <f t="shared" si="7"/>
        <v>7.0525291828793764</v>
      </c>
      <c r="E85" s="232">
        <f t="shared" si="4"/>
        <v>0.61680000000000001</v>
      </c>
      <c r="F85" s="24"/>
      <c r="G85" s="405">
        <v>7.2984749455337692</v>
      </c>
      <c r="H85" s="419"/>
      <c r="I85" s="429"/>
      <c r="J85" s="426">
        <v>79</v>
      </c>
      <c r="K85" s="401"/>
      <c r="L85" s="394"/>
      <c r="M85" s="394"/>
      <c r="N85" s="394"/>
      <c r="O85" s="395"/>
      <c r="P85" s="394"/>
      <c r="Q85" s="394"/>
      <c r="R85" s="396"/>
    </row>
    <row r="86" spans="1:18" ht="15.95" customHeight="1">
      <c r="A86" s="210">
        <v>80</v>
      </c>
      <c r="B86" s="302">
        <v>5.185185185185185E-3</v>
      </c>
      <c r="C86" s="217">
        <f t="shared" si="3"/>
        <v>7.4666666666666668</v>
      </c>
      <c r="D86" s="217">
        <f t="shared" si="7"/>
        <v>7.1758495546024417</v>
      </c>
      <c r="E86" s="232">
        <f t="shared" si="4"/>
        <v>0.60619999999999996</v>
      </c>
      <c r="F86" s="24">
        <v>10.933333333333334</v>
      </c>
      <c r="G86" s="405">
        <v>7.4283496867897343</v>
      </c>
      <c r="H86" s="419">
        <f t="shared" si="5"/>
        <v>67.942222745028047</v>
      </c>
      <c r="I86" s="429">
        <f t="shared" si="6"/>
        <v>96.105127963425559</v>
      </c>
      <c r="J86" s="426">
        <v>80</v>
      </c>
      <c r="K86" s="401">
        <v>0.31111111111111112</v>
      </c>
      <c r="L86" s="394">
        <v>448</v>
      </c>
      <c r="M86" s="394" t="s">
        <v>354</v>
      </c>
      <c r="N86" s="394" t="s">
        <v>355</v>
      </c>
      <c r="O86" s="395" t="s">
        <v>217</v>
      </c>
      <c r="P86" s="394" t="s">
        <v>2328</v>
      </c>
      <c r="Q86" s="394" t="s">
        <v>2329</v>
      </c>
      <c r="R86" s="396">
        <v>45494</v>
      </c>
    </row>
    <row r="87" spans="1:18" ht="15.95" customHeight="1">
      <c r="A87" s="210">
        <v>81</v>
      </c>
      <c r="B87" s="302">
        <v>6.215277777777777E-3</v>
      </c>
      <c r="C87" s="217">
        <f t="shared" si="3"/>
        <v>8.9499999999999993</v>
      </c>
      <c r="D87" s="217">
        <f t="shared" si="7"/>
        <v>7.3158425832492426</v>
      </c>
      <c r="E87" s="232">
        <f t="shared" si="4"/>
        <v>0.59460000000000002</v>
      </c>
      <c r="F87" s="24">
        <v>8.9499999999999993</v>
      </c>
      <c r="G87" s="405">
        <v>7.5744728958227352</v>
      </c>
      <c r="H87" s="419">
        <f t="shared" si="5"/>
        <v>84.630982076231675</v>
      </c>
      <c r="I87" s="429">
        <f t="shared" si="6"/>
        <v>81.741257913399366</v>
      </c>
      <c r="J87" s="426">
        <v>81</v>
      </c>
      <c r="K87" s="394" t="s">
        <v>2330</v>
      </c>
      <c r="L87" s="394">
        <v>537</v>
      </c>
      <c r="M87" s="394" t="s">
        <v>2331</v>
      </c>
      <c r="N87" s="394" t="s">
        <v>2332</v>
      </c>
      <c r="O87" s="395" t="s">
        <v>217</v>
      </c>
      <c r="P87" s="394" t="s">
        <v>2306</v>
      </c>
      <c r="Q87" s="394" t="s">
        <v>2294</v>
      </c>
      <c r="R87" s="396">
        <v>43226</v>
      </c>
    </row>
    <row r="88" spans="1:18" ht="15.95" customHeight="1">
      <c r="A88" s="210">
        <v>82</v>
      </c>
      <c r="B88" s="302">
        <v>7.9976851851851858E-3</v>
      </c>
      <c r="C88" s="217">
        <f t="shared" si="3"/>
        <v>11.516666666666667</v>
      </c>
      <c r="D88" s="217">
        <f t="shared" si="7"/>
        <v>7.4729427933344788</v>
      </c>
      <c r="E88" s="232">
        <f t="shared" si="4"/>
        <v>0.58209999999999995</v>
      </c>
      <c r="F88" s="24">
        <v>11.516666666666667</v>
      </c>
      <c r="G88" s="405">
        <v>7.7385077385077379</v>
      </c>
      <c r="H88" s="419">
        <f t="shared" si="5"/>
        <v>67.193989046376871</v>
      </c>
      <c r="I88" s="429">
        <f t="shared" si="6"/>
        <v>64.888070564409361</v>
      </c>
      <c r="J88" s="426">
        <v>82</v>
      </c>
      <c r="K88" s="394" t="s">
        <v>2333</v>
      </c>
      <c r="L88" s="394">
        <v>691</v>
      </c>
      <c r="M88" s="394" t="s">
        <v>2334</v>
      </c>
      <c r="N88" s="394" t="s">
        <v>2335</v>
      </c>
      <c r="O88" s="395" t="s">
        <v>217</v>
      </c>
      <c r="P88" s="394" t="s">
        <v>2336</v>
      </c>
      <c r="Q88" s="394" t="s">
        <v>2276</v>
      </c>
      <c r="R88" s="396">
        <v>43336</v>
      </c>
    </row>
    <row r="89" spans="1:18" ht="15.95" customHeight="1">
      <c r="A89" s="210">
        <v>83</v>
      </c>
      <c r="D89" s="217">
        <f t="shared" si="7"/>
        <v>7.6503693281744631</v>
      </c>
      <c r="E89" s="232">
        <f t="shared" si="4"/>
        <v>0.56859999999999999</v>
      </c>
      <c r="G89" s="405">
        <v>7.9238365560877542</v>
      </c>
      <c r="H89" s="419"/>
      <c r="I89" s="429"/>
      <c r="J89" s="426">
        <v>83</v>
      </c>
      <c r="K89" s="398"/>
      <c r="L89" s="398"/>
      <c r="M89" s="398"/>
      <c r="N89" s="398"/>
      <c r="O89" s="395"/>
      <c r="P89" s="394"/>
      <c r="Q89" s="394"/>
      <c r="R89" s="396"/>
    </row>
    <row r="90" spans="1:18" ht="15.95" customHeight="1">
      <c r="A90" s="210">
        <v>84</v>
      </c>
      <c r="D90" s="217">
        <f t="shared" si="7"/>
        <v>7.8491519307109341</v>
      </c>
      <c r="E90" s="232">
        <f t="shared" si="4"/>
        <v>0.55420000000000003</v>
      </c>
      <c r="G90" s="405">
        <v>8.1315613811517693</v>
      </c>
      <c r="H90" s="419"/>
      <c r="I90" s="429"/>
      <c r="J90" s="426">
        <v>84</v>
      </c>
      <c r="K90" s="398"/>
      <c r="L90" s="398"/>
      <c r="M90" s="398"/>
      <c r="N90" s="398"/>
      <c r="O90" s="395"/>
      <c r="P90" s="394"/>
      <c r="Q90" s="394"/>
      <c r="R90" s="396"/>
    </row>
    <row r="91" spans="1:18" ht="15.95" customHeight="1">
      <c r="A91" s="210">
        <v>85</v>
      </c>
      <c r="B91" s="302">
        <v>0.01</v>
      </c>
      <c r="C91" s="217">
        <f>B91*1440</f>
        <v>14.4</v>
      </c>
      <c r="D91" s="217">
        <f t="shared" si="7"/>
        <v>8.0734966592427622</v>
      </c>
      <c r="E91" s="232">
        <f t="shared" si="4"/>
        <v>0.53879999999999995</v>
      </c>
      <c r="G91" s="405">
        <v>8.3645443196004994</v>
      </c>
      <c r="H91" s="419"/>
      <c r="I91" s="429">
        <f t="shared" si="6"/>
        <v>56.065949022519177</v>
      </c>
      <c r="J91" s="426">
        <v>85</v>
      </c>
      <c r="K91" s="403">
        <v>0.6</v>
      </c>
      <c r="L91" s="157">
        <v>868</v>
      </c>
      <c r="M91" s="157" t="s">
        <v>1596</v>
      </c>
      <c r="N91" s="157" t="s">
        <v>2337</v>
      </c>
      <c r="O91" s="395" t="s">
        <v>217</v>
      </c>
      <c r="P91" s="394" t="s">
        <v>2275</v>
      </c>
      <c r="Q91" s="394" t="s">
        <v>2294</v>
      </c>
      <c r="R91" s="396">
        <v>45523</v>
      </c>
    </row>
    <row r="92" spans="1:18" ht="15.95" customHeight="1">
      <c r="A92" s="210">
        <v>86</v>
      </c>
      <c r="D92" s="217">
        <f t="shared" si="7"/>
        <v>8.3253588516746415</v>
      </c>
      <c r="E92" s="232">
        <f t="shared" si="4"/>
        <v>0.52249999999999996</v>
      </c>
      <c r="G92" s="405">
        <v>8.6279054793638519</v>
      </c>
      <c r="H92" s="419"/>
      <c r="I92" s="429"/>
      <c r="J92" s="422"/>
      <c r="K92" s="403"/>
      <c r="L92" s="157"/>
      <c r="M92" s="157"/>
      <c r="N92" s="157"/>
      <c r="O92" s="395"/>
      <c r="P92" s="394"/>
      <c r="Q92" s="394"/>
      <c r="R92" s="396"/>
    </row>
    <row r="93" spans="1:18" ht="15.95" customHeight="1">
      <c r="A93" s="210">
        <v>87</v>
      </c>
      <c r="B93" s="302">
        <v>7.9398148148148145E-3</v>
      </c>
      <c r="C93" s="217">
        <f>B93*1440</f>
        <v>11.433333333333334</v>
      </c>
      <c r="D93" s="217">
        <f t="shared" si="7"/>
        <v>8.6087472788442501</v>
      </c>
      <c r="E93" s="232">
        <f t="shared" si="4"/>
        <v>0.50529999999999997</v>
      </c>
      <c r="G93" s="405">
        <v>8.926192379429791</v>
      </c>
      <c r="H93" s="419"/>
      <c r="I93" s="429">
        <f t="shared" si="6"/>
        <v>75.295165704177123</v>
      </c>
      <c r="J93" s="423">
        <v>87</v>
      </c>
      <c r="K93" s="403">
        <v>0.47638888888888886</v>
      </c>
      <c r="L93" s="157">
        <v>686</v>
      </c>
      <c r="M93" s="157" t="s">
        <v>1250</v>
      </c>
      <c r="N93" s="157" t="s">
        <v>2338</v>
      </c>
      <c r="O93" s="395" t="s">
        <v>217</v>
      </c>
      <c r="P93" s="394" t="s">
        <v>2328</v>
      </c>
      <c r="Q93" s="394" t="s">
        <v>2329</v>
      </c>
      <c r="R93" s="396">
        <v>45494</v>
      </c>
    </row>
    <row r="94" spans="1:18" ht="15.95" customHeight="1">
      <c r="A94" s="210">
        <v>88</v>
      </c>
      <c r="D94" s="217">
        <f t="shared" si="7"/>
        <v>8.930404434407718</v>
      </c>
      <c r="E94" s="232">
        <f t="shared" si="4"/>
        <v>0.48709999999999998</v>
      </c>
      <c r="G94" s="405">
        <v>9.2611790724998269</v>
      </c>
      <c r="H94" s="419"/>
      <c r="I94" s="429"/>
      <c r="J94" s="420"/>
    </row>
    <row r="95" spans="1:18" ht="15.95" customHeight="1">
      <c r="A95" s="210">
        <v>89</v>
      </c>
      <c r="D95" s="217">
        <f t="shared" si="7"/>
        <v>9.2948717948717938</v>
      </c>
      <c r="E95" s="232">
        <f t="shared" si="4"/>
        <v>0.46800000000000003</v>
      </c>
      <c r="G95" s="405">
        <v>9.6430627518710423</v>
      </c>
      <c r="H95" s="419"/>
      <c r="I95" s="429"/>
      <c r="J95" s="420"/>
    </row>
    <row r="96" spans="1:18" ht="15.95" customHeight="1">
      <c r="A96" s="210">
        <v>90</v>
      </c>
      <c r="D96" s="217">
        <f t="shared" si="7"/>
        <v>9.709821428571427</v>
      </c>
      <c r="E96" s="232">
        <f t="shared" si="4"/>
        <v>0.44800000000000001</v>
      </c>
      <c r="G96" s="405">
        <v>10.080493492815767</v>
      </c>
      <c r="H96" s="419"/>
      <c r="I96" s="429"/>
      <c r="J96" s="420"/>
    </row>
    <row r="97" spans="1:10" ht="15.95" customHeight="1">
      <c r="A97" s="210">
        <v>91</v>
      </c>
      <c r="D97" s="217">
        <f t="shared" si="7"/>
        <v>10.187353629976581</v>
      </c>
      <c r="E97" s="232">
        <f t="shared" si="4"/>
        <v>0.42699999999999999</v>
      </c>
      <c r="G97" s="405">
        <v>10.582010582010582</v>
      </c>
      <c r="H97" s="419"/>
      <c r="I97" s="429"/>
      <c r="J97" s="420"/>
    </row>
    <row r="98" spans="1:10" ht="15.95" customHeight="1">
      <c r="A98" s="210">
        <v>92</v>
      </c>
      <c r="D98" s="217">
        <f t="shared" si="7"/>
        <v>10.73808936065169</v>
      </c>
      <c r="E98" s="232">
        <f t="shared" si="4"/>
        <v>0.40510000000000002</v>
      </c>
      <c r="G98" s="405">
        <v>11.161086123604864</v>
      </c>
      <c r="H98" s="419"/>
      <c r="I98" s="429"/>
      <c r="J98" s="420"/>
    </row>
    <row r="99" spans="1:10" ht="15.95" customHeight="1">
      <c r="A99" s="210">
        <v>93</v>
      </c>
      <c r="D99" s="217">
        <f t="shared" si="7"/>
        <v>11.381475667189953</v>
      </c>
      <c r="E99" s="232">
        <f t="shared" si="4"/>
        <v>0.38219999999999998</v>
      </c>
      <c r="G99" s="405">
        <v>11.838501634420002</v>
      </c>
      <c r="H99" s="419"/>
      <c r="I99" s="429"/>
      <c r="J99" s="420"/>
    </row>
    <row r="100" spans="1:10" ht="15.95" customHeight="1">
      <c r="A100" s="210">
        <v>94</v>
      </c>
      <c r="D100" s="217">
        <f t="shared" si="7"/>
        <v>12.137276785714285</v>
      </c>
      <c r="E100" s="232">
        <f t="shared" si="4"/>
        <v>0.3584</v>
      </c>
      <c r="G100" s="405">
        <v>12.635549269212637</v>
      </c>
      <c r="H100" s="419"/>
      <c r="I100" s="429"/>
      <c r="J100" s="420"/>
    </row>
    <row r="101" spans="1:10" ht="15.95" customHeight="1">
      <c r="A101" s="210">
        <v>95</v>
      </c>
      <c r="D101" s="217">
        <f t="shared" si="7"/>
        <v>13.03956834532374</v>
      </c>
      <c r="E101" s="232">
        <f t="shared" si="4"/>
        <v>0.33360000000000001</v>
      </c>
      <c r="G101" s="405">
        <v>13.584752635847527</v>
      </c>
      <c r="H101" s="419"/>
      <c r="I101" s="429"/>
      <c r="J101" s="420"/>
    </row>
    <row r="102" spans="1:10" ht="15.95" customHeight="1">
      <c r="A102" s="210">
        <v>96</v>
      </c>
      <c r="D102" s="217">
        <f t="shared" si="7"/>
        <v>14.127963624553425</v>
      </c>
      <c r="E102" s="232">
        <f t="shared" si="4"/>
        <v>0.30790000000000001</v>
      </c>
      <c r="G102" s="405">
        <v>14.736610579566701</v>
      </c>
      <c r="H102" s="419"/>
      <c r="I102" s="429"/>
      <c r="J102" s="420"/>
    </row>
    <row r="103" spans="1:10" ht="15.95" customHeight="1">
      <c r="A103" s="210">
        <v>97</v>
      </c>
      <c r="D103" s="217">
        <f t="shared" si="7"/>
        <v>15.463917525773194</v>
      </c>
      <c r="E103" s="232">
        <f t="shared" si="4"/>
        <v>0.28129999999999999</v>
      </c>
      <c r="G103" s="405">
        <v>16.160154365653643</v>
      </c>
      <c r="H103" s="419"/>
      <c r="I103" s="429"/>
      <c r="J103" s="420"/>
    </row>
    <row r="104" spans="1:10" ht="15.95" customHeight="1">
      <c r="A104" s="210">
        <v>98</v>
      </c>
      <c r="D104" s="217">
        <f t="shared" si="7"/>
        <v>17.14623571147024</v>
      </c>
      <c r="E104" s="232">
        <f t="shared" si="4"/>
        <v>0.25369999999999998</v>
      </c>
      <c r="G104" s="405">
        <v>17.945627427346992</v>
      </c>
      <c r="H104" s="419"/>
      <c r="I104" s="429"/>
      <c r="J104" s="420"/>
    </row>
    <row r="105" spans="1:10" ht="15.95" customHeight="1">
      <c r="A105" s="210">
        <v>99</v>
      </c>
      <c r="D105" s="217">
        <f>E$4/E105</f>
        <v>19.31616341030195</v>
      </c>
      <c r="E105" s="232">
        <f t="shared" si="4"/>
        <v>0.22520000000000001</v>
      </c>
      <c r="G105" s="405">
        <v>20.26618269812462</v>
      </c>
      <c r="H105" s="419"/>
      <c r="I105" s="429"/>
      <c r="J105" s="420"/>
    </row>
    <row r="106" spans="1:10" ht="15.95" customHeight="1">
      <c r="A106" s="210">
        <v>100</v>
      </c>
      <c r="D106" s="217">
        <f>E$4/E106</f>
        <v>22.216547497446371</v>
      </c>
      <c r="E106" s="232">
        <f t="shared" si="4"/>
        <v>0.1958</v>
      </c>
      <c r="G106" s="405">
        <v>23.397939584424659</v>
      </c>
      <c r="H106" s="419"/>
      <c r="I106" s="429"/>
      <c r="J106" s="420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74FA-A0C0-4818-A0A3-0D1273CFDDBA}">
  <dimension ref="A1:K106"/>
  <sheetViews>
    <sheetView topLeftCell="A6" workbookViewId="0">
      <selection activeCell="H46" sqref="H46"/>
    </sheetView>
  </sheetViews>
  <sheetFormatPr defaultRowHeight="15"/>
  <sheetData>
    <row r="1" spans="1:11" ht="31.5">
      <c r="A1" s="206" t="s">
        <v>2383</v>
      </c>
      <c r="B1" s="207"/>
      <c r="C1" s="208"/>
      <c r="D1" s="209" t="s">
        <v>32</v>
      </c>
      <c r="E1" s="209" t="s">
        <v>54</v>
      </c>
      <c r="K1" s="207" t="s">
        <v>2382</v>
      </c>
    </row>
    <row r="2" spans="1:11" ht="22.5">
      <c r="A2" s="206"/>
      <c r="B2" s="207"/>
      <c r="C2" s="208"/>
      <c r="D2" s="209"/>
      <c r="E2" s="209"/>
      <c r="K2" s="207">
        <v>0.54938201715518198</v>
      </c>
    </row>
    <row r="3" spans="1:11" ht="22.5">
      <c r="A3" s="206"/>
      <c r="B3" s="207"/>
      <c r="C3" s="208"/>
      <c r="D3" s="209"/>
      <c r="E3" s="209"/>
    </row>
    <row r="4" spans="1:11" ht="15.75">
      <c r="A4" s="207"/>
      <c r="B4" s="207"/>
      <c r="C4" s="207"/>
      <c r="D4" s="214">
        <f>Parameters!G15</f>
        <v>5.7291666666666663E-3</v>
      </c>
      <c r="E4" s="215">
        <f>D4*1440</f>
        <v>8.25</v>
      </c>
    </row>
    <row r="5" spans="1:11" ht="15.75">
      <c r="A5" s="207"/>
      <c r="B5" s="207"/>
      <c r="C5" s="207"/>
      <c r="D5" s="214"/>
      <c r="E5" s="207">
        <f>E4*60</f>
        <v>495</v>
      </c>
    </row>
    <row r="6" spans="1:11" ht="31.5">
      <c r="A6" s="218" t="s">
        <v>52</v>
      </c>
      <c r="B6" s="218" t="s">
        <v>32</v>
      </c>
      <c r="C6" s="218" t="s">
        <v>53</v>
      </c>
      <c r="D6" s="218" t="s">
        <v>2379</v>
      </c>
      <c r="E6" s="218" t="s">
        <v>2380</v>
      </c>
    </row>
    <row r="7" spans="1:11">
      <c r="A7" s="210">
        <v>1</v>
      </c>
      <c r="B7" s="210"/>
      <c r="C7" s="210"/>
      <c r="D7" s="210"/>
      <c r="E7" s="210"/>
    </row>
    <row r="8" spans="1:11">
      <c r="A8" s="210">
        <v>2</v>
      </c>
      <c r="B8" s="210"/>
      <c r="C8" s="210"/>
      <c r="D8" s="210"/>
      <c r="E8" s="210"/>
    </row>
    <row r="9" spans="1:11">
      <c r="A9" s="210">
        <v>3</v>
      </c>
      <c r="B9" s="231"/>
      <c r="C9" s="217"/>
      <c r="D9" s="217"/>
      <c r="E9" s="232"/>
    </row>
    <row r="10" spans="1:11">
      <c r="A10" s="210">
        <v>4</v>
      </c>
      <c r="B10" s="234"/>
      <c r="C10" s="217"/>
      <c r="D10" s="217">
        <f>E$4/E10</f>
        <v>12.269459484737201</v>
      </c>
      <c r="E10" s="232">
        <f>Mile!$E10*(1-$K$2)+'5K'!$E10*$K$2</f>
        <v>0.67240125860986177</v>
      </c>
    </row>
    <row r="11" spans="1:11">
      <c r="A11" s="210">
        <v>5</v>
      </c>
      <c r="B11" s="234"/>
      <c r="C11" s="217"/>
      <c r="D11" s="217">
        <f t="shared" ref="D11:D74" si="0">E$4/E11</f>
        <v>11.70902701596437</v>
      </c>
      <c r="E11" s="232">
        <f>Mile!$E11*(1-$K$2)+'5K'!$E11*$K$2</f>
        <v>0.70458459005618068</v>
      </c>
    </row>
    <row r="12" spans="1:11">
      <c r="A12" s="210">
        <v>6</v>
      </c>
      <c r="B12" s="234"/>
      <c r="C12" s="217"/>
      <c r="D12" s="217">
        <f t="shared" si="0"/>
        <v>11.219712132602572</v>
      </c>
      <c r="E12" s="232">
        <f>Mile!$E12*(1-$K$2)+'5K'!$E12*$K$2</f>
        <v>0.7353129833007841</v>
      </c>
    </row>
    <row r="13" spans="1:11">
      <c r="A13" s="210">
        <v>7</v>
      </c>
      <c r="B13" s="234"/>
      <c r="C13" s="217"/>
      <c r="D13" s="217">
        <f t="shared" si="0"/>
        <v>10.789371662403488</v>
      </c>
      <c r="E13" s="232">
        <f>Mile!$E13*(1-$K$2)+'5K'!$E13*$K$2</f>
        <v>0.76464137654538766</v>
      </c>
    </row>
    <row r="14" spans="1:11">
      <c r="A14" s="210">
        <v>8</v>
      </c>
      <c r="B14" s="234"/>
      <c r="C14" s="217"/>
      <c r="D14" s="217">
        <f t="shared" si="0"/>
        <v>10.410621494980402</v>
      </c>
      <c r="E14" s="232">
        <f>Mile!$E14*(1-$K$2)+'5K'!$E14*$K$2</f>
        <v>0.79245989338656009</v>
      </c>
    </row>
    <row r="15" spans="1:11">
      <c r="A15" s="210">
        <v>9</v>
      </c>
      <c r="B15" s="234"/>
      <c r="C15" s="217"/>
      <c r="D15" s="217">
        <f t="shared" si="0"/>
        <v>10.074755784202015</v>
      </c>
      <c r="E15" s="232">
        <f>Mile!$E15*(1-$K$2)+'5K'!$E15*$K$2</f>
        <v>0.81887841022773267</v>
      </c>
    </row>
    <row r="16" spans="1:11">
      <c r="A16" s="210">
        <v>10</v>
      </c>
      <c r="B16" s="234"/>
      <c r="C16" s="217"/>
      <c r="D16" s="217">
        <f t="shared" si="0"/>
        <v>9.7767118830803401</v>
      </c>
      <c r="E16" s="232">
        <f>Mile!$E16*(1-$K$2)+'5K'!$E16*$K$2</f>
        <v>0.84384198886718953</v>
      </c>
    </row>
    <row r="17" spans="1:5">
      <c r="A17" s="210">
        <v>11</v>
      </c>
      <c r="B17" s="234"/>
      <c r="C17" s="217"/>
      <c r="D17" s="217">
        <f t="shared" si="0"/>
        <v>9.5117242338445127</v>
      </c>
      <c r="E17" s="232">
        <f>Mile!$E17*(1-$K$2)+'5K'!$E17*$K$2</f>
        <v>0.8673506293049309</v>
      </c>
    </row>
    <row r="18" spans="1:5">
      <c r="A18" s="210">
        <v>12</v>
      </c>
      <c r="B18" s="234"/>
      <c r="C18" s="217"/>
      <c r="D18" s="217">
        <f t="shared" si="0"/>
        <v>9.2752982409040392</v>
      </c>
      <c r="E18" s="232">
        <f>Mile!$E18*(1-$K$2)+'5K'!$E18*$K$2</f>
        <v>0.88945926974267231</v>
      </c>
    </row>
    <row r="19" spans="1:5">
      <c r="A19" s="210">
        <v>13</v>
      </c>
      <c r="B19" s="234"/>
      <c r="C19" s="217"/>
      <c r="D19" s="217">
        <f t="shared" si="0"/>
        <v>9.065355937533246</v>
      </c>
      <c r="E19" s="232">
        <f>Mile!$E19*(1-$K$2)+'5K'!$E19*$K$2</f>
        <v>0.91005803377698258</v>
      </c>
    </row>
    <row r="20" spans="1:5">
      <c r="A20" s="210">
        <v>14</v>
      </c>
      <c r="B20" s="234"/>
      <c r="C20" s="217"/>
      <c r="D20" s="217">
        <f t="shared" si="0"/>
        <v>8.8780625758471476</v>
      </c>
      <c r="E20" s="232">
        <f>Mile!$E20*(1-$K$2)+'5K'!$E20*$K$2</f>
        <v>0.929256797811293</v>
      </c>
    </row>
    <row r="21" spans="1:5">
      <c r="A21" s="210">
        <v>15</v>
      </c>
      <c r="B21" s="234"/>
      <c r="C21" s="217"/>
      <c r="D21" s="217">
        <f t="shared" si="0"/>
        <v>8.7096943911963596</v>
      </c>
      <c r="E21" s="232">
        <f>Mile!$E21*(1-$K$2)+'5K'!$E21*$K$2</f>
        <v>0.94722037645074986</v>
      </c>
    </row>
    <row r="22" spans="1:5">
      <c r="A22" s="210">
        <v>16</v>
      </c>
      <c r="B22" s="234"/>
      <c r="C22" s="217"/>
      <c r="D22" s="217">
        <f t="shared" si="0"/>
        <v>8.550874629300889</v>
      </c>
      <c r="E22" s="232">
        <f>Mile!$E22*(1-$K$2)+'5K'!$E22*$K$2</f>
        <v>0.9648135843004999</v>
      </c>
    </row>
    <row r="23" spans="1:5">
      <c r="A23" s="210">
        <v>17</v>
      </c>
      <c r="B23" s="234"/>
      <c r="C23" s="217"/>
      <c r="D23" s="217">
        <f t="shared" si="0"/>
        <v>8.3977432423311669</v>
      </c>
      <c r="E23" s="232">
        <f>Mile!$E23*(1-$K$2)+'5K'!$E23*$K$2</f>
        <v>0.98240679215024995</v>
      </c>
    </row>
    <row r="24" spans="1:5">
      <c r="A24" s="210">
        <v>18</v>
      </c>
      <c r="B24" s="234"/>
      <c r="C24" s="217"/>
      <c r="D24" s="217">
        <f t="shared" si="0"/>
        <v>8.286331981169722</v>
      </c>
      <c r="E24" s="232">
        <f>Mile!$E24*(1-$K$2)+'5K'!$E24*$K$2</f>
        <v>0.99561543258799134</v>
      </c>
    </row>
    <row r="25" spans="1:5">
      <c r="A25" s="210">
        <v>19</v>
      </c>
      <c r="B25" s="234"/>
      <c r="C25" s="217"/>
      <c r="D25" s="217">
        <f t="shared" si="0"/>
        <v>8.25</v>
      </c>
      <c r="E25" s="232">
        <f>Mile!$E25*(1-$K$2)+'5K'!$E25*$K$2</f>
        <v>1</v>
      </c>
    </row>
    <row r="26" spans="1:5">
      <c r="A26" s="210">
        <v>20</v>
      </c>
      <c r="B26" s="234"/>
      <c r="C26" s="217"/>
      <c r="D26" s="217">
        <f t="shared" si="0"/>
        <v>8.25</v>
      </c>
      <c r="E26" s="232">
        <f>Mile!$E26*(1-$K$2)+'5K'!$E26*$K$2</f>
        <v>1</v>
      </c>
    </row>
    <row r="27" spans="1:5">
      <c r="A27" s="210">
        <v>21</v>
      </c>
      <c r="B27" s="234"/>
      <c r="C27" s="217"/>
      <c r="D27" s="217">
        <f t="shared" si="0"/>
        <v>8.25</v>
      </c>
      <c r="E27" s="232">
        <f>Mile!$E27*(1-$K$2)+'5K'!$E27*$K$2</f>
        <v>1</v>
      </c>
    </row>
    <row r="28" spans="1:5">
      <c r="A28" s="210">
        <v>22</v>
      </c>
      <c r="B28" s="234"/>
      <c r="C28" s="217"/>
      <c r="D28" s="217">
        <f t="shared" si="0"/>
        <v>8.25</v>
      </c>
      <c r="E28" s="232">
        <f>Mile!$E28*(1-$K$2)+'5K'!$E28*$K$2</f>
        <v>1</v>
      </c>
    </row>
    <row r="29" spans="1:5">
      <c r="A29" s="210">
        <v>23</v>
      </c>
      <c r="B29" s="234"/>
      <c r="C29" s="217"/>
      <c r="D29" s="217">
        <f t="shared" si="0"/>
        <v>8.25</v>
      </c>
      <c r="E29" s="232">
        <f>Mile!$E29*(1-$K$2)+'5K'!$E29*$K$2</f>
        <v>1</v>
      </c>
    </row>
    <row r="30" spans="1:5">
      <c r="A30" s="210">
        <v>24</v>
      </c>
      <c r="B30" s="234"/>
      <c r="C30" s="217"/>
      <c r="D30" s="217">
        <f t="shared" si="0"/>
        <v>8.25</v>
      </c>
      <c r="E30" s="232">
        <f>Mile!$E30*(1-$K$2)+'5K'!$E30*$K$2</f>
        <v>1</v>
      </c>
    </row>
    <row r="31" spans="1:5">
      <c r="A31" s="210">
        <v>25</v>
      </c>
      <c r="B31" s="234"/>
      <c r="C31" s="217"/>
      <c r="D31" s="217">
        <f t="shared" si="0"/>
        <v>8.25</v>
      </c>
      <c r="E31" s="232">
        <f>Mile!$E31*(1-$K$2)+'5K'!$E31*$K$2</f>
        <v>1</v>
      </c>
    </row>
    <row r="32" spans="1:5">
      <c r="A32" s="210">
        <v>26</v>
      </c>
      <c r="B32" s="234"/>
      <c r="C32" s="217"/>
      <c r="D32" s="217">
        <f t="shared" si="0"/>
        <v>8.25</v>
      </c>
      <c r="E32" s="232">
        <f>Mile!$E32*(1-$K$2)+'5K'!$E32*$K$2</f>
        <v>1</v>
      </c>
    </row>
    <row r="33" spans="1:5">
      <c r="A33" s="210">
        <v>27</v>
      </c>
      <c r="B33" s="234"/>
      <c r="C33" s="217"/>
      <c r="D33" s="217">
        <f t="shared" si="0"/>
        <v>8.2513599446311954</v>
      </c>
      <c r="E33" s="232">
        <f>Mile!$E33*(1-$K$2)+'5K'!$E33*$K$2</f>
        <v>0.9998351853948535</v>
      </c>
    </row>
    <row r="34" spans="1:5">
      <c r="A34" s="210">
        <v>28</v>
      </c>
      <c r="B34" s="234"/>
      <c r="C34" s="217"/>
      <c r="D34" s="217">
        <f t="shared" si="0"/>
        <v>8.2545348930302112</v>
      </c>
      <c r="E34" s="232">
        <f>Mile!$E34*(1-$K$2)+'5K'!$E34*$K$2</f>
        <v>0.99945061798284485</v>
      </c>
    </row>
    <row r="35" spans="1:5">
      <c r="A35" s="210">
        <v>29</v>
      </c>
      <c r="B35" s="234"/>
      <c r="C35" s="217"/>
      <c r="D35" s="217">
        <f t="shared" si="0"/>
        <v>8.2604377126462634</v>
      </c>
      <c r="E35" s="232">
        <f>Mile!$E35*(1-$K$2)+'5K'!$E35*$K$2</f>
        <v>0.99873642136054308</v>
      </c>
    </row>
    <row r="36" spans="1:5">
      <c r="A36" s="210">
        <v>30</v>
      </c>
      <c r="B36" s="234"/>
      <c r="C36" s="217"/>
      <c r="D36" s="217">
        <f t="shared" si="0"/>
        <v>8.2686247984605981</v>
      </c>
      <c r="E36" s="232">
        <f>Mile!$E36*(1-$K$2)+'5K'!$E36*$K$2</f>
        <v>0.99774753372966374</v>
      </c>
    </row>
    <row r="37" spans="1:5">
      <c r="A37" s="210">
        <v>31</v>
      </c>
      <c r="B37" s="234"/>
      <c r="C37" s="217"/>
      <c r="D37" s="217">
        <f t="shared" si="0"/>
        <v>8.2791097215942298</v>
      </c>
      <c r="E37" s="232">
        <f>Mile!$E37*(1-$K$2)+'5K'!$E37*$K$2</f>
        <v>0.99648395509020682</v>
      </c>
    </row>
    <row r="38" spans="1:5">
      <c r="A38" s="210">
        <v>32</v>
      </c>
      <c r="B38" s="234"/>
      <c r="C38" s="217"/>
      <c r="D38" s="217">
        <f t="shared" si="0"/>
        <v>8.2919099210260381</v>
      </c>
      <c r="E38" s="232">
        <f>Mile!$E38*(1-$K$2)+'5K'!$E38*$K$2</f>
        <v>0.99494568544217232</v>
      </c>
    </row>
    <row r="39" spans="1:5">
      <c r="A39" s="210">
        <v>33</v>
      </c>
      <c r="B39" s="234"/>
      <c r="C39" s="217"/>
      <c r="D39" s="217">
        <f t="shared" si="0"/>
        <v>8.3070467764329905</v>
      </c>
      <c r="E39" s="232">
        <f>Mile!$E39*(1-$K$2)+'5K'!$E39*$K$2</f>
        <v>0.99313272478556025</v>
      </c>
    </row>
    <row r="40" spans="1:5">
      <c r="A40" s="210">
        <v>34</v>
      </c>
      <c r="B40" s="234"/>
      <c r="C40" s="217"/>
      <c r="D40" s="217">
        <f t="shared" si="0"/>
        <v>8.3250071915975195</v>
      </c>
      <c r="E40" s="232">
        <f>Mile!$E40*(1-$K$2)+'5K'!$E40*$K$2</f>
        <v>0.99099013491865506</v>
      </c>
    </row>
    <row r="41" spans="1:5">
      <c r="A41" s="210">
        <v>35</v>
      </c>
      <c r="B41" s="234"/>
      <c r="C41" s="217"/>
      <c r="D41" s="217">
        <f t="shared" si="0"/>
        <v>8.3685491963708873</v>
      </c>
      <c r="E41" s="232">
        <f>Mile!$E41*(1-$K$2)+'5K'!$E41*$K$2</f>
        <v>0.98583396075124985</v>
      </c>
    </row>
    <row r="42" spans="1:5">
      <c r="A42" s="210">
        <v>36</v>
      </c>
      <c r="B42" s="234"/>
      <c r="C42" s="217"/>
      <c r="D42" s="217">
        <f t="shared" si="0"/>
        <v>8.4018609453577842</v>
      </c>
      <c r="E42" s="232">
        <f>Mile!$E42*(1-$K$2)+'5K'!$E42*$K$2</f>
        <v>0.98192532031350854</v>
      </c>
    </row>
    <row r="43" spans="1:5">
      <c r="A43" s="210">
        <v>37</v>
      </c>
      <c r="B43" s="234"/>
      <c r="C43" s="217"/>
      <c r="D43" s="217">
        <f t="shared" si="0"/>
        <v>8.4396684131041244</v>
      </c>
      <c r="E43" s="232">
        <f>Mile!$E43*(1-$K$2)+'5K'!$E43*$K$2</f>
        <v>0.97752655627919816</v>
      </c>
    </row>
    <row r="44" spans="1:5">
      <c r="A44" s="210">
        <v>38</v>
      </c>
      <c r="B44" s="234"/>
      <c r="C44" s="217"/>
      <c r="D44" s="217">
        <f t="shared" si="0"/>
        <v>8.4826550172598019</v>
      </c>
      <c r="E44" s="232">
        <f>Mile!$E44*(1-$K$2)+'5K'!$E44*$K$2</f>
        <v>0.97257285404317217</v>
      </c>
    </row>
    <row r="45" spans="1:5">
      <c r="A45" s="210">
        <v>39</v>
      </c>
      <c r="B45" s="234"/>
      <c r="C45" s="217"/>
      <c r="D45" s="217">
        <f t="shared" si="0"/>
        <v>8.5304897380887947</v>
      </c>
      <c r="E45" s="232">
        <f>Mile!$E45*(1-$K$2)+'5K'!$E45*$K$2</f>
        <v>0.96711915180714625</v>
      </c>
    </row>
    <row r="46" spans="1:5">
      <c r="A46" s="210">
        <v>40</v>
      </c>
      <c r="B46" s="234"/>
      <c r="C46" s="217"/>
      <c r="D46" s="217">
        <f t="shared" si="0"/>
        <v>8.5837321785644143</v>
      </c>
      <c r="E46" s="232">
        <f>Mile!$E46*(1-$K$2)+'5K'!$E46*$K$2</f>
        <v>0.96112038777283593</v>
      </c>
    </row>
    <row r="47" spans="1:5">
      <c r="A47" s="210">
        <v>41</v>
      </c>
      <c r="B47" s="234"/>
      <c r="C47" s="217"/>
      <c r="D47" s="217">
        <f t="shared" si="0"/>
        <v>8.6417596057214645</v>
      </c>
      <c r="E47" s="232">
        <f>Mile!$E47*(1-$K$2)+'5K'!$E47*$K$2</f>
        <v>0.95466668553681</v>
      </c>
    </row>
    <row r="48" spans="1:5">
      <c r="A48" s="210">
        <v>42</v>
      </c>
      <c r="B48" s="234"/>
      <c r="C48" s="217"/>
      <c r="D48" s="217">
        <f t="shared" si="0"/>
        <v>8.7055811564454633</v>
      </c>
      <c r="E48" s="232">
        <f>Mile!$E48*(1-$K$2)+'5K'!$E48*$K$2</f>
        <v>0.94766792150249968</v>
      </c>
    </row>
    <row r="49" spans="1:5">
      <c r="A49" s="210">
        <v>43</v>
      </c>
      <c r="B49" s="234"/>
      <c r="C49" s="217"/>
      <c r="D49" s="217">
        <f t="shared" si="0"/>
        <v>8.7745960770901714</v>
      </c>
      <c r="E49" s="232">
        <f>Mile!$E49*(1-$K$2)+'5K'!$E49*$K$2</f>
        <v>0.94021421926647397</v>
      </c>
    </row>
    <row r="50" spans="1:5">
      <c r="A50" s="210">
        <v>44</v>
      </c>
      <c r="B50" s="234"/>
      <c r="C50" s="217"/>
      <c r="D50" s="217">
        <f t="shared" si="0"/>
        <v>8.850407037493655</v>
      </c>
      <c r="E50" s="232">
        <f>Mile!$E50*(1-$K$2)+'5K'!$E50*$K$2</f>
        <v>0.93216051703044789</v>
      </c>
    </row>
    <row r="51" spans="1:5">
      <c r="A51" s="210">
        <v>45</v>
      </c>
      <c r="B51" s="234"/>
      <c r="C51" s="217"/>
      <c r="D51" s="217">
        <f t="shared" si="0"/>
        <v>8.9318410914373949</v>
      </c>
      <c r="E51" s="232">
        <f>Mile!$E51*(1-$K$2)+'5K'!$E51*$K$2</f>
        <v>0.92366175299613762</v>
      </c>
    </row>
    <row r="52" spans="1:5">
      <c r="A52" s="210">
        <v>46</v>
      </c>
      <c r="B52" s="234"/>
      <c r="C52" s="217"/>
      <c r="D52" s="217">
        <f t="shared" si="0"/>
        <v>9.0191738403799526</v>
      </c>
      <c r="E52" s="232">
        <f>Mile!$E52*(1-$K$2)+'5K'!$E52*$K$2</f>
        <v>0.91471792716354283</v>
      </c>
    </row>
    <row r="53" spans="1:5">
      <c r="A53" s="210">
        <v>47</v>
      </c>
      <c r="B53" s="234"/>
      <c r="C53" s="217"/>
      <c r="D53" s="217">
        <f t="shared" si="0"/>
        <v>9.1103981274368095</v>
      </c>
      <c r="E53" s="232">
        <f>Mile!$E53*(1-$K$2)+'5K'!$E53*$K$2</f>
        <v>0.90555866874295643</v>
      </c>
    </row>
    <row r="54" spans="1:5">
      <c r="A54" s="210">
        <v>48</v>
      </c>
      <c r="B54" s="234"/>
      <c r="C54" s="217"/>
      <c r="D54" s="217">
        <f t="shared" si="0"/>
        <v>9.2053376444154118</v>
      </c>
      <c r="E54" s="232">
        <f>Mile!$E54*(1-$K$2)+'5K'!$E54*$K$2</f>
        <v>0.89621916312923244</v>
      </c>
    </row>
    <row r="55" spans="1:5">
      <c r="A55" s="210">
        <v>49</v>
      </c>
      <c r="B55" s="234"/>
      <c r="C55" s="217"/>
      <c r="D55" s="217">
        <f t="shared" si="0"/>
        <v>9.3051134513453952</v>
      </c>
      <c r="E55" s="232">
        <f>Mile!$E55*(1-$K$2)+'5K'!$E55*$K$2</f>
        <v>0.8866092867258013</v>
      </c>
    </row>
    <row r="56" spans="1:5">
      <c r="A56" s="210">
        <v>50</v>
      </c>
      <c r="B56" s="234"/>
      <c r="C56" s="217"/>
      <c r="D56" s="217">
        <f t="shared" si="0"/>
        <v>9.4080426845561202</v>
      </c>
      <c r="E56" s="232">
        <f>Mile!$E56*(1-$K$2)+'5K'!$E56*$K$2</f>
        <v>0.87690928672580126</v>
      </c>
    </row>
    <row r="57" spans="1:5">
      <c r="A57" s="210">
        <v>51</v>
      </c>
      <c r="B57" s="234"/>
      <c r="C57" s="217"/>
      <c r="D57" s="217">
        <f t="shared" si="0"/>
        <v>9.5132745074125644</v>
      </c>
      <c r="E57" s="232">
        <f>Mile!$E57*(1-$K$2)+'5K'!$E57*$K$2</f>
        <v>0.86720928672580144</v>
      </c>
    </row>
    <row r="58" spans="1:5">
      <c r="A58" s="210">
        <v>52</v>
      </c>
      <c r="B58" s="234"/>
      <c r="C58" s="217"/>
      <c r="D58" s="217">
        <f t="shared" si="0"/>
        <v>9.620887059428469</v>
      </c>
      <c r="E58" s="232">
        <f>Mile!$E58*(1-$K$2)+'5K'!$E58*$K$2</f>
        <v>0.8575092867258014</v>
      </c>
    </row>
    <row r="59" spans="1:5">
      <c r="A59" s="210">
        <v>53</v>
      </c>
      <c r="B59" s="234"/>
      <c r="C59" s="217"/>
      <c r="D59" s="217">
        <f t="shared" si="0"/>
        <v>9.7309620561731567</v>
      </c>
      <c r="E59" s="232">
        <f>Mile!$E59*(1-$K$2)+'5K'!$E59*$K$2</f>
        <v>0.84780928672580125</v>
      </c>
    </row>
    <row r="60" spans="1:5">
      <c r="A60" s="210">
        <v>54</v>
      </c>
      <c r="B60" s="234"/>
      <c r="C60" s="217"/>
      <c r="D60" s="217">
        <f t="shared" si="0"/>
        <v>9.8435849962119537</v>
      </c>
      <c r="E60" s="232">
        <f>Mile!$E60*(1-$K$2)+'5K'!$E60*$K$2</f>
        <v>0.83810928672580132</v>
      </c>
    </row>
    <row r="61" spans="1:5">
      <c r="A61" s="210">
        <v>55</v>
      </c>
      <c r="B61" s="234"/>
      <c r="C61" s="217"/>
      <c r="D61" s="217">
        <f t="shared" si="0"/>
        <v>9.9588453825852667</v>
      </c>
      <c r="E61" s="232">
        <f>Mile!$E61*(1-$K$2)+'5K'!$E61*$K$2</f>
        <v>0.82840928672580127</v>
      </c>
    </row>
    <row r="62" spans="1:5">
      <c r="A62" s="210">
        <v>56</v>
      </c>
      <c r="B62" s="234"/>
      <c r="C62" s="217"/>
      <c r="D62" s="217">
        <f t="shared" si="0"/>
        <v>10.07751319573828</v>
      </c>
      <c r="E62" s="232">
        <f>Mile!$E62*(1-$K$2)+'5K'!$E62*$K$2</f>
        <v>0.81865434852408581</v>
      </c>
    </row>
    <row r="63" spans="1:5">
      <c r="A63" s="210">
        <v>57</v>
      </c>
      <c r="B63" s="234"/>
      <c r="C63" s="217"/>
      <c r="D63" s="217">
        <f t="shared" si="0"/>
        <v>10.198350518854234</v>
      </c>
      <c r="E63" s="232">
        <f>Mile!$E63*(1-$K$2)+'5K'!$E63*$K$2</f>
        <v>0.80895434852408588</v>
      </c>
    </row>
    <row r="64" spans="1:5">
      <c r="A64" s="210">
        <v>58</v>
      </c>
      <c r="B64" s="234"/>
      <c r="C64" s="217"/>
      <c r="D64" s="217">
        <f t="shared" si="0"/>
        <v>10.322120880836701</v>
      </c>
      <c r="E64" s="232">
        <f>Mile!$E64*(1-$K$2)+'5K'!$E64*$K$2</f>
        <v>0.79925434852408572</v>
      </c>
    </row>
    <row r="65" spans="1:5">
      <c r="A65" s="210">
        <v>59</v>
      </c>
      <c r="B65" s="234"/>
      <c r="C65" s="217"/>
      <c r="D65" s="217">
        <f t="shared" si="0"/>
        <v>10.449528762623975</v>
      </c>
      <c r="E65" s="232">
        <f>Mile!$E65*(1-$K$2)+'5K'!$E65*$K$2</f>
        <v>0.78950928672580134</v>
      </c>
    </row>
    <row r="66" spans="1:5">
      <c r="A66" s="210">
        <v>60</v>
      </c>
      <c r="B66" s="234"/>
      <c r="C66" s="217"/>
      <c r="D66" s="217">
        <f t="shared" si="0"/>
        <v>10.579509811481493</v>
      </c>
      <c r="E66" s="232">
        <f>Mile!$E66*(1-$K$2)+'5K'!$E66*$K$2</f>
        <v>0.7798092867258013</v>
      </c>
    </row>
    <row r="67" spans="1:5">
      <c r="A67" s="210">
        <v>61</v>
      </c>
      <c r="B67" s="234"/>
      <c r="C67" s="217"/>
      <c r="D67" s="217">
        <f t="shared" si="0"/>
        <v>10.712765242808228</v>
      </c>
      <c r="E67" s="232">
        <f>Mile!$E67*(1-$K$2)+'5K'!$E67*$K$2</f>
        <v>0.77010928672580126</v>
      </c>
    </row>
    <row r="68" spans="1:5">
      <c r="A68" s="210">
        <v>62</v>
      </c>
      <c r="B68" s="234"/>
      <c r="C68" s="217"/>
      <c r="D68" s="217">
        <f t="shared" si="0"/>
        <v>10.849420363503393</v>
      </c>
      <c r="E68" s="232">
        <f>Mile!$E68*(1-$K$2)+'5K'!$E68*$K$2</f>
        <v>0.76040928672580144</v>
      </c>
    </row>
    <row r="69" spans="1:5">
      <c r="A69" s="210">
        <v>63</v>
      </c>
      <c r="B69" s="234"/>
      <c r="C69" s="217"/>
      <c r="D69" s="217">
        <f t="shared" si="0"/>
        <v>10.989606956884943</v>
      </c>
      <c r="E69" s="232">
        <f>Mile!$E69*(1-$K$2)+'5K'!$E69*$K$2</f>
        <v>0.75070928672580139</v>
      </c>
    </row>
    <row r="70" spans="1:5">
      <c r="A70" s="210">
        <v>64</v>
      </c>
      <c r="B70" s="234"/>
      <c r="C70" s="217"/>
      <c r="D70" s="217">
        <f t="shared" si="0"/>
        <v>11.133463706579404</v>
      </c>
      <c r="E70" s="232">
        <f>Mile!$E70*(1-$K$2)+'5K'!$E70*$K$2</f>
        <v>0.74100928672580135</v>
      </c>
    </row>
    <row r="71" spans="1:5">
      <c r="A71" s="210">
        <v>65</v>
      </c>
      <c r="B71" s="234"/>
      <c r="C71" s="217"/>
      <c r="D71" s="217">
        <f t="shared" si="0"/>
        <v>11.281136654146268</v>
      </c>
      <c r="E71" s="232">
        <f>Mile!$E71*(1-$K$2)+'5K'!$E71*$K$2</f>
        <v>0.73130928672580131</v>
      </c>
    </row>
    <row r="72" spans="1:5">
      <c r="A72" s="210">
        <v>66</v>
      </c>
      <c r="B72" s="234"/>
      <c r="C72" s="217"/>
      <c r="D72" s="217">
        <f t="shared" si="0"/>
        <v>11.433650170461984</v>
      </c>
      <c r="E72" s="232">
        <f>Mile!$E72*(1-$K$2)+'5K'!$E72*$K$2</f>
        <v>0.72155434852408584</v>
      </c>
    </row>
    <row r="73" spans="1:5">
      <c r="A73" s="210">
        <v>67</v>
      </c>
      <c r="B73" s="234"/>
      <c r="C73" s="217"/>
      <c r="D73" s="217">
        <f t="shared" si="0"/>
        <v>11.58944946688186</v>
      </c>
      <c r="E73" s="232">
        <f>Mile!$E73*(1-$K$2)+'5K'!$E73*$K$2</f>
        <v>0.7118543485240858</v>
      </c>
    </row>
    <row r="74" spans="1:5">
      <c r="A74" s="210">
        <v>68</v>
      </c>
      <c r="B74" s="234"/>
      <c r="C74" s="217"/>
      <c r="D74" s="217">
        <f t="shared" si="0"/>
        <v>11.749553381448584</v>
      </c>
      <c r="E74" s="232">
        <f>Mile!$E74*(1-$K$2)+'5K'!$E74*$K$2</f>
        <v>0.70215434852408587</v>
      </c>
    </row>
    <row r="75" spans="1:5">
      <c r="A75" s="210">
        <v>69</v>
      </c>
      <c r="B75" s="234"/>
      <c r="C75" s="217"/>
      <c r="D75" s="217">
        <f t="shared" ref="D75:D105" si="1">E$4/E75</f>
        <v>11.914918182296208</v>
      </c>
      <c r="E75" s="232">
        <f>Mile!$E75*(1-$K$2)+'5K'!$E75*$K$2</f>
        <v>0.69240928672580138</v>
      </c>
    </row>
    <row r="76" spans="1:5">
      <c r="A76" s="210">
        <v>70</v>
      </c>
      <c r="B76" s="234"/>
      <c r="C76" s="217"/>
      <c r="D76" s="217">
        <f t="shared" si="1"/>
        <v>12.084206499615807</v>
      </c>
      <c r="E76" s="232">
        <f>Mile!$E76*(1-$K$2)+'5K'!$E76*$K$2</f>
        <v>0.68270928672580133</v>
      </c>
    </row>
    <row r="77" spans="1:5">
      <c r="A77" s="210">
        <v>71</v>
      </c>
      <c r="B77" s="234"/>
      <c r="C77" s="217"/>
      <c r="D77" s="217">
        <f t="shared" si="1"/>
        <v>12.258374680290601</v>
      </c>
      <c r="E77" s="232">
        <f>Mile!$E77*(1-$K$2)+'5K'!$E77*$K$2</f>
        <v>0.67300928672580129</v>
      </c>
    </row>
    <row r="78" spans="1:5">
      <c r="A78" s="210">
        <v>72</v>
      </c>
      <c r="B78" s="234"/>
      <c r="C78" s="217"/>
      <c r="D78" s="217">
        <f t="shared" si="1"/>
        <v>12.437636808498935</v>
      </c>
      <c r="E78" s="232">
        <f>Mile!$E78*(1-$K$2)+'5K'!$E78*$K$2</f>
        <v>0.66330928672580125</v>
      </c>
    </row>
    <row r="79" spans="1:5">
      <c r="A79" s="210">
        <v>73</v>
      </c>
      <c r="B79" s="234"/>
      <c r="C79" s="217"/>
      <c r="D79" s="217">
        <f t="shared" si="1"/>
        <v>12.622219677030071</v>
      </c>
      <c r="E79" s="232">
        <f>Mile!$E79*(1-$K$2)+'5K'!$E79*$K$2</f>
        <v>0.65360928672580143</v>
      </c>
    </row>
    <row r="80" spans="1:5">
      <c r="A80" s="210">
        <v>74</v>
      </c>
      <c r="B80" s="234"/>
      <c r="C80" s="217"/>
      <c r="D80" s="217">
        <f t="shared" si="1"/>
        <v>12.812363744511627</v>
      </c>
      <c r="E80" s="232">
        <f>Mile!$E80*(1-$K$2)+'5K'!$E80*$K$2</f>
        <v>0.64390928672580139</v>
      </c>
    </row>
    <row r="81" spans="1:5">
      <c r="A81" s="210">
        <v>75</v>
      </c>
      <c r="B81" s="234"/>
      <c r="C81" s="217"/>
      <c r="D81" s="217">
        <f t="shared" si="1"/>
        <v>13.008324180479661</v>
      </c>
      <c r="E81" s="232">
        <f>Mile!$E81*(1-$K$2)+'5K'!$E81*$K$2</f>
        <v>0.63420928672580135</v>
      </c>
    </row>
    <row r="82" spans="1:5">
      <c r="A82" s="210">
        <v>76</v>
      </c>
      <c r="B82" s="234"/>
      <c r="C82" s="217"/>
      <c r="D82" s="217">
        <f t="shared" si="1"/>
        <v>13.211534229041867</v>
      </c>
      <c r="E82" s="232">
        <f>Mile!$E82*(1-$K$2)+'5K'!$E82*$K$2</f>
        <v>0.62445434852408588</v>
      </c>
    </row>
    <row r="83" spans="1:5">
      <c r="A83" s="210">
        <v>77</v>
      </c>
      <c r="B83" s="234"/>
      <c r="C83" s="217"/>
      <c r="D83" s="217">
        <f t="shared" si="1"/>
        <v>13.419994538967899</v>
      </c>
      <c r="E83" s="232">
        <f>Mile!$E83*(1-$K$2)+'5K'!$E83*$K$2</f>
        <v>0.61475434852408584</v>
      </c>
    </row>
    <row r="84" spans="1:5">
      <c r="A84" s="210">
        <v>78</v>
      </c>
      <c r="B84" s="234"/>
      <c r="C84" s="217"/>
      <c r="D84" s="217">
        <f t="shared" si="1"/>
        <v>13.641331842892628</v>
      </c>
      <c r="E84" s="232">
        <f>Mile!$E84*(1-$K$2)+'5K'!$E84*$K$2</f>
        <v>0.60477965751550822</v>
      </c>
    </row>
    <row r="85" spans="1:5">
      <c r="A85" s="210">
        <v>79</v>
      </c>
      <c r="B85" s="234"/>
      <c r="C85" s="217"/>
      <c r="D85" s="217">
        <f t="shared" si="1"/>
        <v>13.882453943872724</v>
      </c>
      <c r="E85" s="232">
        <f>Mile!$E85*(1-$K$2)+'5K'!$E85*$K$2</f>
        <v>0.59427533729663762</v>
      </c>
    </row>
    <row r="86" spans="1:5">
      <c r="A86" s="210">
        <v>80</v>
      </c>
      <c r="B86" s="234"/>
      <c r="C86" s="217"/>
      <c r="D86" s="217">
        <f t="shared" si="1"/>
        <v>14.150553130377634</v>
      </c>
      <c r="E86" s="232">
        <f>Mile!$E86*(1-$K$2)+'5K'!$E86*$K$2</f>
        <v>0.58301607887605122</v>
      </c>
    </row>
    <row r="87" spans="1:5">
      <c r="A87" s="210">
        <v>81</v>
      </c>
      <c r="B87" s="234"/>
      <c r="C87" s="217"/>
      <c r="D87" s="217">
        <f t="shared" si="1"/>
        <v>14.450319436789503</v>
      </c>
      <c r="E87" s="232">
        <f>Mile!$E87*(1-$K$2)+'5K'!$E87*$K$2</f>
        <v>0.57092163506061167</v>
      </c>
    </row>
    <row r="88" spans="1:5">
      <c r="A88" s="210">
        <v>82</v>
      </c>
      <c r="B88" s="234"/>
      <c r="C88" s="217"/>
      <c r="D88" s="217">
        <f t="shared" si="1"/>
        <v>14.785419755607586</v>
      </c>
      <c r="E88" s="232">
        <f>Mile!$E88*(1-$K$2)+'5K'!$E88*$K$2</f>
        <v>0.55798212944688752</v>
      </c>
    </row>
    <row r="89" spans="1:5">
      <c r="A89" s="210">
        <v>83</v>
      </c>
      <c r="B89" s="234"/>
      <c r="C89" s="217"/>
      <c r="D89" s="217">
        <f t="shared" si="1"/>
        <v>15.15966048474951</v>
      </c>
      <c r="E89" s="232">
        <f>Mile!$E89*(1-$K$2)+'5K'!$E89*$K$2</f>
        <v>0.54420743843830999</v>
      </c>
    </row>
    <row r="90" spans="1:5">
      <c r="A90" s="210">
        <v>84</v>
      </c>
      <c r="B90" s="234"/>
      <c r="C90" s="217"/>
      <c r="D90" s="217">
        <f t="shared" si="1"/>
        <v>15.578156788451768</v>
      </c>
      <c r="E90" s="232">
        <f>Mile!$E90*(1-$K$2)+'5K'!$E90*$K$2</f>
        <v>0.52958768563144787</v>
      </c>
    </row>
    <row r="91" spans="1:5">
      <c r="A91" s="210">
        <v>85</v>
      </c>
      <c r="B91" s="234"/>
      <c r="C91" s="217"/>
      <c r="D91" s="217">
        <f t="shared" si="1"/>
        <v>16.048154290862904</v>
      </c>
      <c r="E91" s="232">
        <f>Mile!$E91*(1-$K$2)+'5K'!$E91*$K$2</f>
        <v>0.51407780922801682</v>
      </c>
    </row>
    <row r="92" spans="1:5">
      <c r="A92" s="210">
        <v>86</v>
      </c>
      <c r="B92" s="234"/>
      <c r="C92" s="217"/>
      <c r="D92" s="217">
        <f t="shared" si="1"/>
        <v>16.573659667140621</v>
      </c>
      <c r="E92" s="232">
        <f>Mile!$E92*(1-$K$2)+'5K'!$E92*$K$2</f>
        <v>0.49777780922801673</v>
      </c>
    </row>
    <row r="93" spans="1:5">
      <c r="A93" s="210">
        <v>87</v>
      </c>
      <c r="B93" s="234"/>
      <c r="C93" s="217"/>
      <c r="D93" s="217">
        <f t="shared" si="1"/>
        <v>17.164872855872428</v>
      </c>
      <c r="E93" s="232">
        <f>Mile!$E93*(1-$K$2)+'5K'!$E93*$K$2</f>
        <v>0.48063274742973228</v>
      </c>
    </row>
    <row r="94" spans="1:5">
      <c r="A94" s="210">
        <v>88</v>
      </c>
      <c r="B94" s="234"/>
      <c r="C94" s="217"/>
      <c r="D94" s="217">
        <f t="shared" si="1"/>
        <v>17.831958101990281</v>
      </c>
      <c r="E94" s="232">
        <f>Mile!$E94*(1-$K$2)+'5K'!$E94*$K$2</f>
        <v>0.46265250023659443</v>
      </c>
    </row>
    <row r="95" spans="1:5">
      <c r="A95" s="210">
        <v>89</v>
      </c>
      <c r="B95" s="234"/>
      <c r="C95" s="217"/>
      <c r="D95" s="217">
        <f t="shared" si="1"/>
        <v>18.588315819169054</v>
      </c>
      <c r="E95" s="232">
        <f>Mile!$E95*(1-$K$2)+'5K'!$E95*$K$2</f>
        <v>0.443827191245172</v>
      </c>
    </row>
    <row r="96" spans="1:5">
      <c r="A96" s="210">
        <v>90</v>
      </c>
      <c r="B96" s="234"/>
      <c r="C96" s="217"/>
      <c r="D96" s="217">
        <f t="shared" si="1"/>
        <v>19.450353270615906</v>
      </c>
      <c r="E96" s="232">
        <f>Mile!$E96*(1-$K$2)+'5K'!$E96*$K$2</f>
        <v>0.4241568204554651</v>
      </c>
    </row>
    <row r="97" spans="1:5">
      <c r="A97" s="210">
        <v>91</v>
      </c>
      <c r="B97" s="234"/>
      <c r="C97" s="217"/>
      <c r="D97" s="217">
        <f t="shared" si="1"/>
        <v>20.438434684210797</v>
      </c>
      <c r="E97" s="232">
        <f>Mile!$E97*(1-$K$2)+'5K'!$E97*$K$2</f>
        <v>0.40365126427090481</v>
      </c>
    </row>
    <row r="98" spans="1:5">
      <c r="A98" s="210">
        <v>92</v>
      </c>
      <c r="B98" s="234"/>
      <c r="C98" s="217"/>
      <c r="D98" s="217">
        <f t="shared" si="1"/>
        <v>21.579874583271572</v>
      </c>
      <c r="E98" s="232">
        <f>Mile!$E98*(1-$K$2)+'5K'!$E98*$K$2</f>
        <v>0.38230064628805993</v>
      </c>
    </row>
    <row r="99" spans="1:5">
      <c r="A99" s="210">
        <v>93</v>
      </c>
      <c r="B99" s="234"/>
      <c r="C99" s="217"/>
      <c r="D99" s="217">
        <f t="shared" si="1"/>
        <v>22.912853922670863</v>
      </c>
      <c r="E99" s="232">
        <f>Mile!$E99*(1-$K$2)+'5K'!$E99*$K$2</f>
        <v>0.36005990470864613</v>
      </c>
    </row>
    <row r="100" spans="1:5">
      <c r="A100" s="210">
        <v>94</v>
      </c>
      <c r="B100" s="210"/>
      <c r="C100" s="217"/>
      <c r="D100" s="217">
        <f t="shared" si="1"/>
        <v>24.478602827340183</v>
      </c>
      <c r="E100" s="232">
        <f>Mile!$E100*(1-$K$2)+'5K'!$E100*$K$2</f>
        <v>0.33702903953266339</v>
      </c>
    </row>
    <row r="101" spans="1:5">
      <c r="A101" s="210">
        <v>95</v>
      </c>
      <c r="B101" s="234"/>
      <c r="C101" s="217"/>
      <c r="D101" s="217">
        <f t="shared" si="1"/>
        <v>26.344109268307012</v>
      </c>
      <c r="E101" s="232">
        <f>Mile!$E101*(1-$K$2)+'5K'!$E101*$K$2</f>
        <v>0.31316298896182726</v>
      </c>
    </row>
    <row r="102" spans="1:5">
      <c r="A102" s="210">
        <v>96</v>
      </c>
      <c r="B102" s="210"/>
      <c r="C102" s="217"/>
      <c r="D102" s="217">
        <f t="shared" si="1"/>
        <v>28.600957974175302</v>
      </c>
      <c r="E102" s="232">
        <f>Mile!$E102*(1-$K$2)+'5K'!$E102*$K$2</f>
        <v>0.28845187659270655</v>
      </c>
    </row>
    <row r="103" spans="1:5">
      <c r="A103" s="210">
        <v>97</v>
      </c>
      <c r="B103" s="210"/>
      <c r="C103" s="217"/>
      <c r="D103" s="217">
        <f t="shared" si="1"/>
        <v>31.381266121473164</v>
      </c>
      <c r="E103" s="232">
        <f>Mile!$E103*(1-$K$2)+'5K'!$E103*$K$2</f>
        <v>0.26289570242530136</v>
      </c>
    </row>
    <row r="104" spans="1:5">
      <c r="A104" s="210">
        <v>98</v>
      </c>
      <c r="B104" s="210"/>
      <c r="C104" s="217"/>
      <c r="D104" s="217">
        <f t="shared" si="1"/>
        <v>34.891185333355743</v>
      </c>
      <c r="E104" s="232">
        <f>Mile!$E104*(1-$K$2)+'5K'!$E104*$K$2</f>
        <v>0.23644940466132727</v>
      </c>
    </row>
    <row r="105" spans="1:5">
      <c r="A105" s="210">
        <v>99</v>
      </c>
      <c r="B105" s="210"/>
      <c r="C105" s="217"/>
      <c r="D105" s="217">
        <f t="shared" si="1"/>
        <v>39.433499154012956</v>
      </c>
      <c r="E105" s="232">
        <f>Mile!$E105*(1-$K$2)+'5K'!$E105*$K$2</f>
        <v>0.20921298330078419</v>
      </c>
    </row>
    <row r="106" spans="1:5">
      <c r="A106" s="210">
        <v>100</v>
      </c>
      <c r="B106" s="210"/>
      <c r="C106" s="210"/>
      <c r="D106" s="217">
        <f>E$4/E106</f>
        <v>45.533209192795674</v>
      </c>
      <c r="E106" s="232">
        <f>Mile!$E106*(1-$K$2)+'5K'!$E106*$K$2</f>
        <v>0.18118643834367215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topLeftCell="A2" zoomScale="87" zoomScaleNormal="87" workbookViewId="0">
      <selection activeCell="E36" sqref="E36"/>
    </sheetView>
  </sheetViews>
  <sheetFormatPr defaultColWidth="9.6640625" defaultRowHeight="15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3" style="1" customWidth="1"/>
    <col min="11" max="11" width="12.33203125" style="1" customWidth="1"/>
    <col min="12" max="15" width="9.6640625" style="1"/>
    <col min="16" max="16" width="12.109375" style="1" customWidth="1"/>
    <col min="17" max="17" width="17.6640625" style="1" customWidth="1"/>
    <col min="18" max="18" width="18.77734375" style="1" customWidth="1"/>
    <col min="19" max="19" width="19" style="1" customWidth="1"/>
    <col min="20" max="20" width="22.44140625" style="1" customWidth="1"/>
    <col min="21" max="21" width="29.44140625" style="1" customWidth="1"/>
    <col min="22" max="16384" width="9.6640625" style="1"/>
  </cols>
  <sheetData>
    <row r="1" spans="1:21" ht="31.5">
      <c r="A1" s="206" t="s">
        <v>51</v>
      </c>
      <c r="B1" s="207"/>
      <c r="C1" s="208"/>
      <c r="D1" s="209" t="s">
        <v>32</v>
      </c>
      <c r="E1" s="209" t="s">
        <v>54</v>
      </c>
      <c r="F1" s="209" t="s">
        <v>55</v>
      </c>
      <c r="G1" s="209" t="s">
        <v>56</v>
      </c>
      <c r="H1" s="209" t="s">
        <v>57</v>
      </c>
      <c r="I1" s="209" t="s">
        <v>58</v>
      </c>
      <c r="J1" s="232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1:21" ht="15.95" customHeight="1">
      <c r="A2" s="206"/>
      <c r="B2" s="207"/>
      <c r="C2" s="208"/>
      <c r="D2" s="209"/>
      <c r="E2" s="209"/>
      <c r="F2" s="303">
        <f>(+H$3-H$4)*F$4/2</f>
        <v>1.89E-2</v>
      </c>
      <c r="G2" s="304">
        <f>(+I$4-I$3)*G$4/2</f>
        <v>9.2244999999999994E-2</v>
      </c>
      <c r="H2" s="211"/>
      <c r="I2" s="211"/>
      <c r="J2" s="232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</row>
    <row r="3" spans="1:21" ht="15.95" customHeight="1">
      <c r="A3" s="206"/>
      <c r="B3" s="207"/>
      <c r="C3" s="208"/>
      <c r="D3" s="209"/>
      <c r="E3" s="209"/>
      <c r="F3" s="305">
        <f>F4/(2*(+H3-H4))</f>
        <v>4.725E-3</v>
      </c>
      <c r="G3" s="306">
        <f>G4/(2*(+I4-I3))</f>
        <v>2.5552631578947368E-4</v>
      </c>
      <c r="H3" s="212">
        <v>19</v>
      </c>
      <c r="I3" s="213">
        <v>26</v>
      </c>
      <c r="J3" s="267" t="s">
        <v>135</v>
      </c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</row>
    <row r="4" spans="1:21" ht="15.75">
      <c r="A4" s="207"/>
      <c r="B4" s="207"/>
      <c r="C4" s="207"/>
      <c r="D4" s="268">
        <f>Parameters!G16</f>
        <v>9.6527777777777775E-3</v>
      </c>
      <c r="E4" s="215">
        <f>D4*1440</f>
        <v>13.9</v>
      </c>
      <c r="F4" s="216">
        <v>1.89E-2</v>
      </c>
      <c r="G4" s="205">
        <v>9.7099999999999999E-3</v>
      </c>
      <c r="H4" s="212">
        <v>17</v>
      </c>
      <c r="I4" s="213">
        <v>45</v>
      </c>
      <c r="J4" s="269" t="s">
        <v>38</v>
      </c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</row>
    <row r="5" spans="1:21" ht="15.75">
      <c r="A5" s="207"/>
      <c r="B5" s="207"/>
      <c r="C5" s="207"/>
      <c r="D5" s="214"/>
      <c r="E5" s="207">
        <f>OC*60</f>
        <v>834</v>
      </c>
      <c r="F5" s="216">
        <v>7.3999999999999999E-4</v>
      </c>
      <c r="G5" s="205">
        <v>3.8000000000000002E-4</v>
      </c>
      <c r="H5" s="212">
        <v>14.3</v>
      </c>
      <c r="I5" s="213">
        <v>76.8</v>
      </c>
      <c r="J5" s="269" t="s">
        <v>39</v>
      </c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</row>
    <row r="6" spans="1:21" ht="66.75" customHeight="1">
      <c r="A6" s="218" t="s">
        <v>52</v>
      </c>
      <c r="B6" s="218" t="s">
        <v>963</v>
      </c>
      <c r="C6" s="218" t="s">
        <v>964</v>
      </c>
      <c r="D6" s="218" t="s">
        <v>2365</v>
      </c>
      <c r="E6" s="218" t="s">
        <v>2364</v>
      </c>
      <c r="F6" s="218" t="s">
        <v>933</v>
      </c>
      <c r="G6" s="218" t="s">
        <v>1142</v>
      </c>
      <c r="H6" s="218" t="s">
        <v>932</v>
      </c>
      <c r="I6" s="219" t="s">
        <v>52</v>
      </c>
      <c r="J6" s="270" t="s">
        <v>1037</v>
      </c>
      <c r="K6" s="221" t="s">
        <v>965</v>
      </c>
      <c r="L6" s="271" t="s">
        <v>402</v>
      </c>
      <c r="M6" s="272" t="s">
        <v>403</v>
      </c>
      <c r="N6" s="272" t="s">
        <v>404</v>
      </c>
      <c r="O6" s="273" t="s">
        <v>405</v>
      </c>
      <c r="P6" s="273" t="s">
        <v>406</v>
      </c>
      <c r="Q6" s="274" t="s">
        <v>407</v>
      </c>
      <c r="R6" s="273" t="s">
        <v>408</v>
      </c>
      <c r="S6" s="273" t="s">
        <v>409</v>
      </c>
      <c r="T6" s="275" t="s">
        <v>410</v>
      </c>
      <c r="U6" s="210"/>
    </row>
    <row r="7" spans="1:21">
      <c r="A7" s="210">
        <v>1</v>
      </c>
      <c r="B7" s="210"/>
      <c r="C7" s="210"/>
      <c r="D7" s="210"/>
      <c r="E7" s="210"/>
      <c r="F7" s="210"/>
      <c r="G7" s="210"/>
      <c r="H7" s="210"/>
      <c r="I7" s="210">
        <v>1</v>
      </c>
      <c r="J7" s="440"/>
      <c r="K7" s="441"/>
      <c r="L7" s="277"/>
      <c r="M7" s="277"/>
      <c r="N7" s="277"/>
      <c r="O7" s="277"/>
      <c r="P7" s="277"/>
      <c r="Q7" s="277"/>
      <c r="R7" s="277"/>
      <c r="S7" s="277"/>
      <c r="T7" s="277"/>
      <c r="U7" s="277"/>
    </row>
    <row r="8" spans="1:21">
      <c r="A8" s="210">
        <v>2</v>
      </c>
      <c r="B8" s="210"/>
      <c r="C8" s="210"/>
      <c r="D8" s="210"/>
      <c r="E8" s="210"/>
      <c r="F8" s="210"/>
      <c r="G8" s="210"/>
      <c r="H8" s="210"/>
      <c r="I8" s="210">
        <v>2</v>
      </c>
      <c r="J8" s="440"/>
      <c r="K8" s="441"/>
      <c r="L8" s="277"/>
      <c r="M8" s="277"/>
      <c r="N8" s="277"/>
      <c r="O8" s="277"/>
      <c r="P8" s="277"/>
      <c r="Q8" s="277"/>
      <c r="R8" s="277"/>
      <c r="S8" s="277"/>
      <c r="T8" s="277"/>
      <c r="U8" s="277"/>
    </row>
    <row r="9" spans="1:21">
      <c r="A9" s="210">
        <v>3</v>
      </c>
      <c r="B9" s="278">
        <v>3.1805555555555552E-2</v>
      </c>
      <c r="C9" s="217">
        <f>B9*1440</f>
        <v>45.8</v>
      </c>
      <c r="D9" s="217">
        <f t="shared" ref="D9:D41" si="0">OC/E9</f>
        <v>22.34726688102894</v>
      </c>
      <c r="E9" s="232">
        <f t="shared" ref="E9:E32" si="1">ROUND(1-IF(A9&gt;=H$3,0,IF(A9&gt;=H$4,F$3*(A9-H$3)^2,F$2+F$4*(H$4-A9)+(A9&lt;H$5)*F$5*(H$5-A9)^2)),4)</f>
        <v>0.622</v>
      </c>
      <c r="F9" s="232">
        <v>22.350323624595472</v>
      </c>
      <c r="G9" s="232"/>
      <c r="H9" s="233"/>
      <c r="I9" s="210">
        <v>3</v>
      </c>
      <c r="J9" s="440">
        <f t="shared" ref="J9:J41" si="2">100*F9/+C9</f>
        <v>48.799833241474829</v>
      </c>
      <c r="K9" s="441">
        <f t="shared" ref="K9:K40" si="3">100*(D9/C9)</f>
        <v>48.793159128884149</v>
      </c>
      <c r="L9" s="279" t="s">
        <v>137</v>
      </c>
      <c r="M9" s="248" t="s">
        <v>215</v>
      </c>
      <c r="N9" s="248" t="s">
        <v>216</v>
      </c>
      <c r="O9" s="248" t="s">
        <v>217</v>
      </c>
      <c r="P9" s="280">
        <v>40644</v>
      </c>
      <c r="Q9" s="249"/>
      <c r="R9" s="248" t="s">
        <v>218</v>
      </c>
      <c r="S9" s="280">
        <v>42077</v>
      </c>
      <c r="T9" s="281"/>
      <c r="U9" s="282"/>
    </row>
    <row r="10" spans="1:21">
      <c r="A10" s="210">
        <v>4</v>
      </c>
      <c r="B10" s="283">
        <v>2.0763888888888887E-2</v>
      </c>
      <c r="C10" s="217">
        <f>B10*1440</f>
        <v>29.9</v>
      </c>
      <c r="D10" s="217">
        <f t="shared" si="0"/>
        <v>21.159993910793119</v>
      </c>
      <c r="E10" s="232">
        <f t="shared" si="1"/>
        <v>0.65690000000000004</v>
      </c>
      <c r="F10" s="232">
        <v>21.312503013645788</v>
      </c>
      <c r="G10" s="232">
        <v>38.516666666666666</v>
      </c>
      <c r="H10" s="233">
        <f t="shared" ref="H10:H73" si="4">((F10-D10)/F10)</f>
        <v>7.1558513214061061E-3</v>
      </c>
      <c r="I10" s="210">
        <v>4</v>
      </c>
      <c r="J10" s="440">
        <f t="shared" si="2"/>
        <v>71.279274293129731</v>
      </c>
      <c r="K10" s="441">
        <f t="shared" si="3"/>
        <v>70.769210403990371</v>
      </c>
      <c r="L10" s="279" t="s">
        <v>138</v>
      </c>
      <c r="M10" s="248" t="s">
        <v>219</v>
      </c>
      <c r="N10" s="248" t="s">
        <v>220</v>
      </c>
      <c r="O10" s="248" t="s">
        <v>217</v>
      </c>
      <c r="P10" s="280">
        <v>41445</v>
      </c>
      <c r="Q10" s="249"/>
      <c r="R10" s="248" t="s">
        <v>221</v>
      </c>
      <c r="S10" s="280">
        <v>42959</v>
      </c>
      <c r="T10" s="281"/>
      <c r="U10" s="282"/>
    </row>
    <row r="11" spans="1:21">
      <c r="A11" s="210">
        <v>5</v>
      </c>
      <c r="B11" s="283">
        <v>1.5486111111111112E-2</v>
      </c>
      <c r="C11" s="217">
        <f t="shared" ref="C11:C74" si="5">B11*1440</f>
        <v>22.3</v>
      </c>
      <c r="D11" s="217">
        <f t="shared" si="0"/>
        <v>20.136172678545559</v>
      </c>
      <c r="E11" s="232">
        <f t="shared" si="1"/>
        <v>0.69030000000000002</v>
      </c>
      <c r="F11" s="232">
        <v>20.406278855032319</v>
      </c>
      <c r="G11" s="232">
        <v>28.083333333333336</v>
      </c>
      <c r="H11" s="233">
        <f t="shared" si="4"/>
        <v>1.3236424847744826E-2</v>
      </c>
      <c r="I11" s="210">
        <v>5</v>
      </c>
      <c r="J11" s="440">
        <f t="shared" si="2"/>
        <v>91.507976928396047</v>
      </c>
      <c r="K11" s="441">
        <f t="shared" si="3"/>
        <v>90.296738468814169</v>
      </c>
      <c r="L11" s="279" t="s">
        <v>139</v>
      </c>
      <c r="M11" s="248" t="s">
        <v>222</v>
      </c>
      <c r="N11" s="248" t="s">
        <v>220</v>
      </c>
      <c r="O11" s="248" t="s">
        <v>217</v>
      </c>
      <c r="P11" s="280">
        <v>40412</v>
      </c>
      <c r="Q11" s="249"/>
      <c r="R11" s="248" t="s">
        <v>223</v>
      </c>
      <c r="S11" s="280">
        <v>42547</v>
      </c>
      <c r="T11" s="281"/>
      <c r="U11" s="282"/>
    </row>
    <row r="12" spans="1:21">
      <c r="A12" s="210">
        <v>6</v>
      </c>
      <c r="B12" s="283">
        <v>1.4560185185185185E-2</v>
      </c>
      <c r="C12" s="217">
        <f t="shared" si="5"/>
        <v>20.966666666666665</v>
      </c>
      <c r="D12" s="217">
        <f t="shared" si="0"/>
        <v>19.246746053724731</v>
      </c>
      <c r="E12" s="232">
        <f t="shared" si="1"/>
        <v>0.72219999999999995</v>
      </c>
      <c r="F12" s="232">
        <v>19.610452992590623</v>
      </c>
      <c r="G12" s="232">
        <v>22.3</v>
      </c>
      <c r="H12" s="233">
        <f t="shared" si="4"/>
        <v>1.8546585283027928E-2</v>
      </c>
      <c r="I12" s="210">
        <v>6</v>
      </c>
      <c r="J12" s="440">
        <f t="shared" si="2"/>
        <v>93.531572301704102</v>
      </c>
      <c r="K12" s="441">
        <f t="shared" si="3"/>
        <v>91.796881019354842</v>
      </c>
      <c r="L12" s="279" t="s">
        <v>140</v>
      </c>
      <c r="M12" s="248" t="s">
        <v>222</v>
      </c>
      <c r="N12" s="248" t="s">
        <v>220</v>
      </c>
      <c r="O12" s="248" t="s">
        <v>217</v>
      </c>
      <c r="P12" s="280">
        <v>40412</v>
      </c>
      <c r="Q12" s="249"/>
      <c r="R12" s="248" t="s">
        <v>224</v>
      </c>
      <c r="S12" s="280">
        <v>42952</v>
      </c>
      <c r="T12" s="281"/>
      <c r="U12" s="282"/>
    </row>
    <row r="13" spans="1:21">
      <c r="A13" s="210">
        <v>7</v>
      </c>
      <c r="B13" s="283">
        <v>1.2824074074074075E-2</v>
      </c>
      <c r="C13" s="217">
        <f t="shared" si="5"/>
        <v>18.466666666666669</v>
      </c>
      <c r="D13" s="217">
        <f t="shared" si="0"/>
        <v>18.466852663743854</v>
      </c>
      <c r="E13" s="232">
        <f t="shared" si="1"/>
        <v>0.75270000000000004</v>
      </c>
      <c r="F13" s="232">
        <v>18.908281998631075</v>
      </c>
      <c r="G13" s="232">
        <v>21.75</v>
      </c>
      <c r="H13" s="233">
        <f t="shared" si="4"/>
        <v>2.3345819303899742E-2</v>
      </c>
      <c r="I13" s="210">
        <v>7</v>
      </c>
      <c r="J13" s="440">
        <f t="shared" si="2"/>
        <v>102.39141876515022</v>
      </c>
      <c r="K13" s="441">
        <f t="shared" si="3"/>
        <v>100.0010072043891</v>
      </c>
      <c r="L13" s="279" t="s">
        <v>141</v>
      </c>
      <c r="M13" s="248" t="s">
        <v>225</v>
      </c>
      <c r="N13" s="248" t="s">
        <v>226</v>
      </c>
      <c r="O13" s="248" t="s">
        <v>217</v>
      </c>
      <c r="P13" s="280">
        <v>39321</v>
      </c>
      <c r="Q13" s="249"/>
      <c r="R13" s="248" t="s">
        <v>227</v>
      </c>
      <c r="S13" s="280">
        <v>42070</v>
      </c>
      <c r="T13" s="281"/>
      <c r="U13" s="282"/>
    </row>
    <row r="14" spans="1:21">
      <c r="A14" s="210">
        <v>8</v>
      </c>
      <c r="B14" s="283">
        <v>1.2905092592592593E-2</v>
      </c>
      <c r="C14" s="217">
        <f t="shared" si="5"/>
        <v>18.583333333333336</v>
      </c>
      <c r="D14" s="217">
        <f t="shared" si="0"/>
        <v>17.78403275332651</v>
      </c>
      <c r="E14" s="232">
        <f t="shared" si="1"/>
        <v>0.78159999999999996</v>
      </c>
      <c r="F14" s="232">
        <v>18.286376235985273</v>
      </c>
      <c r="G14" s="232">
        <v>20.7</v>
      </c>
      <c r="H14" s="233">
        <f t="shared" si="4"/>
        <v>2.7470914749649203E-2</v>
      </c>
      <c r="I14" s="210">
        <v>8</v>
      </c>
      <c r="J14" s="440">
        <f t="shared" si="2"/>
        <v>98.40202458826154</v>
      </c>
      <c r="K14" s="441">
        <f t="shared" si="3"/>
        <v>95.698830959604535</v>
      </c>
      <c r="L14" s="279" t="s">
        <v>142</v>
      </c>
      <c r="M14" s="248" t="s">
        <v>225</v>
      </c>
      <c r="N14" s="248" t="s">
        <v>226</v>
      </c>
      <c r="O14" s="248" t="s">
        <v>217</v>
      </c>
      <c r="P14" s="280">
        <v>39321</v>
      </c>
      <c r="Q14" s="249"/>
      <c r="R14" s="248" t="s">
        <v>228</v>
      </c>
      <c r="S14" s="280">
        <v>42555</v>
      </c>
      <c r="T14" s="281"/>
      <c r="U14" s="282"/>
    </row>
    <row r="15" spans="1:21">
      <c r="A15" s="210">
        <v>9</v>
      </c>
      <c r="B15" s="283">
        <v>1.2430555555555556E-2</v>
      </c>
      <c r="C15" s="217">
        <f t="shared" si="5"/>
        <v>17.899999999999999</v>
      </c>
      <c r="D15" s="217">
        <f t="shared" si="0"/>
        <v>17.17958225188481</v>
      </c>
      <c r="E15" s="232">
        <f t="shared" si="1"/>
        <v>0.80910000000000004</v>
      </c>
      <c r="F15" s="232">
        <v>17.733911089712727</v>
      </c>
      <c r="G15" s="232">
        <v>18.783333333333335</v>
      </c>
      <c r="H15" s="233">
        <f t="shared" si="4"/>
        <v>3.1258126592812234E-2</v>
      </c>
      <c r="I15" s="210">
        <v>9</v>
      </c>
      <c r="J15" s="440">
        <f t="shared" si="2"/>
        <v>99.07212899280853</v>
      </c>
      <c r="K15" s="441">
        <f t="shared" si="3"/>
        <v>95.97531984293191</v>
      </c>
      <c r="L15" s="279" t="s">
        <v>143</v>
      </c>
      <c r="M15" s="248" t="s">
        <v>225</v>
      </c>
      <c r="N15" s="248" t="s">
        <v>226</v>
      </c>
      <c r="O15" s="248" t="s">
        <v>217</v>
      </c>
      <c r="P15" s="280">
        <v>39321</v>
      </c>
      <c r="Q15" s="249"/>
      <c r="R15" s="248" t="s">
        <v>229</v>
      </c>
      <c r="S15" s="280">
        <v>42610</v>
      </c>
      <c r="T15" s="281"/>
      <c r="U15" s="282"/>
    </row>
    <row r="16" spans="1:21">
      <c r="A16" s="210">
        <v>10</v>
      </c>
      <c r="B16" s="283">
        <v>1.2453703703703703E-2</v>
      </c>
      <c r="C16" s="217">
        <f t="shared" si="5"/>
        <v>17.933333333333334</v>
      </c>
      <c r="D16" s="217">
        <f t="shared" si="0"/>
        <v>16.644713207999043</v>
      </c>
      <c r="E16" s="232">
        <f t="shared" si="1"/>
        <v>0.83509999999999995</v>
      </c>
      <c r="F16" s="232">
        <v>17.242051882192314</v>
      </c>
      <c r="G16" s="232">
        <v>18.316666666666666</v>
      </c>
      <c r="H16" s="233">
        <f t="shared" si="4"/>
        <v>3.4644291658245466E-2</v>
      </c>
      <c r="I16" s="210">
        <v>10</v>
      </c>
      <c r="J16" s="440">
        <f t="shared" si="2"/>
        <v>96.145270718544495</v>
      </c>
      <c r="K16" s="441">
        <f t="shared" si="3"/>
        <v>92.814385918210277</v>
      </c>
      <c r="L16" s="279" t="s">
        <v>144</v>
      </c>
      <c r="M16" s="248" t="s">
        <v>225</v>
      </c>
      <c r="N16" s="248" t="s">
        <v>226</v>
      </c>
      <c r="O16" s="248" t="s">
        <v>217</v>
      </c>
      <c r="P16" s="280">
        <v>39321</v>
      </c>
      <c r="Q16" s="249"/>
      <c r="R16" s="248" t="s">
        <v>230</v>
      </c>
      <c r="S16" s="280">
        <v>43023</v>
      </c>
      <c r="T16" s="281"/>
      <c r="U16" s="282"/>
    </row>
    <row r="17" spans="1:21">
      <c r="A17" s="210">
        <v>11</v>
      </c>
      <c r="B17" s="283">
        <v>1.2141203703703704E-2</v>
      </c>
      <c r="C17" s="217">
        <f t="shared" si="5"/>
        <v>17.483333333333334</v>
      </c>
      <c r="D17" s="217">
        <f t="shared" si="0"/>
        <v>16.170311772917636</v>
      </c>
      <c r="E17" s="232">
        <f t="shared" si="1"/>
        <v>0.85960000000000003</v>
      </c>
      <c r="F17" s="232">
        <v>16.803527980535282</v>
      </c>
      <c r="G17" s="232">
        <v>17.75</v>
      </c>
      <c r="H17" s="233">
        <f t="shared" si="4"/>
        <v>3.7683527432521659E-2</v>
      </c>
      <c r="I17" s="210">
        <v>11</v>
      </c>
      <c r="J17" s="440">
        <f t="shared" si="2"/>
        <v>96.111694836236111</v>
      </c>
      <c r="K17" s="441">
        <f t="shared" si="3"/>
        <v>92.489867147288663</v>
      </c>
      <c r="L17" s="279" t="s">
        <v>145</v>
      </c>
      <c r="M17" s="248" t="s">
        <v>231</v>
      </c>
      <c r="N17" s="248" t="s">
        <v>232</v>
      </c>
      <c r="O17" s="248" t="s">
        <v>217</v>
      </c>
      <c r="P17" s="280">
        <v>37809</v>
      </c>
      <c r="Q17" s="249"/>
      <c r="R17" s="248" t="s">
        <v>233</v>
      </c>
      <c r="S17" s="280">
        <v>42175</v>
      </c>
      <c r="T17" s="281"/>
      <c r="U17" s="282"/>
    </row>
    <row r="18" spans="1:21">
      <c r="A18" s="210">
        <v>12</v>
      </c>
      <c r="B18" s="283">
        <v>1.2002314814814815E-2</v>
      </c>
      <c r="C18" s="217">
        <f t="shared" si="5"/>
        <v>17.283333333333331</v>
      </c>
      <c r="D18" s="217">
        <f t="shared" si="0"/>
        <v>15.747139458479664</v>
      </c>
      <c r="E18" s="232">
        <f t="shared" si="1"/>
        <v>0.88270000000000004</v>
      </c>
      <c r="F18" s="232">
        <v>16.412312947903903</v>
      </c>
      <c r="G18" s="232">
        <v>18.433333333333334</v>
      </c>
      <c r="H18" s="233">
        <f t="shared" si="4"/>
        <v>4.0528930415575079E-2</v>
      </c>
      <c r="I18" s="210">
        <v>12</v>
      </c>
      <c r="J18" s="440">
        <f t="shared" si="2"/>
        <v>94.96034492519135</v>
      </c>
      <c r="K18" s="441">
        <f t="shared" si="3"/>
        <v>91.111703713479258</v>
      </c>
      <c r="L18" s="279" t="s">
        <v>146</v>
      </c>
      <c r="M18" s="248" t="s">
        <v>234</v>
      </c>
      <c r="N18" s="248" t="s">
        <v>235</v>
      </c>
      <c r="O18" s="248" t="s">
        <v>217</v>
      </c>
      <c r="P18" s="280">
        <v>38101</v>
      </c>
      <c r="Q18" s="249"/>
      <c r="R18" s="248" t="s">
        <v>236</v>
      </c>
      <c r="S18" s="280">
        <v>42812</v>
      </c>
      <c r="T18" s="281"/>
      <c r="U18" s="282"/>
    </row>
    <row r="19" spans="1:21">
      <c r="A19" s="210">
        <v>13</v>
      </c>
      <c r="B19" s="283">
        <v>1.1527777777777777E-2</v>
      </c>
      <c r="C19" s="217">
        <f t="shared" si="5"/>
        <v>16.599999999999998</v>
      </c>
      <c r="D19" s="217">
        <f t="shared" si="0"/>
        <v>15.372705153727052</v>
      </c>
      <c r="E19" s="232">
        <f t="shared" si="1"/>
        <v>0.9042</v>
      </c>
      <c r="F19" s="232">
        <v>16.0633813054223</v>
      </c>
      <c r="G19" s="232">
        <v>16.716666666666665</v>
      </c>
      <c r="H19" s="233">
        <f t="shared" si="4"/>
        <v>4.2996934366620922E-2</v>
      </c>
      <c r="I19" s="210">
        <v>13</v>
      </c>
      <c r="J19" s="440">
        <f t="shared" si="2"/>
        <v>96.767357261580145</v>
      </c>
      <c r="K19" s="441">
        <f t="shared" si="3"/>
        <v>92.606657552572614</v>
      </c>
      <c r="L19" s="279" t="s">
        <v>147</v>
      </c>
      <c r="M19" s="248" t="s">
        <v>231</v>
      </c>
      <c r="N19" s="248" t="s">
        <v>232</v>
      </c>
      <c r="O19" s="248" t="s">
        <v>217</v>
      </c>
      <c r="P19" s="280">
        <v>37809</v>
      </c>
      <c r="Q19" s="249"/>
      <c r="R19" s="248" t="s">
        <v>237</v>
      </c>
      <c r="S19" s="280">
        <v>42698</v>
      </c>
      <c r="T19" s="281"/>
      <c r="U19" s="282"/>
    </row>
    <row r="20" spans="1:21">
      <c r="A20" s="210">
        <v>14</v>
      </c>
      <c r="B20" s="283">
        <v>1.1435185185185185E-2</v>
      </c>
      <c r="C20" s="217">
        <f t="shared" si="5"/>
        <v>16.466666666666669</v>
      </c>
      <c r="D20" s="217">
        <f t="shared" si="0"/>
        <v>15.038407443470735</v>
      </c>
      <c r="E20" s="232">
        <f t="shared" si="1"/>
        <v>0.92430000000000001</v>
      </c>
      <c r="F20" s="232">
        <v>15.752521472611283</v>
      </c>
      <c r="G20" s="232">
        <v>16.466666666666669</v>
      </c>
      <c r="H20" s="233">
        <f t="shared" si="4"/>
        <v>4.5333315709625885E-2</v>
      </c>
      <c r="I20" s="210">
        <v>14</v>
      </c>
      <c r="J20" s="440">
        <f t="shared" si="2"/>
        <v>95.663085866060413</v>
      </c>
      <c r="K20" s="441">
        <f t="shared" si="3"/>
        <v>91.32636099273725</v>
      </c>
      <c r="L20" s="279" t="s">
        <v>148</v>
      </c>
      <c r="M20" s="248" t="s">
        <v>238</v>
      </c>
      <c r="N20" s="248" t="s">
        <v>239</v>
      </c>
      <c r="O20" s="248" t="s">
        <v>240</v>
      </c>
      <c r="P20" s="280">
        <v>34851</v>
      </c>
      <c r="Q20" s="249"/>
      <c r="R20" s="248" t="s">
        <v>241</v>
      </c>
      <c r="S20" s="280">
        <v>40220</v>
      </c>
      <c r="T20" s="281"/>
      <c r="U20" s="282"/>
    </row>
    <row r="21" spans="1:21">
      <c r="A21" s="210">
        <v>15</v>
      </c>
      <c r="B21" s="283">
        <v>1.1273148148148148E-2</v>
      </c>
      <c r="C21" s="217">
        <f t="shared" si="5"/>
        <v>16.233333333333334</v>
      </c>
      <c r="D21" s="217">
        <f t="shared" si="0"/>
        <v>14.735503021308173</v>
      </c>
      <c r="E21" s="232">
        <f t="shared" si="1"/>
        <v>0.94330000000000003</v>
      </c>
      <c r="F21" s="232">
        <v>15.476190476190478</v>
      </c>
      <c r="G21" s="232">
        <v>16.233333333333334</v>
      </c>
      <c r="H21" s="233">
        <f t="shared" si="4"/>
        <v>4.7859804777010503E-2</v>
      </c>
      <c r="I21" s="210">
        <v>15</v>
      </c>
      <c r="J21" s="440">
        <f t="shared" si="2"/>
        <v>95.335875623349949</v>
      </c>
      <c r="K21" s="441">
        <f t="shared" si="3"/>
        <v>90.773119227771076</v>
      </c>
      <c r="L21" s="279" t="s">
        <v>149</v>
      </c>
      <c r="M21" s="248" t="s">
        <v>242</v>
      </c>
      <c r="N21" s="248" t="s">
        <v>243</v>
      </c>
      <c r="O21" s="248" t="s">
        <v>244</v>
      </c>
      <c r="P21" s="280">
        <v>28549</v>
      </c>
      <c r="Q21" s="249"/>
      <c r="R21" s="248" t="s">
        <v>245</v>
      </c>
      <c r="S21" s="280">
        <v>34334</v>
      </c>
      <c r="T21" s="281"/>
      <c r="U21" s="282"/>
    </row>
    <row r="22" spans="1:21">
      <c r="A22" s="210">
        <v>16</v>
      </c>
      <c r="B22" s="283">
        <v>1.0636574074074074E-2</v>
      </c>
      <c r="C22" s="217">
        <f t="shared" si="5"/>
        <v>15.316666666666666</v>
      </c>
      <c r="D22" s="217">
        <f t="shared" si="0"/>
        <v>14.44606110995635</v>
      </c>
      <c r="E22" s="232">
        <f t="shared" si="1"/>
        <v>0.96220000000000006</v>
      </c>
      <c r="F22" s="232">
        <v>15.220385674931132</v>
      </c>
      <c r="G22" s="232">
        <v>15.316666666666666</v>
      </c>
      <c r="H22" s="233">
        <f t="shared" si="4"/>
        <v>5.0874175038162113E-2</v>
      </c>
      <c r="I22" s="210">
        <v>16</v>
      </c>
      <c r="J22" s="440">
        <f t="shared" si="2"/>
        <v>99.371397224795203</v>
      </c>
      <c r="K22" s="441">
        <f t="shared" si="3"/>
        <v>94.315959368594235</v>
      </c>
      <c r="L22" s="279" t="s">
        <v>150</v>
      </c>
      <c r="M22" s="248" t="s">
        <v>246</v>
      </c>
      <c r="N22" s="248" t="s">
        <v>247</v>
      </c>
      <c r="O22" s="248" t="s">
        <v>248</v>
      </c>
      <c r="P22" s="280">
        <v>31199</v>
      </c>
      <c r="Q22" s="249" t="s">
        <v>249</v>
      </c>
      <c r="R22" s="248" t="s">
        <v>250</v>
      </c>
      <c r="S22" s="280">
        <v>37353</v>
      </c>
      <c r="T22" s="281"/>
      <c r="U22" s="282"/>
    </row>
    <row r="23" spans="1:21">
      <c r="A23" s="210">
        <v>17</v>
      </c>
      <c r="B23" s="283">
        <v>1.0416666666666666E-2</v>
      </c>
      <c r="C23" s="217">
        <f t="shared" si="5"/>
        <v>15</v>
      </c>
      <c r="D23" s="217">
        <f t="shared" si="0"/>
        <v>14.167770869432271</v>
      </c>
      <c r="E23" s="232">
        <f t="shared" si="1"/>
        <v>0.98109999999999997</v>
      </c>
      <c r="F23" s="232">
        <v>14.972899728997291</v>
      </c>
      <c r="G23" s="232">
        <v>15</v>
      </c>
      <c r="H23" s="233">
        <f t="shared" si="4"/>
        <v>5.3772407091310828E-2</v>
      </c>
      <c r="I23" s="210">
        <v>17</v>
      </c>
      <c r="J23" s="440">
        <f t="shared" si="2"/>
        <v>99.819331526648597</v>
      </c>
      <c r="K23" s="441">
        <f t="shared" si="3"/>
        <v>94.45180579621514</v>
      </c>
      <c r="L23" s="279" t="s">
        <v>151</v>
      </c>
      <c r="M23" s="248" t="s">
        <v>246</v>
      </c>
      <c r="N23" s="248" t="s">
        <v>247</v>
      </c>
      <c r="O23" s="248" t="s">
        <v>248</v>
      </c>
      <c r="P23" s="280">
        <v>31199</v>
      </c>
      <c r="Q23" s="249" t="s">
        <v>249</v>
      </c>
      <c r="R23" s="248" t="s">
        <v>250</v>
      </c>
      <c r="S23" s="280">
        <v>37724</v>
      </c>
      <c r="T23" s="281"/>
      <c r="U23" s="282"/>
    </row>
    <row r="24" spans="1:21">
      <c r="A24" s="210">
        <v>18</v>
      </c>
      <c r="B24" s="283">
        <v>1.0185185185185186E-2</v>
      </c>
      <c r="C24" s="217">
        <f t="shared" si="5"/>
        <v>14.666666666666668</v>
      </c>
      <c r="D24" s="217">
        <f t="shared" si="0"/>
        <v>13.965638500954487</v>
      </c>
      <c r="E24" s="232">
        <f t="shared" si="1"/>
        <v>0.99529999999999996</v>
      </c>
      <c r="F24" s="232">
        <v>14.792503346720215</v>
      </c>
      <c r="G24" s="232">
        <v>15.083333333333334</v>
      </c>
      <c r="H24" s="233">
        <f t="shared" si="4"/>
        <v>5.5897560161719359E-2</v>
      </c>
      <c r="I24" s="210">
        <v>18</v>
      </c>
      <c r="J24" s="440">
        <f t="shared" si="2"/>
        <v>100.85797736400147</v>
      </c>
      <c r="K24" s="441">
        <f t="shared" si="3"/>
        <v>95.220262506507851</v>
      </c>
      <c r="L24" s="279" t="s">
        <v>966</v>
      </c>
      <c r="M24" s="248" t="s">
        <v>974</v>
      </c>
      <c r="N24" s="248" t="s">
        <v>975</v>
      </c>
      <c r="O24" s="248" t="s">
        <v>248</v>
      </c>
      <c r="P24" s="280">
        <v>38355</v>
      </c>
      <c r="Q24" s="253" t="s">
        <v>976</v>
      </c>
      <c r="R24" s="253" t="s">
        <v>977</v>
      </c>
      <c r="S24" s="280">
        <v>45291</v>
      </c>
      <c r="T24" s="281"/>
      <c r="U24" s="282"/>
    </row>
    <row r="25" spans="1:21" ht="15.75" customHeight="1">
      <c r="A25" s="210">
        <v>19</v>
      </c>
      <c r="B25" s="283">
        <v>1.0162037037037037E-2</v>
      </c>
      <c r="C25" s="217">
        <f t="shared" si="5"/>
        <v>14.633333333333333</v>
      </c>
      <c r="D25" s="217">
        <f t="shared" si="0"/>
        <v>13.9</v>
      </c>
      <c r="E25" s="232">
        <f t="shared" si="1"/>
        <v>1</v>
      </c>
      <c r="F25" s="232">
        <v>14.733333333333334</v>
      </c>
      <c r="G25" s="232">
        <v>14.850000000000001</v>
      </c>
      <c r="H25" s="233">
        <f t="shared" si="4"/>
        <v>5.6561085972850714E-2</v>
      </c>
      <c r="I25" s="210">
        <v>19</v>
      </c>
      <c r="J25" s="440">
        <f t="shared" si="2"/>
        <v>100.68337129840548</v>
      </c>
      <c r="K25" s="441">
        <f t="shared" si="3"/>
        <v>94.988610478359917</v>
      </c>
      <c r="L25" s="279" t="s">
        <v>967</v>
      </c>
      <c r="M25" s="248" t="s">
        <v>978</v>
      </c>
      <c r="N25" s="249" t="s">
        <v>975</v>
      </c>
      <c r="O25" s="248" t="s">
        <v>248</v>
      </c>
      <c r="P25" s="280">
        <v>38355</v>
      </c>
      <c r="Q25" s="284" t="s">
        <v>979</v>
      </c>
      <c r="R25" s="284" t="s">
        <v>955</v>
      </c>
      <c r="S25" s="285">
        <v>45409</v>
      </c>
      <c r="T25" s="281"/>
      <c r="U25" s="282"/>
    </row>
    <row r="26" spans="1:21">
      <c r="A26" s="210">
        <v>20</v>
      </c>
      <c r="B26" s="283">
        <v>1.0393518518518519E-2</v>
      </c>
      <c r="C26" s="217">
        <f t="shared" si="5"/>
        <v>14.966666666666667</v>
      </c>
      <c r="D26" s="217">
        <f t="shared" si="0"/>
        <v>13.9</v>
      </c>
      <c r="E26" s="232">
        <f t="shared" si="1"/>
        <v>1</v>
      </c>
      <c r="F26" s="232">
        <v>14.733333333333334</v>
      </c>
      <c r="G26" s="232">
        <v>14.95</v>
      </c>
      <c r="H26" s="233">
        <f t="shared" si="4"/>
        <v>5.6561085972850714E-2</v>
      </c>
      <c r="I26" s="210">
        <v>20</v>
      </c>
      <c r="J26" s="440">
        <f t="shared" si="2"/>
        <v>98.440979955456584</v>
      </c>
      <c r="K26" s="441">
        <f t="shared" si="3"/>
        <v>92.873051224944319</v>
      </c>
      <c r="L26" s="279" t="s">
        <v>152</v>
      </c>
      <c r="M26" s="248" t="s">
        <v>252</v>
      </c>
      <c r="N26" s="248" t="s">
        <v>253</v>
      </c>
      <c r="O26" s="248" t="s">
        <v>244</v>
      </c>
      <c r="P26" s="280">
        <v>28256</v>
      </c>
      <c r="Q26" s="249"/>
      <c r="R26" s="248" t="s">
        <v>254</v>
      </c>
      <c r="S26" s="280">
        <v>35589</v>
      </c>
      <c r="T26" s="281"/>
      <c r="U26" s="282"/>
    </row>
    <row r="27" spans="1:21">
      <c r="A27" s="210">
        <v>21</v>
      </c>
      <c r="B27" s="283">
        <v>9.9421296296296289E-3</v>
      </c>
      <c r="C27" s="217">
        <f t="shared" si="5"/>
        <v>14.316666666666666</v>
      </c>
      <c r="D27" s="217">
        <f t="shared" si="0"/>
        <v>13.9</v>
      </c>
      <c r="E27" s="232">
        <f t="shared" si="1"/>
        <v>1</v>
      </c>
      <c r="F27" s="232">
        <v>14.733333333333334</v>
      </c>
      <c r="G27" s="232">
        <v>15.283333333333335</v>
      </c>
      <c r="H27" s="233">
        <f t="shared" si="4"/>
        <v>5.6561085972850714E-2</v>
      </c>
      <c r="I27" s="210">
        <v>21</v>
      </c>
      <c r="J27" s="440">
        <f t="shared" si="2"/>
        <v>102.91036088474972</v>
      </c>
      <c r="K27" s="441">
        <f t="shared" si="3"/>
        <v>97.089639115250293</v>
      </c>
      <c r="L27" s="279" t="s">
        <v>968</v>
      </c>
      <c r="M27" s="248" t="s">
        <v>980</v>
      </c>
      <c r="N27" s="248" t="s">
        <v>981</v>
      </c>
      <c r="O27" s="248"/>
      <c r="P27" s="280">
        <v>36566</v>
      </c>
      <c r="Q27" s="253" t="s">
        <v>976</v>
      </c>
      <c r="R27" s="253" t="s">
        <v>977</v>
      </c>
      <c r="S27" s="280">
        <v>44561</v>
      </c>
      <c r="T27" s="281"/>
      <c r="U27" s="282"/>
    </row>
    <row r="28" spans="1:21">
      <c r="A28" s="210">
        <v>22</v>
      </c>
      <c r="B28" s="283">
        <v>9.8726851851851857E-3</v>
      </c>
      <c r="C28" s="217">
        <f t="shared" si="5"/>
        <v>14.216666666666667</v>
      </c>
      <c r="D28" s="217">
        <f t="shared" si="0"/>
        <v>13.9</v>
      </c>
      <c r="E28" s="232">
        <f t="shared" si="1"/>
        <v>1</v>
      </c>
      <c r="F28" s="232">
        <v>14.733333333333334</v>
      </c>
      <c r="G28" s="232">
        <v>14.766666666666666</v>
      </c>
      <c r="H28" s="233">
        <f t="shared" si="4"/>
        <v>5.6561085972850714E-2</v>
      </c>
      <c r="I28" s="210">
        <v>22</v>
      </c>
      <c r="J28" s="440">
        <f>100*D27/+C27</f>
        <v>97.089639115250293</v>
      </c>
      <c r="K28" s="441">
        <f t="shared" si="3"/>
        <v>97.772567409144202</v>
      </c>
      <c r="L28" s="279" t="s">
        <v>969</v>
      </c>
      <c r="M28" s="248" t="s">
        <v>946</v>
      </c>
      <c r="N28" s="248" t="s">
        <v>947</v>
      </c>
      <c r="O28" s="248" t="s">
        <v>244</v>
      </c>
      <c r="P28" s="280">
        <v>36914</v>
      </c>
      <c r="Q28" s="249" t="s">
        <v>982</v>
      </c>
      <c r="R28" s="248" t="s">
        <v>983</v>
      </c>
      <c r="S28" s="280">
        <v>45305</v>
      </c>
      <c r="T28" s="281" t="s">
        <v>984</v>
      </c>
      <c r="U28" s="282"/>
    </row>
    <row r="29" spans="1:21">
      <c r="A29" s="210">
        <v>23</v>
      </c>
      <c r="B29" s="283">
        <v>9.8726851851851857E-3</v>
      </c>
      <c r="C29" s="217">
        <f t="shared" si="5"/>
        <v>14.216666666666667</v>
      </c>
      <c r="D29" s="217">
        <f t="shared" si="0"/>
        <v>13.9</v>
      </c>
      <c r="E29" s="232">
        <f t="shared" si="1"/>
        <v>1</v>
      </c>
      <c r="F29" s="232">
        <v>14.733333333333334</v>
      </c>
      <c r="G29" s="232">
        <v>14.933333333333334</v>
      </c>
      <c r="H29" s="233">
        <f t="shared" si="4"/>
        <v>5.6561085972850714E-2</v>
      </c>
      <c r="I29" s="210">
        <v>23</v>
      </c>
      <c r="J29" s="440">
        <f t="shared" si="2"/>
        <v>103.63423212192264</v>
      </c>
      <c r="K29" s="441">
        <f t="shared" si="3"/>
        <v>97.772567409144202</v>
      </c>
      <c r="L29" s="279" t="s">
        <v>969</v>
      </c>
      <c r="M29" s="248" t="s">
        <v>985</v>
      </c>
      <c r="N29" s="248" t="s">
        <v>986</v>
      </c>
      <c r="O29" s="248" t="s">
        <v>244</v>
      </c>
      <c r="P29" s="280">
        <v>36590</v>
      </c>
      <c r="Q29" s="253" t="s">
        <v>976</v>
      </c>
      <c r="R29" s="253" t="s">
        <v>977</v>
      </c>
      <c r="S29" s="280">
        <v>45657</v>
      </c>
      <c r="T29" s="281" t="s">
        <v>950</v>
      </c>
      <c r="U29" s="282"/>
    </row>
    <row r="30" spans="1:21">
      <c r="A30" s="380">
        <v>24</v>
      </c>
      <c r="B30" s="381">
        <v>9.6527777777777775E-3</v>
      </c>
      <c r="C30" s="382">
        <f t="shared" si="5"/>
        <v>13.9</v>
      </c>
      <c r="D30" s="382">
        <f t="shared" si="0"/>
        <v>13.9</v>
      </c>
      <c r="E30" s="383">
        <f t="shared" si="1"/>
        <v>1</v>
      </c>
      <c r="F30" s="383">
        <v>14.733333333333334</v>
      </c>
      <c r="G30" s="383">
        <v>14.883333333333333</v>
      </c>
      <c r="H30" s="384">
        <f t="shared" si="4"/>
        <v>5.6561085972850714E-2</v>
      </c>
      <c r="I30" s="210">
        <v>24</v>
      </c>
      <c r="J30" s="440">
        <f t="shared" si="2"/>
        <v>105.99520383693046</v>
      </c>
      <c r="K30" s="441">
        <f t="shared" si="3"/>
        <v>100</v>
      </c>
      <c r="L30" s="279" t="s">
        <v>2350</v>
      </c>
      <c r="M30" s="248" t="s">
        <v>985</v>
      </c>
      <c r="N30" s="248" t="s">
        <v>986</v>
      </c>
      <c r="O30" s="248" t="s">
        <v>244</v>
      </c>
      <c r="P30" s="280">
        <v>36590</v>
      </c>
      <c r="Q30" s="253" t="s">
        <v>976</v>
      </c>
      <c r="R30" s="253" t="s">
        <v>977</v>
      </c>
      <c r="S30" s="280">
        <v>42092</v>
      </c>
      <c r="T30" s="281"/>
      <c r="U30" s="282"/>
    </row>
    <row r="31" spans="1:21" ht="15.75">
      <c r="A31" s="210">
        <v>25</v>
      </c>
      <c r="B31" s="283">
        <v>1.0173611111111111E-2</v>
      </c>
      <c r="C31" s="217">
        <f t="shared" si="5"/>
        <v>14.649999999999999</v>
      </c>
      <c r="D31" s="217">
        <f t="shared" si="0"/>
        <v>13.9</v>
      </c>
      <c r="E31" s="232">
        <f t="shared" si="1"/>
        <v>1</v>
      </c>
      <c r="F31" s="232">
        <v>14.733333333333334</v>
      </c>
      <c r="G31" s="232">
        <v>14.916666666666664</v>
      </c>
      <c r="H31" s="233">
        <f t="shared" si="4"/>
        <v>5.6561085972850714E-2</v>
      </c>
      <c r="I31" s="210">
        <v>25</v>
      </c>
      <c r="J31" s="440">
        <f t="shared" si="2"/>
        <v>100.56882821387943</v>
      </c>
      <c r="K31" s="441">
        <f t="shared" si="3"/>
        <v>94.880546075085334</v>
      </c>
      <c r="L31" s="279" t="s">
        <v>970</v>
      </c>
      <c r="M31" s="248" t="s">
        <v>987</v>
      </c>
      <c r="N31" s="248" t="s">
        <v>988</v>
      </c>
      <c r="O31" s="248" t="s">
        <v>248</v>
      </c>
      <c r="P31" s="280">
        <v>35273</v>
      </c>
      <c r="Q31" s="249" t="s">
        <v>989</v>
      </c>
      <c r="R31" s="289" t="s">
        <v>742</v>
      </c>
      <c r="S31" s="280">
        <v>44506</v>
      </c>
      <c r="T31" s="281"/>
      <c r="U31" s="282"/>
    </row>
    <row r="32" spans="1:21">
      <c r="A32" s="210">
        <v>26</v>
      </c>
      <c r="B32" s="283">
        <v>1.005787037037037E-2</v>
      </c>
      <c r="C32" s="217">
        <f t="shared" si="5"/>
        <v>14.483333333333333</v>
      </c>
      <c r="D32" s="217">
        <f t="shared" si="0"/>
        <v>13.9</v>
      </c>
      <c r="E32" s="232">
        <f t="shared" si="1"/>
        <v>1</v>
      </c>
      <c r="F32" s="232">
        <v>14.733333333333334</v>
      </c>
      <c r="G32" s="232">
        <v>14.883333333333333</v>
      </c>
      <c r="H32" s="233">
        <f t="shared" si="4"/>
        <v>5.6561085972850714E-2</v>
      </c>
      <c r="I32" s="210">
        <v>26</v>
      </c>
      <c r="J32" s="440">
        <f t="shared" si="2"/>
        <v>101.72612197928655</v>
      </c>
      <c r="K32" s="441">
        <f t="shared" si="3"/>
        <v>95.972382048331426</v>
      </c>
      <c r="L32" s="279" t="s">
        <v>971</v>
      </c>
      <c r="M32" s="248" t="s">
        <v>990</v>
      </c>
      <c r="N32" s="248" t="s">
        <v>991</v>
      </c>
      <c r="O32" s="248" t="s">
        <v>248</v>
      </c>
      <c r="P32" s="280">
        <v>34822</v>
      </c>
      <c r="Q32" s="248" t="s">
        <v>954</v>
      </c>
      <c r="R32" s="249" t="s">
        <v>955</v>
      </c>
      <c r="S32" s="280">
        <v>44451</v>
      </c>
      <c r="T32" s="281"/>
      <c r="U32" s="282"/>
    </row>
    <row r="33" spans="1:21">
      <c r="A33" s="210">
        <v>27</v>
      </c>
      <c r="B33" s="283">
        <v>1.0381944444444444E-2</v>
      </c>
      <c r="C33" s="217">
        <f t="shared" si="5"/>
        <v>14.95</v>
      </c>
      <c r="D33" s="217">
        <f t="shared" si="0"/>
        <v>13.904171251375413</v>
      </c>
      <c r="E33" s="232">
        <f t="shared" ref="E33:E64" si="6">ROUND(1-IF(A33&lt;I$3,0,IF(A33&lt;I$4,G$3*(A33-I$3)^2,G$2+G$4*(A33-I$4)+(A33&gt;I$5)*G$5*(A33-I$5)^2)),4)</f>
        <v>0.99970000000000003</v>
      </c>
      <c r="F33" s="232">
        <v>14.733333333333334</v>
      </c>
      <c r="G33" s="232">
        <v>14.95</v>
      </c>
      <c r="H33" s="233">
        <f t="shared" si="4"/>
        <v>5.6277969363659829E-2</v>
      </c>
      <c r="I33" s="210">
        <v>27</v>
      </c>
      <c r="J33" s="440">
        <f t="shared" si="2"/>
        <v>98.550724637681171</v>
      </c>
      <c r="K33" s="441">
        <f t="shared" si="3"/>
        <v>93.004489975755277</v>
      </c>
      <c r="L33" s="279" t="s">
        <v>153</v>
      </c>
      <c r="M33" s="248" t="s">
        <v>257</v>
      </c>
      <c r="N33" s="248" t="s">
        <v>258</v>
      </c>
      <c r="O33" s="248" t="s">
        <v>259</v>
      </c>
      <c r="P33" s="280">
        <v>27015</v>
      </c>
      <c r="Q33" s="249"/>
      <c r="R33" s="248" t="s">
        <v>260</v>
      </c>
      <c r="S33" s="280">
        <v>37136</v>
      </c>
      <c r="T33" s="281"/>
      <c r="U33" s="282"/>
    </row>
    <row r="34" spans="1:21">
      <c r="A34" s="210">
        <v>28</v>
      </c>
      <c r="B34" s="283">
        <v>1.0532407407407407E-2</v>
      </c>
      <c r="C34" s="217">
        <f t="shared" si="5"/>
        <v>15.166666666666666</v>
      </c>
      <c r="D34" s="217">
        <f t="shared" si="0"/>
        <v>13.913913913913914</v>
      </c>
      <c r="E34" s="232">
        <f t="shared" si="6"/>
        <v>0.999</v>
      </c>
      <c r="F34" s="232">
        <v>14.733333333333334</v>
      </c>
      <c r="G34" s="232">
        <v>15.166666666666666</v>
      </c>
      <c r="H34" s="233">
        <f t="shared" si="4"/>
        <v>5.5616702675526236E-2</v>
      </c>
      <c r="I34" s="210">
        <v>28</v>
      </c>
      <c r="J34" s="440">
        <f t="shared" si="2"/>
        <v>97.142857142857153</v>
      </c>
      <c r="K34" s="441">
        <f t="shared" si="3"/>
        <v>91.740091740091742</v>
      </c>
      <c r="L34" s="279" t="s">
        <v>154</v>
      </c>
      <c r="M34" s="248" t="s">
        <v>261</v>
      </c>
      <c r="N34" s="248" t="s">
        <v>262</v>
      </c>
      <c r="O34" s="248" t="s">
        <v>263</v>
      </c>
      <c r="P34" s="280">
        <v>24390</v>
      </c>
      <c r="Q34" s="249"/>
      <c r="R34" s="248" t="s">
        <v>264</v>
      </c>
      <c r="S34" s="280">
        <v>34623</v>
      </c>
      <c r="T34" s="281"/>
      <c r="U34" s="282"/>
    </row>
    <row r="35" spans="1:21" ht="15.75">
      <c r="A35" s="210">
        <v>29</v>
      </c>
      <c r="B35" s="283">
        <v>1.0219907407407407E-2</v>
      </c>
      <c r="C35" s="217">
        <f t="shared" si="5"/>
        <v>14.716666666666665</v>
      </c>
      <c r="D35" s="217">
        <f t="shared" si="0"/>
        <v>13.932043700511176</v>
      </c>
      <c r="E35" s="232">
        <f t="shared" si="6"/>
        <v>0.99770000000000003</v>
      </c>
      <c r="F35" s="232">
        <v>14.733333333333334</v>
      </c>
      <c r="G35" s="232">
        <v>14.783333333333331</v>
      </c>
      <c r="H35" s="233">
        <f t="shared" si="4"/>
        <v>5.4386174173449632E-2</v>
      </c>
      <c r="I35" s="210">
        <v>29</v>
      </c>
      <c r="J35" s="440">
        <f t="shared" si="2"/>
        <v>100.11325028312572</v>
      </c>
      <c r="K35" s="441">
        <f t="shared" si="3"/>
        <v>94.668473616157485</v>
      </c>
      <c r="L35" s="279" t="s">
        <v>972</v>
      </c>
      <c r="M35" s="248" t="s">
        <v>985</v>
      </c>
      <c r="N35" s="248" t="s">
        <v>992</v>
      </c>
      <c r="O35" s="248" t="s">
        <v>244</v>
      </c>
      <c r="P35" s="280">
        <v>33425</v>
      </c>
      <c r="Q35" s="249" t="s">
        <v>993</v>
      </c>
      <c r="R35" s="290" t="s">
        <v>994</v>
      </c>
      <c r="S35" s="280">
        <v>44241</v>
      </c>
      <c r="T35" s="281"/>
      <c r="U35" s="282"/>
    </row>
    <row r="36" spans="1:21">
      <c r="A36" s="210">
        <v>30</v>
      </c>
      <c r="B36" s="283">
        <v>1.0300925925925925E-2</v>
      </c>
      <c r="C36" s="217">
        <f t="shared" si="5"/>
        <v>14.833333333333332</v>
      </c>
      <c r="D36" s="217">
        <f t="shared" si="0"/>
        <v>13.957224620945878</v>
      </c>
      <c r="E36" s="232">
        <f t="shared" si="6"/>
        <v>0.99590000000000001</v>
      </c>
      <c r="F36" s="232">
        <v>14.733333333333334</v>
      </c>
      <c r="G36" s="232">
        <v>15.066666666666668</v>
      </c>
      <c r="H36" s="233">
        <f t="shared" si="4"/>
        <v>5.2677061926750431E-2</v>
      </c>
      <c r="I36" s="210">
        <v>30</v>
      </c>
      <c r="J36" s="440">
        <f t="shared" si="2"/>
        <v>99.325842696629238</v>
      </c>
      <c r="K36" s="441">
        <f t="shared" si="3"/>
        <v>94.093649129972221</v>
      </c>
      <c r="L36" s="279" t="s">
        <v>155</v>
      </c>
      <c r="M36" s="248" t="s">
        <v>267</v>
      </c>
      <c r="N36" s="248" t="s">
        <v>268</v>
      </c>
      <c r="O36" s="248" t="s">
        <v>217</v>
      </c>
      <c r="P36" s="280">
        <v>30925</v>
      </c>
      <c r="Q36" s="249"/>
      <c r="R36" s="248" t="s">
        <v>255</v>
      </c>
      <c r="S36" s="280">
        <v>42112</v>
      </c>
      <c r="T36" s="281"/>
      <c r="U36" s="282"/>
    </row>
    <row r="37" spans="1:21">
      <c r="A37" s="210">
        <v>31</v>
      </c>
      <c r="B37" s="283">
        <v>1.0324074074074074E-2</v>
      </c>
      <c r="C37" s="217">
        <f t="shared" si="5"/>
        <v>14.866666666666667</v>
      </c>
      <c r="D37" s="217">
        <f t="shared" si="0"/>
        <v>13.989533011272142</v>
      </c>
      <c r="E37" s="232">
        <f t="shared" si="6"/>
        <v>0.99360000000000004</v>
      </c>
      <c r="F37" s="232">
        <v>14.736280589451225</v>
      </c>
      <c r="G37" s="232">
        <v>15.266666666666669</v>
      </c>
      <c r="H37" s="233">
        <f t="shared" si="4"/>
        <v>5.0674087918333478E-2</v>
      </c>
      <c r="I37" s="210">
        <v>31</v>
      </c>
      <c r="J37" s="440">
        <f t="shared" si="2"/>
        <v>99.122963606174139</v>
      </c>
      <c r="K37" s="441">
        <f t="shared" si="3"/>
        <v>94.099997833669107</v>
      </c>
      <c r="L37" s="279" t="s">
        <v>156</v>
      </c>
      <c r="M37" s="248" t="s">
        <v>269</v>
      </c>
      <c r="N37" s="248" t="s">
        <v>270</v>
      </c>
      <c r="O37" s="248" t="s">
        <v>248</v>
      </c>
      <c r="P37" s="280">
        <v>30605</v>
      </c>
      <c r="Q37" s="249"/>
      <c r="R37" s="248" t="s">
        <v>255</v>
      </c>
      <c r="S37" s="280">
        <v>42112</v>
      </c>
      <c r="T37" s="281"/>
      <c r="U37" s="282"/>
    </row>
    <row r="38" spans="1:21">
      <c r="A38" s="210">
        <v>32</v>
      </c>
      <c r="B38" s="283">
        <v>1.037037037037037E-2</v>
      </c>
      <c r="C38" s="217">
        <f t="shared" si="5"/>
        <v>14.933333333333334</v>
      </c>
      <c r="D38" s="217">
        <f t="shared" si="0"/>
        <v>14.029067420266452</v>
      </c>
      <c r="E38" s="232">
        <f t="shared" si="6"/>
        <v>0.99080000000000001</v>
      </c>
      <c r="F38" s="232">
        <v>14.748081414748082</v>
      </c>
      <c r="G38" s="232">
        <v>14.916666666666664</v>
      </c>
      <c r="H38" s="233">
        <f t="shared" si="4"/>
        <v>4.8753052974240825E-2</v>
      </c>
      <c r="I38" s="210">
        <v>32</v>
      </c>
      <c r="J38" s="440">
        <f t="shared" si="2"/>
        <v>98.759473759473764</v>
      </c>
      <c r="K38" s="441">
        <f t="shared" si="3"/>
        <v>93.944647903569987</v>
      </c>
      <c r="L38" s="279" t="s">
        <v>157</v>
      </c>
      <c r="M38" s="248" t="s">
        <v>267</v>
      </c>
      <c r="N38" s="248" t="s">
        <v>268</v>
      </c>
      <c r="O38" s="248" t="s">
        <v>217</v>
      </c>
      <c r="P38" s="280">
        <v>30925</v>
      </c>
      <c r="Q38" s="249"/>
      <c r="R38" s="248" t="s">
        <v>255</v>
      </c>
      <c r="S38" s="280">
        <v>42840</v>
      </c>
      <c r="T38" s="281"/>
      <c r="U38" s="282"/>
    </row>
    <row r="39" spans="1:21">
      <c r="A39" s="210">
        <v>33</v>
      </c>
      <c r="B39" s="283">
        <v>1.0590277777777778E-2</v>
      </c>
      <c r="C39" s="217">
        <f t="shared" si="5"/>
        <v>15.25</v>
      </c>
      <c r="D39" s="217">
        <f t="shared" si="0"/>
        <v>14.075949367088608</v>
      </c>
      <c r="E39" s="232">
        <f t="shared" si="6"/>
        <v>0.98750000000000004</v>
      </c>
      <c r="F39" s="232">
        <v>14.768778401496926</v>
      </c>
      <c r="G39" s="232">
        <v>15.249999999999998</v>
      </c>
      <c r="H39" s="233">
        <f t="shared" si="4"/>
        <v>4.6911736067357761E-2</v>
      </c>
      <c r="I39" s="210">
        <v>33</v>
      </c>
      <c r="J39" s="440">
        <f t="shared" si="2"/>
        <v>96.844448534406069</v>
      </c>
      <c r="K39" s="441">
        <f t="shared" si="3"/>
        <v>92.301307325171194</v>
      </c>
      <c r="L39" s="279" t="s">
        <v>158</v>
      </c>
      <c r="M39" s="248" t="s">
        <v>271</v>
      </c>
      <c r="N39" s="248" t="s">
        <v>272</v>
      </c>
      <c r="O39" s="248" t="s">
        <v>217</v>
      </c>
      <c r="P39" s="280">
        <v>21798</v>
      </c>
      <c r="Q39" s="249"/>
      <c r="R39" s="248" t="s">
        <v>273</v>
      </c>
      <c r="S39" s="280">
        <v>34013</v>
      </c>
      <c r="T39" s="281"/>
      <c r="U39" s="282"/>
    </row>
    <row r="40" spans="1:21">
      <c r="A40" s="210">
        <v>34</v>
      </c>
      <c r="B40" s="283">
        <v>1.0486111111111111E-2</v>
      </c>
      <c r="C40" s="217">
        <f t="shared" si="5"/>
        <v>15.1</v>
      </c>
      <c r="D40" s="217">
        <f t="shared" si="0"/>
        <v>14.131760878405856</v>
      </c>
      <c r="E40" s="232">
        <f t="shared" si="6"/>
        <v>0.98360000000000003</v>
      </c>
      <c r="F40" s="232">
        <v>14.796960262461921</v>
      </c>
      <c r="G40" s="232">
        <v>15.1</v>
      </c>
      <c r="H40" s="233">
        <f t="shared" si="4"/>
        <v>4.495513755913734E-2</v>
      </c>
      <c r="I40" s="210">
        <v>34</v>
      </c>
      <c r="J40" s="440">
        <f t="shared" si="2"/>
        <v>97.993114320939881</v>
      </c>
      <c r="K40" s="441">
        <f t="shared" si="3"/>
        <v>93.587820386793751</v>
      </c>
      <c r="L40" s="279" t="s">
        <v>159</v>
      </c>
      <c r="M40" s="248" t="s">
        <v>274</v>
      </c>
      <c r="N40" s="248" t="s">
        <v>275</v>
      </c>
      <c r="O40" s="248" t="s">
        <v>276</v>
      </c>
      <c r="P40" s="280">
        <v>25535</v>
      </c>
      <c r="Q40" s="249"/>
      <c r="R40" s="248" t="s">
        <v>260</v>
      </c>
      <c r="S40" s="280">
        <v>38235</v>
      </c>
      <c r="T40" s="281"/>
      <c r="U40" s="282"/>
    </row>
    <row r="41" spans="1:21">
      <c r="A41" s="210">
        <v>35</v>
      </c>
      <c r="B41" s="283">
        <v>1.0694444444444444E-2</v>
      </c>
      <c r="C41" s="217">
        <f t="shared" si="5"/>
        <v>15.399999999999999</v>
      </c>
      <c r="D41" s="217">
        <f t="shared" si="0"/>
        <v>14.193811906463802</v>
      </c>
      <c r="E41" s="232">
        <f t="shared" si="6"/>
        <v>0.97929999999999995</v>
      </c>
      <c r="F41" s="232">
        <v>14.832712507131113</v>
      </c>
      <c r="G41" s="232">
        <v>15.383333333333333</v>
      </c>
      <c r="H41" s="233">
        <f t="shared" si="4"/>
        <v>4.3073753392047963E-2</v>
      </c>
      <c r="I41" s="210">
        <v>35</v>
      </c>
      <c r="J41" s="440">
        <f t="shared" si="2"/>
        <v>96.31631498137088</v>
      </c>
      <c r="K41" s="441">
        <f t="shared" ref="K41:K72" si="7">100*(D41/C41)</f>
        <v>92.167609782232489</v>
      </c>
      <c r="L41" s="279" t="s">
        <v>160</v>
      </c>
      <c r="M41" s="248" t="s">
        <v>261</v>
      </c>
      <c r="N41" s="248" t="s">
        <v>262</v>
      </c>
      <c r="O41" s="248" t="s">
        <v>263</v>
      </c>
      <c r="P41" s="280">
        <v>24390</v>
      </c>
      <c r="Q41" s="249"/>
      <c r="R41" s="248" t="s">
        <v>264</v>
      </c>
      <c r="S41" s="280">
        <v>37514</v>
      </c>
      <c r="T41" s="281"/>
      <c r="U41" s="282"/>
    </row>
    <row r="42" spans="1:21">
      <c r="A42" s="210">
        <v>36</v>
      </c>
      <c r="B42" s="283">
        <v>1.0763888888888889E-2</v>
      </c>
      <c r="C42" s="217">
        <f t="shared" si="5"/>
        <v>15.5</v>
      </c>
      <c r="D42" s="217">
        <f t="shared" ref="D42:D73" si="8">OC/E42</f>
        <v>14.265188834154351</v>
      </c>
      <c r="E42" s="232">
        <f t="shared" si="6"/>
        <v>0.97440000000000004</v>
      </c>
      <c r="F42" s="232">
        <v>14.879148993469334</v>
      </c>
      <c r="G42" s="232">
        <v>15.483333333333331</v>
      </c>
      <c r="H42" s="233">
        <f t="shared" si="4"/>
        <v>4.1263123286449967E-2</v>
      </c>
      <c r="I42" s="210">
        <v>36</v>
      </c>
      <c r="J42" s="440">
        <f t="shared" ref="J42:J73" si="9">100*F42/+C42</f>
        <v>95.994509635286036</v>
      </c>
      <c r="K42" s="441">
        <f t="shared" si="7"/>
        <v>92.033476349382909</v>
      </c>
      <c r="L42" s="279" t="s">
        <v>161</v>
      </c>
      <c r="M42" s="248" t="s">
        <v>277</v>
      </c>
      <c r="N42" s="248" t="s">
        <v>278</v>
      </c>
      <c r="O42" s="248" t="s">
        <v>217</v>
      </c>
      <c r="P42" s="280">
        <v>23992</v>
      </c>
      <c r="Q42" s="249"/>
      <c r="R42" s="248" t="s">
        <v>264</v>
      </c>
      <c r="S42" s="280">
        <v>37150</v>
      </c>
      <c r="T42" s="281"/>
      <c r="U42" s="282"/>
    </row>
    <row r="43" spans="1:21">
      <c r="A43" s="210">
        <v>37</v>
      </c>
      <c r="B43" s="283">
        <v>1.0763888888888889E-2</v>
      </c>
      <c r="C43" s="217">
        <f t="shared" si="5"/>
        <v>15.5</v>
      </c>
      <c r="D43" s="217">
        <f t="shared" si="8"/>
        <v>14.343205035600041</v>
      </c>
      <c r="E43" s="232">
        <f t="shared" si="6"/>
        <v>0.96909999999999996</v>
      </c>
      <c r="F43" s="232">
        <v>14.933441448746537</v>
      </c>
      <c r="G43" s="232">
        <v>15.500000000000002</v>
      </c>
      <c r="H43" s="233">
        <f t="shared" si="4"/>
        <v>3.9524473656809909E-2</v>
      </c>
      <c r="I43" s="210">
        <v>37</v>
      </c>
      <c r="J43" s="440">
        <f t="shared" si="9"/>
        <v>96.344783540300241</v>
      </c>
      <c r="K43" s="441">
        <f t="shared" si="7"/>
        <v>92.536806681290585</v>
      </c>
      <c r="L43" s="279" t="s">
        <v>161</v>
      </c>
      <c r="M43" s="248" t="s">
        <v>279</v>
      </c>
      <c r="N43" s="248" t="s">
        <v>280</v>
      </c>
      <c r="O43" s="248" t="s">
        <v>217</v>
      </c>
      <c r="P43" s="280">
        <v>23483</v>
      </c>
      <c r="Q43" s="249" t="s">
        <v>249</v>
      </c>
      <c r="R43" s="248" t="s">
        <v>250</v>
      </c>
      <c r="S43" s="280">
        <v>37353</v>
      </c>
      <c r="T43" s="281"/>
      <c r="U43" s="282"/>
    </row>
    <row r="44" spans="1:21">
      <c r="A44" s="210">
        <v>38</v>
      </c>
      <c r="B44" s="283">
        <v>1.0694444444444444E-2</v>
      </c>
      <c r="C44" s="217">
        <f t="shared" si="5"/>
        <v>15.399999999999999</v>
      </c>
      <c r="D44" s="217">
        <f t="shared" si="8"/>
        <v>14.43106312292359</v>
      </c>
      <c r="E44" s="232">
        <f t="shared" si="6"/>
        <v>0.96319999999999995</v>
      </c>
      <c r="F44" s="232">
        <v>14.995759117896522</v>
      </c>
      <c r="G44" s="232">
        <v>15.399999999999999</v>
      </c>
      <c r="H44" s="233">
        <f t="shared" si="4"/>
        <v>3.7657046271102258E-2</v>
      </c>
      <c r="I44" s="210">
        <v>38</v>
      </c>
      <c r="J44" s="440">
        <f t="shared" si="9"/>
        <v>97.375059207120287</v>
      </c>
      <c r="K44" s="441">
        <f t="shared" si="7"/>
        <v>93.708202096906433</v>
      </c>
      <c r="L44" s="279" t="s">
        <v>160</v>
      </c>
      <c r="M44" s="248" t="s">
        <v>281</v>
      </c>
      <c r="N44" s="248" t="s">
        <v>282</v>
      </c>
      <c r="O44" s="248" t="s">
        <v>217</v>
      </c>
      <c r="P44" s="280">
        <v>21401</v>
      </c>
      <c r="Q44" s="249"/>
      <c r="R44" s="248" t="s">
        <v>283</v>
      </c>
      <c r="S44" s="280">
        <v>35414</v>
      </c>
      <c r="T44" s="281"/>
      <c r="U44" s="282"/>
    </row>
    <row r="45" spans="1:21">
      <c r="A45" s="210">
        <v>39</v>
      </c>
      <c r="B45" s="283">
        <v>1.087962962962963E-2</v>
      </c>
      <c r="C45" s="217">
        <f t="shared" si="5"/>
        <v>15.666666666666666</v>
      </c>
      <c r="D45" s="217">
        <f t="shared" si="8"/>
        <v>14.527591973244148</v>
      </c>
      <c r="E45" s="232">
        <f t="shared" si="6"/>
        <v>0.95679999999999998</v>
      </c>
      <c r="F45" s="232">
        <v>15.067839367287108</v>
      </c>
      <c r="G45" s="232">
        <v>15.666666666666666</v>
      </c>
      <c r="H45" s="233">
        <f t="shared" si="4"/>
        <v>3.5854337232706361E-2</v>
      </c>
      <c r="I45" s="210">
        <v>39</v>
      </c>
      <c r="J45" s="440">
        <f t="shared" si="9"/>
        <v>96.177698089066652</v>
      </c>
      <c r="K45" s="441">
        <f t="shared" si="7"/>
        <v>92.72931046751583</v>
      </c>
      <c r="L45" s="279" t="s">
        <v>162</v>
      </c>
      <c r="M45" s="248" t="s">
        <v>284</v>
      </c>
      <c r="N45" s="248" t="s">
        <v>285</v>
      </c>
      <c r="O45" s="248" t="s">
        <v>244</v>
      </c>
      <c r="P45" s="280">
        <v>24566</v>
      </c>
      <c r="Q45" s="249"/>
      <c r="R45" s="248" t="s">
        <v>286</v>
      </c>
      <c r="S45" s="280">
        <v>38857</v>
      </c>
      <c r="T45" s="281"/>
      <c r="U45" s="282"/>
    </row>
    <row r="46" spans="1:21">
      <c r="A46" s="210">
        <v>40</v>
      </c>
      <c r="B46" s="283">
        <v>1.0972222222222222E-2</v>
      </c>
      <c r="C46" s="217">
        <f t="shared" si="5"/>
        <v>15.799999999999999</v>
      </c>
      <c r="D46" s="217">
        <f t="shared" si="8"/>
        <v>14.633119275713234</v>
      </c>
      <c r="E46" s="232">
        <f t="shared" si="6"/>
        <v>0.94989999999999997</v>
      </c>
      <c r="F46" s="232">
        <v>15.149957155098544</v>
      </c>
      <c r="G46" s="232">
        <v>15.783333333333333</v>
      </c>
      <c r="H46" s="233">
        <f t="shared" si="4"/>
        <v>3.4114807988838057E-2</v>
      </c>
      <c r="I46" s="210">
        <v>40</v>
      </c>
      <c r="J46" s="440">
        <f t="shared" si="9"/>
        <v>95.885804779104717</v>
      </c>
      <c r="K46" s="441">
        <f t="shared" si="7"/>
        <v>92.614678960210355</v>
      </c>
      <c r="L46" s="279" t="s">
        <v>163</v>
      </c>
      <c r="M46" s="248" t="s">
        <v>279</v>
      </c>
      <c r="N46" s="248" t="s">
        <v>280</v>
      </c>
      <c r="O46" s="248" t="s">
        <v>217</v>
      </c>
      <c r="P46" s="280">
        <v>23483</v>
      </c>
      <c r="Q46" s="249" t="s">
        <v>287</v>
      </c>
      <c r="R46" s="248" t="s">
        <v>288</v>
      </c>
      <c r="S46" s="280">
        <v>38143</v>
      </c>
      <c r="T46" s="281"/>
      <c r="U46" s="282"/>
    </row>
    <row r="47" spans="1:21">
      <c r="A47" s="210">
        <v>41</v>
      </c>
      <c r="B47" s="283">
        <v>1.1030092592592593E-2</v>
      </c>
      <c r="C47" s="217">
        <f t="shared" si="5"/>
        <v>15.883333333333335</v>
      </c>
      <c r="D47" s="217">
        <f t="shared" si="8"/>
        <v>14.748010610079575</v>
      </c>
      <c r="E47" s="232">
        <f t="shared" si="6"/>
        <v>0.9425</v>
      </c>
      <c r="F47" s="232">
        <v>15.240853763663322</v>
      </c>
      <c r="G47" s="232">
        <v>16.016666666666666</v>
      </c>
      <c r="H47" s="233">
        <f t="shared" si="4"/>
        <v>3.2336978047697404E-2</v>
      </c>
      <c r="I47" s="210">
        <v>41</v>
      </c>
      <c r="J47" s="440">
        <f t="shared" si="9"/>
        <v>95.955007955907575</v>
      </c>
      <c r="K47" s="441">
        <f t="shared" si="7"/>
        <v>92.852112970070763</v>
      </c>
      <c r="L47" s="279" t="s">
        <v>164</v>
      </c>
      <c r="M47" s="248" t="s">
        <v>289</v>
      </c>
      <c r="N47" s="248" t="s">
        <v>290</v>
      </c>
      <c r="O47" s="248" t="s">
        <v>217</v>
      </c>
      <c r="P47" s="280">
        <v>27211</v>
      </c>
      <c r="Q47" s="249" t="s">
        <v>249</v>
      </c>
      <c r="R47" s="248" t="s">
        <v>250</v>
      </c>
      <c r="S47" s="280">
        <v>42463</v>
      </c>
      <c r="T47" s="281"/>
      <c r="U47" s="282"/>
    </row>
    <row r="48" spans="1:21">
      <c r="A48" s="210">
        <v>42</v>
      </c>
      <c r="B48" s="283">
        <v>1.0972222222222222E-2</v>
      </c>
      <c r="C48" s="217">
        <f t="shared" si="5"/>
        <v>15.799999999999999</v>
      </c>
      <c r="D48" s="217">
        <f t="shared" si="8"/>
        <v>14.872672801198375</v>
      </c>
      <c r="E48" s="232">
        <f t="shared" si="6"/>
        <v>0.93459999999999999</v>
      </c>
      <c r="F48" s="232">
        <v>15.342427713561735</v>
      </c>
      <c r="G48" s="232">
        <v>15.916666666666666</v>
      </c>
      <c r="H48" s="233">
        <f t="shared" si="4"/>
        <v>3.0618030023248952E-2</v>
      </c>
      <c r="I48" s="210">
        <v>42</v>
      </c>
      <c r="J48" s="440">
        <f t="shared" si="9"/>
        <v>97.103972870643901</v>
      </c>
      <c r="K48" s="441">
        <f t="shared" si="7"/>
        <v>94.130840513913768</v>
      </c>
      <c r="L48" s="279" t="s">
        <v>163</v>
      </c>
      <c r="M48" s="248" t="s">
        <v>291</v>
      </c>
      <c r="N48" s="248" t="s">
        <v>292</v>
      </c>
      <c r="O48" s="248" t="s">
        <v>217</v>
      </c>
      <c r="P48" s="280">
        <v>26709</v>
      </c>
      <c r="Q48" s="249"/>
      <c r="R48" s="248" t="s">
        <v>237</v>
      </c>
      <c r="S48" s="280">
        <v>42274</v>
      </c>
      <c r="T48" s="281"/>
      <c r="U48" s="282"/>
    </row>
    <row r="49" spans="1:21">
      <c r="A49" s="210">
        <v>43</v>
      </c>
      <c r="B49" s="283">
        <v>1.1400462962962963E-2</v>
      </c>
      <c r="C49" s="217">
        <f t="shared" si="5"/>
        <v>16.416666666666668</v>
      </c>
      <c r="D49" s="217">
        <f t="shared" si="8"/>
        <v>15.007557762902181</v>
      </c>
      <c r="E49" s="232">
        <f t="shared" si="6"/>
        <v>0.92620000000000002</v>
      </c>
      <c r="F49" s="232">
        <v>15.455085842162314</v>
      </c>
      <c r="G49" s="232">
        <v>16.416666666666668</v>
      </c>
      <c r="H49" s="233">
        <f t="shared" si="4"/>
        <v>2.8956686739277235E-2</v>
      </c>
      <c r="I49" s="210">
        <v>43</v>
      </c>
      <c r="J49" s="440">
        <f t="shared" si="9"/>
        <v>94.142654876115614</v>
      </c>
      <c r="K49" s="441">
        <f t="shared" si="7"/>
        <v>91.416595510064042</v>
      </c>
      <c r="L49" s="279" t="s">
        <v>165</v>
      </c>
      <c r="M49" s="248" t="s">
        <v>293</v>
      </c>
      <c r="N49" s="248" t="s">
        <v>294</v>
      </c>
      <c r="O49" s="248" t="s">
        <v>295</v>
      </c>
      <c r="P49" s="280">
        <v>22400</v>
      </c>
      <c r="Q49" s="249"/>
      <c r="R49" s="248" t="s">
        <v>296</v>
      </c>
      <c r="S49" s="280">
        <v>38402</v>
      </c>
      <c r="T49" s="281"/>
      <c r="U49" s="282"/>
    </row>
    <row r="50" spans="1:21">
      <c r="A50" s="210">
        <v>44</v>
      </c>
      <c r="B50" s="283">
        <v>1.1122685185185185E-2</v>
      </c>
      <c r="C50" s="217">
        <f t="shared" si="5"/>
        <v>16.016666666666666</v>
      </c>
      <c r="D50" s="217">
        <f t="shared" si="8"/>
        <v>15.154819014391627</v>
      </c>
      <c r="E50" s="232">
        <f t="shared" si="6"/>
        <v>0.91720000000000002</v>
      </c>
      <c r="F50" s="232">
        <v>15.577641502784241</v>
      </c>
      <c r="G50" s="232">
        <v>16.016666666666666</v>
      </c>
      <c r="H50" s="233">
        <f t="shared" si="4"/>
        <v>2.7142907886090528E-2</v>
      </c>
      <c r="I50" s="210">
        <v>44</v>
      </c>
      <c r="J50" s="440">
        <f t="shared" si="9"/>
        <v>97.258947988247087</v>
      </c>
      <c r="K50" s="441">
        <f t="shared" si="7"/>
        <v>94.619057321904023</v>
      </c>
      <c r="L50" s="279" t="s">
        <v>166</v>
      </c>
      <c r="M50" s="248" t="s">
        <v>293</v>
      </c>
      <c r="N50" s="248" t="s">
        <v>294</v>
      </c>
      <c r="O50" s="248" t="s">
        <v>295</v>
      </c>
      <c r="P50" s="280">
        <v>22400</v>
      </c>
      <c r="Q50" s="249"/>
      <c r="R50" s="248" t="s">
        <v>297</v>
      </c>
      <c r="S50" s="280">
        <v>38745</v>
      </c>
      <c r="T50" s="281"/>
      <c r="U50" s="282"/>
    </row>
    <row r="51" spans="1:21">
      <c r="A51" s="210">
        <v>45</v>
      </c>
      <c r="B51" s="283">
        <v>1.1342592592592593E-2</v>
      </c>
      <c r="C51" s="217">
        <f t="shared" si="5"/>
        <v>16.333333333333336</v>
      </c>
      <c r="D51" s="217">
        <f t="shared" si="8"/>
        <v>15.311742674597928</v>
      </c>
      <c r="E51" s="232">
        <f t="shared" si="6"/>
        <v>0.90780000000000005</v>
      </c>
      <c r="F51" s="232">
        <v>15.712203618783549</v>
      </c>
      <c r="G51" s="232">
        <v>16.583333333333332</v>
      </c>
      <c r="H51" s="233">
        <f t="shared" si="4"/>
        <v>2.5487255250872635E-2</v>
      </c>
      <c r="I51" s="210">
        <v>45</v>
      </c>
      <c r="J51" s="440">
        <f t="shared" si="9"/>
        <v>96.197165012960482</v>
      </c>
      <c r="K51" s="441">
        <f t="shared" si="7"/>
        <v>93.745363313864843</v>
      </c>
      <c r="L51" s="279" t="s">
        <v>167</v>
      </c>
      <c r="M51" s="248" t="s">
        <v>298</v>
      </c>
      <c r="N51" s="248" t="s">
        <v>299</v>
      </c>
      <c r="O51" s="248" t="s">
        <v>276</v>
      </c>
      <c r="P51" s="280">
        <v>25537</v>
      </c>
      <c r="Q51" s="249"/>
      <c r="R51" s="248" t="s">
        <v>300</v>
      </c>
      <c r="S51" s="280">
        <v>42248</v>
      </c>
      <c r="T51" s="281"/>
      <c r="U51" s="282"/>
    </row>
    <row r="52" spans="1:21">
      <c r="A52" s="210">
        <v>46</v>
      </c>
      <c r="B52" s="283">
        <v>1.150462962962963E-2</v>
      </c>
      <c r="C52" s="217">
        <f t="shared" si="5"/>
        <v>16.566666666666666</v>
      </c>
      <c r="D52" s="217">
        <f t="shared" si="8"/>
        <v>15.478841870824054</v>
      </c>
      <c r="E52" s="232">
        <f t="shared" si="6"/>
        <v>0.89800000000000002</v>
      </c>
      <c r="F52" s="232">
        <v>15.857640010045564</v>
      </c>
      <c r="G52" s="232">
        <v>16.566666666666666</v>
      </c>
      <c r="H52" s="233">
        <f t="shared" si="4"/>
        <v>2.3887422023803534E-2</v>
      </c>
      <c r="I52" s="210">
        <v>46</v>
      </c>
      <c r="J52" s="440">
        <f t="shared" si="9"/>
        <v>95.720161026431981</v>
      </c>
      <c r="K52" s="441">
        <f t="shared" si="7"/>
        <v>93.433653143807177</v>
      </c>
      <c r="L52" s="279" t="s">
        <v>168</v>
      </c>
      <c r="M52" s="248" t="s">
        <v>301</v>
      </c>
      <c r="N52" s="248" t="s">
        <v>302</v>
      </c>
      <c r="O52" s="248" t="s">
        <v>303</v>
      </c>
      <c r="P52" s="280">
        <v>20152</v>
      </c>
      <c r="Q52" s="249"/>
      <c r="R52" s="248" t="s">
        <v>304</v>
      </c>
      <c r="S52" s="280">
        <v>37112</v>
      </c>
      <c r="T52" s="281"/>
      <c r="U52" s="282"/>
    </row>
    <row r="53" spans="1:21">
      <c r="A53" s="210">
        <v>47</v>
      </c>
      <c r="B53" s="283">
        <v>1.1307870370370371E-2</v>
      </c>
      <c r="C53" s="217">
        <f t="shared" si="5"/>
        <v>16.283333333333335</v>
      </c>
      <c r="D53" s="217">
        <f t="shared" si="8"/>
        <v>15.6478667116965</v>
      </c>
      <c r="E53" s="232">
        <f t="shared" si="6"/>
        <v>0.88829999999999998</v>
      </c>
      <c r="F53" s="232">
        <v>16.017974922084512</v>
      </c>
      <c r="G53" s="232">
        <v>16.283333333333335</v>
      </c>
      <c r="H53" s="233">
        <f t="shared" si="4"/>
        <v>2.3105805333590107E-2</v>
      </c>
      <c r="I53" s="210">
        <v>47</v>
      </c>
      <c r="J53" s="440">
        <f t="shared" si="9"/>
        <v>98.370367996424847</v>
      </c>
      <c r="K53" s="441">
        <f t="shared" si="7"/>
        <v>96.097441422905831</v>
      </c>
      <c r="L53" s="279" t="s">
        <v>169</v>
      </c>
      <c r="M53" s="248" t="s">
        <v>301</v>
      </c>
      <c r="N53" s="248" t="s">
        <v>302</v>
      </c>
      <c r="O53" s="248" t="s">
        <v>303</v>
      </c>
      <c r="P53" s="280">
        <v>20152</v>
      </c>
      <c r="Q53" s="249"/>
      <c r="R53" s="248" t="s">
        <v>304</v>
      </c>
      <c r="S53" s="280">
        <v>37476</v>
      </c>
      <c r="T53" s="281"/>
      <c r="U53" s="282"/>
    </row>
    <row r="54" spans="1:21">
      <c r="A54" s="210">
        <v>48</v>
      </c>
      <c r="B54" s="283">
        <v>1.1273148148148148E-2</v>
      </c>
      <c r="C54" s="217">
        <f t="shared" si="5"/>
        <v>16.233333333333334</v>
      </c>
      <c r="D54" s="217">
        <f t="shared" si="8"/>
        <v>15.820623719553835</v>
      </c>
      <c r="E54" s="232">
        <f t="shared" si="6"/>
        <v>0.87860000000000005</v>
      </c>
      <c r="F54" s="232">
        <v>16.186918625943019</v>
      </c>
      <c r="G54" s="232">
        <v>16.216666666666661</v>
      </c>
      <c r="H54" s="233">
        <f t="shared" si="4"/>
        <v>2.2629069488377961E-2</v>
      </c>
      <c r="I54" s="210">
        <v>48</v>
      </c>
      <c r="J54" s="440">
        <f t="shared" si="9"/>
        <v>99.714077777883077</v>
      </c>
      <c r="K54" s="441">
        <f t="shared" si="7"/>
        <v>97.45764098287782</v>
      </c>
      <c r="L54" s="279" t="s">
        <v>149</v>
      </c>
      <c r="M54" s="248" t="s">
        <v>305</v>
      </c>
      <c r="N54" s="248" t="s">
        <v>306</v>
      </c>
      <c r="O54" s="248" t="s">
        <v>217</v>
      </c>
      <c r="P54" s="280">
        <v>22408</v>
      </c>
      <c r="Q54" s="249" t="s">
        <v>307</v>
      </c>
      <c r="R54" s="248" t="s">
        <v>237</v>
      </c>
      <c r="S54" s="280">
        <v>40143</v>
      </c>
      <c r="T54" s="281"/>
      <c r="U54" s="282"/>
    </row>
    <row r="55" spans="1:21">
      <c r="A55" s="210">
        <v>49</v>
      </c>
      <c r="B55" s="283">
        <v>1.1446759259259259E-2</v>
      </c>
      <c r="C55" s="217">
        <f t="shared" si="5"/>
        <v>16.483333333333334</v>
      </c>
      <c r="D55" s="217">
        <f t="shared" si="8"/>
        <v>15.997237886983543</v>
      </c>
      <c r="E55" s="232">
        <f t="shared" si="6"/>
        <v>0.86890000000000001</v>
      </c>
      <c r="F55" s="232">
        <v>16.361280769942628</v>
      </c>
      <c r="G55" s="232">
        <v>16.466666666666669</v>
      </c>
      <c r="H55" s="233">
        <f t="shared" si="4"/>
        <v>2.2250268061401984E-2</v>
      </c>
      <c r="I55" s="210">
        <v>49</v>
      </c>
      <c r="J55" s="440">
        <f t="shared" si="9"/>
        <v>99.259539554758092</v>
      </c>
      <c r="K55" s="441">
        <f t="shared" si="7"/>
        <v>97.050988192013392</v>
      </c>
      <c r="L55" s="279" t="s">
        <v>170</v>
      </c>
      <c r="M55" s="248" t="s">
        <v>301</v>
      </c>
      <c r="N55" s="248" t="s">
        <v>302</v>
      </c>
      <c r="O55" s="248" t="s">
        <v>303</v>
      </c>
      <c r="P55" s="280">
        <v>20152</v>
      </c>
      <c r="Q55" s="249"/>
      <c r="R55" s="248" t="s">
        <v>304</v>
      </c>
      <c r="S55" s="280">
        <v>38211</v>
      </c>
      <c r="T55" s="281"/>
      <c r="U55" s="282"/>
    </row>
    <row r="56" spans="1:21">
      <c r="A56" s="210">
        <v>50</v>
      </c>
      <c r="B56" s="283">
        <v>1.15625E-2</v>
      </c>
      <c r="C56" s="217">
        <f t="shared" si="5"/>
        <v>16.649999999999999</v>
      </c>
      <c r="D56" s="217">
        <f t="shared" si="8"/>
        <v>16.17783985102421</v>
      </c>
      <c r="E56" s="232">
        <f t="shared" si="6"/>
        <v>0.85919999999999996</v>
      </c>
      <c r="F56" s="232">
        <v>16.539440203562343</v>
      </c>
      <c r="G56" s="232">
        <v>16.633333333333333</v>
      </c>
      <c r="H56" s="233">
        <f t="shared" si="4"/>
        <v>2.1862913622690196E-2</v>
      </c>
      <c r="I56" s="210">
        <v>50</v>
      </c>
      <c r="J56" s="440">
        <f t="shared" si="9"/>
        <v>99.335977198572635</v>
      </c>
      <c r="K56" s="441">
        <f t="shared" si="7"/>
        <v>97.16420330945472</v>
      </c>
      <c r="L56" s="279" t="s">
        <v>171</v>
      </c>
      <c r="M56" s="248" t="s">
        <v>301</v>
      </c>
      <c r="N56" s="248" t="s">
        <v>302</v>
      </c>
      <c r="O56" s="248" t="s">
        <v>303</v>
      </c>
      <c r="P56" s="280">
        <v>20152</v>
      </c>
      <c r="Q56" s="249"/>
      <c r="R56" s="248" t="s">
        <v>304</v>
      </c>
      <c r="S56" s="280">
        <v>38575</v>
      </c>
      <c r="T56" s="281"/>
      <c r="U56" s="282"/>
    </row>
    <row r="57" spans="1:21">
      <c r="A57" s="210">
        <v>51</v>
      </c>
      <c r="B57" s="283">
        <v>1.1851851851851851E-2</v>
      </c>
      <c r="C57" s="217">
        <f t="shared" si="5"/>
        <v>17.066666666666666</v>
      </c>
      <c r="D57" s="217">
        <f t="shared" si="8"/>
        <v>16.362566215420834</v>
      </c>
      <c r="E57" s="232">
        <f t="shared" si="6"/>
        <v>0.84950000000000003</v>
      </c>
      <c r="F57" s="232">
        <v>16.72152233949987</v>
      </c>
      <c r="G57" s="232">
        <v>17.216666666666665</v>
      </c>
      <c r="H57" s="233">
        <f t="shared" si="4"/>
        <v>2.146671318502524E-2</v>
      </c>
      <c r="I57" s="210">
        <v>51</v>
      </c>
      <c r="J57" s="440">
        <f t="shared" si="9"/>
        <v>97.977669958007056</v>
      </c>
      <c r="K57" s="441">
        <f t="shared" si="7"/>
        <v>95.874411418481458</v>
      </c>
      <c r="L57" s="279" t="s">
        <v>172</v>
      </c>
      <c r="M57" s="248" t="s">
        <v>308</v>
      </c>
      <c r="N57" s="248" t="s">
        <v>309</v>
      </c>
      <c r="O57" s="248" t="s">
        <v>217</v>
      </c>
      <c r="P57" s="280">
        <v>20858</v>
      </c>
      <c r="Q57" s="249" t="s">
        <v>310</v>
      </c>
      <c r="R57" s="248" t="s">
        <v>311</v>
      </c>
      <c r="S57" s="280">
        <v>40349</v>
      </c>
      <c r="T57" s="281"/>
      <c r="U57" s="282"/>
    </row>
    <row r="58" spans="1:21">
      <c r="A58" s="210">
        <v>52</v>
      </c>
      <c r="B58" s="283">
        <v>1.1828703703703704E-2</v>
      </c>
      <c r="C58" s="217">
        <f t="shared" si="5"/>
        <v>17.033333333333335</v>
      </c>
      <c r="D58" s="217">
        <f t="shared" si="8"/>
        <v>16.551559895213146</v>
      </c>
      <c r="E58" s="232">
        <f t="shared" si="6"/>
        <v>0.83979999999999999</v>
      </c>
      <c r="F58" s="232">
        <v>16.909598683958837</v>
      </c>
      <c r="G58" s="232">
        <v>17.033333333333335</v>
      </c>
      <c r="H58" s="233">
        <f t="shared" si="4"/>
        <v>2.1173701129012738E-2</v>
      </c>
      <c r="I58" s="210">
        <v>52</v>
      </c>
      <c r="J58" s="440">
        <f t="shared" si="9"/>
        <v>99.273573487038163</v>
      </c>
      <c r="K58" s="441">
        <f t="shared" si="7"/>
        <v>97.171584512014547</v>
      </c>
      <c r="L58" s="279" t="s">
        <v>173</v>
      </c>
      <c r="M58" s="248" t="s">
        <v>312</v>
      </c>
      <c r="N58" s="248" t="s">
        <v>313</v>
      </c>
      <c r="O58" s="248" t="s">
        <v>314</v>
      </c>
      <c r="P58" s="280">
        <v>22396</v>
      </c>
      <c r="Q58" s="249"/>
      <c r="R58" s="248" t="s">
        <v>315</v>
      </c>
      <c r="S58" s="280">
        <v>41395</v>
      </c>
      <c r="T58" s="281"/>
      <c r="U58" s="282"/>
    </row>
    <row r="59" spans="1:21">
      <c r="A59" s="210">
        <v>53</v>
      </c>
      <c r="B59" s="283">
        <v>1.2256944444444445E-2</v>
      </c>
      <c r="C59" s="217">
        <f t="shared" si="5"/>
        <v>17.650000000000002</v>
      </c>
      <c r="D59" s="217">
        <f t="shared" si="8"/>
        <v>16.744970485483677</v>
      </c>
      <c r="E59" s="232">
        <f t="shared" si="6"/>
        <v>0.83009999999999995</v>
      </c>
      <c r="F59" s="232">
        <v>17.099969049829774</v>
      </c>
      <c r="G59" s="232">
        <v>17.633333333333333</v>
      </c>
      <c r="H59" s="233">
        <f t="shared" si="4"/>
        <v>2.0760187536692124E-2</v>
      </c>
      <c r="I59" s="210">
        <v>53</v>
      </c>
      <c r="J59" s="440">
        <f t="shared" si="9"/>
        <v>96.883677336146022</v>
      </c>
      <c r="K59" s="441">
        <f t="shared" si="7"/>
        <v>94.872354025403254</v>
      </c>
      <c r="L59" s="279" t="s">
        <v>174</v>
      </c>
      <c r="M59" s="248" t="s">
        <v>316</v>
      </c>
      <c r="N59" s="248" t="s">
        <v>317</v>
      </c>
      <c r="O59" s="248" t="s">
        <v>217</v>
      </c>
      <c r="P59" s="280">
        <v>20956</v>
      </c>
      <c r="Q59" s="249"/>
      <c r="R59" s="248" t="s">
        <v>264</v>
      </c>
      <c r="S59" s="280">
        <v>40440</v>
      </c>
      <c r="T59" s="281"/>
      <c r="U59" s="282"/>
    </row>
    <row r="60" spans="1:21">
      <c r="A60" s="210">
        <v>54</v>
      </c>
      <c r="B60" s="283">
        <v>1.2361111111111111E-2</v>
      </c>
      <c r="C60" s="217">
        <f t="shared" si="5"/>
        <v>17.8</v>
      </c>
      <c r="D60" s="217">
        <f t="shared" si="8"/>
        <v>16.942954656265236</v>
      </c>
      <c r="E60" s="232">
        <f t="shared" si="6"/>
        <v>0.82040000000000002</v>
      </c>
      <c r="F60" s="232">
        <v>17.294674648824198</v>
      </c>
      <c r="G60" s="232">
        <v>18.350000000000001</v>
      </c>
      <c r="H60" s="233">
        <f t="shared" si="4"/>
        <v>2.0336895587849315E-2</v>
      </c>
      <c r="I60" s="210">
        <v>54</v>
      </c>
      <c r="J60" s="440">
        <f t="shared" si="9"/>
        <v>97.161093532720216</v>
      </c>
      <c r="K60" s="441">
        <f t="shared" si="7"/>
        <v>95.185138518344019</v>
      </c>
      <c r="L60" s="279" t="s">
        <v>175</v>
      </c>
      <c r="M60" s="248" t="s">
        <v>318</v>
      </c>
      <c r="N60" s="248" t="s">
        <v>319</v>
      </c>
      <c r="O60" s="248" t="s">
        <v>320</v>
      </c>
      <c r="P60" s="280">
        <v>21769</v>
      </c>
      <c r="Q60" s="249"/>
      <c r="R60" s="248" t="s">
        <v>321</v>
      </c>
      <c r="S60" s="280">
        <v>41777</v>
      </c>
      <c r="T60" s="281"/>
      <c r="U60" s="282"/>
    </row>
    <row r="61" spans="1:21">
      <c r="A61" s="210">
        <v>55</v>
      </c>
      <c r="B61" s="283">
        <v>1.2465277777777778E-2</v>
      </c>
      <c r="C61" s="217">
        <f t="shared" si="5"/>
        <v>17.95</v>
      </c>
      <c r="D61" s="217">
        <f t="shared" si="8"/>
        <v>17.145676575798692</v>
      </c>
      <c r="E61" s="232">
        <f t="shared" si="6"/>
        <v>0.81069999999999998</v>
      </c>
      <c r="F61" s="232">
        <v>17.493865273490069</v>
      </c>
      <c r="G61" s="232">
        <v>18.383333333333333</v>
      </c>
      <c r="H61" s="233">
        <f t="shared" si="4"/>
        <v>1.9903474289299391E-2</v>
      </c>
      <c r="I61" s="210">
        <v>55</v>
      </c>
      <c r="J61" s="440">
        <f t="shared" si="9"/>
        <v>97.458859462340214</v>
      </c>
      <c r="K61" s="441">
        <f t="shared" si="7"/>
        <v>95.519089558767092</v>
      </c>
      <c r="L61" s="279" t="s">
        <v>176</v>
      </c>
      <c r="M61" s="248" t="s">
        <v>322</v>
      </c>
      <c r="N61" s="248" t="s">
        <v>323</v>
      </c>
      <c r="O61" s="248" t="s">
        <v>259</v>
      </c>
      <c r="P61" s="280">
        <v>20644</v>
      </c>
      <c r="Q61" s="249"/>
      <c r="R61" s="248" t="s">
        <v>324</v>
      </c>
      <c r="S61" s="280">
        <v>40737</v>
      </c>
      <c r="T61" s="281"/>
      <c r="U61" s="282"/>
    </row>
    <row r="62" spans="1:21">
      <c r="A62" s="210">
        <v>56</v>
      </c>
      <c r="B62" s="283">
        <v>1.2280092592592592E-2</v>
      </c>
      <c r="C62" s="217">
        <f t="shared" si="5"/>
        <v>17.683333333333334</v>
      </c>
      <c r="D62" s="217">
        <f t="shared" si="8"/>
        <v>17.355475090523164</v>
      </c>
      <c r="E62" s="232">
        <f t="shared" si="6"/>
        <v>0.80089999999999995</v>
      </c>
      <c r="F62" s="232">
        <v>17.697697697697699</v>
      </c>
      <c r="G62" s="232">
        <v>18.533333333333335</v>
      </c>
      <c r="H62" s="233">
        <f t="shared" si="4"/>
        <v>1.9337125823945683E-2</v>
      </c>
      <c r="I62" s="210">
        <v>56</v>
      </c>
      <c r="J62" s="440">
        <f t="shared" si="9"/>
        <v>100.08123108971367</v>
      </c>
      <c r="K62" s="441">
        <f t="shared" si="7"/>
        <v>98.145947731516486</v>
      </c>
      <c r="L62" s="279" t="s">
        <v>177</v>
      </c>
      <c r="M62" s="248" t="s">
        <v>312</v>
      </c>
      <c r="N62" s="248" t="s">
        <v>313</v>
      </c>
      <c r="O62" s="248" t="s">
        <v>314</v>
      </c>
      <c r="P62" s="280">
        <v>22396</v>
      </c>
      <c r="Q62" s="249"/>
      <c r="R62" s="248" t="s">
        <v>325</v>
      </c>
      <c r="S62" s="280">
        <v>42914</v>
      </c>
      <c r="T62" s="281"/>
      <c r="U62" s="282"/>
    </row>
    <row r="63" spans="1:21">
      <c r="A63" s="210">
        <v>57</v>
      </c>
      <c r="B63" s="283">
        <v>1.2870370370370371E-2</v>
      </c>
      <c r="C63" s="217">
        <f t="shared" si="5"/>
        <v>18.533333333333335</v>
      </c>
      <c r="D63" s="217">
        <f t="shared" si="8"/>
        <v>17.568250758341758</v>
      </c>
      <c r="E63" s="232">
        <f t="shared" si="6"/>
        <v>0.79120000000000001</v>
      </c>
      <c r="F63" s="232">
        <v>17.906336088154273</v>
      </c>
      <c r="G63" s="232">
        <v>18.7</v>
      </c>
      <c r="H63" s="233">
        <f t="shared" si="4"/>
        <v>1.8880765341837351E-2</v>
      </c>
      <c r="I63" s="210">
        <v>57</v>
      </c>
      <c r="J63" s="440">
        <f t="shared" si="9"/>
        <v>96.616921338961902</v>
      </c>
      <c r="K63" s="441">
        <f t="shared" si="7"/>
        <v>94.792719919110198</v>
      </c>
      <c r="L63" s="279" t="s">
        <v>178</v>
      </c>
      <c r="M63" s="248" t="s">
        <v>326</v>
      </c>
      <c r="N63" s="248" t="s">
        <v>327</v>
      </c>
      <c r="O63" s="248" t="s">
        <v>217</v>
      </c>
      <c r="P63" s="280">
        <v>20087</v>
      </c>
      <c r="Q63" s="249" t="s">
        <v>328</v>
      </c>
      <c r="R63" s="248" t="s">
        <v>329</v>
      </c>
      <c r="S63" s="280">
        <v>41094</v>
      </c>
      <c r="T63" s="281"/>
      <c r="U63" s="291" t="s">
        <v>330</v>
      </c>
    </row>
    <row r="64" spans="1:21">
      <c r="A64" s="210">
        <v>58</v>
      </c>
      <c r="B64" s="283">
        <v>1.3043981481481481E-2</v>
      </c>
      <c r="C64" s="217">
        <f t="shared" si="5"/>
        <v>18.783333333333331</v>
      </c>
      <c r="D64" s="217">
        <f t="shared" si="8"/>
        <v>17.78630838131798</v>
      </c>
      <c r="E64" s="232">
        <f t="shared" si="6"/>
        <v>0.78149999999999997</v>
      </c>
      <c r="F64" s="232">
        <v>18.119952445373674</v>
      </c>
      <c r="G64" s="232">
        <v>19.200000000000003</v>
      </c>
      <c r="H64" s="233">
        <f t="shared" si="4"/>
        <v>1.8413076141426551E-2</v>
      </c>
      <c r="I64" s="210">
        <v>58</v>
      </c>
      <c r="J64" s="440">
        <f t="shared" si="9"/>
        <v>96.468247269070147</v>
      </c>
      <c r="K64" s="441">
        <f t="shared" si="7"/>
        <v>94.69197008687479</v>
      </c>
      <c r="L64" s="279" t="s">
        <v>179</v>
      </c>
      <c r="M64" s="248" t="s">
        <v>251</v>
      </c>
      <c r="N64" s="248" t="s">
        <v>331</v>
      </c>
      <c r="O64" s="248" t="s">
        <v>276</v>
      </c>
      <c r="P64" s="280">
        <v>21848</v>
      </c>
      <c r="Q64" s="249"/>
      <c r="R64" s="248" t="s">
        <v>300</v>
      </c>
      <c r="S64" s="280">
        <v>43071</v>
      </c>
      <c r="T64" s="281"/>
      <c r="U64" s="282"/>
    </row>
    <row r="65" spans="1:21">
      <c r="A65" s="210">
        <v>59</v>
      </c>
      <c r="B65" s="283">
        <v>1.3171296296296296E-2</v>
      </c>
      <c r="C65" s="217">
        <f t="shared" si="5"/>
        <v>18.966666666666665</v>
      </c>
      <c r="D65" s="217">
        <f t="shared" si="8"/>
        <v>18.009847110650426</v>
      </c>
      <c r="E65" s="232">
        <f t="shared" ref="E65:E96" si="10">ROUND(1-IF(A65&lt;I$3,0,IF(A65&lt;I$4,G$3*(A65-I$3)^2,G$2+G$4*(A65-I$4)+(A65&gt;I$5)*G$5*(A65-I$5)^2)),4)</f>
        <v>0.77180000000000004</v>
      </c>
      <c r="F65" s="232">
        <v>18.338727076591155</v>
      </c>
      <c r="G65" s="232">
        <v>18.966666666666661</v>
      </c>
      <c r="H65" s="233">
        <f t="shared" si="4"/>
        <v>1.7933631083944451E-2</v>
      </c>
      <c r="I65" s="210">
        <v>59</v>
      </c>
      <c r="J65" s="440">
        <f t="shared" si="9"/>
        <v>96.689246449514016</v>
      </c>
      <c r="K65" s="441">
        <f t="shared" si="7"/>
        <v>94.955257173903846</v>
      </c>
      <c r="L65" s="279" t="s">
        <v>180</v>
      </c>
      <c r="M65" s="248" t="s">
        <v>332</v>
      </c>
      <c r="N65" s="248" t="s">
        <v>333</v>
      </c>
      <c r="O65" s="248" t="s">
        <v>259</v>
      </c>
      <c r="P65" s="280">
        <v>18405</v>
      </c>
      <c r="Q65" s="249"/>
      <c r="R65" s="248" t="s">
        <v>334</v>
      </c>
      <c r="S65" s="280">
        <v>39985</v>
      </c>
      <c r="T65" s="281"/>
      <c r="U65" s="282"/>
    </row>
    <row r="66" spans="1:21">
      <c r="A66" s="210">
        <v>60</v>
      </c>
      <c r="B66" s="283">
        <v>1.324074074074074E-2</v>
      </c>
      <c r="C66" s="217">
        <f t="shared" si="5"/>
        <v>19.066666666666666</v>
      </c>
      <c r="D66" s="217">
        <f t="shared" si="8"/>
        <v>18.239076236714343</v>
      </c>
      <c r="E66" s="232">
        <f t="shared" si="10"/>
        <v>0.7621</v>
      </c>
      <c r="F66" s="232">
        <v>18.562849103355592</v>
      </c>
      <c r="G66" s="232">
        <v>19.066666666666666</v>
      </c>
      <c r="H66" s="233">
        <f t="shared" si="4"/>
        <v>1.7441981284151104E-2</v>
      </c>
      <c r="I66" s="210">
        <v>60</v>
      </c>
      <c r="J66" s="440">
        <f t="shared" si="9"/>
        <v>97.357600192424442</v>
      </c>
      <c r="K66" s="441">
        <f t="shared" si="7"/>
        <v>95.659490751998305</v>
      </c>
      <c r="L66" s="279" t="s">
        <v>181</v>
      </c>
      <c r="M66" s="248" t="s">
        <v>335</v>
      </c>
      <c r="N66" s="248" t="s">
        <v>336</v>
      </c>
      <c r="O66" s="248" t="s">
        <v>217</v>
      </c>
      <c r="P66" s="280">
        <v>18901</v>
      </c>
      <c r="Q66" s="249" t="s">
        <v>337</v>
      </c>
      <c r="R66" s="248" t="s">
        <v>338</v>
      </c>
      <c r="S66" s="280">
        <v>40818</v>
      </c>
      <c r="T66" s="281"/>
      <c r="U66" s="292" t="s">
        <v>339</v>
      </c>
    </row>
    <row r="67" spans="1:21">
      <c r="A67" s="210">
        <v>61</v>
      </c>
      <c r="B67" s="283">
        <v>1.3356481481481481E-2</v>
      </c>
      <c r="C67" s="217">
        <f t="shared" si="5"/>
        <v>19.233333333333334</v>
      </c>
      <c r="D67" s="217">
        <f t="shared" si="8"/>
        <v>18.474215842636898</v>
      </c>
      <c r="E67" s="232">
        <f t="shared" si="10"/>
        <v>0.75239999999999996</v>
      </c>
      <c r="F67" s="232">
        <v>18.792517006802722</v>
      </c>
      <c r="G67" s="232">
        <v>19.216666666666669</v>
      </c>
      <c r="H67" s="233">
        <f t="shared" si="4"/>
        <v>1.6937654708552442E-2</v>
      </c>
      <c r="I67" s="210">
        <v>61</v>
      </c>
      <c r="J67" s="440">
        <f t="shared" si="9"/>
        <v>97.708060693948298</v>
      </c>
      <c r="K67" s="441">
        <f t="shared" si="7"/>
        <v>96.053115299671916</v>
      </c>
      <c r="L67" s="279" t="s">
        <v>182</v>
      </c>
      <c r="M67" s="248" t="s">
        <v>340</v>
      </c>
      <c r="N67" s="248" t="s">
        <v>341</v>
      </c>
      <c r="O67" s="248" t="s">
        <v>217</v>
      </c>
      <c r="P67" s="280">
        <v>17959</v>
      </c>
      <c r="Q67" s="249" t="s">
        <v>342</v>
      </c>
      <c r="R67" s="248" t="s">
        <v>343</v>
      </c>
      <c r="S67" s="280">
        <v>40334</v>
      </c>
      <c r="T67" s="281"/>
      <c r="U67" s="282"/>
    </row>
    <row r="68" spans="1:21">
      <c r="A68" s="210">
        <v>62</v>
      </c>
      <c r="B68" s="283">
        <v>1.3263888888888889E-2</v>
      </c>
      <c r="C68" s="217">
        <f t="shared" si="5"/>
        <v>19.100000000000001</v>
      </c>
      <c r="D68" s="217">
        <f t="shared" si="8"/>
        <v>18.715497509088461</v>
      </c>
      <c r="E68" s="232">
        <f t="shared" si="10"/>
        <v>0.74270000000000003</v>
      </c>
      <c r="F68" s="232">
        <v>19.03039696891415</v>
      </c>
      <c r="G68" s="232">
        <v>19.100000000000001</v>
      </c>
      <c r="H68" s="233">
        <f t="shared" si="4"/>
        <v>1.6547182927401483E-2</v>
      </c>
      <c r="I68" s="210">
        <v>62</v>
      </c>
      <c r="J68" s="440">
        <f t="shared" si="9"/>
        <v>99.635586224681418</v>
      </c>
      <c r="K68" s="441">
        <f t="shared" si="7"/>
        <v>97.986897953342719</v>
      </c>
      <c r="L68" s="279" t="s">
        <v>183</v>
      </c>
      <c r="M68" s="248" t="s">
        <v>335</v>
      </c>
      <c r="N68" s="248" t="s">
        <v>336</v>
      </c>
      <c r="O68" s="248" t="s">
        <v>217</v>
      </c>
      <c r="P68" s="280">
        <v>18901</v>
      </c>
      <c r="Q68" s="249" t="s">
        <v>337</v>
      </c>
      <c r="R68" s="248" t="s">
        <v>338</v>
      </c>
      <c r="S68" s="280">
        <v>41553</v>
      </c>
      <c r="T68" s="281"/>
      <c r="U68" s="282"/>
    </row>
    <row r="69" spans="1:21">
      <c r="A69" s="210">
        <v>63</v>
      </c>
      <c r="B69" s="283">
        <v>1.4201388888888888E-2</v>
      </c>
      <c r="C69" s="217">
        <f t="shared" si="5"/>
        <v>20.45</v>
      </c>
      <c r="D69" s="217">
        <f t="shared" si="8"/>
        <v>18.963165075034109</v>
      </c>
      <c r="E69" s="232">
        <f t="shared" si="10"/>
        <v>0.73299999999999998</v>
      </c>
      <c r="F69" s="232">
        <v>19.271855243078267</v>
      </c>
      <c r="G69" s="232">
        <v>20.45</v>
      </c>
      <c r="H69" s="233">
        <f t="shared" si="4"/>
        <v>1.6017667430074149E-2</v>
      </c>
      <c r="I69" s="210">
        <v>63</v>
      </c>
      <c r="J69" s="440">
        <f t="shared" si="9"/>
        <v>94.238900944148</v>
      </c>
      <c r="K69" s="441">
        <f t="shared" si="7"/>
        <v>92.729413569848944</v>
      </c>
      <c r="L69" s="279" t="s">
        <v>184</v>
      </c>
      <c r="M69" s="248" t="s">
        <v>344</v>
      </c>
      <c r="N69" s="248" t="s">
        <v>345</v>
      </c>
      <c r="O69" s="248" t="s">
        <v>217</v>
      </c>
      <c r="P69" s="280">
        <v>15257</v>
      </c>
      <c r="Q69" s="249" t="s">
        <v>346</v>
      </c>
      <c r="R69" s="248" t="s">
        <v>338</v>
      </c>
      <c r="S69" s="280">
        <v>38627</v>
      </c>
      <c r="T69" s="281"/>
      <c r="U69" s="282"/>
    </row>
    <row r="70" spans="1:21">
      <c r="A70" s="210">
        <v>64</v>
      </c>
      <c r="B70" s="283">
        <v>1.3460648148148149E-2</v>
      </c>
      <c r="C70" s="217">
        <f t="shared" si="5"/>
        <v>19.383333333333333</v>
      </c>
      <c r="D70" s="217">
        <f t="shared" si="8"/>
        <v>19.217475459698601</v>
      </c>
      <c r="E70" s="232">
        <f t="shared" si="10"/>
        <v>0.72330000000000005</v>
      </c>
      <c r="F70" s="232">
        <v>19.51951951951952</v>
      </c>
      <c r="G70" s="232">
        <v>20.933333333333334</v>
      </c>
      <c r="H70" s="233">
        <f t="shared" si="4"/>
        <v>1.5473949526210128E-2</v>
      </c>
      <c r="I70" s="210">
        <v>64</v>
      </c>
      <c r="J70" s="440">
        <f t="shared" si="9"/>
        <v>100.70259425375505</v>
      </c>
      <c r="K70" s="441">
        <f t="shared" si="7"/>
        <v>99.144327393114025</v>
      </c>
      <c r="L70" s="279" t="s">
        <v>185</v>
      </c>
      <c r="M70" s="248" t="s">
        <v>347</v>
      </c>
      <c r="N70" s="248" t="s">
        <v>348</v>
      </c>
      <c r="O70" s="248" t="s">
        <v>259</v>
      </c>
      <c r="P70" s="280">
        <v>17277</v>
      </c>
      <c r="Q70" s="249"/>
      <c r="R70" s="248" t="s">
        <v>349</v>
      </c>
      <c r="S70" s="280">
        <v>40676</v>
      </c>
      <c r="T70" s="281"/>
      <c r="U70" s="282"/>
    </row>
    <row r="71" spans="1:21">
      <c r="A71" s="210">
        <v>65</v>
      </c>
      <c r="B71" s="283">
        <v>1.3854166666666667E-2</v>
      </c>
      <c r="C71" s="217">
        <f t="shared" si="5"/>
        <v>19.950000000000003</v>
      </c>
      <c r="D71" s="217">
        <f t="shared" si="8"/>
        <v>19.478699551569505</v>
      </c>
      <c r="E71" s="232">
        <f t="shared" si="10"/>
        <v>0.71360000000000001</v>
      </c>
      <c r="F71" s="232">
        <v>19.773632174652175</v>
      </c>
      <c r="G71" s="232">
        <v>20.45</v>
      </c>
      <c r="H71" s="233">
        <f t="shared" si="4"/>
        <v>1.4915450053771276E-2</v>
      </c>
      <c r="I71" s="210">
        <v>65</v>
      </c>
      <c r="J71" s="440">
        <f t="shared" si="9"/>
        <v>99.115950750136207</v>
      </c>
      <c r="K71" s="441">
        <f t="shared" si="7"/>
        <v>97.63759173719049</v>
      </c>
      <c r="L71" s="279" t="s">
        <v>186</v>
      </c>
      <c r="M71" s="248" t="s">
        <v>335</v>
      </c>
      <c r="N71" s="248" t="s">
        <v>336</v>
      </c>
      <c r="O71" s="248" t="s">
        <v>217</v>
      </c>
      <c r="P71" s="280">
        <v>18901</v>
      </c>
      <c r="Q71" s="249" t="s">
        <v>337</v>
      </c>
      <c r="R71" s="248" t="s">
        <v>338</v>
      </c>
      <c r="S71" s="280">
        <v>42645</v>
      </c>
      <c r="T71" s="281"/>
      <c r="U71" s="282"/>
    </row>
    <row r="72" spans="1:21">
      <c r="A72" s="210">
        <v>66</v>
      </c>
      <c r="B72" s="283">
        <v>1.3935185185185186E-2</v>
      </c>
      <c r="C72" s="217">
        <f t="shared" si="5"/>
        <v>20.066666666666666</v>
      </c>
      <c r="D72" s="217">
        <f t="shared" si="8"/>
        <v>19.749928957090084</v>
      </c>
      <c r="E72" s="232">
        <f t="shared" si="10"/>
        <v>0.70379999999999998</v>
      </c>
      <c r="F72" s="232">
        <v>20.034448372767656</v>
      </c>
      <c r="G72" s="232">
        <v>20.999999999999996</v>
      </c>
      <c r="H72" s="233">
        <f t="shared" si="4"/>
        <v>1.4201509838639345E-2</v>
      </c>
      <c r="I72" s="210">
        <v>66</v>
      </c>
      <c r="J72" s="440">
        <f t="shared" si="9"/>
        <v>99.839443718111241</v>
      </c>
      <c r="K72" s="441">
        <f t="shared" si="7"/>
        <v>98.4215728758642</v>
      </c>
      <c r="L72" s="279" t="s">
        <v>187</v>
      </c>
      <c r="M72" s="248" t="s">
        <v>350</v>
      </c>
      <c r="N72" s="248" t="s">
        <v>351</v>
      </c>
      <c r="O72" s="248" t="s">
        <v>314</v>
      </c>
      <c r="P72" s="280">
        <v>18021</v>
      </c>
      <c r="Q72" s="249"/>
      <c r="R72" s="248" t="s">
        <v>325</v>
      </c>
      <c r="S72" s="280">
        <v>42448</v>
      </c>
      <c r="T72" s="281"/>
      <c r="U72" s="282"/>
    </row>
    <row r="73" spans="1:21">
      <c r="A73" s="210">
        <v>67</v>
      </c>
      <c r="B73" s="283">
        <v>1.425925925925926E-2</v>
      </c>
      <c r="C73" s="217">
        <f t="shared" si="5"/>
        <v>20.533333333333335</v>
      </c>
      <c r="D73" s="217">
        <f t="shared" si="8"/>
        <v>20.025932862699896</v>
      </c>
      <c r="E73" s="232">
        <f t="shared" si="10"/>
        <v>0.69410000000000005</v>
      </c>
      <c r="F73" s="232">
        <v>20.302236920674293</v>
      </c>
      <c r="G73" s="232">
        <v>21.950000000000003</v>
      </c>
      <c r="H73" s="233">
        <f t="shared" si="4"/>
        <v>1.36095376609968E-2</v>
      </c>
      <c r="I73" s="210">
        <v>67</v>
      </c>
      <c r="J73" s="440">
        <f t="shared" si="9"/>
        <v>98.874530457829337</v>
      </c>
      <c r="K73" s="441">
        <f t="shared" ref="K73:K98" si="11">100*(D73/C73)</f>
        <v>97.528893811850139</v>
      </c>
      <c r="L73" s="279" t="s">
        <v>188</v>
      </c>
      <c r="M73" s="248" t="s">
        <v>340</v>
      </c>
      <c r="N73" s="248" t="s">
        <v>341</v>
      </c>
      <c r="O73" s="248" t="s">
        <v>217</v>
      </c>
      <c r="P73" s="280">
        <v>17959</v>
      </c>
      <c r="Q73" s="249" t="s">
        <v>352</v>
      </c>
      <c r="R73" s="248" t="s">
        <v>353</v>
      </c>
      <c r="S73" s="280">
        <v>42469</v>
      </c>
      <c r="T73" s="281"/>
      <c r="U73" s="282"/>
    </row>
    <row r="74" spans="1:21">
      <c r="A74" s="210">
        <v>68</v>
      </c>
      <c r="B74" s="283">
        <v>1.3784722222222223E-2</v>
      </c>
      <c r="C74" s="217">
        <f t="shared" si="5"/>
        <v>19.850000000000001</v>
      </c>
      <c r="D74" s="217">
        <f t="shared" ref="D74:D105" si="12">OC/E74</f>
        <v>20.309760374050263</v>
      </c>
      <c r="E74" s="232">
        <f t="shared" si="10"/>
        <v>0.68440000000000001</v>
      </c>
      <c r="F74" s="232">
        <v>20.577281191806335</v>
      </c>
      <c r="G74" s="232">
        <v>21.316666666666666</v>
      </c>
      <c r="H74" s="233">
        <f t="shared" ref="H74:H106" si="13">((F74-D74)/F74)</f>
        <v>1.3000785442082408E-2</v>
      </c>
      <c r="I74" s="210">
        <v>68</v>
      </c>
      <c r="J74" s="440">
        <f t="shared" ref="J74:J100" si="14">100*F74/+C74</f>
        <v>103.66388509726114</v>
      </c>
      <c r="K74" s="441">
        <f t="shared" si="11"/>
        <v>102.31617316901895</v>
      </c>
      <c r="L74" s="279" t="s">
        <v>189</v>
      </c>
      <c r="M74" s="248" t="s">
        <v>340</v>
      </c>
      <c r="N74" s="248" t="s">
        <v>341</v>
      </c>
      <c r="O74" s="248" t="s">
        <v>217</v>
      </c>
      <c r="P74" s="280">
        <v>17959</v>
      </c>
      <c r="Q74" s="249"/>
      <c r="R74" s="248" t="s">
        <v>343</v>
      </c>
      <c r="S74" s="280">
        <v>42889</v>
      </c>
      <c r="T74" s="281"/>
      <c r="U74" s="282"/>
    </row>
    <row r="75" spans="1:21">
      <c r="A75" s="210">
        <v>69</v>
      </c>
      <c r="B75" s="283">
        <v>1.4861111111111111E-2</v>
      </c>
      <c r="C75" s="217">
        <f t="shared" ref="C75:C100" si="15">B75*1440</f>
        <v>21.400000000000002</v>
      </c>
      <c r="D75" s="217">
        <f t="shared" si="12"/>
        <v>20.601748925448348</v>
      </c>
      <c r="E75" s="232">
        <f t="shared" si="10"/>
        <v>0.67469999999999997</v>
      </c>
      <c r="F75" s="232">
        <v>20.859880126480721</v>
      </c>
      <c r="G75" s="232">
        <v>22.133333333333333</v>
      </c>
      <c r="H75" s="233">
        <f t="shared" si="13"/>
        <v>1.2374529454015753E-2</v>
      </c>
      <c r="I75" s="210">
        <v>69</v>
      </c>
      <c r="J75" s="440">
        <f t="shared" si="14"/>
        <v>97.476075357386534</v>
      </c>
      <c r="K75" s="441">
        <f t="shared" si="11"/>
        <v>96.269854791814709</v>
      </c>
      <c r="L75" s="279" t="s">
        <v>190</v>
      </c>
      <c r="M75" s="248" t="s">
        <v>347</v>
      </c>
      <c r="N75" s="248" t="s">
        <v>348</v>
      </c>
      <c r="O75" s="248" t="s">
        <v>259</v>
      </c>
      <c r="P75" s="280">
        <v>17277</v>
      </c>
      <c r="Q75" s="249"/>
      <c r="R75" s="248" t="s">
        <v>334</v>
      </c>
      <c r="S75" s="280">
        <v>42540</v>
      </c>
      <c r="T75" s="281"/>
      <c r="U75" s="282"/>
    </row>
    <row r="76" spans="1:21">
      <c r="A76" s="210">
        <v>70</v>
      </c>
      <c r="B76" s="283">
        <v>1.53125E-2</v>
      </c>
      <c r="C76" s="217">
        <f t="shared" si="15"/>
        <v>22.05</v>
      </c>
      <c r="D76" s="217">
        <f t="shared" si="12"/>
        <v>20.902255639097742</v>
      </c>
      <c r="E76" s="232">
        <f t="shared" si="10"/>
        <v>0.66500000000000004</v>
      </c>
      <c r="F76" s="232">
        <v>21.150349315723993</v>
      </c>
      <c r="G76" s="232">
        <v>22.266666666666666</v>
      </c>
      <c r="H76" s="233">
        <f t="shared" si="13"/>
        <v>1.1730003742387763E-2</v>
      </c>
      <c r="I76" s="210">
        <v>70</v>
      </c>
      <c r="J76" s="440">
        <f t="shared" si="14"/>
        <v>95.919951545233531</v>
      </c>
      <c r="K76" s="441">
        <f t="shared" si="11"/>
        <v>94.794810154638284</v>
      </c>
      <c r="L76" s="279" t="s">
        <v>191</v>
      </c>
      <c r="M76" s="248" t="s">
        <v>354</v>
      </c>
      <c r="N76" s="248" t="s">
        <v>355</v>
      </c>
      <c r="O76" s="248" t="s">
        <v>217</v>
      </c>
      <c r="P76" s="280">
        <v>16210</v>
      </c>
      <c r="Q76" s="249" t="s">
        <v>356</v>
      </c>
      <c r="R76" s="248" t="s">
        <v>356</v>
      </c>
      <c r="S76" s="280">
        <v>41777</v>
      </c>
      <c r="T76" s="281"/>
      <c r="U76" s="282"/>
    </row>
    <row r="77" spans="1:21">
      <c r="A77" s="210">
        <v>71</v>
      </c>
      <c r="B77" s="283">
        <v>1.5150462962962963E-2</v>
      </c>
      <c r="C77" s="217">
        <f t="shared" si="15"/>
        <v>21.816666666666666</v>
      </c>
      <c r="D77" s="217">
        <f t="shared" si="12"/>
        <v>21.211658782237144</v>
      </c>
      <c r="E77" s="232">
        <f t="shared" si="10"/>
        <v>0.65529999999999999</v>
      </c>
      <c r="F77" s="232">
        <v>21.449022176930171</v>
      </c>
      <c r="G77" s="232">
        <v>23.166666666666668</v>
      </c>
      <c r="H77" s="233">
        <f t="shared" si="13"/>
        <v>1.1066397000993678E-2</v>
      </c>
      <c r="I77" s="210">
        <v>71</v>
      </c>
      <c r="J77" s="440">
        <f t="shared" si="14"/>
        <v>98.314845730772362</v>
      </c>
      <c r="K77" s="441">
        <f t="shared" si="11"/>
        <v>97.226854616824184</v>
      </c>
      <c r="L77" s="279" t="s">
        <v>192</v>
      </c>
      <c r="M77" s="248" t="s">
        <v>357</v>
      </c>
      <c r="N77" s="248" t="s">
        <v>358</v>
      </c>
      <c r="O77" s="248" t="s">
        <v>217</v>
      </c>
      <c r="P77" s="280">
        <v>17637</v>
      </c>
      <c r="Q77" s="249" t="s">
        <v>359</v>
      </c>
      <c r="R77" s="248" t="s">
        <v>360</v>
      </c>
      <c r="S77" s="280">
        <v>43710</v>
      </c>
      <c r="T77" s="281"/>
      <c r="U77" s="282"/>
    </row>
    <row r="78" spans="1:21">
      <c r="A78" s="210">
        <v>72</v>
      </c>
      <c r="B78" s="283">
        <v>1.6122685185185184E-2</v>
      </c>
      <c r="C78" s="217">
        <f t="shared" si="15"/>
        <v>23.216666666666665</v>
      </c>
      <c r="D78" s="217">
        <f t="shared" si="12"/>
        <v>21.530359355638168</v>
      </c>
      <c r="E78" s="232">
        <f t="shared" si="10"/>
        <v>0.64559999999999995</v>
      </c>
      <c r="F78" s="232">
        <v>21.759464382415203</v>
      </c>
      <c r="G78" s="232">
        <v>24.516666666666662</v>
      </c>
      <c r="H78" s="233">
        <f t="shared" si="13"/>
        <v>1.0528982825615161E-2</v>
      </c>
      <c r="I78" s="210">
        <v>72</v>
      </c>
      <c r="J78" s="440">
        <f t="shared" si="14"/>
        <v>93.723464676590979</v>
      </c>
      <c r="K78" s="441">
        <f t="shared" si="11"/>
        <v>92.736651926654005</v>
      </c>
      <c r="L78" s="279" t="s">
        <v>193</v>
      </c>
      <c r="M78" s="248" t="s">
        <v>361</v>
      </c>
      <c r="N78" s="248" t="s">
        <v>362</v>
      </c>
      <c r="O78" s="248" t="s">
        <v>217</v>
      </c>
      <c r="P78" s="280"/>
      <c r="Q78" s="249" t="s">
        <v>363</v>
      </c>
      <c r="R78" s="248" t="s">
        <v>364</v>
      </c>
      <c r="S78" s="280">
        <v>41028</v>
      </c>
      <c r="T78" s="281"/>
      <c r="U78" s="282"/>
    </row>
    <row r="79" spans="1:21">
      <c r="A79" s="210">
        <v>73</v>
      </c>
      <c r="B79" s="283">
        <v>1.5590277777777778E-2</v>
      </c>
      <c r="C79" s="217">
        <f t="shared" si="15"/>
        <v>22.45</v>
      </c>
      <c r="D79" s="217">
        <f t="shared" si="12"/>
        <v>21.8587828274886</v>
      </c>
      <c r="E79" s="232">
        <f t="shared" si="10"/>
        <v>0.63590000000000002</v>
      </c>
      <c r="F79" s="232">
        <v>22.075716711617222</v>
      </c>
      <c r="G79" s="232">
        <v>24.416666666666668</v>
      </c>
      <c r="H79" s="233">
        <f t="shared" si="13"/>
        <v>9.826810470640877E-3</v>
      </c>
      <c r="I79" s="210">
        <v>73</v>
      </c>
      <c r="J79" s="440">
        <f t="shared" si="14"/>
        <v>98.332813860210351</v>
      </c>
      <c r="K79" s="441">
        <f t="shared" si="11"/>
        <v>97.366515935361249</v>
      </c>
      <c r="L79" s="279" t="s">
        <v>194</v>
      </c>
      <c r="M79" s="248" t="s">
        <v>354</v>
      </c>
      <c r="N79" s="248" t="s">
        <v>355</v>
      </c>
      <c r="O79" s="248" t="s">
        <v>217</v>
      </c>
      <c r="P79" s="280">
        <v>16210</v>
      </c>
      <c r="Q79" s="249" t="s">
        <v>337</v>
      </c>
      <c r="R79" s="248" t="s">
        <v>338</v>
      </c>
      <c r="S79" s="280">
        <v>43009</v>
      </c>
      <c r="T79" s="281"/>
      <c r="U79" s="282"/>
    </row>
    <row r="80" spans="1:21">
      <c r="A80" s="210">
        <v>74</v>
      </c>
      <c r="B80" s="283">
        <v>1.6481481481481482E-2</v>
      </c>
      <c r="C80" s="217">
        <f t="shared" si="15"/>
        <v>23.733333333333334</v>
      </c>
      <c r="D80" s="217">
        <f t="shared" si="12"/>
        <v>22.197381028425426</v>
      </c>
      <c r="E80" s="232">
        <f t="shared" si="10"/>
        <v>0.62619999999999998</v>
      </c>
      <c r="F80" s="232">
        <v>22.401297450712079</v>
      </c>
      <c r="G80" s="232">
        <v>24.583333333333332</v>
      </c>
      <c r="H80" s="233">
        <f t="shared" si="13"/>
        <v>9.1028844528008006E-3</v>
      </c>
      <c r="I80" s="210">
        <v>74</v>
      </c>
      <c r="J80" s="440">
        <f t="shared" si="14"/>
        <v>94.387489258618302</v>
      </c>
      <c r="K80" s="441">
        <f t="shared" si="11"/>
        <v>93.528290850107126</v>
      </c>
      <c r="L80" s="279" t="s">
        <v>195</v>
      </c>
      <c r="M80" s="248" t="s">
        <v>365</v>
      </c>
      <c r="N80" s="248" t="s">
        <v>366</v>
      </c>
      <c r="O80" s="248" t="s">
        <v>217</v>
      </c>
      <c r="P80" s="280">
        <v>13343</v>
      </c>
      <c r="Q80" s="249" t="s">
        <v>367</v>
      </c>
      <c r="R80" s="248" t="s">
        <v>368</v>
      </c>
      <c r="S80" s="280">
        <v>40614</v>
      </c>
      <c r="T80" s="281"/>
      <c r="U80" s="282"/>
    </row>
    <row r="81" spans="1:21">
      <c r="A81" s="210">
        <v>75</v>
      </c>
      <c r="B81" s="283">
        <v>1.636574074074074E-2</v>
      </c>
      <c r="C81" s="217">
        <f t="shared" si="15"/>
        <v>23.566666666666666</v>
      </c>
      <c r="D81" s="217">
        <f t="shared" si="12"/>
        <v>22.546634225466342</v>
      </c>
      <c r="E81" s="232">
        <f t="shared" si="10"/>
        <v>0.61650000000000005</v>
      </c>
      <c r="F81" s="232">
        <v>22.736625514403293</v>
      </c>
      <c r="G81" s="232">
        <v>23.566666666666666</v>
      </c>
      <c r="H81" s="233">
        <f t="shared" si="13"/>
        <v>8.3561779568650258E-3</v>
      </c>
      <c r="I81" s="210">
        <v>75</v>
      </c>
      <c r="J81" s="440">
        <f t="shared" si="14"/>
        <v>96.477901758429823</v>
      </c>
      <c r="K81" s="441">
        <f t="shared" si="11"/>
        <v>95.671715242431432</v>
      </c>
      <c r="L81" s="279" t="s">
        <v>196</v>
      </c>
      <c r="M81" s="248" t="s">
        <v>365</v>
      </c>
      <c r="N81" s="248" t="s">
        <v>366</v>
      </c>
      <c r="O81" s="248" t="s">
        <v>217</v>
      </c>
      <c r="P81" s="280">
        <v>13343</v>
      </c>
      <c r="Q81" s="249" t="s">
        <v>369</v>
      </c>
      <c r="R81" s="248" t="s">
        <v>288</v>
      </c>
      <c r="S81" s="280">
        <v>41062</v>
      </c>
      <c r="T81" s="281"/>
      <c r="U81" s="282"/>
    </row>
    <row r="82" spans="1:21">
      <c r="A82" s="210">
        <v>76</v>
      </c>
      <c r="B82" s="283">
        <v>1.6608796296296295E-2</v>
      </c>
      <c r="C82" s="217">
        <f t="shared" si="15"/>
        <v>23.916666666666664</v>
      </c>
      <c r="D82" s="217">
        <f t="shared" si="12"/>
        <v>22.91082907532553</v>
      </c>
      <c r="E82" s="232">
        <f t="shared" si="10"/>
        <v>0.60670000000000002</v>
      </c>
      <c r="F82" s="232">
        <v>23.082145281737951</v>
      </c>
      <c r="G82" s="232">
        <v>26.05</v>
      </c>
      <c r="H82" s="233">
        <f t="shared" si="13"/>
        <v>7.4220227072204527E-3</v>
      </c>
      <c r="I82" s="210">
        <v>76</v>
      </c>
      <c r="J82" s="440">
        <f t="shared" si="14"/>
        <v>96.510711979392127</v>
      </c>
      <c r="K82" s="441">
        <f t="shared" si="11"/>
        <v>95.79440728359107</v>
      </c>
      <c r="L82" s="279" t="s">
        <v>197</v>
      </c>
      <c r="M82" s="248" t="s">
        <v>365</v>
      </c>
      <c r="N82" s="248" t="s">
        <v>366</v>
      </c>
      <c r="O82" s="248" t="s">
        <v>217</v>
      </c>
      <c r="P82" s="280">
        <v>13343</v>
      </c>
      <c r="Q82" s="249" t="s">
        <v>369</v>
      </c>
      <c r="R82" s="248" t="s">
        <v>288</v>
      </c>
      <c r="S82" s="280">
        <v>41426</v>
      </c>
      <c r="T82" s="281"/>
      <c r="U82" s="282"/>
    </row>
    <row r="83" spans="1:21">
      <c r="A83" s="210">
        <v>77</v>
      </c>
      <c r="B83" s="283">
        <v>1.6851851851851851E-2</v>
      </c>
      <c r="C83" s="217">
        <f t="shared" si="15"/>
        <v>24.266666666666666</v>
      </c>
      <c r="D83" s="217">
        <f t="shared" si="12"/>
        <v>23.28308207705193</v>
      </c>
      <c r="E83" s="232">
        <f t="shared" si="10"/>
        <v>0.59699999999999998</v>
      </c>
      <c r="F83" s="232">
        <v>23.453252679613712</v>
      </c>
      <c r="G83" s="232">
        <v>27.15</v>
      </c>
      <c r="H83" s="233">
        <f t="shared" si="13"/>
        <v>7.2557356920347309E-3</v>
      </c>
      <c r="I83" s="210">
        <v>77</v>
      </c>
      <c r="J83" s="440">
        <f t="shared" si="14"/>
        <v>96.648019284122441</v>
      </c>
      <c r="K83" s="441">
        <f t="shared" si="11"/>
        <v>95.94676680103818</v>
      </c>
      <c r="L83" s="279" t="s">
        <v>198</v>
      </c>
      <c r="M83" s="248" t="s">
        <v>365</v>
      </c>
      <c r="N83" s="248" t="s">
        <v>366</v>
      </c>
      <c r="O83" s="248" t="s">
        <v>217</v>
      </c>
      <c r="P83" s="280">
        <v>13343</v>
      </c>
      <c r="Q83" s="249" t="s">
        <v>369</v>
      </c>
      <c r="R83" s="248" t="s">
        <v>288</v>
      </c>
      <c r="S83" s="280">
        <v>41790</v>
      </c>
      <c r="T83" s="281"/>
      <c r="U83" s="282"/>
    </row>
    <row r="84" spans="1:21">
      <c r="A84" s="210">
        <v>78</v>
      </c>
      <c r="B84" s="283">
        <v>1.6666666666666666E-2</v>
      </c>
      <c r="C84" s="217">
        <f t="shared" si="15"/>
        <v>24</v>
      </c>
      <c r="D84" s="217">
        <f t="shared" si="12"/>
        <v>23.687798227675529</v>
      </c>
      <c r="E84" s="232">
        <f t="shared" si="10"/>
        <v>0.58679999999999999</v>
      </c>
      <c r="F84" s="232">
        <v>23.867379448134351</v>
      </c>
      <c r="G84" s="232">
        <v>24</v>
      </c>
      <c r="H84" s="233">
        <f t="shared" si="13"/>
        <v>7.5241281033414428E-3</v>
      </c>
      <c r="I84" s="210">
        <v>78</v>
      </c>
      <c r="J84" s="440">
        <f t="shared" si="14"/>
        <v>99.447414367226472</v>
      </c>
      <c r="K84" s="441">
        <f t="shared" si="11"/>
        <v>98.69915928198138</v>
      </c>
      <c r="L84" s="279" t="s">
        <v>199</v>
      </c>
      <c r="M84" s="248" t="s">
        <v>365</v>
      </c>
      <c r="N84" s="248" t="s">
        <v>366</v>
      </c>
      <c r="O84" s="248" t="s">
        <v>217</v>
      </c>
      <c r="P84" s="280">
        <v>13343</v>
      </c>
      <c r="Q84" s="249" t="s">
        <v>337</v>
      </c>
      <c r="R84" s="248" t="s">
        <v>338</v>
      </c>
      <c r="S84" s="280">
        <v>41917</v>
      </c>
      <c r="T84" s="281"/>
      <c r="U84" s="282"/>
    </row>
    <row r="85" spans="1:21">
      <c r="A85" s="210">
        <v>79</v>
      </c>
      <c r="B85" s="283">
        <v>1.7511574074074075E-2</v>
      </c>
      <c r="C85" s="217">
        <f t="shared" si="15"/>
        <v>25.216666666666669</v>
      </c>
      <c r="D85" s="217">
        <f t="shared" si="12"/>
        <v>24.140326502257729</v>
      </c>
      <c r="E85" s="232">
        <f t="shared" si="10"/>
        <v>0.57579999999999998</v>
      </c>
      <c r="F85" s="232">
        <v>24.324473061471576</v>
      </c>
      <c r="G85" s="232">
        <v>28.866666666666664</v>
      </c>
      <c r="H85" s="233">
        <f t="shared" si="13"/>
        <v>7.5704233653276299E-3</v>
      </c>
      <c r="I85" s="210">
        <v>79</v>
      </c>
      <c r="J85" s="440">
        <f t="shared" si="14"/>
        <v>96.461889206100096</v>
      </c>
      <c r="K85" s="441">
        <f t="shared" si="11"/>
        <v>95.731631866190597</v>
      </c>
      <c r="L85" s="279" t="s">
        <v>200</v>
      </c>
      <c r="M85" s="248" t="s">
        <v>365</v>
      </c>
      <c r="N85" s="248" t="s">
        <v>366</v>
      </c>
      <c r="O85" s="248" t="s">
        <v>217</v>
      </c>
      <c r="P85" s="280">
        <v>13343</v>
      </c>
      <c r="Q85" s="249" t="s">
        <v>370</v>
      </c>
      <c r="R85" s="248" t="s">
        <v>371</v>
      </c>
      <c r="S85" s="280">
        <v>42555</v>
      </c>
      <c r="T85" s="281"/>
      <c r="U85" s="282"/>
    </row>
    <row r="86" spans="1:21">
      <c r="A86" s="210">
        <v>80</v>
      </c>
      <c r="B86" s="283">
        <v>1.7488425925925925E-2</v>
      </c>
      <c r="C86" s="217">
        <f t="shared" si="15"/>
        <v>25.18333333333333</v>
      </c>
      <c r="D86" s="217">
        <f t="shared" si="12"/>
        <v>24.645390070921987</v>
      </c>
      <c r="E86" s="232">
        <f t="shared" si="10"/>
        <v>0.56399999999999995</v>
      </c>
      <c r="F86" s="232">
        <v>24.837042031917289</v>
      </c>
      <c r="G86" s="232">
        <v>29.683333333333337</v>
      </c>
      <c r="H86" s="233">
        <f t="shared" si="13"/>
        <v>7.7163762395302763E-3</v>
      </c>
      <c r="I86" s="210">
        <v>80</v>
      </c>
      <c r="J86" s="440">
        <f t="shared" si="14"/>
        <v>98.624918723695401</v>
      </c>
      <c r="K86" s="441">
        <f t="shared" si="11"/>
        <v>97.863891744230273</v>
      </c>
      <c r="L86" s="279" t="s">
        <v>201</v>
      </c>
      <c r="M86" s="248" t="s">
        <v>365</v>
      </c>
      <c r="N86" s="248" t="s">
        <v>366</v>
      </c>
      <c r="O86" s="248" t="s">
        <v>217</v>
      </c>
      <c r="P86" s="280">
        <v>13343</v>
      </c>
      <c r="Q86" s="249" t="s">
        <v>337</v>
      </c>
      <c r="R86" s="248" t="s">
        <v>338</v>
      </c>
      <c r="S86" s="280">
        <v>42645</v>
      </c>
      <c r="T86" s="281"/>
      <c r="U86" s="292" t="s">
        <v>372</v>
      </c>
    </row>
    <row r="87" spans="1:21">
      <c r="A87" s="210">
        <v>81</v>
      </c>
      <c r="B87" s="283">
        <v>1.8622685185185187E-2</v>
      </c>
      <c r="C87" s="217">
        <f t="shared" si="15"/>
        <v>26.81666666666667</v>
      </c>
      <c r="D87" s="217">
        <f t="shared" si="12"/>
        <v>25.203989120580236</v>
      </c>
      <c r="E87" s="232">
        <f t="shared" si="10"/>
        <v>0.55149999999999999</v>
      </c>
      <c r="F87" s="232">
        <v>25.402298850574716</v>
      </c>
      <c r="G87" s="232">
        <v>31.383333333333333</v>
      </c>
      <c r="H87" s="233">
        <f t="shared" si="13"/>
        <v>7.8067631264795651E-3</v>
      </c>
      <c r="I87" s="210">
        <v>81</v>
      </c>
      <c r="J87" s="440">
        <f t="shared" si="14"/>
        <v>94.725788131415953</v>
      </c>
      <c r="K87" s="441">
        <f t="shared" si="11"/>
        <v>93.986286341504908</v>
      </c>
      <c r="L87" s="279" t="s">
        <v>202</v>
      </c>
      <c r="M87" s="248" t="s">
        <v>365</v>
      </c>
      <c r="N87" s="248" t="s">
        <v>366</v>
      </c>
      <c r="O87" s="248" t="s">
        <v>217</v>
      </c>
      <c r="P87" s="280">
        <v>13343</v>
      </c>
      <c r="Q87" s="249" t="s">
        <v>369</v>
      </c>
      <c r="R87" s="248" t="s">
        <v>288</v>
      </c>
      <c r="S87" s="280">
        <v>43253</v>
      </c>
      <c r="T87" s="281"/>
      <c r="U87" s="291"/>
    </row>
    <row r="88" spans="1:21">
      <c r="A88" s="210">
        <v>82</v>
      </c>
      <c r="B88" s="283">
        <v>2.060185185185185E-2</v>
      </c>
      <c r="C88" s="217">
        <f t="shared" si="15"/>
        <v>29.666666666666664</v>
      </c>
      <c r="D88" s="217">
        <f t="shared" si="12"/>
        <v>25.826830174656262</v>
      </c>
      <c r="E88" s="232">
        <f t="shared" si="10"/>
        <v>0.53820000000000001</v>
      </c>
      <c r="F88" s="232">
        <v>26.030624263839815</v>
      </c>
      <c r="G88" s="232">
        <v>31.116666666666667</v>
      </c>
      <c r="H88" s="233">
        <f t="shared" si="13"/>
        <v>7.8290127473681758E-3</v>
      </c>
      <c r="I88" s="210">
        <v>82</v>
      </c>
      <c r="J88" s="440">
        <f t="shared" si="14"/>
        <v>87.743677293842069</v>
      </c>
      <c r="K88" s="441">
        <f t="shared" si="11"/>
        <v>87.056730925807642</v>
      </c>
      <c r="L88" s="279" t="s">
        <v>203</v>
      </c>
      <c r="M88" s="248" t="s">
        <v>365</v>
      </c>
      <c r="N88" s="248" t="s">
        <v>366</v>
      </c>
      <c r="O88" s="248" t="s">
        <v>217</v>
      </c>
      <c r="P88" s="280">
        <v>13343</v>
      </c>
      <c r="Q88" s="249" t="s">
        <v>369</v>
      </c>
      <c r="R88" s="248" t="s">
        <v>288</v>
      </c>
      <c r="S88" s="280">
        <v>43617</v>
      </c>
      <c r="T88" s="281"/>
      <c r="U88" s="282"/>
    </row>
    <row r="89" spans="1:21">
      <c r="A89" s="210">
        <v>83</v>
      </c>
      <c r="B89" s="283">
        <v>2.0949074074074075E-2</v>
      </c>
      <c r="C89" s="217">
        <f t="shared" si="15"/>
        <v>30.166666666666668</v>
      </c>
      <c r="D89" s="217">
        <f t="shared" si="12"/>
        <v>26.516596718809616</v>
      </c>
      <c r="E89" s="232">
        <f t="shared" si="10"/>
        <v>0.5242</v>
      </c>
      <c r="F89" s="232">
        <v>26.729559748427672</v>
      </c>
      <c r="G89" s="232">
        <v>30.15</v>
      </c>
      <c r="H89" s="233">
        <f t="shared" si="13"/>
        <v>7.9673227551225589E-3</v>
      </c>
      <c r="I89" s="210">
        <v>83</v>
      </c>
      <c r="J89" s="440">
        <f t="shared" si="14"/>
        <v>88.606275409152502</v>
      </c>
      <c r="K89" s="441">
        <f t="shared" si="11"/>
        <v>87.900320614838506</v>
      </c>
      <c r="L89" s="279" t="s">
        <v>204</v>
      </c>
      <c r="M89" s="248" t="s">
        <v>373</v>
      </c>
      <c r="N89" s="248" t="s">
        <v>374</v>
      </c>
      <c r="O89" s="248" t="s">
        <v>375</v>
      </c>
      <c r="P89" s="280">
        <v>11106</v>
      </c>
      <c r="Q89" s="249"/>
      <c r="R89" s="248" t="s">
        <v>376</v>
      </c>
      <c r="S89" s="280">
        <v>41439</v>
      </c>
      <c r="T89" s="281"/>
      <c r="U89" s="282"/>
    </row>
    <row r="90" spans="1:21">
      <c r="A90" s="210">
        <v>84</v>
      </c>
      <c r="B90" s="283">
        <v>2.1967592592592594E-2</v>
      </c>
      <c r="C90" s="217">
        <f t="shared" si="15"/>
        <v>31.633333333333336</v>
      </c>
      <c r="D90" s="217">
        <f t="shared" si="12"/>
        <v>27.287004318806442</v>
      </c>
      <c r="E90" s="232">
        <f t="shared" si="10"/>
        <v>0.50939999999999996</v>
      </c>
      <c r="F90" s="232">
        <v>27.502955634372476</v>
      </c>
      <c r="G90" s="232">
        <v>40.583333333333336</v>
      </c>
      <c r="H90" s="233">
        <f t="shared" si="13"/>
        <v>7.8519312046645591E-3</v>
      </c>
      <c r="I90" s="210">
        <v>84</v>
      </c>
      <c r="J90" s="440">
        <f t="shared" si="14"/>
        <v>86.942957748279682</v>
      </c>
      <c r="K90" s="441">
        <f t="shared" si="11"/>
        <v>86.260287625310141</v>
      </c>
      <c r="L90" s="279" t="s">
        <v>205</v>
      </c>
      <c r="M90" s="248" t="s">
        <v>377</v>
      </c>
      <c r="N90" s="248" t="s">
        <v>378</v>
      </c>
      <c r="O90" s="248" t="s">
        <v>217</v>
      </c>
      <c r="P90" s="280">
        <v>3552</v>
      </c>
      <c r="Q90" s="249"/>
      <c r="R90" s="248" t="s">
        <v>379</v>
      </c>
      <c r="S90" s="280">
        <v>34385</v>
      </c>
      <c r="T90" s="281"/>
      <c r="U90" s="282"/>
    </row>
    <row r="91" spans="1:21">
      <c r="A91" s="210">
        <v>85</v>
      </c>
      <c r="B91" s="283">
        <v>2.420138888888889E-2</v>
      </c>
      <c r="C91" s="217">
        <f t="shared" si="15"/>
        <v>34.85</v>
      </c>
      <c r="D91" s="217">
        <f t="shared" si="12"/>
        <v>28.14904819765087</v>
      </c>
      <c r="E91" s="232">
        <f t="shared" si="10"/>
        <v>0.49380000000000002</v>
      </c>
      <c r="F91" s="232">
        <v>28.371525771872395</v>
      </c>
      <c r="G91" s="232">
        <v>45.533333333333331</v>
      </c>
      <c r="H91" s="233">
        <f t="shared" si="13"/>
        <v>7.8415794769166013E-3</v>
      </c>
      <c r="I91" s="210">
        <v>85</v>
      </c>
      <c r="J91" s="440">
        <f t="shared" si="14"/>
        <v>81.410403936506142</v>
      </c>
      <c r="K91" s="441">
        <f t="shared" si="11"/>
        <v>80.772017783790147</v>
      </c>
      <c r="L91" s="279" t="s">
        <v>206</v>
      </c>
      <c r="M91" s="248" t="s">
        <v>377</v>
      </c>
      <c r="N91" s="248" t="s">
        <v>378</v>
      </c>
      <c r="O91" s="248" t="s">
        <v>217</v>
      </c>
      <c r="P91" s="280">
        <v>3552</v>
      </c>
      <c r="Q91" s="249" t="s">
        <v>380</v>
      </c>
      <c r="R91" s="248" t="s">
        <v>381</v>
      </c>
      <c r="S91" s="280">
        <v>34601</v>
      </c>
      <c r="T91" s="281"/>
      <c r="U91" s="282"/>
    </row>
    <row r="92" spans="1:21">
      <c r="A92" s="210">
        <v>86</v>
      </c>
      <c r="B92" s="283">
        <v>2.3877314814814816E-2</v>
      </c>
      <c r="C92" s="217">
        <f t="shared" si="15"/>
        <v>34.383333333333333</v>
      </c>
      <c r="D92" s="217">
        <f t="shared" si="12"/>
        <v>29.109947643979059</v>
      </c>
      <c r="E92" s="232">
        <f t="shared" si="10"/>
        <v>0.47749999999999998</v>
      </c>
      <c r="F92" s="232">
        <v>29.337581308907478</v>
      </c>
      <c r="G92" s="232">
        <v>36.666666666666664</v>
      </c>
      <c r="H92" s="233">
        <f t="shared" si="13"/>
        <v>7.759114922650588E-3</v>
      </c>
      <c r="I92" s="210">
        <v>86</v>
      </c>
      <c r="J92" s="440">
        <f t="shared" si="14"/>
        <v>85.325006230462861</v>
      </c>
      <c r="K92" s="441">
        <f t="shared" si="11"/>
        <v>84.662959701344818</v>
      </c>
      <c r="L92" s="279" t="s">
        <v>207</v>
      </c>
      <c r="M92" s="248" t="s">
        <v>373</v>
      </c>
      <c r="N92" s="248" t="s">
        <v>374</v>
      </c>
      <c r="O92" s="248" t="s">
        <v>375</v>
      </c>
      <c r="P92" s="280">
        <v>11106</v>
      </c>
      <c r="Q92" s="249" t="s">
        <v>249</v>
      </c>
      <c r="R92" s="248" t="s">
        <v>250</v>
      </c>
      <c r="S92" s="280">
        <v>42827</v>
      </c>
      <c r="T92" s="281"/>
      <c r="U92" s="282"/>
    </row>
    <row r="93" spans="1:21">
      <c r="A93" s="210">
        <v>87</v>
      </c>
      <c r="B93" s="283">
        <v>2.6493055555555554E-2</v>
      </c>
      <c r="C93" s="217">
        <f t="shared" si="15"/>
        <v>38.15</v>
      </c>
      <c r="D93" s="217">
        <f t="shared" si="12"/>
        <v>30.191138140747178</v>
      </c>
      <c r="E93" s="232">
        <f t="shared" si="10"/>
        <v>0.46039999999999998</v>
      </c>
      <c r="F93" s="232">
        <v>30.42191479110744</v>
      </c>
      <c r="G93" s="438">
        <v>38.15</v>
      </c>
      <c r="H93" s="233">
        <f t="shared" si="13"/>
        <v>7.5858686721363101E-3</v>
      </c>
      <c r="I93" s="210">
        <v>87</v>
      </c>
      <c r="J93" s="440">
        <f t="shared" si="14"/>
        <v>79.74289591378097</v>
      </c>
      <c r="K93" s="441">
        <f t="shared" si="11"/>
        <v>79.137976777843193</v>
      </c>
      <c r="L93" s="279" t="s">
        <v>208</v>
      </c>
      <c r="M93" s="249" t="s">
        <v>382</v>
      </c>
      <c r="N93" s="249" t="s">
        <v>383</v>
      </c>
      <c r="O93" s="248" t="s">
        <v>217</v>
      </c>
      <c r="P93" s="280">
        <v>2522</v>
      </c>
      <c r="Q93" s="249"/>
      <c r="R93" s="249" t="s">
        <v>384</v>
      </c>
      <c r="S93" s="280">
        <v>34475</v>
      </c>
      <c r="T93" s="281"/>
      <c r="U93" s="282"/>
    </row>
    <row r="94" spans="1:21">
      <c r="A94" s="210">
        <v>88</v>
      </c>
      <c r="B94" s="283">
        <v>2.8773148148148148E-2</v>
      </c>
      <c r="C94" s="217">
        <f t="shared" si="15"/>
        <v>41.433333333333337</v>
      </c>
      <c r="D94" s="217">
        <f t="shared" si="12"/>
        <v>31.405332128332581</v>
      </c>
      <c r="E94" s="232">
        <f t="shared" si="10"/>
        <v>0.44259999999999999</v>
      </c>
      <c r="F94" s="232">
        <v>31.643757159221078</v>
      </c>
      <c r="G94" s="438">
        <v>41.433333333333337</v>
      </c>
      <c r="H94" s="233">
        <f t="shared" si="13"/>
        <v>7.5346625145939353E-3</v>
      </c>
      <c r="I94" s="210">
        <v>88</v>
      </c>
      <c r="J94" s="440">
        <f t="shared" si="14"/>
        <v>76.372704326358189</v>
      </c>
      <c r="K94" s="441">
        <f t="shared" si="11"/>
        <v>75.797261773932206</v>
      </c>
      <c r="L94" s="279" t="s">
        <v>209</v>
      </c>
      <c r="M94" s="248" t="s">
        <v>377</v>
      </c>
      <c r="N94" s="248" t="s">
        <v>378</v>
      </c>
      <c r="O94" s="248" t="s">
        <v>217</v>
      </c>
      <c r="P94" s="280">
        <v>3552</v>
      </c>
      <c r="Q94" s="249" t="s">
        <v>385</v>
      </c>
      <c r="R94" s="249" t="s">
        <v>386</v>
      </c>
      <c r="S94" s="280">
        <v>35931</v>
      </c>
      <c r="T94" s="281"/>
      <c r="U94" s="282"/>
    </row>
    <row r="95" spans="1:21">
      <c r="A95" s="210">
        <v>89</v>
      </c>
      <c r="B95" s="283">
        <v>2.8530092592592593E-2</v>
      </c>
      <c r="C95" s="217">
        <f t="shared" si="15"/>
        <v>41.083333333333336</v>
      </c>
      <c r="D95" s="217">
        <f t="shared" si="12"/>
        <v>32.783018867924532</v>
      </c>
      <c r="E95" s="232">
        <f t="shared" si="10"/>
        <v>0.42399999999999999</v>
      </c>
      <c r="F95" s="232">
        <v>33.019572687882864</v>
      </c>
      <c r="G95" s="438">
        <v>41.083333333333336</v>
      </c>
      <c r="H95" s="233">
        <f t="shared" si="13"/>
        <v>7.1640484931271989E-3</v>
      </c>
      <c r="I95" s="210">
        <v>89</v>
      </c>
      <c r="J95" s="440">
        <f t="shared" si="14"/>
        <v>80.372185041499876</v>
      </c>
      <c r="K95" s="441">
        <f t="shared" si="11"/>
        <v>79.796394810363964</v>
      </c>
      <c r="L95" s="279" t="s">
        <v>210</v>
      </c>
      <c r="M95" s="248" t="s">
        <v>387</v>
      </c>
      <c r="N95" s="248" t="s">
        <v>388</v>
      </c>
      <c r="O95" s="248" t="s">
        <v>217</v>
      </c>
      <c r="P95" s="280"/>
      <c r="Q95" s="249"/>
      <c r="R95" s="249" t="s">
        <v>389</v>
      </c>
      <c r="S95" s="280">
        <v>35715</v>
      </c>
      <c r="T95" s="281"/>
      <c r="U95" s="282"/>
    </row>
    <row r="96" spans="1:21" ht="14.25" customHeight="1">
      <c r="A96" s="210">
        <v>90</v>
      </c>
      <c r="B96" s="283">
        <v>0.03</v>
      </c>
      <c r="C96" s="217">
        <f t="shared" si="15"/>
        <v>43.199999999999996</v>
      </c>
      <c r="D96" s="217">
        <f t="shared" si="12"/>
        <v>34.35491843796342</v>
      </c>
      <c r="E96" s="232">
        <f t="shared" si="10"/>
        <v>0.40460000000000002</v>
      </c>
      <c r="F96" s="232">
        <v>34.593410033654223</v>
      </c>
      <c r="G96" s="438">
        <v>43.199999999999996</v>
      </c>
      <c r="H96" s="233">
        <f t="shared" si="13"/>
        <v>6.8941337514511125E-3</v>
      </c>
      <c r="I96" s="210">
        <v>90</v>
      </c>
      <c r="J96" s="440">
        <f t="shared" si="14"/>
        <v>80.077338040866266</v>
      </c>
      <c r="K96" s="441">
        <f t="shared" si="11"/>
        <v>79.525274161952368</v>
      </c>
      <c r="L96" s="279" t="s">
        <v>211</v>
      </c>
      <c r="M96" s="248" t="s">
        <v>390</v>
      </c>
      <c r="N96" s="248" t="s">
        <v>391</v>
      </c>
      <c r="O96" s="248" t="s">
        <v>217</v>
      </c>
      <c r="P96" s="280">
        <v>8487</v>
      </c>
      <c r="Q96" s="249" t="s">
        <v>392</v>
      </c>
      <c r="R96" s="249" t="s">
        <v>393</v>
      </c>
      <c r="S96" s="280">
        <v>41510</v>
      </c>
      <c r="T96" s="293"/>
      <c r="U96" s="294" t="s">
        <v>394</v>
      </c>
    </row>
    <row r="97" spans="1:21">
      <c r="A97" s="210">
        <v>91</v>
      </c>
      <c r="B97" s="283">
        <v>2.9421296296296296E-2</v>
      </c>
      <c r="C97" s="217">
        <f t="shared" si="15"/>
        <v>42.366666666666667</v>
      </c>
      <c r="D97" s="217">
        <f t="shared" si="12"/>
        <v>36.150845253576072</v>
      </c>
      <c r="E97" s="232">
        <f t="shared" ref="E97:E106" si="16">ROUND(1-IF(A97&lt;I$3,0,IF(A97&lt;I$4,G$3*(A97-I$3)^2,G$2+G$4*(A97-I$4)+(A97&gt;I$5)*G$5*(A97-I$5)^2)),4)</f>
        <v>0.38450000000000001</v>
      </c>
      <c r="F97" s="232">
        <v>36.387585412035897</v>
      </c>
      <c r="G97" s="438">
        <v>42.366666666666667</v>
      </c>
      <c r="H97" s="233">
        <f t="shared" si="13"/>
        <v>6.5060694678992833E-3</v>
      </c>
      <c r="I97" s="210">
        <v>91</v>
      </c>
      <c r="J97" s="440">
        <f t="shared" si="14"/>
        <v>85.887298376166555</v>
      </c>
      <c r="K97" s="441">
        <f t="shared" si="11"/>
        <v>85.328509646521027</v>
      </c>
      <c r="L97" s="279" t="s">
        <v>212</v>
      </c>
      <c r="M97" s="248" t="s">
        <v>390</v>
      </c>
      <c r="N97" s="248" t="s">
        <v>391</v>
      </c>
      <c r="O97" s="248" t="s">
        <v>217</v>
      </c>
      <c r="P97" s="280">
        <v>8487</v>
      </c>
      <c r="Q97" s="249" t="s">
        <v>395</v>
      </c>
      <c r="R97" s="248" t="s">
        <v>393</v>
      </c>
      <c r="S97" s="280">
        <v>41755</v>
      </c>
      <c r="T97" s="281"/>
      <c r="U97" s="282"/>
    </row>
    <row r="98" spans="1:21">
      <c r="A98" s="210">
        <v>92</v>
      </c>
      <c r="B98" s="283">
        <v>3.0856481481481481E-2</v>
      </c>
      <c r="C98" s="217">
        <f t="shared" si="15"/>
        <v>44.43333333333333</v>
      </c>
      <c r="D98" s="217">
        <f t="shared" si="12"/>
        <v>38.228822882288235</v>
      </c>
      <c r="E98" s="232">
        <f t="shared" si="16"/>
        <v>0.36359999999999998</v>
      </c>
      <c r="F98" s="232">
        <v>38.458191942921779</v>
      </c>
      <c r="G98" s="438">
        <v>44.43333333333333</v>
      </c>
      <c r="H98" s="233">
        <f t="shared" si="13"/>
        <v>5.9641145109984792E-3</v>
      </c>
      <c r="I98" s="210">
        <v>92</v>
      </c>
      <c r="J98" s="440">
        <f t="shared" si="14"/>
        <v>86.552570014077531</v>
      </c>
      <c r="K98" s="441">
        <f t="shared" si="11"/>
        <v>86.036360575292363</v>
      </c>
      <c r="L98" s="279" t="s">
        <v>213</v>
      </c>
      <c r="M98" s="248" t="s">
        <v>390</v>
      </c>
      <c r="N98" s="248" t="s">
        <v>391</v>
      </c>
      <c r="O98" s="248" t="s">
        <v>217</v>
      </c>
      <c r="P98" s="280">
        <v>8487</v>
      </c>
      <c r="Q98" s="249" t="s">
        <v>396</v>
      </c>
      <c r="R98" s="248" t="s">
        <v>393</v>
      </c>
      <c r="S98" s="280">
        <v>42126</v>
      </c>
      <c r="T98" s="281"/>
      <c r="U98" s="282"/>
    </row>
    <row r="99" spans="1:21">
      <c r="A99" s="210">
        <v>93</v>
      </c>
      <c r="B99" s="283" t="s">
        <v>996</v>
      </c>
      <c r="C99" s="217"/>
      <c r="D99" s="217">
        <f t="shared" si="12"/>
        <v>40.655162328166135</v>
      </c>
      <c r="E99" s="232">
        <f t="shared" si="16"/>
        <v>0.34189999999999998</v>
      </c>
      <c r="F99" s="232">
        <v>40.869163199260292</v>
      </c>
      <c r="G99" s="232"/>
      <c r="H99" s="233">
        <f t="shared" si="13"/>
        <v>5.2362430336726469E-3</v>
      </c>
      <c r="I99" s="210">
        <v>93</v>
      </c>
      <c r="J99" s="440"/>
      <c r="K99" s="441"/>
      <c r="L99" s="279"/>
      <c r="M99" s="248"/>
      <c r="N99" s="248"/>
      <c r="O99" s="248"/>
      <c r="P99" s="280"/>
      <c r="Q99" s="249"/>
      <c r="R99" s="248"/>
      <c r="S99" s="280"/>
      <c r="T99" s="281"/>
      <c r="U99" s="282"/>
    </row>
    <row r="100" spans="1:21" ht="15.75">
      <c r="A100" s="210">
        <v>94</v>
      </c>
      <c r="B100" s="283">
        <v>3.3969907407407407E-2</v>
      </c>
      <c r="C100" s="217">
        <f t="shared" si="15"/>
        <v>48.916666666666664</v>
      </c>
      <c r="D100" s="217">
        <f t="shared" si="12"/>
        <v>43.505477308294211</v>
      </c>
      <c r="E100" s="232">
        <f t="shared" si="16"/>
        <v>0.31950000000000001</v>
      </c>
      <c r="F100" s="232">
        <v>43.693159351522347</v>
      </c>
      <c r="G100" s="232">
        <v>48.916666666666664</v>
      </c>
      <c r="H100" s="233">
        <f t="shared" si="13"/>
        <v>4.2954559938819603E-3</v>
      </c>
      <c r="I100" s="210">
        <v>94</v>
      </c>
      <c r="J100" s="440">
        <f t="shared" si="14"/>
        <v>89.321620480113822</v>
      </c>
      <c r="K100" s="441">
        <f>100*(D100/C100)</f>
        <v>88.93794339003928</v>
      </c>
      <c r="L100" s="279" t="s">
        <v>214</v>
      </c>
      <c r="M100" s="248" t="s">
        <v>397</v>
      </c>
      <c r="N100" s="248" t="s">
        <v>398</v>
      </c>
      <c r="O100" s="248" t="s">
        <v>217</v>
      </c>
      <c r="P100" s="280">
        <v>5863</v>
      </c>
      <c r="Q100" s="249" t="s">
        <v>399</v>
      </c>
      <c r="R100" s="248" t="s">
        <v>400</v>
      </c>
      <c r="S100" s="280">
        <v>40250</v>
      </c>
      <c r="T100" s="295"/>
      <c r="U100" s="296"/>
    </row>
    <row r="101" spans="1:21" ht="15.75">
      <c r="A101" s="210">
        <v>95</v>
      </c>
      <c r="B101" s="283" t="s">
        <v>996</v>
      </c>
      <c r="C101" s="217"/>
      <c r="D101" s="217">
        <f t="shared" si="12"/>
        <v>46.896086369770579</v>
      </c>
      <c r="E101" s="232">
        <f t="shared" si="16"/>
        <v>0.2964</v>
      </c>
      <c r="F101" s="232">
        <v>47.071352502662407</v>
      </c>
      <c r="G101" s="232"/>
      <c r="H101" s="233">
        <f t="shared" si="13"/>
        <v>3.7234139996702807E-3</v>
      </c>
      <c r="I101" s="210">
        <v>95</v>
      </c>
      <c r="J101" s="440"/>
      <c r="K101" s="441"/>
      <c r="L101" s="279"/>
      <c r="M101" s="248"/>
      <c r="N101" s="248"/>
      <c r="O101" s="248"/>
      <c r="P101" s="280"/>
      <c r="Q101" s="249"/>
      <c r="R101" s="248"/>
      <c r="S101" s="280"/>
      <c r="T101" s="295"/>
      <c r="U101" s="282"/>
    </row>
    <row r="102" spans="1:21" ht="14.25" customHeight="1">
      <c r="A102" s="210">
        <v>96</v>
      </c>
      <c r="B102" s="283" t="s">
        <v>996</v>
      </c>
      <c r="C102" s="217"/>
      <c r="D102" s="217">
        <f t="shared" si="12"/>
        <v>51.0091743119266</v>
      </c>
      <c r="E102" s="232">
        <f t="shared" si="16"/>
        <v>0.27250000000000002</v>
      </c>
      <c r="F102" s="232">
        <v>51.139650584287864</v>
      </c>
      <c r="G102" s="232"/>
      <c r="H102" s="233">
        <f t="shared" si="13"/>
        <v>2.5513719955167534E-3</v>
      </c>
      <c r="I102" s="210">
        <v>96</v>
      </c>
      <c r="J102" s="442"/>
      <c r="K102" s="441"/>
      <c r="L102" s="279"/>
      <c r="M102" s="248"/>
      <c r="N102" s="248"/>
      <c r="O102" s="248"/>
      <c r="P102" s="280"/>
      <c r="Q102" s="249"/>
      <c r="R102" s="248"/>
      <c r="S102" s="280"/>
      <c r="T102" s="295"/>
      <c r="U102" s="277"/>
    </row>
    <row r="103" spans="1:21" ht="14.25" customHeight="1">
      <c r="A103" s="210">
        <v>97</v>
      </c>
      <c r="B103" s="283">
        <v>3.8738425925925926E-2</v>
      </c>
      <c r="C103" s="217">
        <f t="shared" ref="C103:C104" si="17">B103*1440</f>
        <v>55.783333333333331</v>
      </c>
      <c r="D103" s="217">
        <f t="shared" si="12"/>
        <v>56.093623890234063</v>
      </c>
      <c r="E103" s="232">
        <f t="shared" si="16"/>
        <v>0.24779999999999999</v>
      </c>
      <c r="F103" s="232">
        <v>56.148373983739837</v>
      </c>
      <c r="G103" s="232">
        <v>55.783333333333331</v>
      </c>
      <c r="H103" s="233">
        <f t="shared" si="13"/>
        <v>9.7509668795803988E-4</v>
      </c>
      <c r="I103" s="210">
        <v>97</v>
      </c>
      <c r="J103" s="440">
        <f t="shared" ref="J103:J104" si="18">100*F103/+C103</f>
        <v>100.65439017103049</v>
      </c>
      <c r="K103" s="441">
        <f t="shared" ref="K103:K104" si="19">100*(D103/C103)</f>
        <v>100.55624240854628</v>
      </c>
      <c r="L103" s="297" t="s">
        <v>973</v>
      </c>
      <c r="M103" s="248" t="s">
        <v>820</v>
      </c>
      <c r="N103" s="248" t="s">
        <v>995</v>
      </c>
      <c r="O103" s="248" t="s">
        <v>217</v>
      </c>
      <c r="P103" s="280">
        <v>9017</v>
      </c>
      <c r="Q103" s="298" t="s">
        <v>337</v>
      </c>
      <c r="R103" s="248" t="s">
        <v>563</v>
      </c>
      <c r="S103" s="280">
        <v>44619</v>
      </c>
      <c r="T103" s="295"/>
      <c r="U103" s="277"/>
    </row>
    <row r="104" spans="1:21">
      <c r="A104" s="210">
        <v>98</v>
      </c>
      <c r="B104" s="283">
        <v>4.1018518518518517E-2</v>
      </c>
      <c r="C104" s="217">
        <f t="shared" si="17"/>
        <v>59.066666666666663</v>
      </c>
      <c r="D104" s="217">
        <f t="shared" si="12"/>
        <v>62.52811515969411</v>
      </c>
      <c r="E104" s="232">
        <f t="shared" si="16"/>
        <v>0.2223</v>
      </c>
      <c r="F104" s="232">
        <v>62.455842871273141</v>
      </c>
      <c r="G104" s="232">
        <v>59.066666666666663</v>
      </c>
      <c r="H104" s="233">
        <f t="shared" si="13"/>
        <v>-1.157174174559267E-3</v>
      </c>
      <c r="I104" s="210">
        <v>98</v>
      </c>
      <c r="J104" s="440">
        <f t="shared" si="18"/>
        <v>105.73788296490939</v>
      </c>
      <c r="K104" s="443">
        <f t="shared" si="19"/>
        <v>105.86024011234896</v>
      </c>
      <c r="L104" s="297" t="s">
        <v>2368</v>
      </c>
      <c r="M104" s="248" t="s">
        <v>820</v>
      </c>
      <c r="N104" s="248" t="s">
        <v>995</v>
      </c>
      <c r="O104" s="248" t="s">
        <v>217</v>
      </c>
      <c r="P104" s="280">
        <v>9017</v>
      </c>
      <c r="Q104" s="210" t="s">
        <v>337</v>
      </c>
      <c r="R104" s="248" t="s">
        <v>563</v>
      </c>
      <c r="S104" s="280">
        <v>44982</v>
      </c>
      <c r="T104" s="281"/>
      <c r="U104" s="277"/>
    </row>
    <row r="105" spans="1:21">
      <c r="A105" s="210">
        <v>99</v>
      </c>
      <c r="B105" s="210"/>
      <c r="C105" s="217"/>
      <c r="D105" s="217">
        <f t="shared" si="12"/>
        <v>70.882202957674664</v>
      </c>
      <c r="E105" s="232">
        <f t="shared" si="16"/>
        <v>0.1961</v>
      </c>
      <c r="F105" s="232">
        <v>70.595751477399787</v>
      </c>
      <c r="G105" s="232"/>
      <c r="H105" s="233">
        <f t="shared" si="13"/>
        <v>-4.0576305837126828E-3</v>
      </c>
      <c r="I105" s="210">
        <v>99</v>
      </c>
      <c r="J105" s="442"/>
      <c r="K105" s="443"/>
      <c r="L105" s="279"/>
      <c r="M105" s="210"/>
      <c r="N105" s="210"/>
      <c r="O105" s="210"/>
      <c r="P105" s="210"/>
      <c r="Q105" s="210"/>
      <c r="R105" s="210"/>
      <c r="S105" s="210"/>
      <c r="T105" s="210"/>
      <c r="U105" s="439"/>
    </row>
    <row r="106" spans="1:21">
      <c r="A106" s="210">
        <v>100</v>
      </c>
      <c r="B106" s="210"/>
      <c r="C106" s="210"/>
      <c r="D106" s="217">
        <f>OC/E106</f>
        <v>82.151300236406627</v>
      </c>
      <c r="E106" s="232">
        <f t="shared" si="16"/>
        <v>0.16919999999999999</v>
      </c>
      <c r="F106" s="232">
        <v>81.579918789221111</v>
      </c>
      <c r="G106" s="232"/>
      <c r="H106" s="233">
        <f t="shared" si="13"/>
        <v>-7.0039472417446269E-3</v>
      </c>
      <c r="I106" s="299">
        <v>100</v>
      </c>
      <c r="J106" s="444"/>
      <c r="K106" s="443"/>
      <c r="L106" s="300"/>
      <c r="M106" s="210"/>
      <c r="N106" s="210"/>
      <c r="O106" s="210"/>
      <c r="P106" s="210"/>
      <c r="Q106" s="210"/>
      <c r="R106" s="210"/>
      <c r="S106" s="210"/>
      <c r="T106" s="210"/>
      <c r="U106" s="439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topLeftCell="A5" zoomScale="87" zoomScaleNormal="87" workbookViewId="0">
      <selection activeCell="E14" sqref="E14"/>
    </sheetView>
  </sheetViews>
  <sheetFormatPr defaultColWidth="9.6640625" defaultRowHeight="15"/>
  <cols>
    <col min="1" max="4" width="9.6640625" style="210" customWidth="1"/>
    <col min="5" max="5" width="10.88671875" style="210" customWidth="1"/>
    <col min="6" max="7" width="10.6640625" style="210" customWidth="1"/>
    <col min="8" max="16384" width="9.6640625" style="210"/>
  </cols>
  <sheetData>
    <row r="1" spans="1:12" ht="31.5">
      <c r="A1" s="206" t="s">
        <v>60</v>
      </c>
      <c r="B1" s="207"/>
      <c r="C1" s="208"/>
      <c r="D1" s="209" t="s">
        <v>32</v>
      </c>
      <c r="E1" s="209" t="s">
        <v>54</v>
      </c>
      <c r="F1" s="209"/>
      <c r="G1" s="209"/>
      <c r="H1" s="209"/>
      <c r="I1" s="209"/>
      <c r="K1" s="207" t="s">
        <v>2090</v>
      </c>
    </row>
    <row r="2" spans="1:12" ht="12" customHeight="1">
      <c r="A2" s="206"/>
      <c r="B2" s="207"/>
      <c r="C2" s="208"/>
      <c r="D2" s="209"/>
      <c r="E2" s="209"/>
      <c r="F2" s="303"/>
      <c r="G2" s="304"/>
      <c r="H2" s="211"/>
      <c r="I2" s="211"/>
      <c r="K2" s="207">
        <f>Parameters!M17</f>
        <v>0.26303440583379373</v>
      </c>
    </row>
    <row r="3" spans="1:12" ht="14.25" customHeight="1">
      <c r="A3" s="206"/>
      <c r="B3" s="207"/>
      <c r="C3" s="208"/>
      <c r="D3" s="209"/>
      <c r="E3" s="209"/>
      <c r="F3" s="305"/>
      <c r="G3" s="306"/>
      <c r="H3" s="212"/>
      <c r="I3" s="213"/>
      <c r="J3" s="307"/>
      <c r="K3" s="307"/>
      <c r="L3" s="307"/>
    </row>
    <row r="4" spans="1:12" ht="15.75">
      <c r="A4" s="207"/>
      <c r="B4" s="207"/>
      <c r="C4" s="207"/>
      <c r="D4" s="214">
        <f>Parameters!G17</f>
        <v>1.1666666666666667E-2</v>
      </c>
      <c r="E4" s="215">
        <f>D4*1440</f>
        <v>16.8</v>
      </c>
      <c r="F4" s="216"/>
      <c r="G4" s="205"/>
      <c r="H4" s="212"/>
      <c r="I4" s="213"/>
    </row>
    <row r="5" spans="1:12" ht="15.75">
      <c r="A5" s="207"/>
      <c r="B5" s="207"/>
      <c r="C5" s="207"/>
      <c r="D5" s="214"/>
      <c r="E5" s="207">
        <f>E4*60</f>
        <v>1008</v>
      </c>
      <c r="F5" s="216"/>
      <c r="G5" s="205"/>
      <c r="H5" s="212"/>
      <c r="I5" s="213"/>
    </row>
    <row r="6" spans="1:12" ht="31.5">
      <c r="A6" s="218" t="s">
        <v>52</v>
      </c>
      <c r="B6" s="218" t="s">
        <v>32</v>
      </c>
      <c r="C6" s="218" t="s">
        <v>53</v>
      </c>
      <c r="D6" s="218" t="s">
        <v>2367</v>
      </c>
      <c r="E6" s="218" t="s">
        <v>2366</v>
      </c>
    </row>
    <row r="7" spans="1:12">
      <c r="A7" s="210">
        <v>1</v>
      </c>
    </row>
    <row r="8" spans="1:12">
      <c r="A8" s="210">
        <v>2</v>
      </c>
    </row>
    <row r="9" spans="1:12">
      <c r="A9" s="210">
        <v>3</v>
      </c>
      <c r="B9" s="231"/>
      <c r="C9" s="217"/>
      <c r="D9" s="217">
        <f>E$4/E9</f>
        <v>27.112836784932057</v>
      </c>
      <c r="E9" s="232">
        <f>'5K'!$E9*(1-$K$2)+'10K'!$E9*$K$2</f>
        <v>0.61963269034749591</v>
      </c>
    </row>
    <row r="10" spans="1:12">
      <c r="A10" s="210">
        <v>4</v>
      </c>
      <c r="B10" s="234"/>
      <c r="C10" s="217"/>
      <c r="D10" s="217">
        <f>E$4/E10</f>
        <v>25.646554244331547</v>
      </c>
      <c r="E10" s="232">
        <f>'5K'!$E10*(1-$K$2)+'10K'!$E10*$K$2</f>
        <v>0.65505875915916345</v>
      </c>
    </row>
    <row r="11" spans="1:12">
      <c r="A11" s="210">
        <v>5</v>
      </c>
      <c r="B11" s="234"/>
      <c r="C11" s="217"/>
      <c r="D11" s="217">
        <f t="shared" ref="D11:D41" si="0">E$4/E11</f>
        <v>24.386493960351906</v>
      </c>
      <c r="E11" s="232">
        <f>'5K'!$E11*(1-$K$2)+'10K'!$E11*$K$2</f>
        <v>0.68890591764908093</v>
      </c>
    </row>
    <row r="12" spans="1:12">
      <c r="A12" s="210">
        <v>6</v>
      </c>
      <c r="B12" s="234"/>
      <c r="C12" s="217"/>
      <c r="D12" s="217">
        <f t="shared" si="0"/>
        <v>23.295343616422979</v>
      </c>
      <c r="E12" s="232">
        <f>'5K'!$E12*(1-$K$2)+'10K'!$E12*$K$2</f>
        <v>0.72117416581724825</v>
      </c>
    </row>
    <row r="13" spans="1:12">
      <c r="A13" s="210">
        <v>7</v>
      </c>
      <c r="B13" s="234"/>
      <c r="C13" s="217"/>
      <c r="D13" s="217">
        <f t="shared" si="0"/>
        <v>22.342291344298218</v>
      </c>
      <c r="E13" s="232">
        <f>'5K'!$E13*(1-$K$2)+'10K'!$E13*$K$2</f>
        <v>0.75193720022308197</v>
      </c>
    </row>
    <row r="14" spans="1:12">
      <c r="A14" s="210">
        <v>8</v>
      </c>
      <c r="B14" s="234"/>
      <c r="C14" s="217"/>
      <c r="D14" s="217">
        <f t="shared" si="0"/>
        <v>21.510296168805727</v>
      </c>
      <c r="E14" s="232">
        <f>'5K'!$E14*(1-$K$2)+'10K'!$E14*$K$2</f>
        <v>0.78102132430716564</v>
      </c>
    </row>
    <row r="15" spans="1:12">
      <c r="A15" s="210">
        <v>9</v>
      </c>
      <c r="B15" s="234"/>
      <c r="C15" s="217"/>
      <c r="D15" s="217">
        <f t="shared" si="0"/>
        <v>20.77664497303774</v>
      </c>
      <c r="E15" s="232">
        <f>'5K'!$E15*(1-$K$2)+'10K'!$E15*$K$2</f>
        <v>0.80860023462891584</v>
      </c>
    </row>
    <row r="16" spans="1:12">
      <c r="A16" s="210">
        <v>10</v>
      </c>
      <c r="B16" s="234"/>
      <c r="C16" s="217"/>
      <c r="D16" s="217">
        <f t="shared" si="0"/>
        <v>20.128763265614097</v>
      </c>
      <c r="E16" s="232">
        <f>'5K'!$E16*(1-$K$2)+'10K'!$E16*$K$2</f>
        <v>0.83462653806949916</v>
      </c>
    </row>
    <row r="17" spans="1:5">
      <c r="A17" s="210">
        <v>11</v>
      </c>
      <c r="B17" s="234"/>
      <c r="C17" s="217"/>
      <c r="D17" s="217">
        <f t="shared" si="0"/>
        <v>19.557139647900893</v>
      </c>
      <c r="E17" s="232">
        <f>'5K'!$E17*(1-$K$2)+'10K'!$E17*$K$2</f>
        <v>0.85902132430716571</v>
      </c>
    </row>
    <row r="18" spans="1:5">
      <c r="A18" s="210">
        <v>12</v>
      </c>
      <c r="B18" s="234"/>
      <c r="C18" s="217"/>
      <c r="D18" s="217">
        <f t="shared" si="0"/>
        <v>19.048975364402949</v>
      </c>
      <c r="E18" s="232">
        <f>'5K'!$E18*(1-$K$2)+'10K'!$E18*$K$2</f>
        <v>0.88193720022308209</v>
      </c>
    </row>
    <row r="19" spans="1:5">
      <c r="A19" s="210">
        <v>13</v>
      </c>
      <c r="B19" s="234"/>
      <c r="C19" s="217"/>
      <c r="D19" s="217">
        <f t="shared" si="0"/>
        <v>18.600521779848851</v>
      </c>
      <c r="E19" s="232">
        <f>'5K'!$E19*(1-$K$2)+'10K'!$E19*$K$2</f>
        <v>0.90320046925783171</v>
      </c>
    </row>
    <row r="20" spans="1:5">
      <c r="A20" s="210">
        <v>14</v>
      </c>
      <c r="B20" s="234"/>
      <c r="C20" s="217"/>
      <c r="D20" s="217">
        <f t="shared" si="0"/>
        <v>18.202853488162976</v>
      </c>
      <c r="E20" s="232">
        <f>'5K'!$E20*(1-$K$2)+'10K'!$E20*$K$2</f>
        <v>0.92293222108966433</v>
      </c>
    </row>
    <row r="21" spans="1:5">
      <c r="A21" s="210">
        <v>15</v>
      </c>
      <c r="B21" s="234"/>
      <c r="C21" s="217"/>
      <c r="D21" s="217">
        <f t="shared" si="0"/>
        <v>17.846143637711904</v>
      </c>
      <c r="E21" s="232">
        <f>'5K'!$E21*(1-$K$2)+'10K'!$E21*$K$2</f>
        <v>0.94137984883741344</v>
      </c>
    </row>
    <row r="22" spans="1:5">
      <c r="A22" s="210">
        <v>16</v>
      </c>
      <c r="B22" s="234"/>
      <c r="C22" s="217"/>
      <c r="D22" s="217">
        <f t="shared" si="0"/>
        <v>17.508808224355789</v>
      </c>
      <c r="E22" s="232">
        <f>'5K'!$E22*(1-$K$2)+'10K'!$E22*$K$2</f>
        <v>0.9595170490604954</v>
      </c>
    </row>
    <row r="23" spans="1:5">
      <c r="A23" s="210">
        <v>17</v>
      </c>
      <c r="B23" s="234"/>
      <c r="C23" s="217"/>
      <c r="D23" s="217">
        <f t="shared" si="0"/>
        <v>17.183989137582124</v>
      </c>
      <c r="E23" s="232">
        <f>'5K'!$E23*(1-$K$2)+'10K'!$E23*$K$2</f>
        <v>0.97765424928357736</v>
      </c>
    </row>
    <row r="24" spans="1:5">
      <c r="A24" s="210">
        <v>18</v>
      </c>
      <c r="B24" s="234"/>
      <c r="C24" s="217"/>
      <c r="D24" s="217">
        <f t="shared" si="0"/>
        <v>16.938870921110677</v>
      </c>
      <c r="E24" s="232">
        <f>'5K'!$E24*(1-$K$2)+'10K'!$E24*$K$2</f>
        <v>0.99180164240241053</v>
      </c>
    </row>
    <row r="25" spans="1:5">
      <c r="A25" s="210">
        <v>19</v>
      </c>
      <c r="B25" s="234"/>
      <c r="C25" s="217"/>
      <c r="D25" s="217">
        <f t="shared" si="0"/>
        <v>16.835426370979594</v>
      </c>
      <c r="E25" s="232">
        <f>'5K'!$E25*(1-$K$2)+'10K'!$E25*$K$2</f>
        <v>0.99789572475332977</v>
      </c>
    </row>
    <row r="26" spans="1:5">
      <c r="A26" s="210">
        <v>20</v>
      </c>
      <c r="B26" s="234"/>
      <c r="C26" s="217"/>
      <c r="D26" s="217">
        <f t="shared" si="0"/>
        <v>16.808842607856221</v>
      </c>
      <c r="E26" s="232">
        <f>'5K'!$E26*(1-$K$2)+'10K'!$E26*$K$2</f>
        <v>0.9994739311883325</v>
      </c>
    </row>
    <row r="27" spans="1:5">
      <c r="A27" s="210">
        <v>21</v>
      </c>
      <c r="B27" s="234"/>
      <c r="C27" s="217"/>
      <c r="D27" s="217">
        <f t="shared" si="0"/>
        <v>16.8</v>
      </c>
      <c r="E27" s="232">
        <f>'5K'!$E27*(1-$K$2)+'10K'!$E27*$K$2</f>
        <v>1</v>
      </c>
    </row>
    <row r="28" spans="1:5">
      <c r="A28" s="210">
        <v>22</v>
      </c>
      <c r="B28" s="234"/>
      <c r="C28" s="217"/>
      <c r="D28" s="217">
        <f t="shared" si="0"/>
        <v>16.8</v>
      </c>
      <c r="E28" s="232">
        <f>'5K'!$E28*(1-$K$2)+'10K'!$E28*$K$2</f>
        <v>1</v>
      </c>
    </row>
    <row r="29" spans="1:5">
      <c r="A29" s="210">
        <v>23</v>
      </c>
      <c r="B29" s="234"/>
      <c r="C29" s="217"/>
      <c r="D29" s="217">
        <f t="shared" si="0"/>
        <v>16.8</v>
      </c>
      <c r="E29" s="232">
        <f>'5K'!$E29*(1-$K$2)+'10K'!$E29*$K$2</f>
        <v>1</v>
      </c>
    </row>
    <row r="30" spans="1:5">
      <c r="A30" s="210">
        <v>24</v>
      </c>
      <c r="B30" s="234"/>
      <c r="C30" s="217"/>
      <c r="D30" s="217">
        <f t="shared" si="0"/>
        <v>16.8</v>
      </c>
      <c r="E30" s="232">
        <f>'5K'!$E30*(1-$K$2)+'10K'!$E30*$K$2</f>
        <v>1</v>
      </c>
    </row>
    <row r="31" spans="1:5">
      <c r="A31" s="210">
        <v>25</v>
      </c>
      <c r="B31" s="234"/>
      <c r="C31" s="217"/>
      <c r="D31" s="217">
        <f t="shared" si="0"/>
        <v>16.8</v>
      </c>
      <c r="E31" s="232">
        <f>'5K'!$E31*(1-$K$2)+'10K'!$E31*$K$2</f>
        <v>1</v>
      </c>
    </row>
    <row r="32" spans="1:5">
      <c r="A32" s="210">
        <v>26</v>
      </c>
      <c r="B32" s="234"/>
      <c r="C32" s="217"/>
      <c r="D32" s="217">
        <f t="shared" si="0"/>
        <v>16.8</v>
      </c>
      <c r="E32" s="232">
        <f>'5K'!$E32*(1-$K$2)+'10K'!$E32*$K$2</f>
        <v>1</v>
      </c>
    </row>
    <row r="33" spans="1:5">
      <c r="A33" s="210">
        <v>27</v>
      </c>
      <c r="B33" s="234"/>
      <c r="C33" s="217"/>
      <c r="D33" s="217">
        <f t="shared" si="0"/>
        <v>16.803715127971046</v>
      </c>
      <c r="E33" s="232">
        <f>'5K'!$E33*(1-$K$2)+'10K'!$E33*$K$2</f>
        <v>0.99977891032175026</v>
      </c>
    </row>
    <row r="34" spans="1:5">
      <c r="A34" s="210">
        <v>28</v>
      </c>
      <c r="B34" s="234"/>
      <c r="C34" s="217"/>
      <c r="D34" s="217">
        <f t="shared" si="0"/>
        <v>16.813275299396601</v>
      </c>
      <c r="E34" s="232">
        <f>'5K'!$E34*(1-$K$2)+'10K'!$E34*$K$2</f>
        <v>0.99921042752466704</v>
      </c>
    </row>
    <row r="35" spans="1:5">
      <c r="A35" s="210">
        <v>29</v>
      </c>
      <c r="B35" s="234"/>
      <c r="C35" s="217"/>
      <c r="D35" s="217">
        <f t="shared" si="0"/>
        <v>16.832516244088872</v>
      </c>
      <c r="E35" s="232">
        <f>'5K'!$E35*(1-$K$2)+'10K'!$E35*$K$2</f>
        <v>0.99806824816816742</v>
      </c>
    </row>
    <row r="36" spans="1:5">
      <c r="A36" s="210">
        <v>30</v>
      </c>
      <c r="B36" s="234"/>
      <c r="C36" s="217"/>
      <c r="D36" s="217">
        <f t="shared" si="0"/>
        <v>16.859812338072388</v>
      </c>
      <c r="E36" s="232">
        <f>'5K'!$E36*(1-$K$2)+'10K'!$E36*$K$2</f>
        <v>0.99645237225225092</v>
      </c>
    </row>
    <row r="37" spans="1:5">
      <c r="A37" s="210">
        <v>31</v>
      </c>
      <c r="B37" s="234"/>
      <c r="C37" s="217"/>
      <c r="D37" s="217">
        <f t="shared" si="0"/>
        <v>16.895688795392857</v>
      </c>
      <c r="E37" s="232">
        <f>'5K'!$E37*(1-$K$2)+'10K'!$E37*$K$2</f>
        <v>0.9943364963363347</v>
      </c>
    </row>
    <row r="38" spans="1:5">
      <c r="A38" s="210">
        <v>32</v>
      </c>
      <c r="B38" s="234"/>
      <c r="C38" s="217"/>
      <c r="D38" s="217">
        <f t="shared" si="0"/>
        <v>16.939805504609364</v>
      </c>
      <c r="E38" s="232">
        <f>'5K'!$E38*(1-$K$2)+'10K'!$E38*$K$2</f>
        <v>0.99174692386100172</v>
      </c>
    </row>
    <row r="39" spans="1:5">
      <c r="A39" s="210">
        <v>33</v>
      </c>
      <c r="B39" s="234"/>
      <c r="C39" s="217"/>
      <c r="D39" s="217">
        <f t="shared" si="0"/>
        <v>16.992290626016647</v>
      </c>
      <c r="E39" s="232">
        <f>'5K'!$E39*(1-$K$2)+'10K'!$E39*$K$2</f>
        <v>0.98868365482625209</v>
      </c>
    </row>
    <row r="40" spans="1:5">
      <c r="A40" s="210">
        <v>34</v>
      </c>
      <c r="B40" s="234"/>
      <c r="C40" s="217"/>
      <c r="D40" s="217">
        <f t="shared" si="0"/>
        <v>17.055029151051507</v>
      </c>
      <c r="E40" s="232">
        <f>'5K'!$E40*(1-$K$2)+'10K'!$E40*$K$2</f>
        <v>0.98504668923208594</v>
      </c>
    </row>
    <row r="41" spans="1:5">
      <c r="A41" s="210">
        <v>35</v>
      </c>
      <c r="B41" s="234"/>
      <c r="C41" s="217"/>
      <c r="D41" s="217">
        <f t="shared" si="0"/>
        <v>17.125671702606844</v>
      </c>
      <c r="E41" s="232">
        <f>'5K'!$E41*(1-$K$2)+'10K'!$E41*$K$2</f>
        <v>0.98098342019733631</v>
      </c>
    </row>
    <row r="42" spans="1:5">
      <c r="A42" s="210">
        <v>36</v>
      </c>
      <c r="B42" s="234"/>
      <c r="C42" s="217"/>
      <c r="D42" s="217">
        <f t="shared" ref="D42:D73" si="1">E$4/E42</f>
        <v>17.20654315843494</v>
      </c>
      <c r="E42" s="232">
        <f>'5K'!$E42*(1-$K$2)+'10K'!$E42*$K$2</f>
        <v>0.97637275804375356</v>
      </c>
    </row>
    <row r="43" spans="1:5">
      <c r="A43" s="210">
        <v>37</v>
      </c>
      <c r="B43" s="234"/>
      <c r="C43" s="217"/>
      <c r="D43" s="217">
        <f t="shared" si="1"/>
        <v>17.295301176647449</v>
      </c>
      <c r="E43" s="232">
        <f>'5K'!$E43*(1-$K$2)+'10K'!$E43*$K$2</f>
        <v>0.97136209589017064</v>
      </c>
    </row>
    <row r="44" spans="1:5">
      <c r="A44" s="210">
        <v>38</v>
      </c>
      <c r="B44" s="234"/>
      <c r="C44" s="217"/>
      <c r="D44" s="217">
        <f t="shared" si="1"/>
        <v>17.395306759818229</v>
      </c>
      <c r="E44" s="232">
        <f>'5K'!$E44*(1-$K$2)+'10K'!$E44*$K$2</f>
        <v>0.96577773717717119</v>
      </c>
    </row>
    <row r="45" spans="1:5">
      <c r="A45" s="210">
        <v>39</v>
      </c>
      <c r="B45" s="234"/>
      <c r="C45" s="217"/>
      <c r="D45" s="217">
        <f t="shared" si="1"/>
        <v>17.505111457813442</v>
      </c>
      <c r="E45" s="232">
        <f>'5K'!$E45*(1-$K$2)+'10K'!$E45*$K$2</f>
        <v>0.9597196819047551</v>
      </c>
    </row>
    <row r="46" spans="1:5">
      <c r="A46" s="210">
        <v>40</v>
      </c>
      <c r="B46" s="234"/>
      <c r="C46" s="217"/>
      <c r="D46" s="217">
        <f t="shared" si="1"/>
        <v>17.62555219449705</v>
      </c>
      <c r="E46" s="232">
        <f>'5K'!$E46*(1-$K$2)+'10K'!$E46*$K$2</f>
        <v>0.95316162663233905</v>
      </c>
    </row>
    <row r="47" spans="1:5">
      <c r="A47" s="210">
        <v>41</v>
      </c>
      <c r="B47" s="234"/>
      <c r="C47" s="217"/>
      <c r="D47" s="217">
        <f t="shared" si="1"/>
        <v>17.756547433345045</v>
      </c>
      <c r="E47" s="232">
        <f>'5K'!$E47*(1-$K$2)+'10K'!$E47*$K$2</f>
        <v>0.94612987480050648</v>
      </c>
    </row>
    <row r="48" spans="1:5">
      <c r="A48" s="210">
        <v>42</v>
      </c>
      <c r="B48" s="234"/>
      <c r="C48" s="217"/>
      <c r="D48" s="217">
        <f t="shared" si="1"/>
        <v>17.898532711607594</v>
      </c>
      <c r="E48" s="232">
        <f>'5K'!$E48*(1-$K$2)+'10K'!$E48*$K$2</f>
        <v>0.93862442640925703</v>
      </c>
    </row>
    <row r="49" spans="1:5">
      <c r="A49" s="210">
        <v>43</v>
      </c>
      <c r="B49" s="234"/>
      <c r="C49" s="217"/>
      <c r="D49" s="217">
        <f t="shared" si="1"/>
        <v>18.05301122494733</v>
      </c>
      <c r="E49" s="232">
        <f>'5K'!$E49*(1-$K$2)+'10K'!$E49*$K$2</f>
        <v>0.93059267457742445</v>
      </c>
    </row>
    <row r="50" spans="1:5">
      <c r="A50" s="210">
        <v>44</v>
      </c>
      <c r="B50" s="234"/>
      <c r="C50" s="217"/>
      <c r="D50" s="217">
        <f t="shared" si="1"/>
        <v>18.220470957433136</v>
      </c>
      <c r="E50" s="232">
        <f>'5K'!$E50*(1-$K$2)+'10K'!$E50*$K$2</f>
        <v>0.92203983306734194</v>
      </c>
    </row>
    <row r="51" spans="1:5">
      <c r="A51" s="210">
        <v>45</v>
      </c>
      <c r="B51" s="234"/>
      <c r="C51" s="217"/>
      <c r="D51" s="217">
        <f t="shared" si="1"/>
        <v>18.399653186966695</v>
      </c>
      <c r="E51" s="232">
        <f>'5K'!$E51*(1-$K$2)+'10K'!$E51*$K$2</f>
        <v>0.91306068811667596</v>
      </c>
    </row>
    <row r="52" spans="1:5">
      <c r="A52" s="210">
        <v>46</v>
      </c>
      <c r="B52" s="234"/>
      <c r="C52" s="217"/>
      <c r="D52" s="217">
        <f t="shared" si="1"/>
        <v>18.591160944415748</v>
      </c>
      <c r="E52" s="232">
        <f>'5K'!$E52*(1-$K$2)+'10K'!$E52*$K$2</f>
        <v>0.90365523972542661</v>
      </c>
    </row>
    <row r="53" spans="1:5">
      <c r="A53" s="210">
        <v>47</v>
      </c>
      <c r="B53" s="234"/>
      <c r="C53" s="217"/>
      <c r="D53" s="217">
        <f t="shared" si="1"/>
        <v>18.786806676107897</v>
      </c>
      <c r="E53" s="232">
        <f>'5K'!$E53*(1-$K$2)+'10K'!$E53*$K$2</f>
        <v>0.89424457757184372</v>
      </c>
    </row>
    <row r="54" spans="1:5">
      <c r="A54" s="210">
        <v>48</v>
      </c>
      <c r="B54" s="234"/>
      <c r="C54" s="217"/>
      <c r="D54" s="217">
        <f t="shared" si="1"/>
        <v>18.990001085399843</v>
      </c>
      <c r="E54" s="232">
        <f>'5K'!$E54*(1-$K$2)+'10K'!$E54*$K$2</f>
        <v>0.88467609477476072</v>
      </c>
    </row>
    <row r="55" spans="1:5">
      <c r="A55" s="210">
        <v>49</v>
      </c>
      <c r="B55" s="234"/>
      <c r="C55" s="217"/>
      <c r="D55" s="217">
        <f t="shared" si="1"/>
        <v>19.19994737644754</v>
      </c>
      <c r="E55" s="232">
        <f>'5K'!$E55*(1-$K$2)+'10K'!$E55*$K$2</f>
        <v>0.87500239821534409</v>
      </c>
    </row>
    <row r="56" spans="1:5">
      <c r="A56" s="210">
        <v>50</v>
      </c>
      <c r="B56" s="234"/>
      <c r="C56" s="217"/>
      <c r="D56" s="217">
        <f t="shared" si="1"/>
        <v>19.416358337509838</v>
      </c>
      <c r="E56" s="232">
        <f>'5K'!$E56*(1-$K$2)+'10K'!$E56*$K$2</f>
        <v>0.86524979133417723</v>
      </c>
    </row>
    <row r="57" spans="1:5">
      <c r="A57" s="210">
        <v>51</v>
      </c>
      <c r="B57" s="234"/>
      <c r="C57" s="217"/>
      <c r="D57" s="217">
        <f t="shared" si="1"/>
        <v>19.63770343761168</v>
      </c>
      <c r="E57" s="232">
        <f>'5K'!$E57*(1-$K$2)+'10K'!$E57*$K$2</f>
        <v>0.8554971844530106</v>
      </c>
    </row>
    <row r="58" spans="1:5">
      <c r="A58" s="210">
        <v>52</v>
      </c>
      <c r="B58" s="234"/>
      <c r="C58" s="217"/>
      <c r="D58" s="217">
        <f t="shared" si="1"/>
        <v>19.864771181936817</v>
      </c>
      <c r="E58" s="232">
        <f>'5K'!$E58*(1-$K$2)+'10K'!$E58*$K$2</f>
        <v>0.84571827413126033</v>
      </c>
    </row>
    <row r="59" spans="1:5">
      <c r="A59" s="210">
        <v>53</v>
      </c>
      <c r="B59" s="234"/>
      <c r="C59" s="217"/>
      <c r="D59" s="217">
        <f t="shared" si="1"/>
        <v>20.096519101392701</v>
      </c>
      <c r="E59" s="232">
        <f>'5K'!$E59*(1-$K$2)+'10K'!$E59*$K$2</f>
        <v>0.83596566725009358</v>
      </c>
    </row>
    <row r="60" spans="1:5">
      <c r="A60" s="210">
        <v>54</v>
      </c>
      <c r="B60" s="234"/>
      <c r="C60" s="217"/>
      <c r="D60" s="217">
        <f t="shared" si="1"/>
        <v>20.333738118952439</v>
      </c>
      <c r="E60" s="232">
        <f>'5K'!$E60*(1-$K$2)+'10K'!$E60*$K$2</f>
        <v>0.82621306036892683</v>
      </c>
    </row>
    <row r="61" spans="1:5">
      <c r="A61" s="210">
        <v>55</v>
      </c>
      <c r="B61" s="234"/>
      <c r="C61" s="217"/>
      <c r="D61" s="217">
        <f t="shared" si="1"/>
        <v>20.577287217872051</v>
      </c>
      <c r="E61" s="232">
        <f>'5K'!$E61*(1-$K$2)+'10K'!$E61*$K$2</f>
        <v>0.81643415004717668</v>
      </c>
    </row>
    <row r="62" spans="1:5">
      <c r="A62" s="210">
        <v>56</v>
      </c>
      <c r="B62" s="234"/>
      <c r="C62" s="217"/>
      <c r="D62" s="217">
        <f t="shared" si="1"/>
        <v>20.827965002668591</v>
      </c>
      <c r="E62" s="232">
        <f>'5K'!$E62*(1-$K$2)+'10K'!$E62*$K$2</f>
        <v>0.80660784660659335</v>
      </c>
    </row>
    <row r="63" spans="1:5">
      <c r="A63" s="210">
        <v>57</v>
      </c>
      <c r="B63" s="234"/>
      <c r="C63" s="217"/>
      <c r="D63" s="217">
        <f t="shared" si="1"/>
        <v>21.083571686451016</v>
      </c>
      <c r="E63" s="232">
        <f>'5K'!$E63*(1-$K$2)+'10K'!$E63*$K$2</f>
        <v>0.79682893628484319</v>
      </c>
    </row>
    <row r="64" spans="1:5">
      <c r="A64" s="210">
        <v>58</v>
      </c>
      <c r="B64" s="234"/>
      <c r="C64" s="217"/>
      <c r="D64" s="217">
        <f t="shared" si="1"/>
        <v>21.344816725372009</v>
      </c>
      <c r="E64" s="232">
        <f>'5K'!$E64*(1-$K$2)+'10K'!$E64*$K$2</f>
        <v>0.78707632940367644</v>
      </c>
    </row>
    <row r="65" spans="1:5">
      <c r="A65" s="210">
        <v>59</v>
      </c>
      <c r="B65" s="234"/>
      <c r="C65" s="217"/>
      <c r="D65" s="217">
        <f t="shared" si="1"/>
        <v>21.612617128783828</v>
      </c>
      <c r="E65" s="232">
        <f>'5K'!$E65*(1-$K$2)+'10K'!$E65*$K$2</f>
        <v>0.7773237225225097</v>
      </c>
    </row>
    <row r="66" spans="1:5">
      <c r="A66" s="210">
        <v>60</v>
      </c>
      <c r="B66" s="234"/>
      <c r="C66" s="217"/>
      <c r="D66" s="217">
        <f t="shared" si="1"/>
        <v>21.887972836178562</v>
      </c>
      <c r="E66" s="232">
        <f>'5K'!$E66*(1-$K$2)+'10K'!$E66*$K$2</f>
        <v>0.76754481220075954</v>
      </c>
    </row>
    <row r="67" spans="1:5">
      <c r="A67" s="210">
        <v>61</v>
      </c>
      <c r="B67" s="234"/>
      <c r="C67" s="217"/>
      <c r="D67" s="217">
        <f t="shared" si="1"/>
        <v>22.169665882106475</v>
      </c>
      <c r="E67" s="232">
        <f>'5K'!$E67*(1-$K$2)+'10K'!$E67*$K$2</f>
        <v>0.75779220531959279</v>
      </c>
    </row>
    <row r="68" spans="1:5">
      <c r="A68" s="210">
        <v>62</v>
      </c>
      <c r="B68" s="234"/>
      <c r="C68" s="217"/>
      <c r="D68" s="217">
        <f t="shared" si="1"/>
        <v>22.459493851708149</v>
      </c>
      <c r="E68" s="232">
        <f>'5K'!$E68*(1-$K$2)+'10K'!$E68*$K$2</f>
        <v>0.74801329499784264</v>
      </c>
    </row>
    <row r="69" spans="1:5">
      <c r="A69" s="210">
        <v>63</v>
      </c>
      <c r="B69" s="234"/>
      <c r="C69" s="217"/>
      <c r="D69" s="217">
        <f t="shared" si="1"/>
        <v>22.756189338561803</v>
      </c>
      <c r="E69" s="232">
        <f>'5K'!$E69*(1-$K$2)+'10K'!$E69*$K$2</f>
        <v>0.73826068811667589</v>
      </c>
    </row>
    <row r="70" spans="1:5">
      <c r="A70" s="210">
        <v>64</v>
      </c>
      <c r="B70" s="234"/>
      <c r="C70" s="217"/>
      <c r="D70" s="217">
        <f t="shared" si="1"/>
        <v>23.060828606743982</v>
      </c>
      <c r="E70" s="232">
        <f>'5K'!$E70*(1-$K$2)+'10K'!$E70*$K$2</f>
        <v>0.72850808123550925</v>
      </c>
    </row>
    <row r="71" spans="1:5">
      <c r="A71" s="210">
        <v>65</v>
      </c>
      <c r="B71" s="234"/>
      <c r="C71" s="217"/>
      <c r="D71" s="217">
        <f t="shared" si="1"/>
        <v>23.374590429718136</v>
      </c>
      <c r="E71" s="232">
        <f>'5K'!$E71*(1-$K$2)+'10K'!$E71*$K$2</f>
        <v>0.71872917091375899</v>
      </c>
    </row>
    <row r="72" spans="1:5">
      <c r="A72" s="210">
        <v>66</v>
      </c>
      <c r="B72" s="234"/>
      <c r="C72" s="217"/>
      <c r="D72" s="217">
        <f t="shared" si="1"/>
        <v>23.698592248444672</v>
      </c>
      <c r="E72" s="232">
        <f>'5K'!$E72*(1-$K$2)+'10K'!$E72*$K$2</f>
        <v>0.70890286747317566</v>
      </c>
    </row>
    <row r="73" spans="1:5">
      <c r="A73" s="210">
        <v>67</v>
      </c>
      <c r="B73" s="234"/>
      <c r="C73" s="217"/>
      <c r="D73" s="217">
        <f t="shared" si="1"/>
        <v>24.030073391350307</v>
      </c>
      <c r="E73" s="232">
        <f>'5K'!$E73*(1-$K$2)+'10K'!$E73*$K$2</f>
        <v>0.6991239571514255</v>
      </c>
    </row>
    <row r="74" spans="1:5">
      <c r="A74" s="210">
        <v>68</v>
      </c>
      <c r="B74" s="234"/>
      <c r="C74" s="217"/>
      <c r="D74" s="217">
        <f t="shared" ref="D74:D105" si="2">E$4/E74</f>
        <v>24.370029293230399</v>
      </c>
      <c r="E74" s="232">
        <f>'5K'!$E74*(1-$K$2)+'10K'!$E74*$K$2</f>
        <v>0.68937135027025875</v>
      </c>
    </row>
    <row r="75" spans="1:5">
      <c r="A75" s="210">
        <v>69</v>
      </c>
      <c r="B75" s="234"/>
      <c r="C75" s="217"/>
      <c r="D75" s="217">
        <f t="shared" si="2"/>
        <v>24.719742007441589</v>
      </c>
      <c r="E75" s="232">
        <f>'5K'!$E75*(1-$K$2)+'10K'!$E75*$K$2</f>
        <v>0.67961874338909189</v>
      </c>
    </row>
    <row r="76" spans="1:5">
      <c r="A76" s="210">
        <v>70</v>
      </c>
      <c r="B76" s="234"/>
      <c r="C76" s="217"/>
      <c r="D76" s="217">
        <f t="shared" si="2"/>
        <v>25.080622516981645</v>
      </c>
      <c r="E76" s="232">
        <f>'5K'!$E76*(1-$K$2)+'10K'!$E76*$K$2</f>
        <v>0.66983983306734185</v>
      </c>
    </row>
    <row r="77" spans="1:5">
      <c r="A77" s="210">
        <v>71</v>
      </c>
      <c r="B77" s="234"/>
      <c r="C77" s="217"/>
      <c r="D77" s="217">
        <f t="shared" si="2"/>
        <v>25.451181803753954</v>
      </c>
      <c r="E77" s="232">
        <f>'5K'!$E77*(1-$K$2)+'10K'!$E77*$K$2</f>
        <v>0.6600872261861751</v>
      </c>
    </row>
    <row r="78" spans="1:5">
      <c r="A78" s="210">
        <v>72</v>
      </c>
      <c r="B78" s="234"/>
      <c r="C78" s="217"/>
      <c r="D78" s="217">
        <f t="shared" si="2"/>
        <v>25.833899998139394</v>
      </c>
      <c r="E78" s="232">
        <f>'5K'!$E78*(1-$K$2)+'10K'!$E78*$K$2</f>
        <v>0.65030831586442495</v>
      </c>
    </row>
    <row r="79" spans="1:5">
      <c r="A79" s="210">
        <v>73</v>
      </c>
      <c r="B79" s="234"/>
      <c r="C79" s="217"/>
      <c r="D79" s="217">
        <f t="shared" si="2"/>
        <v>26.227227022402655</v>
      </c>
      <c r="E79" s="232">
        <f>'5K'!$E79*(1-$K$2)+'10K'!$E79*$K$2</f>
        <v>0.6405557089832582</v>
      </c>
    </row>
    <row r="80" spans="1:5">
      <c r="A80" s="210">
        <v>74</v>
      </c>
      <c r="B80" s="234"/>
      <c r="C80" s="217"/>
      <c r="D80" s="217">
        <f t="shared" si="2"/>
        <v>26.632716205763092</v>
      </c>
      <c r="E80" s="232">
        <f>'5K'!$E80*(1-$K$2)+'10K'!$E80*$K$2</f>
        <v>0.63080310210209145</v>
      </c>
    </row>
    <row r="81" spans="1:5">
      <c r="A81" s="210">
        <v>75</v>
      </c>
      <c r="B81" s="234"/>
      <c r="C81" s="217"/>
      <c r="D81" s="217">
        <f t="shared" si="2"/>
        <v>27.052086251001029</v>
      </c>
      <c r="E81" s="232">
        <f>'5K'!$E81*(1-$K$2)+'10K'!$E81*$K$2</f>
        <v>0.62102419178034141</v>
      </c>
    </row>
    <row r="82" spans="1:5">
      <c r="A82" s="210">
        <v>76</v>
      </c>
      <c r="B82" s="234"/>
      <c r="C82" s="217"/>
      <c r="D82" s="217">
        <f t="shared" si="2"/>
        <v>27.491738485684415</v>
      </c>
      <c r="E82" s="232">
        <f>'5K'!$E82*(1-$K$2)+'10K'!$E82*$K$2</f>
        <v>0.61109267457742444</v>
      </c>
    </row>
    <row r="83" spans="1:5">
      <c r="A83" s="210">
        <v>77</v>
      </c>
      <c r="B83" s="234"/>
      <c r="C83" s="217"/>
      <c r="D83" s="217">
        <f t="shared" si="2"/>
        <v>27.952274918957013</v>
      </c>
      <c r="E83" s="232">
        <f>'5K'!$E83*(1-$K$2)+'10K'!$E83*$K$2</f>
        <v>0.60102442640925702</v>
      </c>
    </row>
    <row r="84" spans="1:5">
      <c r="A84" s="210">
        <v>78</v>
      </c>
      <c r="B84" s="234"/>
      <c r="C84" s="217"/>
      <c r="D84" s="217">
        <f t="shared" si="2"/>
        <v>28.455112426409002</v>
      </c>
      <c r="E84" s="232">
        <f>'5K'!$E84*(1-$K$2)+'10K'!$E84*$K$2</f>
        <v>0.59040357135992305</v>
      </c>
    </row>
    <row r="85" spans="1:5">
      <c r="A85" s="210">
        <v>79</v>
      </c>
      <c r="B85" s="234"/>
      <c r="C85" s="217"/>
      <c r="D85" s="217">
        <f t="shared" si="2"/>
        <v>29.016410208327919</v>
      </c>
      <c r="E85" s="232">
        <f>'5K'!$E85*(1-$K$2)+'10K'!$E85*$K$2</f>
        <v>0.57898271631058895</v>
      </c>
    </row>
    <row r="86" spans="1:5">
      <c r="A86" s="210">
        <v>80</v>
      </c>
      <c r="B86" s="234"/>
      <c r="C86" s="217"/>
      <c r="D86" s="217">
        <f t="shared" si="2"/>
        <v>29.642079236972272</v>
      </c>
      <c r="E86" s="232">
        <f>'5K'!$E86*(1-$K$2)+'10K'!$E86*$K$2</f>
        <v>0.56676186126125483</v>
      </c>
    </row>
    <row r="87" spans="1:5">
      <c r="A87" s="210">
        <v>81</v>
      </c>
      <c r="B87" s="234"/>
      <c r="C87" s="217"/>
      <c r="D87" s="217">
        <f t="shared" si="2"/>
        <v>30.333615264254515</v>
      </c>
      <c r="E87" s="232">
        <f>'5K'!$E87*(1-$K$2)+'10K'!$E87*$K$2</f>
        <v>0.55384100621192078</v>
      </c>
    </row>
    <row r="88" spans="1:5">
      <c r="A88" s="210">
        <v>82</v>
      </c>
      <c r="B88" s="234"/>
      <c r="C88" s="217"/>
      <c r="D88" s="217">
        <f t="shared" si="2"/>
        <v>31.104190361790209</v>
      </c>
      <c r="E88" s="232">
        <f>'5K'!$E88*(1-$K$2)+'10K'!$E88*$K$2</f>
        <v>0.54012015116258671</v>
      </c>
    </row>
    <row r="89" spans="1:5">
      <c r="A89" s="210">
        <v>83</v>
      </c>
      <c r="B89" s="234"/>
      <c r="C89" s="217"/>
      <c r="D89" s="217">
        <f t="shared" si="2"/>
        <v>31.957432935920718</v>
      </c>
      <c r="E89" s="232">
        <f>'5K'!$E89*(1-$K$2)+'10K'!$E89*$K$2</f>
        <v>0.52569929611325272</v>
      </c>
    </row>
    <row r="90" spans="1:5">
      <c r="A90" s="210">
        <v>84</v>
      </c>
      <c r="B90" s="234"/>
      <c r="C90" s="217"/>
      <c r="D90" s="217">
        <f t="shared" si="2"/>
        <v>32.910302666232333</v>
      </c>
      <c r="E90" s="232">
        <f>'5K'!$E90*(1-$K$2)+'10K'!$E90*$K$2</f>
        <v>0.51047844106391849</v>
      </c>
    </row>
    <row r="91" spans="1:5">
      <c r="A91" s="210">
        <v>85</v>
      </c>
      <c r="B91" s="234"/>
      <c r="C91" s="217"/>
      <c r="D91" s="217">
        <f t="shared" si="2"/>
        <v>33.976625043638151</v>
      </c>
      <c r="E91" s="232">
        <f>'5K'!$E91*(1-$K$2)+'10K'!$E91*$K$2</f>
        <v>0.49445758601458456</v>
      </c>
    </row>
    <row r="92" spans="1:5">
      <c r="A92" s="210">
        <v>86</v>
      </c>
      <c r="B92" s="234"/>
      <c r="C92" s="217"/>
      <c r="D92" s="217">
        <f t="shared" si="2"/>
        <v>35.165811860553795</v>
      </c>
      <c r="E92" s="232">
        <f>'5K'!$E92*(1-$K$2)+'10K'!$E92*$K$2</f>
        <v>0.47773673096525038</v>
      </c>
    </row>
    <row r="93" spans="1:5">
      <c r="A93" s="210">
        <v>87</v>
      </c>
      <c r="B93" s="234"/>
      <c r="C93" s="217"/>
      <c r="D93" s="217">
        <f t="shared" si="2"/>
        <v>36.504607683437328</v>
      </c>
      <c r="E93" s="232">
        <f>'5K'!$E93*(1-$K$2)+'10K'!$E93*$K$2</f>
        <v>0.46021587591591634</v>
      </c>
    </row>
    <row r="94" spans="1:5">
      <c r="A94" s="210">
        <v>88</v>
      </c>
      <c r="B94" s="234"/>
      <c r="C94" s="217"/>
      <c r="D94" s="217">
        <f t="shared" si="2"/>
        <v>38.009477950818678</v>
      </c>
      <c r="E94" s="232">
        <f>'5K'!$E94*(1-$K$2)+'10K'!$E94*$K$2</f>
        <v>0.44199502086658232</v>
      </c>
    </row>
    <row r="95" spans="1:5">
      <c r="A95" s="210">
        <v>89</v>
      </c>
      <c r="B95" s="234"/>
      <c r="C95" s="217"/>
      <c r="D95" s="217">
        <f t="shared" si="2"/>
        <v>39.718737827734543</v>
      </c>
      <c r="E95" s="232">
        <f>'5K'!$E95*(1-$K$2)+'10K'!$E95*$K$2</f>
        <v>0.42297416581724823</v>
      </c>
    </row>
    <row r="96" spans="1:5">
      <c r="A96" s="210">
        <v>90</v>
      </c>
      <c r="B96" s="234"/>
      <c r="C96" s="217"/>
      <c r="D96" s="217">
        <f t="shared" si="2"/>
        <v>41.671492088208012</v>
      </c>
      <c r="E96" s="232">
        <f>'5K'!$E96*(1-$K$2)+'10K'!$E96*$K$2</f>
        <v>0.40315331076791416</v>
      </c>
    </row>
    <row r="97" spans="1:5">
      <c r="A97" s="210">
        <v>91</v>
      </c>
      <c r="B97" s="234"/>
      <c r="C97" s="217"/>
      <c r="D97" s="217">
        <f t="shared" si="2"/>
        <v>43.906364316246417</v>
      </c>
      <c r="E97" s="232">
        <f>'5K'!$E97*(1-$K$2)+'10K'!$E97*$K$2</f>
        <v>0.38263245571858007</v>
      </c>
    </row>
    <row r="98" spans="1:5">
      <c r="A98" s="210">
        <v>92</v>
      </c>
      <c r="B98" s="234"/>
      <c r="C98" s="217"/>
      <c r="D98" s="217">
        <f t="shared" si="2"/>
        <v>46.497261557287104</v>
      </c>
      <c r="E98" s="232">
        <f>'5K'!$E98*(1-$K$2)+'10K'!$E98*$K$2</f>
        <v>0.361311600669246</v>
      </c>
    </row>
    <row r="99" spans="1:5">
      <c r="A99" s="210">
        <v>93</v>
      </c>
      <c r="B99" s="234"/>
      <c r="C99" s="217"/>
      <c r="D99" s="217">
        <f t="shared" si="2"/>
        <v>49.525812592644542</v>
      </c>
      <c r="E99" s="232">
        <f>'5K'!$E99*(1-$K$2)+'10K'!$E99*$K$2</f>
        <v>0.33921704906049532</v>
      </c>
    </row>
    <row r="100" spans="1:5">
      <c r="A100" s="210">
        <v>94</v>
      </c>
      <c r="C100" s="217"/>
      <c r="D100" s="217">
        <f t="shared" si="2"/>
        <v>53.09798385061282</v>
      </c>
      <c r="E100" s="232">
        <f>'5K'!$E100*(1-$K$2)+'10K'!$E100*$K$2</f>
        <v>0.31639619401116126</v>
      </c>
    </row>
    <row r="101" spans="1:5">
      <c r="A101" s="210">
        <v>95</v>
      </c>
      <c r="B101" s="234"/>
      <c r="C101" s="217"/>
      <c r="D101" s="217">
        <f t="shared" si="2"/>
        <v>57.367441795044932</v>
      </c>
      <c r="E101" s="232">
        <f>'5K'!$E101*(1-$K$2)+'10K'!$E101*$K$2</f>
        <v>0.29284903552124381</v>
      </c>
    </row>
    <row r="102" spans="1:5">
      <c r="A102" s="210">
        <v>96</v>
      </c>
      <c r="C102" s="217"/>
      <c r="D102" s="217">
        <f t="shared" si="2"/>
        <v>62.563266061967077</v>
      </c>
      <c r="E102" s="232">
        <f>'5K'!$E102*(1-$K$2)+'10K'!$E102*$K$2</f>
        <v>0.26852818047190974</v>
      </c>
    </row>
    <row r="103" spans="1:5">
      <c r="A103" s="210">
        <v>97</v>
      </c>
      <c r="C103" s="217"/>
      <c r="D103" s="217">
        <f t="shared" si="2"/>
        <v>69.020108457433579</v>
      </c>
      <c r="E103" s="232">
        <f>'5K'!$E103*(1-$K$2)+'10K'!$E103*$K$2</f>
        <v>0.24340732542257565</v>
      </c>
    </row>
    <row r="104" spans="1:5">
      <c r="A104" s="210">
        <v>98</v>
      </c>
      <c r="C104" s="217"/>
      <c r="D104" s="217">
        <f t="shared" si="2"/>
        <v>77.236843176757858</v>
      </c>
      <c r="E104" s="232">
        <f>'5K'!$E104*(1-$K$2)+'10K'!$E104*$K$2</f>
        <v>0.21751277381382494</v>
      </c>
    </row>
    <row r="105" spans="1:5">
      <c r="A105" s="210">
        <v>99</v>
      </c>
      <c r="C105" s="217"/>
      <c r="D105" s="217">
        <f t="shared" si="2"/>
        <v>88.007916253001085</v>
      </c>
      <c r="E105" s="232">
        <f>'5K'!$E105*(1-$K$2)+'10K'!$E105*$K$2</f>
        <v>0.19089191876449088</v>
      </c>
    </row>
    <row r="106" spans="1:5">
      <c r="A106" s="210">
        <v>100</v>
      </c>
      <c r="D106" s="217">
        <f>E$4/E106</f>
        <v>102.72417148549836</v>
      </c>
      <c r="E106" s="232">
        <f>'5K'!$E106*(1-$K$2)+'10K'!$E106*$K$2</f>
        <v>0.16354476027457343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0"/>
    <col min="6" max="6" width="11.21875" style="210" customWidth="1"/>
    <col min="7" max="7" width="11.5546875" style="210" customWidth="1"/>
    <col min="8" max="16384" width="9.6640625" style="210"/>
  </cols>
  <sheetData>
    <row r="1" spans="1:11" ht="31.5">
      <c r="A1" s="206" t="s">
        <v>61</v>
      </c>
      <c r="B1" s="207"/>
      <c r="C1" s="208"/>
      <c r="D1" s="209" t="s">
        <v>32</v>
      </c>
      <c r="E1" s="209" t="s">
        <v>54</v>
      </c>
      <c r="F1" s="209"/>
      <c r="G1" s="209"/>
      <c r="H1" s="209"/>
      <c r="I1" s="209"/>
      <c r="K1" s="207" t="s">
        <v>2090</v>
      </c>
    </row>
    <row r="2" spans="1:11" ht="18" customHeight="1">
      <c r="A2" s="206"/>
      <c r="B2" s="207"/>
      <c r="C2" s="208"/>
      <c r="D2" s="209"/>
      <c r="E2" s="209"/>
      <c r="F2" s="205"/>
      <c r="G2" s="431"/>
      <c r="H2" s="211"/>
      <c r="I2" s="211"/>
      <c r="K2" s="207">
        <f>Parameters!M18</f>
        <v>0.36454464264023895</v>
      </c>
    </row>
    <row r="3" spans="1:11" ht="14.25" customHeight="1">
      <c r="A3" s="206"/>
      <c r="B3" s="207"/>
      <c r="C3" s="208"/>
      <c r="D3" s="209"/>
      <c r="E3" s="209"/>
      <c r="F3" s="205"/>
      <c r="G3" s="431"/>
      <c r="H3" s="212"/>
      <c r="I3" s="213"/>
    </row>
    <row r="4" spans="1:11" ht="15.75">
      <c r="A4" s="207"/>
      <c r="B4" s="207"/>
      <c r="C4" s="207"/>
      <c r="D4" s="214">
        <f>Parameters!G18</f>
        <v>1.2581018518518519E-2</v>
      </c>
      <c r="E4" s="215">
        <f>D4*1440</f>
        <v>18.116666666666667</v>
      </c>
      <c r="F4" s="216"/>
      <c r="G4" s="205"/>
      <c r="H4" s="212"/>
      <c r="I4" s="213"/>
    </row>
    <row r="5" spans="1:11" ht="15.75">
      <c r="A5" s="207"/>
      <c r="B5" s="207"/>
      <c r="C5" s="207"/>
      <c r="D5" s="214"/>
      <c r="E5" s="207">
        <f>E4*60</f>
        <v>1087</v>
      </c>
      <c r="F5" s="216"/>
      <c r="G5" s="205"/>
      <c r="H5" s="212"/>
      <c r="I5" s="213"/>
    </row>
    <row r="6" spans="1:11" ht="47.25">
      <c r="A6" s="218" t="s">
        <v>52</v>
      </c>
      <c r="B6" s="218" t="s">
        <v>32</v>
      </c>
      <c r="C6" s="218" t="s">
        <v>53</v>
      </c>
      <c r="D6" s="218" t="s">
        <v>2264</v>
      </c>
      <c r="E6" s="218" t="s">
        <v>2263</v>
      </c>
      <c r="G6" s="310"/>
    </row>
    <row r="7" spans="1:11">
      <c r="A7" s="210">
        <v>1</v>
      </c>
    </row>
    <row r="8" spans="1:11">
      <c r="A8" s="210">
        <v>2</v>
      </c>
    </row>
    <row r="9" spans="1:11">
      <c r="A9" s="210">
        <v>3</v>
      </c>
      <c r="B9" s="231"/>
      <c r="C9" s="217"/>
      <c r="D9" s="217"/>
      <c r="E9" s="232">
        <f>'5K'!$E9*(1-$K$2)+'10K'!$E9*$K$2</f>
        <v>0.61871909821623783</v>
      </c>
      <c r="G9" s="311"/>
    </row>
    <row r="10" spans="1:11">
      <c r="A10" s="210">
        <v>4</v>
      </c>
      <c r="B10" s="234"/>
      <c r="C10" s="217"/>
      <c r="D10" s="217">
        <f t="shared" ref="D10:D41" si="0">E$4/E10</f>
        <v>27.686584929410582</v>
      </c>
      <c r="E10" s="232">
        <f>'5K'!$E10*(1-$K$2)+'10K'!$E10*$K$2</f>
        <v>0.65434818750151835</v>
      </c>
      <c r="G10" s="311"/>
    </row>
    <row r="11" spans="1:11">
      <c r="A11" s="210">
        <v>5</v>
      </c>
      <c r="B11" s="234"/>
      <c r="C11" s="217"/>
      <c r="D11" s="217">
        <f t="shared" si="0"/>
        <v>26.318290428939683</v>
      </c>
      <c r="E11" s="232">
        <f>'5K'!$E11*(1-$K$2)+'10K'!$E11*$K$2</f>
        <v>0.68836791339400671</v>
      </c>
      <c r="G11" s="311"/>
    </row>
    <row r="12" spans="1:11">
      <c r="A12" s="210">
        <v>6</v>
      </c>
      <c r="B12" s="234"/>
      <c r="C12" s="217"/>
      <c r="D12" s="217">
        <f t="shared" si="0"/>
        <v>25.134867784692261</v>
      </c>
      <c r="E12" s="232">
        <f>'5K'!$E12*(1-$K$2)+'10K'!$E12*$K$2</f>
        <v>0.72077827589370302</v>
      </c>
      <c r="G12" s="311"/>
    </row>
    <row r="13" spans="1:11">
      <c r="A13" s="210">
        <v>7</v>
      </c>
      <c r="B13" s="234"/>
      <c r="C13" s="217"/>
      <c r="D13" s="217">
        <f t="shared" si="0"/>
        <v>24.102760209615671</v>
      </c>
      <c r="E13" s="232">
        <f>'5K'!$E13*(1-$K$2)+'10K'!$E13*$K$2</f>
        <v>0.75164282053634324</v>
      </c>
      <c r="F13" s="1"/>
      <c r="G13" s="311"/>
    </row>
    <row r="14" spans="1:11">
      <c r="A14" s="210">
        <v>8</v>
      </c>
      <c r="B14" s="234"/>
      <c r="C14" s="217"/>
      <c r="D14" s="217">
        <f t="shared" si="0"/>
        <v>23.202757467644769</v>
      </c>
      <c r="E14" s="232">
        <f>'5K'!$E14*(1-$K$2)+'10K'!$E14*$K$2</f>
        <v>0.78079800178619141</v>
      </c>
      <c r="G14" s="311"/>
    </row>
    <row r="15" spans="1:11">
      <c r="A15" s="210">
        <v>9</v>
      </c>
      <c r="B15" s="234"/>
      <c r="C15" s="217"/>
      <c r="D15" s="217">
        <f t="shared" si="0"/>
        <v>22.410318667316432</v>
      </c>
      <c r="E15" s="232">
        <f>'5K'!$E15*(1-$K$2)+'10K'!$E15*$K$2</f>
        <v>0.80840736517898359</v>
      </c>
      <c r="G15" s="311"/>
    </row>
    <row r="16" spans="1:11">
      <c r="A16" s="210">
        <v>10</v>
      </c>
      <c r="B16" s="234"/>
      <c r="C16" s="217"/>
      <c r="D16" s="217">
        <f t="shared" si="0"/>
        <v>21.711068187205395</v>
      </c>
      <c r="E16" s="232">
        <f>'5K'!$E16*(1-$K$2)+'10K'!$E16*$K$2</f>
        <v>0.83444381964324754</v>
      </c>
      <c r="G16" s="311"/>
    </row>
    <row r="17" spans="1:7">
      <c r="A17" s="210">
        <v>11</v>
      </c>
      <c r="B17" s="234"/>
      <c r="C17" s="217"/>
      <c r="D17" s="217">
        <f t="shared" si="0"/>
        <v>21.095375896294922</v>
      </c>
      <c r="E17" s="232">
        <f>'5K'!$E17*(1-$K$2)+'10K'!$E17*$K$2</f>
        <v>0.85879800178619148</v>
      </c>
      <c r="G17" s="311"/>
    </row>
    <row r="18" spans="1:7">
      <c r="A18" s="210">
        <v>12</v>
      </c>
      <c r="B18" s="234"/>
      <c r="C18" s="217"/>
      <c r="D18" s="217">
        <f t="shared" si="0"/>
        <v>20.548759933921403</v>
      </c>
      <c r="E18" s="232">
        <f>'5K'!$E18*(1-$K$2)+'10K'!$E18*$K$2</f>
        <v>0.88164282053634324</v>
      </c>
      <c r="G18" s="311"/>
    </row>
    <row r="19" spans="1:7">
      <c r="A19" s="210">
        <v>13</v>
      </c>
      <c r="B19" s="234"/>
      <c r="C19" s="217"/>
      <c r="D19" s="217">
        <f t="shared" si="0"/>
        <v>20.066870928749012</v>
      </c>
      <c r="E19" s="232">
        <f>'5K'!$E19*(1-$K$2)+'10K'!$E19*$K$2</f>
        <v>0.902814730357967</v>
      </c>
      <c r="G19" s="311"/>
    </row>
    <row r="20" spans="1:7">
      <c r="A20" s="210">
        <v>14</v>
      </c>
      <c r="B20" s="234"/>
      <c r="C20" s="217"/>
      <c r="D20" s="217">
        <f t="shared" si="0"/>
        <v>19.640699131479316</v>
      </c>
      <c r="E20" s="232">
        <f>'5K'!$E20*(1-$K$2)+'10K'!$E20*$K$2</f>
        <v>0.92240436785827074</v>
      </c>
      <c r="G20" s="311"/>
    </row>
    <row r="21" spans="1:7">
      <c r="A21" s="210">
        <v>15</v>
      </c>
      <c r="B21" s="234"/>
      <c r="C21" s="217"/>
      <c r="D21" s="217">
        <f t="shared" si="0"/>
        <v>19.259960573956285</v>
      </c>
      <c r="E21" s="232">
        <f>'5K'!$E21*(1-$K$2)+'10K'!$E21*$K$2</f>
        <v>0.94063882410872623</v>
      </c>
      <c r="G21" s="311"/>
    </row>
    <row r="22" spans="1:7">
      <c r="A22" s="210">
        <v>16</v>
      </c>
      <c r="B22" s="234"/>
      <c r="C22" s="217"/>
      <c r="D22" s="217">
        <f t="shared" si="0"/>
        <v>18.901422648918185</v>
      </c>
      <c r="E22" s="232">
        <f>'5K'!$E22*(1-$K$2)+'10K'!$E22*$K$2</f>
        <v>0.95848164464506946</v>
      </c>
      <c r="G22" s="311"/>
    </row>
    <row r="23" spans="1:7">
      <c r="A23" s="210">
        <v>17</v>
      </c>
      <c r="B23" s="234"/>
      <c r="C23" s="217"/>
      <c r="D23" s="217">
        <f t="shared" si="0"/>
        <v>18.555989645614762</v>
      </c>
      <c r="E23" s="232">
        <f>'5K'!$E23*(1-$K$2)+'10K'!$E23*$K$2</f>
        <v>0.9763244651814128</v>
      </c>
      <c r="G23" s="311"/>
    </row>
    <row r="24" spans="1:7">
      <c r="A24" s="210">
        <v>18</v>
      </c>
      <c r="B24" s="234"/>
      <c r="C24" s="217"/>
      <c r="D24" s="217">
        <f t="shared" si="0"/>
        <v>18.291320309704346</v>
      </c>
      <c r="E24" s="232">
        <f>'5K'!$E24*(1-$K$2)+'10K'!$E24*$K$2</f>
        <v>0.99045155625288472</v>
      </c>
      <c r="G24" s="311"/>
    </row>
    <row r="25" spans="1:7">
      <c r="A25" s="210">
        <v>19</v>
      </c>
      <c r="B25" s="234"/>
      <c r="C25" s="217"/>
      <c r="D25" s="217">
        <f t="shared" si="0"/>
        <v>18.169655872321641</v>
      </c>
      <c r="E25" s="232">
        <f>'5K'!$E25*(1-$K$2)+'10K'!$E25*$K$2</f>
        <v>0.99708364285887807</v>
      </c>
      <c r="G25" s="311"/>
    </row>
    <row r="26" spans="1:7">
      <c r="A26" s="210">
        <v>20</v>
      </c>
      <c r="B26" s="234"/>
      <c r="C26" s="217"/>
      <c r="D26" s="217">
        <f t="shared" si="0"/>
        <v>18.129884971542786</v>
      </c>
      <c r="E26" s="232">
        <f>'5K'!$E26*(1-$K$2)+'10K'!$E26*$K$2</f>
        <v>0.99927091071471952</v>
      </c>
    </row>
    <row r="27" spans="1:7">
      <c r="A27" s="210">
        <v>21</v>
      </c>
      <c r="B27" s="234"/>
      <c r="C27" s="217"/>
      <c r="D27" s="217">
        <f t="shared" si="0"/>
        <v>18.116666666666667</v>
      </c>
      <c r="E27" s="232">
        <f>'5K'!$E27*(1-$K$2)+'10K'!$E27*$K$2</f>
        <v>1</v>
      </c>
    </row>
    <row r="28" spans="1:7">
      <c r="A28" s="210">
        <v>22</v>
      </c>
      <c r="B28" s="234"/>
      <c r="C28" s="217"/>
      <c r="D28" s="217">
        <f t="shared" si="0"/>
        <v>18.116666666666667</v>
      </c>
      <c r="E28" s="232">
        <f>'5K'!$E28*(1-$K$2)+'10K'!$E28*$K$2</f>
        <v>1</v>
      </c>
    </row>
    <row r="29" spans="1:7">
      <c r="A29" s="210">
        <v>23</v>
      </c>
      <c r="B29" s="234"/>
      <c r="C29" s="217"/>
      <c r="D29" s="217">
        <f t="shared" si="0"/>
        <v>18.116666666666667</v>
      </c>
      <c r="E29" s="232">
        <f>'5K'!$E29*(1-$K$2)+'10K'!$E29*$K$2</f>
        <v>1</v>
      </c>
    </row>
    <row r="30" spans="1:7">
      <c r="A30" s="210">
        <v>24</v>
      </c>
      <c r="B30" s="234"/>
      <c r="C30" s="217"/>
      <c r="D30" s="217">
        <f t="shared" si="0"/>
        <v>18.116666666666667</v>
      </c>
      <c r="E30" s="232">
        <f>'5K'!$E30*(1-$K$2)+'10K'!$E30*$K$2</f>
        <v>1</v>
      </c>
    </row>
    <row r="31" spans="1:7">
      <c r="A31" s="210">
        <v>25</v>
      </c>
      <c r="B31" s="234"/>
      <c r="C31" s="217"/>
      <c r="D31" s="217">
        <f t="shared" si="0"/>
        <v>18.116666666666667</v>
      </c>
      <c r="E31" s="232">
        <f>'5K'!$E31*(1-$K$2)+'10K'!$E31*$K$2</f>
        <v>1</v>
      </c>
    </row>
    <row r="32" spans="1:7">
      <c r="A32" s="210">
        <v>26</v>
      </c>
      <c r="B32" s="234"/>
      <c r="C32" s="217"/>
      <c r="D32" s="217">
        <f t="shared" si="0"/>
        <v>18.116666666666667</v>
      </c>
      <c r="E32" s="232">
        <f>'5K'!$E32*(1-$K$2)+'10K'!$E32*$K$2</f>
        <v>1</v>
      </c>
    </row>
    <row r="33" spans="1:7">
      <c r="A33" s="210">
        <v>27</v>
      </c>
      <c r="B33" s="234"/>
      <c r="C33" s="217"/>
      <c r="D33" s="217">
        <f t="shared" si="0"/>
        <v>18.120121025061081</v>
      </c>
      <c r="E33" s="232">
        <f>'5K'!$E33*(1-$K$2)+'10K'!$E33*$K$2</f>
        <v>0.99980936339279203</v>
      </c>
      <c r="G33" s="311"/>
    </row>
    <row r="34" spans="1:7">
      <c r="A34" s="210">
        <v>28</v>
      </c>
      <c r="B34" s="234"/>
      <c r="C34" s="217"/>
      <c r="D34" s="217">
        <f t="shared" si="0"/>
        <v>18.129508963336978</v>
      </c>
      <c r="E34" s="232">
        <f>'5K'!$E34*(1-$K$2)+'10K'!$E34*$K$2</f>
        <v>0.99929163571411217</v>
      </c>
    </row>
    <row r="35" spans="1:7">
      <c r="A35" s="210">
        <v>29</v>
      </c>
      <c r="B35" s="234"/>
      <c r="C35" s="217"/>
      <c r="D35" s="217">
        <f t="shared" si="0"/>
        <v>18.149147060845284</v>
      </c>
      <c r="E35" s="232">
        <f>'5K'!$E35*(1-$K$2)+'10K'!$E35*$K$2</f>
        <v>0.9982103624996963</v>
      </c>
    </row>
    <row r="36" spans="1:7">
      <c r="A36" s="210">
        <v>30</v>
      </c>
      <c r="B36" s="234"/>
      <c r="C36" s="217"/>
      <c r="D36" s="217">
        <f t="shared" si="0"/>
        <v>18.177278004926464</v>
      </c>
      <c r="E36" s="232">
        <f>'5K'!$E36*(1-$K$2)+'10K'!$E36*$K$2</f>
        <v>0.99666554374954441</v>
      </c>
    </row>
    <row r="37" spans="1:7">
      <c r="A37" s="210">
        <v>31</v>
      </c>
      <c r="B37" s="234"/>
      <c r="C37" s="217"/>
      <c r="D37" s="217">
        <f t="shared" si="0"/>
        <v>18.214648268743577</v>
      </c>
      <c r="E37" s="232">
        <f>'5K'!$E37*(1-$K$2)+'10K'!$E37*$K$2</f>
        <v>0.99462072499939258</v>
      </c>
    </row>
    <row r="38" spans="1:7">
      <c r="A38" s="210">
        <v>32</v>
      </c>
      <c r="B38" s="234"/>
      <c r="C38" s="217"/>
      <c r="D38" s="217">
        <f t="shared" si="0"/>
        <v>18.260700485212752</v>
      </c>
      <c r="E38" s="232">
        <f>'5K'!$E38*(1-$K$2)+'10K'!$E38*$K$2</f>
        <v>0.99211236071350484</v>
      </c>
    </row>
    <row r="39" spans="1:7">
      <c r="A39" s="210">
        <v>33</v>
      </c>
      <c r="B39" s="234"/>
      <c r="C39" s="217"/>
      <c r="D39" s="217">
        <f t="shared" si="0"/>
        <v>18.315565449104181</v>
      </c>
      <c r="E39" s="232">
        <f>'5K'!$E39*(1-$K$2)+'10K'!$E39*$K$2</f>
        <v>0.98914045089188107</v>
      </c>
    </row>
    <row r="40" spans="1:7">
      <c r="A40" s="210">
        <v>34</v>
      </c>
      <c r="B40" s="234"/>
      <c r="C40" s="217"/>
      <c r="D40" s="217">
        <f t="shared" si="0"/>
        <v>18.381265059276096</v>
      </c>
      <c r="E40" s="232">
        <f>'5K'!$E40*(1-$K$2)+'10K'!$E40*$K$2</f>
        <v>0.98560499553452119</v>
      </c>
    </row>
    <row r="41" spans="1:7">
      <c r="A41" s="210">
        <v>35</v>
      </c>
      <c r="B41" s="234"/>
      <c r="C41" s="217"/>
      <c r="D41" s="217">
        <f t="shared" si="0"/>
        <v>18.455639821379584</v>
      </c>
      <c r="E41" s="232">
        <f>'5K'!$E41*(1-$K$2)+'10K'!$E41*$K$2</f>
        <v>0.98163308571289742</v>
      </c>
    </row>
    <row r="42" spans="1:7">
      <c r="A42" s="210">
        <v>36</v>
      </c>
      <c r="B42" s="234"/>
      <c r="C42" s="217"/>
      <c r="D42" s="217">
        <f t="shared" ref="D42:D73" si="1">E$4/E42</f>
        <v>18.540614791886675</v>
      </c>
      <c r="E42" s="232">
        <f>'5K'!$E42*(1-$K$2)+'10K'!$E42*$K$2</f>
        <v>0.9771340848198018</v>
      </c>
    </row>
    <row r="43" spans="1:7">
      <c r="A43" s="210">
        <v>37</v>
      </c>
      <c r="B43" s="234"/>
      <c r="C43" s="217"/>
      <c r="D43" s="217">
        <f t="shared" si="1"/>
        <v>18.634039201194298</v>
      </c>
      <c r="E43" s="232">
        <f>'5K'!$E43*(1-$K$2)+'10K'!$E43*$K$2</f>
        <v>0.97223508392670599</v>
      </c>
    </row>
    <row r="44" spans="1:7">
      <c r="A44" s="210">
        <v>38</v>
      </c>
      <c r="B44" s="234"/>
      <c r="C44" s="217"/>
      <c r="D44" s="217">
        <f t="shared" si="1"/>
        <v>18.739326950220182</v>
      </c>
      <c r="E44" s="232">
        <f>'5K'!$E44*(1-$K$2)+'10K'!$E44*$K$2</f>
        <v>0.96677253749787428</v>
      </c>
    </row>
    <row r="45" spans="1:7">
      <c r="A45" s="210">
        <v>39</v>
      </c>
      <c r="B45" s="234"/>
      <c r="C45" s="217"/>
      <c r="D45" s="217">
        <f t="shared" si="1"/>
        <v>18.854903143874591</v>
      </c>
      <c r="E45" s="232">
        <f>'5K'!$E45*(1-$K$2)+'10K'!$E45*$K$2</f>
        <v>0.96084644553330656</v>
      </c>
    </row>
    <row r="46" spans="1:7">
      <c r="A46" s="210">
        <v>40</v>
      </c>
      <c r="B46" s="234"/>
      <c r="C46" s="217"/>
      <c r="D46" s="217">
        <f t="shared" si="1"/>
        <v>18.981852806182715</v>
      </c>
      <c r="E46" s="232">
        <f>'5K'!$E46*(1-$K$2)+'10K'!$E46*$K$2</f>
        <v>0.95442035356873889</v>
      </c>
    </row>
    <row r="47" spans="1:7">
      <c r="A47" s="210">
        <v>41</v>
      </c>
      <c r="B47" s="234"/>
      <c r="C47" s="217"/>
      <c r="D47" s="217">
        <f t="shared" si="1"/>
        <v>19.11987269588229</v>
      </c>
      <c r="E47" s="232">
        <f>'5K'!$E47*(1-$K$2)+'10K'!$E47*$K$2</f>
        <v>0.9475307160684352</v>
      </c>
    </row>
    <row r="48" spans="1:7">
      <c r="A48" s="210">
        <v>42</v>
      </c>
      <c r="B48" s="234"/>
      <c r="C48" s="217"/>
      <c r="D48" s="217">
        <f t="shared" si="1"/>
        <v>19.26941032959402</v>
      </c>
      <c r="E48" s="232">
        <f>'5K'!$E48*(1-$K$2)+'10K'!$E48*$K$2</f>
        <v>0.9401775330323956</v>
      </c>
    </row>
    <row r="49" spans="1:5">
      <c r="A49" s="210">
        <v>43</v>
      </c>
      <c r="B49" s="234"/>
      <c r="C49" s="217"/>
      <c r="D49" s="217">
        <f t="shared" si="1"/>
        <v>19.432480839330001</v>
      </c>
      <c r="E49" s="232">
        <f>'5K'!$E49*(1-$K$2)+'10K'!$E49*$K$2</f>
        <v>0.9322878955320919</v>
      </c>
    </row>
    <row r="50" spans="1:5">
      <c r="A50" s="210">
        <v>44</v>
      </c>
      <c r="B50" s="234"/>
      <c r="C50" s="217"/>
      <c r="D50" s="217">
        <f t="shared" si="1"/>
        <v>19.608742526371238</v>
      </c>
      <c r="E50" s="232">
        <f>'5K'!$E50*(1-$K$2)+'10K'!$E50*$K$2</f>
        <v>0.92390762142458038</v>
      </c>
    </row>
    <row r="51" spans="1:5">
      <c r="A51" s="210">
        <v>45</v>
      </c>
      <c r="B51" s="234"/>
      <c r="C51" s="217"/>
      <c r="D51" s="217">
        <f t="shared" si="1"/>
        <v>19.797669071088428</v>
      </c>
      <c r="E51" s="232">
        <f>'5K'!$E51*(1-$K$2)+'10K'!$E51*$K$2</f>
        <v>0.91509089285280476</v>
      </c>
    </row>
    <row r="52" spans="1:5">
      <c r="A52" s="210">
        <v>46</v>
      </c>
      <c r="B52" s="234"/>
      <c r="C52" s="217"/>
      <c r="D52" s="217">
        <f t="shared" si="1"/>
        <v>19.999903371577837</v>
      </c>
      <c r="E52" s="232">
        <f>'5K'!$E52*(1-$K$2)+'10K'!$E52*$K$2</f>
        <v>0.90583770981676515</v>
      </c>
    </row>
    <row r="53" spans="1:5">
      <c r="A53" s="210">
        <v>47</v>
      </c>
      <c r="B53" s="234"/>
      <c r="C53" s="217"/>
      <c r="D53" s="217">
        <f t="shared" si="1"/>
        <v>20.207344631462092</v>
      </c>
      <c r="E53" s="232">
        <f>'5K'!$E53*(1-$K$2)+'10K'!$E53*$K$2</f>
        <v>0.89653870892366938</v>
      </c>
    </row>
    <row r="54" spans="1:5">
      <c r="A54" s="210">
        <v>48</v>
      </c>
      <c r="B54" s="234"/>
      <c r="C54" s="217"/>
      <c r="D54" s="217">
        <f t="shared" si="1"/>
        <v>20.424169269636433</v>
      </c>
      <c r="E54" s="232">
        <f>'5K'!$E54*(1-$K$2)+'10K'!$E54*$K$2</f>
        <v>0.8870209812449894</v>
      </c>
    </row>
    <row r="55" spans="1:5">
      <c r="A55" s="210">
        <v>49</v>
      </c>
      <c r="B55" s="234"/>
      <c r="C55" s="217"/>
      <c r="D55" s="217">
        <f t="shared" si="1"/>
        <v>20.649128769303928</v>
      </c>
      <c r="E55" s="232">
        <f>'5K'!$E55*(1-$K$2)+'10K'!$E55*$K$2</f>
        <v>0.87735743570925351</v>
      </c>
    </row>
    <row r="56" spans="1:5">
      <c r="A56" s="210">
        <v>50</v>
      </c>
      <c r="B56" s="234"/>
      <c r="C56" s="217"/>
      <c r="D56" s="217">
        <f t="shared" si="1"/>
        <v>20.881730952361142</v>
      </c>
      <c r="E56" s="232">
        <f>'5K'!$E56*(1-$K$2)+'10K'!$E56*$K$2</f>
        <v>0.8675845267807254</v>
      </c>
    </row>
    <row r="57" spans="1:5">
      <c r="A57" s="210">
        <v>51</v>
      </c>
      <c r="B57" s="234"/>
      <c r="C57" s="217"/>
      <c r="D57" s="217">
        <f t="shared" si="1"/>
        <v>21.119633133469872</v>
      </c>
      <c r="E57" s="232">
        <f>'5K'!$E57*(1-$K$2)+'10K'!$E57*$K$2</f>
        <v>0.85781161785219751</v>
      </c>
    </row>
    <row r="58" spans="1:5">
      <c r="A58" s="210">
        <v>52</v>
      </c>
      <c r="B58" s="234"/>
      <c r="C58" s="217"/>
      <c r="D58" s="217">
        <f t="shared" si="1"/>
        <v>21.36393691337047</v>
      </c>
      <c r="E58" s="232">
        <f>'5K'!$E58*(1-$K$2)+'10K'!$E58*$K$2</f>
        <v>0.84800225445940525</v>
      </c>
    </row>
    <row r="59" spans="1:5">
      <c r="A59" s="210">
        <v>53</v>
      </c>
      <c r="B59" s="234"/>
      <c r="C59" s="217"/>
      <c r="D59" s="217">
        <f t="shared" si="1"/>
        <v>21.613018875153802</v>
      </c>
      <c r="E59" s="232">
        <f>'5K'!$E59*(1-$K$2)+'10K'!$E59*$K$2</f>
        <v>0.83822934553087725</v>
      </c>
    </row>
    <row r="60" spans="1:5">
      <c r="A60" s="210">
        <v>54</v>
      </c>
      <c r="B60" s="234"/>
      <c r="C60" s="217"/>
      <c r="D60" s="217">
        <f t="shared" si="1"/>
        <v>21.867977441235677</v>
      </c>
      <c r="E60" s="232">
        <f>'5K'!$E60*(1-$K$2)+'10K'!$E60*$K$2</f>
        <v>0.82845643660234924</v>
      </c>
    </row>
    <row r="61" spans="1:5">
      <c r="A61" s="210">
        <v>55</v>
      </c>
      <c r="B61" s="234"/>
      <c r="C61" s="217"/>
      <c r="D61" s="217">
        <f t="shared" si="1"/>
        <v>22.13000847317409</v>
      </c>
      <c r="E61" s="232">
        <f>'5K'!$E61*(1-$K$2)+'10K'!$E61*$K$2</f>
        <v>0.8186470732095571</v>
      </c>
    </row>
    <row r="62" spans="1:5">
      <c r="A62" s="210">
        <v>56</v>
      </c>
      <c r="B62" s="234"/>
      <c r="C62" s="217"/>
      <c r="D62" s="217">
        <f t="shared" si="1"/>
        <v>22.399145420186287</v>
      </c>
      <c r="E62" s="232">
        <f>'5K'!$E62*(1-$K$2)+'10K'!$E62*$K$2</f>
        <v>0.80881061874529303</v>
      </c>
    </row>
    <row r="63" spans="1:5">
      <c r="A63" s="210">
        <v>57</v>
      </c>
      <c r="B63" s="234"/>
      <c r="C63" s="217"/>
      <c r="D63" s="217">
        <f t="shared" si="1"/>
        <v>22.674140428820742</v>
      </c>
      <c r="E63" s="232">
        <f>'5K'!$E63*(1-$K$2)+'10K'!$E63*$K$2</f>
        <v>0.79900125535250099</v>
      </c>
    </row>
    <row r="64" spans="1:5">
      <c r="A64" s="210">
        <v>58</v>
      </c>
      <c r="B64" s="234"/>
      <c r="C64" s="217"/>
      <c r="D64" s="217">
        <f t="shared" si="1"/>
        <v>22.954911273466102</v>
      </c>
      <c r="E64" s="232">
        <f>'5K'!$E64*(1-$K$2)+'10K'!$E64*$K$2</f>
        <v>0.78922834642397299</v>
      </c>
    </row>
    <row r="65" spans="1:5">
      <c r="A65" s="210">
        <v>59</v>
      </c>
      <c r="B65" s="234"/>
      <c r="C65" s="217"/>
      <c r="D65" s="217">
        <f t="shared" si="1"/>
        <v>23.242722797443488</v>
      </c>
      <c r="E65" s="232">
        <f>'5K'!$E65*(1-$K$2)+'10K'!$E65*$K$2</f>
        <v>0.77945543749544499</v>
      </c>
    </row>
    <row r="66" spans="1:5">
      <c r="A66" s="210">
        <v>60</v>
      </c>
      <c r="B66" s="234"/>
      <c r="C66" s="217"/>
      <c r="D66" s="217">
        <f t="shared" si="1"/>
        <v>23.538958069511732</v>
      </c>
      <c r="E66" s="232">
        <f>'5K'!$E66*(1-$K$2)+'10K'!$E66*$K$2</f>
        <v>0.76964607410265296</v>
      </c>
    </row>
    <row r="67" spans="1:5">
      <c r="A67" s="210">
        <v>61</v>
      </c>
      <c r="B67" s="234"/>
      <c r="C67" s="217"/>
      <c r="D67" s="217">
        <f t="shared" si="1"/>
        <v>23.841698189875196</v>
      </c>
      <c r="E67" s="232">
        <f>'5K'!$E67*(1-$K$2)+'10K'!$E67*$K$2</f>
        <v>0.75987316517412484</v>
      </c>
    </row>
    <row r="68" spans="1:5">
      <c r="A68" s="210">
        <v>62</v>
      </c>
      <c r="B68" s="234"/>
      <c r="C68" s="217"/>
      <c r="D68" s="217">
        <f t="shared" si="1"/>
        <v>24.153500840383504</v>
      </c>
      <c r="E68" s="232">
        <f>'5K'!$E68*(1-$K$2)+'10K'!$E68*$K$2</f>
        <v>0.75006380178133281</v>
      </c>
    </row>
    <row r="69" spans="1:5">
      <c r="A69" s="210">
        <v>63</v>
      </c>
      <c r="B69" s="234"/>
      <c r="C69" s="217"/>
      <c r="D69" s="217">
        <f t="shared" si="1"/>
        <v>24.472361934444173</v>
      </c>
      <c r="E69" s="232">
        <f>'5K'!$E69*(1-$K$2)+'10K'!$E69*$K$2</f>
        <v>0.74029089285280469</v>
      </c>
    </row>
    <row r="70" spans="1:5">
      <c r="A70" s="210">
        <v>64</v>
      </c>
      <c r="B70" s="234"/>
      <c r="C70" s="217"/>
      <c r="D70" s="217">
        <f t="shared" si="1"/>
        <v>24.799754510279911</v>
      </c>
      <c r="E70" s="232">
        <f>'5K'!$E70*(1-$K$2)+'10K'!$E70*$K$2</f>
        <v>0.73051798392427669</v>
      </c>
    </row>
    <row r="71" spans="1:5">
      <c r="A71" s="210">
        <v>65</v>
      </c>
      <c r="B71" s="234"/>
      <c r="C71" s="217"/>
      <c r="D71" s="217">
        <f t="shared" si="1"/>
        <v>25.137297030395697</v>
      </c>
      <c r="E71" s="232">
        <f>'5K'!$E71*(1-$K$2)+'10K'!$E71*$K$2</f>
        <v>0.72070862053148466</v>
      </c>
    </row>
    <row r="72" spans="1:5">
      <c r="A72" s="210">
        <v>66</v>
      </c>
      <c r="B72" s="234"/>
      <c r="C72" s="217"/>
      <c r="D72" s="217">
        <f t="shared" si="1"/>
        <v>25.485125921998108</v>
      </c>
      <c r="E72" s="232">
        <f>'5K'!$E72*(1-$K$2)+'10K'!$E72*$K$2</f>
        <v>0.71087216606722059</v>
      </c>
    </row>
    <row r="73" spans="1:5">
      <c r="A73" s="210">
        <v>67</v>
      </c>
      <c r="B73" s="234"/>
      <c r="C73" s="217"/>
      <c r="D73" s="217">
        <f t="shared" si="1"/>
        <v>25.841717172206028</v>
      </c>
      <c r="E73" s="232">
        <f>'5K'!$E73*(1-$K$2)+'10K'!$E73*$K$2</f>
        <v>0.70106280267442855</v>
      </c>
    </row>
    <row r="74" spans="1:5">
      <c r="A74" s="210">
        <v>68</v>
      </c>
      <c r="B74" s="234"/>
      <c r="C74" s="217"/>
      <c r="D74" s="217">
        <f t="shared" ref="D74:D105" si="2">E$4/E74</f>
        <v>26.207046899669947</v>
      </c>
      <c r="E74" s="232">
        <f>'5K'!$E74*(1-$K$2)+'10K'!$E74*$K$2</f>
        <v>0.69128989374590044</v>
      </c>
    </row>
    <row r="75" spans="1:5">
      <c r="A75" s="210">
        <v>69</v>
      </c>
      <c r="B75" s="234"/>
      <c r="C75" s="217"/>
      <c r="D75" s="217">
        <f t="shared" si="2"/>
        <v>26.582854235865344</v>
      </c>
      <c r="E75" s="232">
        <f>'5K'!$E75*(1-$K$2)+'10K'!$E75*$K$2</f>
        <v>0.68151698481737244</v>
      </c>
    </row>
    <row r="76" spans="1:5">
      <c r="A76" s="210">
        <v>70</v>
      </c>
      <c r="B76" s="234"/>
      <c r="C76" s="217"/>
      <c r="D76" s="217">
        <f t="shared" si="2"/>
        <v>26.971060158948656</v>
      </c>
      <c r="E76" s="232">
        <f>'5K'!$E76*(1-$K$2)+'10K'!$E76*$K$2</f>
        <v>0.6717076214245804</v>
      </c>
    </row>
    <row r="77" spans="1:5">
      <c r="A77" s="210">
        <v>71</v>
      </c>
      <c r="B77" s="234"/>
      <c r="C77" s="217"/>
      <c r="D77" s="217">
        <f t="shared" si="2"/>
        <v>27.369265162649576</v>
      </c>
      <c r="E77" s="232">
        <f>'5K'!$E77*(1-$K$2)+'10K'!$E77*$K$2</f>
        <v>0.66193471249605229</v>
      </c>
    </row>
    <row r="78" spans="1:5">
      <c r="A78" s="210">
        <v>72</v>
      </c>
      <c r="B78" s="234"/>
      <c r="C78" s="217"/>
      <c r="D78" s="217">
        <f t="shared" si="2"/>
        <v>27.780957589793061</v>
      </c>
      <c r="E78" s="232">
        <f>'5K'!$E78*(1-$K$2)+'10K'!$E78*$K$2</f>
        <v>0.65212534910326025</v>
      </c>
    </row>
    <row r="79" spans="1:5">
      <c r="A79" s="210">
        <v>73</v>
      </c>
      <c r="B79" s="234"/>
      <c r="C79" s="217"/>
      <c r="D79" s="217">
        <f t="shared" si="2"/>
        <v>28.203623950955311</v>
      </c>
      <c r="E79" s="232">
        <f>'5K'!$E79*(1-$K$2)+'10K'!$E79*$K$2</f>
        <v>0.64235244017473225</v>
      </c>
    </row>
    <row r="80" spans="1:5">
      <c r="A80" s="210">
        <v>74</v>
      </c>
      <c r="B80" s="234"/>
      <c r="C80" s="217"/>
      <c r="D80" s="217">
        <f t="shared" si="2"/>
        <v>28.639350108240446</v>
      </c>
      <c r="E80" s="232">
        <f>'5K'!$E80*(1-$K$2)+'10K'!$E80*$K$2</f>
        <v>0.63257953124620414</v>
      </c>
    </row>
    <row r="81" spans="1:5">
      <c r="A81" s="210">
        <v>75</v>
      </c>
      <c r="B81" s="234"/>
      <c r="C81" s="217"/>
      <c r="D81" s="217">
        <f t="shared" si="2"/>
        <v>29.090453592393295</v>
      </c>
      <c r="E81" s="232">
        <f>'5K'!$E81*(1-$K$2)+'10K'!$E81*$K$2</f>
        <v>0.6227701678534121</v>
      </c>
    </row>
    <row r="82" spans="1:5">
      <c r="A82" s="210">
        <v>76</v>
      </c>
      <c r="B82" s="234"/>
      <c r="C82" s="217"/>
      <c r="D82" s="217">
        <f t="shared" si="2"/>
        <v>29.564335063987713</v>
      </c>
      <c r="E82" s="232">
        <f>'5K'!$E82*(1-$K$2)+'10K'!$E82*$K$2</f>
        <v>0.61278789553209201</v>
      </c>
    </row>
    <row r="83" spans="1:5">
      <c r="A83" s="210">
        <v>77</v>
      </c>
      <c r="B83" s="234"/>
      <c r="C83" s="217"/>
      <c r="D83" s="217">
        <f t="shared" si="2"/>
        <v>30.065287325760092</v>
      </c>
      <c r="E83" s="232">
        <f>'5K'!$E83*(1-$K$2)+'10K'!$E83*$K$2</f>
        <v>0.60257753303239558</v>
      </c>
    </row>
    <row r="84" spans="1:5">
      <c r="A84" s="210">
        <v>78</v>
      </c>
      <c r="B84" s="234"/>
      <c r="C84" s="217"/>
      <c r="D84" s="217">
        <f t="shared" si="2"/>
        <v>30.61311648672967</v>
      </c>
      <c r="E84" s="232">
        <f>'5K'!$E84*(1-$K$2)+'10K'!$E84*$K$2</f>
        <v>0.59179426160417126</v>
      </c>
    </row>
    <row r="85" spans="1:5">
      <c r="A85" s="210">
        <v>79</v>
      </c>
      <c r="B85" s="234"/>
      <c r="C85" s="217"/>
      <c r="D85" s="217">
        <f t="shared" si="2"/>
        <v>31.224273537412408</v>
      </c>
      <c r="E85" s="232">
        <f>'5K'!$E85*(1-$K$2)+'10K'!$E85*$K$2</f>
        <v>0.58021099017594679</v>
      </c>
    </row>
    <row r="86" spans="1:5">
      <c r="A86" s="210">
        <v>80</v>
      </c>
      <c r="B86" s="234"/>
      <c r="C86" s="217"/>
      <c r="D86" s="217">
        <f t="shared" si="2"/>
        <v>31.905217143363224</v>
      </c>
      <c r="E86" s="232">
        <f>'5K'!$E86*(1-$K$2)+'10K'!$E86*$K$2</f>
        <v>0.56782771874772253</v>
      </c>
    </row>
    <row r="87" spans="1:5">
      <c r="A87" s="210">
        <v>81</v>
      </c>
      <c r="B87" s="234"/>
      <c r="C87" s="217"/>
      <c r="D87" s="217">
        <f t="shared" si="2"/>
        <v>32.657680043857383</v>
      </c>
      <c r="E87" s="232">
        <f>'5K'!$E87*(1-$K$2)+'10K'!$E87*$K$2</f>
        <v>0.55474444731949812</v>
      </c>
    </row>
    <row r="88" spans="1:5">
      <c r="A88" s="210">
        <v>82</v>
      </c>
      <c r="B88" s="234"/>
      <c r="C88" s="217"/>
      <c r="D88" s="217">
        <f t="shared" si="2"/>
        <v>33.495964351319166</v>
      </c>
      <c r="E88" s="232">
        <f>'5K'!$E88*(1-$K$2)+'10K'!$E88*$K$2</f>
        <v>0.54086117589127369</v>
      </c>
    </row>
    <row r="89" spans="1:5">
      <c r="A89" s="210">
        <v>83</v>
      </c>
      <c r="B89" s="234"/>
      <c r="C89" s="217"/>
      <c r="D89" s="217">
        <f t="shared" si="2"/>
        <v>34.42414456892454</v>
      </c>
      <c r="E89" s="232">
        <f>'5K'!$E89*(1-$K$2)+'10K'!$E89*$K$2</f>
        <v>0.52627790446304934</v>
      </c>
    </row>
    <row r="90" spans="1:5">
      <c r="A90" s="210">
        <v>84</v>
      </c>
      <c r="B90" s="234"/>
      <c r="C90" s="217"/>
      <c r="D90" s="217">
        <f t="shared" si="2"/>
        <v>35.460671330700308</v>
      </c>
      <c r="E90" s="232">
        <f>'5K'!$E90*(1-$K$2)+'10K'!$E90*$K$2</f>
        <v>0.51089463303482485</v>
      </c>
    </row>
    <row r="91" spans="1:5">
      <c r="A91" s="210">
        <v>85</v>
      </c>
      <c r="B91" s="234"/>
      <c r="C91" s="217"/>
      <c r="D91" s="217">
        <f t="shared" si="2"/>
        <v>36.620680406109656</v>
      </c>
      <c r="E91" s="232">
        <f>'5K'!$E91*(1-$K$2)+'10K'!$E91*$K$2</f>
        <v>0.49471136160660056</v>
      </c>
    </row>
    <row r="92" spans="1:5">
      <c r="A92" s="210">
        <v>86</v>
      </c>
      <c r="B92" s="234"/>
      <c r="C92" s="217"/>
      <c r="D92" s="217">
        <f t="shared" si="2"/>
        <v>37.914612052011435</v>
      </c>
      <c r="E92" s="232">
        <f>'5K'!$E92*(1-$K$2)+'10K'!$E92*$K$2</f>
        <v>0.47782809017837613</v>
      </c>
    </row>
    <row r="93" spans="1:5">
      <c r="A93" s="210">
        <v>87</v>
      </c>
      <c r="B93" s="234"/>
      <c r="C93" s="217"/>
      <c r="D93" s="217">
        <f t="shared" si="2"/>
        <v>39.371662851437229</v>
      </c>
      <c r="E93" s="232">
        <f>'5K'!$E93*(1-$K$2)+'10K'!$E93*$K$2</f>
        <v>0.46014481875015179</v>
      </c>
    </row>
    <row r="94" spans="1:5">
      <c r="A94" s="210">
        <v>88</v>
      </c>
      <c r="B94" s="234"/>
      <c r="C94" s="217"/>
      <c r="D94" s="217">
        <f t="shared" si="2"/>
        <v>41.010057974702825</v>
      </c>
      <c r="E94" s="232">
        <f>'5K'!$E94*(1-$K$2)+'10K'!$E94*$K$2</f>
        <v>0.44176154732192741</v>
      </c>
    </row>
    <row r="95" spans="1:5">
      <c r="A95" s="210">
        <v>89</v>
      </c>
      <c r="B95" s="234"/>
      <c r="C95" s="217"/>
      <c r="D95" s="217">
        <f t="shared" si="2"/>
        <v>42.871741639704652</v>
      </c>
      <c r="E95" s="232">
        <f>'5K'!$E95*(1-$K$2)+'10K'!$E95*$K$2</f>
        <v>0.422578275893703</v>
      </c>
    </row>
    <row r="96" spans="1:5">
      <c r="A96" s="210">
        <v>90</v>
      </c>
      <c r="B96" s="234"/>
      <c r="C96" s="217"/>
      <c r="D96" s="217">
        <f t="shared" si="2"/>
        <v>44.999730413247384</v>
      </c>
      <c r="E96" s="232">
        <f>'5K'!$E96*(1-$K$2)+'10K'!$E96*$K$2</f>
        <v>0.40259500446547869</v>
      </c>
    </row>
    <row r="97" spans="1:5">
      <c r="A97" s="210">
        <v>91</v>
      </c>
      <c r="B97" s="234"/>
      <c r="C97" s="217"/>
      <c r="D97" s="217">
        <f t="shared" si="2"/>
        <v>47.436789968690071</v>
      </c>
      <c r="E97" s="232">
        <f>'5K'!$E97*(1-$K$2)+'10K'!$E97*$K$2</f>
        <v>0.38191173303725434</v>
      </c>
    </row>
    <row r="98" spans="1:5">
      <c r="A98" s="210">
        <v>92</v>
      </c>
      <c r="B98" s="234"/>
      <c r="C98" s="217"/>
      <c r="D98" s="217">
        <f t="shared" si="2"/>
        <v>50.264251013335588</v>
      </c>
      <c r="E98" s="232">
        <f>'5K'!$E98*(1-$K$2)+'10K'!$E98*$K$2</f>
        <v>0.36042846160902986</v>
      </c>
    </row>
    <row r="99" spans="1:5">
      <c r="A99" s="210">
        <v>93</v>
      </c>
      <c r="B99" s="234"/>
      <c r="C99" s="217"/>
      <c r="D99" s="217">
        <f t="shared" si="2"/>
        <v>53.570816020131971</v>
      </c>
      <c r="E99" s="232">
        <f>'5K'!$E99*(1-$K$2)+'10K'!$E99*$K$2</f>
        <v>0.3381816446450695</v>
      </c>
    </row>
    <row r="100" spans="1:5">
      <c r="A100" s="210">
        <v>94</v>
      </c>
      <c r="C100" s="217"/>
      <c r="D100" s="217">
        <f t="shared" si="2"/>
        <v>57.477030994075115</v>
      </c>
      <c r="E100" s="232">
        <f>'5K'!$E100*(1-$K$2)+'10K'!$E100*$K$2</f>
        <v>0.31519837321684518</v>
      </c>
    </row>
    <row r="101" spans="1:5">
      <c r="A101" s="210">
        <v>95</v>
      </c>
      <c r="B101" s="234"/>
      <c r="C101" s="217"/>
      <c r="D101" s="217">
        <f t="shared" si="2"/>
        <v>62.15435275609223</v>
      </c>
      <c r="E101" s="232">
        <f>'5K'!$E101*(1-$K$2)+'10K'!$E101*$K$2</f>
        <v>0.29147864732435674</v>
      </c>
    </row>
    <row r="102" spans="1:5">
      <c r="A102" s="210">
        <v>96</v>
      </c>
      <c r="C102" s="217"/>
      <c r="D102" s="217">
        <f t="shared" si="2"/>
        <v>67.853859288239079</v>
      </c>
      <c r="E102" s="232">
        <f>'5K'!$E102*(1-$K$2)+'10K'!$E102*$K$2</f>
        <v>0.26699537589613237</v>
      </c>
    </row>
    <row r="103" spans="1:5">
      <c r="A103" s="210">
        <v>97</v>
      </c>
      <c r="C103" s="217"/>
      <c r="D103" s="217">
        <f t="shared" si="2"/>
        <v>74.951424987787533</v>
      </c>
      <c r="E103" s="232">
        <f>'5K'!$E103*(1-$K$2)+'10K'!$E103*$K$2</f>
        <v>0.24171210446790797</v>
      </c>
    </row>
    <row r="104" spans="1:5">
      <c r="A104" s="210">
        <v>98</v>
      </c>
      <c r="C104" s="217"/>
      <c r="D104" s="217">
        <f t="shared" si="2"/>
        <v>84.003628383334757</v>
      </c>
      <c r="E104" s="232">
        <f>'5K'!$E104*(1-$K$2)+'10K'!$E104*$K$2</f>
        <v>0.21566528750394764</v>
      </c>
    </row>
    <row r="105" spans="1:5">
      <c r="A105" s="210">
        <v>99</v>
      </c>
      <c r="C105" s="217"/>
      <c r="D105" s="217">
        <f t="shared" si="2"/>
        <v>95.915254628601872</v>
      </c>
      <c r="E105" s="232">
        <f>'5K'!$E105*(1-$K$2)+'10K'!$E105*$K$2</f>
        <v>0.18888201607572325</v>
      </c>
    </row>
    <row r="106" spans="1:5">
      <c r="A106" s="210">
        <v>100</v>
      </c>
      <c r="D106" s="217">
        <f>E$4/E106</f>
        <v>112.27323711193178</v>
      </c>
      <c r="E106" s="232">
        <f>'5K'!$E106*(1-$K$2)+'10K'!$E106*$K$2</f>
        <v>0.16136229018323484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G49" sqref="G49"/>
    </sheetView>
  </sheetViews>
  <sheetFormatPr defaultColWidth="9.6640625" defaultRowHeight="15"/>
  <cols>
    <col min="1" max="5" width="9.6640625" style="210" customWidth="1"/>
    <col min="6" max="6" width="11.88671875" style="210" customWidth="1"/>
    <col min="7" max="7" width="13.88671875" style="210" customWidth="1"/>
    <col min="8" max="8" width="10.6640625" style="210" customWidth="1"/>
    <col min="9" max="9" width="13.109375" style="210" customWidth="1"/>
    <col min="10" max="13" width="9.6640625" style="210"/>
    <col min="14" max="14" width="14.77734375" style="210" customWidth="1"/>
    <col min="15" max="15" width="19.5546875" style="210" customWidth="1"/>
    <col min="16" max="16384" width="9.6640625" style="210"/>
  </cols>
  <sheetData>
    <row r="1" spans="1:20" ht="31.5">
      <c r="A1" s="206" t="s">
        <v>62</v>
      </c>
      <c r="B1" s="207"/>
      <c r="C1" s="208"/>
      <c r="D1" s="209" t="s">
        <v>32</v>
      </c>
      <c r="E1" s="209" t="s">
        <v>54</v>
      </c>
      <c r="F1" s="209"/>
      <c r="G1" s="209"/>
      <c r="H1" s="209"/>
      <c r="I1" s="209"/>
      <c r="K1" s="207" t="s">
        <v>2089</v>
      </c>
    </row>
    <row r="2" spans="1:20" ht="15.95" customHeight="1">
      <c r="A2" s="206"/>
      <c r="B2" s="207"/>
      <c r="C2" s="208"/>
      <c r="D2" s="209"/>
      <c r="E2" s="209"/>
      <c r="F2" s="81"/>
      <c r="G2" s="82"/>
      <c r="H2" s="211"/>
      <c r="I2" s="211"/>
      <c r="K2" s="207">
        <f>Parameters!M19</f>
        <v>0.67807190511263749</v>
      </c>
    </row>
    <row r="3" spans="1:20" ht="15.95" customHeight="1">
      <c r="A3" s="206"/>
      <c r="B3" s="207"/>
      <c r="C3" s="208"/>
      <c r="D3" s="209"/>
      <c r="E3" s="209"/>
      <c r="F3" s="81"/>
      <c r="G3" s="82"/>
      <c r="H3" s="212"/>
      <c r="I3" s="213"/>
    </row>
    <row r="4" spans="1:20" ht="15.75">
      <c r="A4" s="207"/>
      <c r="B4" s="207"/>
      <c r="C4" s="207"/>
      <c r="D4" s="214">
        <f>Parameters!G19</f>
        <v>1.579861111111111E-2</v>
      </c>
      <c r="E4" s="215">
        <f>D4*1440</f>
        <v>22.75</v>
      </c>
      <c r="F4" s="216"/>
      <c r="G4" s="205"/>
      <c r="H4" s="212"/>
      <c r="I4" s="213"/>
    </row>
    <row r="5" spans="1:20" ht="15.75">
      <c r="A5" s="207"/>
      <c r="B5" s="207"/>
      <c r="C5" s="207"/>
      <c r="D5" s="214"/>
      <c r="E5" s="207">
        <f>E4*60</f>
        <v>1365</v>
      </c>
      <c r="F5" s="216"/>
      <c r="G5" s="205"/>
      <c r="H5" s="212"/>
      <c r="I5" s="213"/>
    </row>
    <row r="6" spans="1:20" ht="45" customHeight="1">
      <c r="A6" s="218" t="s">
        <v>52</v>
      </c>
      <c r="B6" s="218" t="s">
        <v>32</v>
      </c>
      <c r="C6" s="218" t="s">
        <v>53</v>
      </c>
      <c r="D6" s="218" t="s">
        <v>2362</v>
      </c>
      <c r="E6" s="218" t="s">
        <v>2363</v>
      </c>
      <c r="F6" s="208" t="s">
        <v>130</v>
      </c>
      <c r="G6" s="218" t="s">
        <v>2091</v>
      </c>
      <c r="H6" s="218" t="s">
        <v>52</v>
      </c>
      <c r="I6" s="218" t="s">
        <v>709</v>
      </c>
      <c r="J6" s="366" t="s">
        <v>403</v>
      </c>
      <c r="K6" s="366" t="s">
        <v>404</v>
      </c>
      <c r="L6" s="127" t="s">
        <v>405</v>
      </c>
      <c r="M6" s="127" t="s">
        <v>406</v>
      </c>
      <c r="N6" s="366" t="s">
        <v>407</v>
      </c>
      <c r="O6" s="127" t="s">
        <v>408</v>
      </c>
      <c r="P6" s="127" t="s">
        <v>409</v>
      </c>
      <c r="Q6" s="367" t="s">
        <v>1150</v>
      </c>
      <c r="S6" s="310" t="s">
        <v>59</v>
      </c>
      <c r="T6" s="210" t="s">
        <v>52</v>
      </c>
    </row>
    <row r="7" spans="1:20">
      <c r="A7" s="210">
        <v>1</v>
      </c>
      <c r="G7" s="217"/>
      <c r="H7" s="210">
        <v>1</v>
      </c>
      <c r="T7" s="210">
        <v>1</v>
      </c>
    </row>
    <row r="8" spans="1:20">
      <c r="A8" s="210">
        <v>2</v>
      </c>
      <c r="G8" s="217"/>
      <c r="H8" s="210">
        <v>2</v>
      </c>
      <c r="T8" s="210">
        <v>2</v>
      </c>
    </row>
    <row r="9" spans="1:20">
      <c r="A9" s="210">
        <v>3</v>
      </c>
      <c r="B9" s="231"/>
      <c r="C9" s="217"/>
      <c r="D9" s="217">
        <f>E$4/E9</f>
        <v>36.937973340167041</v>
      </c>
      <c r="E9" s="232">
        <f>'5K'!$E9*(1-$K$2)+'10K'!$E9*$K$2</f>
        <v>0.61589735285398628</v>
      </c>
      <c r="G9" s="217">
        <v>38.890712175910728</v>
      </c>
      <c r="H9" s="210">
        <v>3</v>
      </c>
      <c r="S9" s="311"/>
      <c r="T9" s="210">
        <v>3</v>
      </c>
    </row>
    <row r="10" spans="1:20">
      <c r="A10" s="210">
        <v>4</v>
      </c>
      <c r="B10" s="234"/>
      <c r="C10" s="217"/>
      <c r="D10" s="217">
        <f t="shared" ref="D10:D40" si="0">E$4/E10</f>
        <v>34.88442539427767</v>
      </c>
      <c r="E10" s="232">
        <f>'5K'!$E10*(1-$K$2)+'10K'!$E10*$K$2</f>
        <v>0.65215349666421152</v>
      </c>
      <c r="F10" s="312"/>
      <c r="G10" s="217">
        <v>36.562789262573276</v>
      </c>
      <c r="H10" s="210">
        <v>4</v>
      </c>
      <c r="S10" s="311"/>
      <c r="T10" s="210">
        <v>4</v>
      </c>
    </row>
    <row r="11" spans="1:20">
      <c r="A11" s="210">
        <v>5</v>
      </c>
      <c r="B11" s="234"/>
      <c r="C11" s="217"/>
      <c r="D11" s="217">
        <f t="shared" si="0"/>
        <v>33.129159710168196</v>
      </c>
      <c r="E11" s="232">
        <f>'5K'!$E11*(1-$K$2)+'10K'!$E11*$K$2</f>
        <v>0.68670621890290306</v>
      </c>
      <c r="F11" s="312"/>
      <c r="G11" s="217">
        <v>34.598540145985396</v>
      </c>
      <c r="H11" s="210">
        <v>5</v>
      </c>
      <c r="I11" s="312"/>
      <c r="S11" s="311">
        <f t="shared" ref="R11:S25" si="1">$E$4/($E11*0.8*24*60)</f>
        <v>2.8757951137298784E-2</v>
      </c>
      <c r="T11" s="210">
        <v>5</v>
      </c>
    </row>
    <row r="12" spans="1:20">
      <c r="A12" s="210">
        <v>6</v>
      </c>
      <c r="B12" s="234">
        <v>2.4849537037037035E-2</v>
      </c>
      <c r="C12" s="217">
        <f t="shared" ref="C12:C74" si="2">B12*1440</f>
        <v>35.783333333333331</v>
      </c>
      <c r="D12" s="217">
        <f t="shared" si="0"/>
        <v>31.616740308785733</v>
      </c>
      <c r="E12" s="232">
        <f>'5K'!$E12*(1-$K$2)+'10K'!$E12*$K$2</f>
        <v>0.7195555195700607</v>
      </c>
      <c r="F12" s="312">
        <f t="shared" ref="F12:F43" si="3">100*(D12/C12)</f>
        <v>88.356051165679744</v>
      </c>
      <c r="G12" s="217">
        <v>32.925812725757154</v>
      </c>
      <c r="H12" s="210">
        <v>6</v>
      </c>
      <c r="I12" s="368" t="s">
        <v>2092</v>
      </c>
      <c r="J12" s="130" t="s">
        <v>222</v>
      </c>
      <c r="K12" s="130" t="s">
        <v>482</v>
      </c>
      <c r="L12" s="130" t="s">
        <v>217</v>
      </c>
      <c r="M12" s="136">
        <v>40412</v>
      </c>
      <c r="N12" s="122"/>
      <c r="O12" s="119" t="s">
        <v>2164</v>
      </c>
      <c r="P12" s="371">
        <v>42924</v>
      </c>
      <c r="R12" s="311">
        <f t="shared" si="1"/>
        <v>2.7445087073598724E-2</v>
      </c>
      <c r="S12" s="210">
        <v>6</v>
      </c>
    </row>
    <row r="13" spans="1:20">
      <c r="A13" s="210">
        <v>7</v>
      </c>
      <c r="B13" s="234">
        <v>2.3969907407407409E-2</v>
      </c>
      <c r="C13" s="217">
        <f t="shared" si="2"/>
        <v>34.516666666666666</v>
      </c>
      <c r="D13" s="217">
        <f t="shared" si="0"/>
        <v>30.303692625897824</v>
      </c>
      <c r="E13" s="232">
        <f>'5K'!$E13*(1-$K$2)+'10K'!$E13*$K$2</f>
        <v>0.75073359147517338</v>
      </c>
      <c r="F13" s="312">
        <f t="shared" si="3"/>
        <v>87.794377477251061</v>
      </c>
      <c r="G13" s="217">
        <v>31.490831783151737</v>
      </c>
      <c r="H13" s="210">
        <v>7</v>
      </c>
      <c r="I13" s="368" t="s">
        <v>2093</v>
      </c>
      <c r="J13" s="130" t="s">
        <v>2165</v>
      </c>
      <c r="K13" s="130" t="s">
        <v>2166</v>
      </c>
      <c r="L13" s="130" t="s">
        <v>217</v>
      </c>
      <c r="M13" s="136">
        <v>39638</v>
      </c>
      <c r="N13" s="122" t="s">
        <v>2167</v>
      </c>
      <c r="O13" s="119" t="s">
        <v>2168</v>
      </c>
      <c r="P13" s="371">
        <v>42428</v>
      </c>
      <c r="R13" s="311">
        <f t="shared" si="1"/>
        <v>2.6305288737758527E-2</v>
      </c>
      <c r="S13" s="210">
        <v>7</v>
      </c>
    </row>
    <row r="14" spans="1:20">
      <c r="A14" s="210">
        <v>8</v>
      </c>
      <c r="B14" s="234">
        <v>2.1574074074074075E-2</v>
      </c>
      <c r="C14" s="217">
        <f t="shared" si="2"/>
        <v>31.06666666666667</v>
      </c>
      <c r="D14" s="217">
        <f t="shared" si="0"/>
        <v>29.162619724734672</v>
      </c>
      <c r="E14" s="232">
        <f>'5K'!$E14*(1-$K$2)+'10K'!$E14*$K$2</f>
        <v>0.78010824180875216</v>
      </c>
      <c r="F14" s="312">
        <f t="shared" si="3"/>
        <v>93.871093534553651</v>
      </c>
      <c r="G14" s="217">
        <v>30.248883216336949</v>
      </c>
      <c r="H14" s="210">
        <v>8</v>
      </c>
      <c r="I14" s="368" t="s">
        <v>2094</v>
      </c>
      <c r="J14" s="130" t="s">
        <v>225</v>
      </c>
      <c r="K14" s="130" t="s">
        <v>2169</v>
      </c>
      <c r="L14" s="130" t="s">
        <v>217</v>
      </c>
      <c r="M14" s="136">
        <v>39321</v>
      </c>
      <c r="N14" s="122"/>
      <c r="O14" s="119" t="s">
        <v>2170</v>
      </c>
      <c r="P14" s="371">
        <v>42567</v>
      </c>
      <c r="R14" s="311">
        <f t="shared" si="1"/>
        <v>2.5314774066609955E-2</v>
      </c>
      <c r="S14" s="210">
        <v>8</v>
      </c>
    </row>
    <row r="15" spans="1:20">
      <c r="A15" s="210">
        <v>9</v>
      </c>
      <c r="B15" s="234">
        <v>2.1597222222222223E-2</v>
      </c>
      <c r="C15" s="217">
        <f t="shared" si="2"/>
        <v>31.1</v>
      </c>
      <c r="D15" s="217">
        <f t="shared" si="0"/>
        <v>28.162504988851833</v>
      </c>
      <c r="E15" s="232">
        <f>'5K'!$E15*(1-$K$2)+'10K'!$E15*$K$2</f>
        <v>0.80781166338028598</v>
      </c>
      <c r="F15" s="312">
        <f t="shared" si="3"/>
        <v>90.554678420745432</v>
      </c>
      <c r="G15" s="217">
        <v>29.172821270310191</v>
      </c>
      <c r="H15" s="210">
        <v>9</v>
      </c>
      <c r="I15" s="368" t="s">
        <v>2095</v>
      </c>
      <c r="J15" s="130" t="s">
        <v>225</v>
      </c>
      <c r="K15" s="130" t="s">
        <v>2169</v>
      </c>
      <c r="L15" s="130" t="s">
        <v>217</v>
      </c>
      <c r="M15" s="136">
        <v>39321</v>
      </c>
      <c r="N15" s="122"/>
      <c r="O15" s="119" t="s">
        <v>2171</v>
      </c>
      <c r="P15" s="371">
        <v>42812</v>
      </c>
      <c r="R15" s="311">
        <f t="shared" si="1"/>
        <v>2.444661891393388E-2</v>
      </c>
      <c r="S15" s="210">
        <v>9</v>
      </c>
    </row>
    <row r="16" spans="1:20">
      <c r="A16" s="210">
        <v>10</v>
      </c>
      <c r="B16" s="234">
        <v>2.480324074074074E-2</v>
      </c>
      <c r="C16" s="217">
        <f t="shared" si="2"/>
        <v>35.716666666666669</v>
      </c>
      <c r="D16" s="217">
        <f t="shared" si="0"/>
        <v>27.282120261849641</v>
      </c>
      <c r="E16" s="232">
        <f>'5K'!$E16*(1-$K$2)+'10K'!$E16*$K$2</f>
        <v>0.83387947057079725</v>
      </c>
      <c r="F16" s="312">
        <f t="shared" si="3"/>
        <v>76.384844410218307</v>
      </c>
      <c r="G16" s="217">
        <v>28.237817228642914</v>
      </c>
      <c r="H16" s="210">
        <v>10</v>
      </c>
      <c r="I16" s="368" t="s">
        <v>450</v>
      </c>
      <c r="J16" s="130" t="s">
        <v>2172</v>
      </c>
      <c r="K16" s="130" t="s">
        <v>2173</v>
      </c>
      <c r="L16" s="130" t="s">
        <v>217</v>
      </c>
      <c r="M16" s="136">
        <v>38072</v>
      </c>
      <c r="N16" s="122"/>
      <c r="O16" s="119" t="s">
        <v>2174</v>
      </c>
      <c r="P16" s="371">
        <v>41993</v>
      </c>
      <c r="R16" s="311">
        <f t="shared" si="1"/>
        <v>2.3682396060633368E-2</v>
      </c>
      <c r="S16" s="210">
        <v>10</v>
      </c>
    </row>
    <row r="17" spans="1:19">
      <c r="A17" s="210">
        <v>11</v>
      </c>
      <c r="B17" s="234">
        <v>2.0381944444444446E-2</v>
      </c>
      <c r="C17" s="217">
        <f t="shared" si="2"/>
        <v>29.35</v>
      </c>
      <c r="D17" s="217">
        <f t="shared" si="0"/>
        <v>26.51180689285388</v>
      </c>
      <c r="E17" s="232">
        <f>'5K'!$E17*(1-$K$2)+'10K'!$E17*$K$2</f>
        <v>0.85810824180875223</v>
      </c>
      <c r="F17" s="312">
        <f t="shared" si="3"/>
        <v>90.329836091495324</v>
      </c>
      <c r="G17" s="217">
        <v>27.424207359407546</v>
      </c>
      <c r="H17" s="210">
        <v>11</v>
      </c>
      <c r="I17" s="368" t="s">
        <v>2096</v>
      </c>
      <c r="J17" s="130" t="s">
        <v>2175</v>
      </c>
      <c r="K17" s="130" t="s">
        <v>2176</v>
      </c>
      <c r="L17" s="130" t="s">
        <v>217</v>
      </c>
      <c r="M17" s="136">
        <v>31673</v>
      </c>
      <c r="N17" s="122"/>
      <c r="O17" s="119" t="s">
        <v>2177</v>
      </c>
      <c r="P17" s="371">
        <v>35938</v>
      </c>
      <c r="R17" s="311">
        <f t="shared" si="1"/>
        <v>2.3013721261157877E-2</v>
      </c>
      <c r="S17" s="210">
        <v>11</v>
      </c>
    </row>
    <row r="18" spans="1:19">
      <c r="A18" s="210">
        <v>12</v>
      </c>
      <c r="B18" s="234">
        <v>2.0775462962962964E-2</v>
      </c>
      <c r="C18" s="217">
        <f t="shared" si="2"/>
        <v>29.916666666666668</v>
      </c>
      <c r="D18" s="217">
        <f t="shared" si="0"/>
        <v>25.830739533727989</v>
      </c>
      <c r="E18" s="232">
        <f>'5K'!$E18*(1-$K$2)+'10K'!$E18*$K$2</f>
        <v>0.88073359147517349</v>
      </c>
      <c r="F18" s="312">
        <f t="shared" si="3"/>
        <v>86.34230484811583</v>
      </c>
      <c r="G18" s="217">
        <v>26.716266486303685</v>
      </c>
      <c r="H18" s="210">
        <v>12</v>
      </c>
      <c r="I18" s="368" t="s">
        <v>2097</v>
      </c>
      <c r="J18" s="130" t="s">
        <v>2178</v>
      </c>
      <c r="K18" s="130" t="s">
        <v>2179</v>
      </c>
      <c r="L18" s="130" t="s">
        <v>266</v>
      </c>
      <c r="M18" s="136">
        <v>38264</v>
      </c>
      <c r="N18" s="122"/>
      <c r="O18" s="119" t="s">
        <v>2180</v>
      </c>
      <c r="P18" s="371">
        <v>42771</v>
      </c>
      <c r="R18" s="311">
        <f t="shared" si="1"/>
        <v>2.2422516956361101E-2</v>
      </c>
      <c r="S18" s="210">
        <v>12</v>
      </c>
    </row>
    <row r="19" spans="1:19">
      <c r="A19" s="210">
        <v>13</v>
      </c>
      <c r="B19" s="234">
        <v>2.0752314814814814E-2</v>
      </c>
      <c r="C19" s="217">
        <f t="shared" si="2"/>
        <v>29.883333333333333</v>
      </c>
      <c r="D19" s="217">
        <f t="shared" si="0"/>
        <v>25.232266429638759</v>
      </c>
      <c r="E19" s="232">
        <f>'5K'!$E19*(1-$K$2)+'10K'!$E19*$K$2</f>
        <v>0.901623326760572</v>
      </c>
      <c r="F19" s="312">
        <f t="shared" si="3"/>
        <v>84.435916663598761</v>
      </c>
      <c r="G19" s="217">
        <v>26.101321585903083</v>
      </c>
      <c r="H19" s="210">
        <v>13</v>
      </c>
      <c r="I19" s="368" t="s">
        <v>2098</v>
      </c>
      <c r="J19" s="130" t="s">
        <v>2181</v>
      </c>
      <c r="K19" s="130" t="s">
        <v>2182</v>
      </c>
      <c r="L19" s="130" t="s">
        <v>217</v>
      </c>
      <c r="M19" s="136">
        <v>37825</v>
      </c>
      <c r="N19" s="122"/>
      <c r="O19" s="119" t="s">
        <v>2174</v>
      </c>
      <c r="P19" s="371">
        <v>42721</v>
      </c>
      <c r="R19" s="311">
        <f t="shared" si="1"/>
        <v>2.1903009053505867E-2</v>
      </c>
      <c r="S19" s="210">
        <v>13</v>
      </c>
    </row>
    <row r="20" spans="1:19">
      <c r="A20" s="210">
        <v>14</v>
      </c>
      <c r="B20" s="234">
        <v>1.9212962962962963E-2</v>
      </c>
      <c r="C20" s="217">
        <f t="shared" si="2"/>
        <v>27.666666666666668</v>
      </c>
      <c r="D20" s="217">
        <f t="shared" si="0"/>
        <v>24.707473663784658</v>
      </c>
      <c r="E20" s="232">
        <f>'5K'!$E20*(1-$K$2)+'10K'!$E20*$K$2</f>
        <v>0.9207740260934143</v>
      </c>
      <c r="F20" s="312">
        <f t="shared" si="3"/>
        <v>89.304121676330084</v>
      </c>
      <c r="G20" s="217">
        <v>25.566343042071196</v>
      </c>
      <c r="H20" s="210">
        <v>14</v>
      </c>
      <c r="I20" s="368" t="s">
        <v>2099</v>
      </c>
      <c r="J20" s="130" t="s">
        <v>1291</v>
      </c>
      <c r="K20" s="130" t="s">
        <v>2183</v>
      </c>
      <c r="L20" s="130" t="s">
        <v>217</v>
      </c>
      <c r="M20" s="136">
        <v>23720</v>
      </c>
      <c r="N20" s="122"/>
      <c r="O20" s="119" t="s">
        <v>2184</v>
      </c>
      <c r="P20" s="371">
        <v>28981</v>
      </c>
      <c r="R20" s="311">
        <f t="shared" si="1"/>
        <v>2.1447459777590844E-2</v>
      </c>
      <c r="S20" s="210">
        <v>14</v>
      </c>
    </row>
    <row r="21" spans="1:19">
      <c r="A21" s="210">
        <v>15</v>
      </c>
      <c r="B21" s="234">
        <v>1.8171296296296297E-2</v>
      </c>
      <c r="C21" s="217">
        <f t="shared" si="2"/>
        <v>26.166666666666668</v>
      </c>
      <c r="D21" s="217">
        <f t="shared" si="0"/>
        <v>24.244682878885104</v>
      </c>
      <c r="E21" s="232">
        <f>'5K'!$E21*(1-$K$2)+'10K'!$E21*$K$2</f>
        <v>0.93835007509267787</v>
      </c>
      <c r="F21" s="312">
        <f t="shared" si="3"/>
        <v>92.654839027586377</v>
      </c>
      <c r="G21" s="217">
        <v>25.10593220338983</v>
      </c>
      <c r="H21" s="210">
        <v>15</v>
      </c>
      <c r="I21" s="368" t="s">
        <v>2100</v>
      </c>
      <c r="J21" s="130" t="s">
        <v>252</v>
      </c>
      <c r="K21" s="130" t="s">
        <v>253</v>
      </c>
      <c r="L21" s="130" t="s">
        <v>244</v>
      </c>
      <c r="M21" s="136">
        <v>28256</v>
      </c>
      <c r="N21" s="122"/>
      <c r="O21" s="119" t="s">
        <v>924</v>
      </c>
      <c r="P21" s="371">
        <v>34084</v>
      </c>
      <c r="R21" s="311">
        <f t="shared" si="1"/>
        <v>2.1045731665698876E-2</v>
      </c>
      <c r="S21" s="210">
        <v>15</v>
      </c>
    </row>
    <row r="22" spans="1:19">
      <c r="A22" s="210">
        <v>16</v>
      </c>
      <c r="B22" s="234">
        <v>1.8240740740740741E-2</v>
      </c>
      <c r="C22" s="217">
        <f t="shared" si="2"/>
        <v>26.266666666666669</v>
      </c>
      <c r="D22" s="217">
        <f t="shared" si="0"/>
        <v>23.814915711619289</v>
      </c>
      <c r="E22" s="232">
        <f>'5K'!$E22*(1-$K$2)+'10K'!$E22*$K$2</f>
        <v>0.95528366656785113</v>
      </c>
      <c r="F22" s="312">
        <f t="shared" si="3"/>
        <v>90.665922759971906</v>
      </c>
      <c r="G22" s="217">
        <v>24.6875</v>
      </c>
      <c r="H22" s="210">
        <v>16</v>
      </c>
      <c r="I22" s="368" t="s">
        <v>2101</v>
      </c>
      <c r="J22" s="130" t="s">
        <v>785</v>
      </c>
      <c r="K22" s="130" t="s">
        <v>2185</v>
      </c>
      <c r="L22" s="130" t="s">
        <v>244</v>
      </c>
      <c r="M22" s="136">
        <v>28570</v>
      </c>
      <c r="N22" s="122"/>
      <c r="O22" s="119" t="s">
        <v>2186</v>
      </c>
      <c r="P22" s="371">
        <v>34433</v>
      </c>
      <c r="R22" s="311">
        <f t="shared" si="1"/>
        <v>2.0672669888558409E-2</v>
      </c>
      <c r="S22" s="210">
        <v>16</v>
      </c>
    </row>
    <row r="23" spans="1:19">
      <c r="A23" s="210">
        <v>17</v>
      </c>
      <c r="B23" s="234">
        <v>1.7696759259259259E-2</v>
      </c>
      <c r="C23" s="217">
        <f t="shared" si="2"/>
        <v>25.483333333333334</v>
      </c>
      <c r="D23" s="217">
        <f t="shared" si="0"/>
        <v>23.40011948131168</v>
      </c>
      <c r="E23" s="232">
        <f>'5K'!$E23*(1-$K$2)+'10K'!$E23*$K$2</f>
        <v>0.97221725804302439</v>
      </c>
      <c r="F23" s="312">
        <f t="shared" si="3"/>
        <v>91.825190901157669</v>
      </c>
      <c r="G23" s="217">
        <v>24.282786885245901</v>
      </c>
      <c r="H23" s="210">
        <v>17</v>
      </c>
      <c r="I23" s="368" t="s">
        <v>2102</v>
      </c>
      <c r="J23" s="130" t="s">
        <v>517</v>
      </c>
      <c r="K23" s="130" t="s">
        <v>2187</v>
      </c>
      <c r="L23" s="130" t="s">
        <v>244</v>
      </c>
      <c r="M23" s="136">
        <v>27524</v>
      </c>
      <c r="N23" s="122"/>
      <c r="O23" s="119" t="s">
        <v>924</v>
      </c>
      <c r="P23" s="371">
        <v>34084</v>
      </c>
      <c r="R23" s="311">
        <f t="shared" si="1"/>
        <v>2.031260371641639E-2</v>
      </c>
      <c r="S23" s="210">
        <v>17</v>
      </c>
    </row>
    <row r="24" spans="1:19">
      <c r="A24" s="210">
        <v>18</v>
      </c>
      <c r="B24" s="234">
        <v>1.7962962962962962E-2</v>
      </c>
      <c r="C24" s="217">
        <f t="shared" si="2"/>
        <v>25.866666666666664</v>
      </c>
      <c r="D24" s="217">
        <f t="shared" si="0"/>
        <v>23.066433554953612</v>
      </c>
      <c r="E24" s="232">
        <f>'5K'!$E24*(1-$K$2)+'10K'!$E24*$K$2</f>
        <v>0.98628164366200188</v>
      </c>
      <c r="F24" s="312">
        <f t="shared" si="3"/>
        <v>89.174356526882519</v>
      </c>
      <c r="G24" s="217">
        <v>23.956332760537755</v>
      </c>
      <c r="H24" s="210">
        <v>18</v>
      </c>
      <c r="I24" s="368" t="s">
        <v>2103</v>
      </c>
      <c r="J24" s="130" t="s">
        <v>1957</v>
      </c>
      <c r="K24" s="130" t="s">
        <v>1958</v>
      </c>
      <c r="L24" s="130" t="s">
        <v>244</v>
      </c>
      <c r="M24" s="136">
        <v>32348</v>
      </c>
      <c r="N24" s="122"/>
      <c r="O24" s="119" t="s">
        <v>2188</v>
      </c>
      <c r="P24" s="371">
        <v>39277</v>
      </c>
      <c r="R24" s="311">
        <f t="shared" si="1"/>
        <v>2.002294579423056E-2</v>
      </c>
      <c r="S24" s="210">
        <v>18</v>
      </c>
    </row>
    <row r="25" spans="1:19">
      <c r="A25" s="210">
        <v>19</v>
      </c>
      <c r="B25" s="234">
        <v>1.7939814814814815E-2</v>
      </c>
      <c r="C25" s="217">
        <f t="shared" si="2"/>
        <v>25.833333333333332</v>
      </c>
      <c r="D25" s="217">
        <f t="shared" si="0"/>
        <v>22.874082179851158</v>
      </c>
      <c r="E25" s="232">
        <f>'5K'!$E25*(1-$K$2)+'10K'!$E25*$K$2</f>
        <v>0.99457542475909888</v>
      </c>
      <c r="F25" s="312">
        <f t="shared" si="3"/>
        <v>88.544834244585132</v>
      </c>
      <c r="G25" s="217">
        <v>23.764163240750026</v>
      </c>
      <c r="H25" s="210">
        <v>19</v>
      </c>
      <c r="I25" s="368" t="s">
        <v>2104</v>
      </c>
      <c r="J25" s="130" t="s">
        <v>2189</v>
      </c>
      <c r="K25" s="130" t="s">
        <v>2190</v>
      </c>
      <c r="L25" s="130" t="s">
        <v>1469</v>
      </c>
      <c r="M25" s="136">
        <v>30290</v>
      </c>
      <c r="N25" s="122"/>
      <c r="O25" s="119" t="s">
        <v>2191</v>
      </c>
      <c r="P25" s="371">
        <v>37345</v>
      </c>
      <c r="R25" s="311">
        <f t="shared" si="1"/>
        <v>1.9855974114454129E-2</v>
      </c>
      <c r="S25" s="210">
        <v>19</v>
      </c>
    </row>
    <row r="26" spans="1:19">
      <c r="A26" s="210">
        <v>20</v>
      </c>
      <c r="B26" s="234">
        <v>1.7696759259259259E-2</v>
      </c>
      <c r="C26" s="217">
        <f t="shared" si="2"/>
        <v>25.483333333333334</v>
      </c>
      <c r="D26" s="217">
        <f t="shared" si="0"/>
        <v>22.780894168618168</v>
      </c>
      <c r="E26" s="232">
        <f>'5K'!$E26*(1-$K$2)+'10K'!$E26*$K$2</f>
        <v>0.99864385618977469</v>
      </c>
      <c r="F26" s="312">
        <f t="shared" si="3"/>
        <v>89.395268156775018</v>
      </c>
      <c r="G26" s="217">
        <v>23.7</v>
      </c>
      <c r="H26" s="210">
        <v>20</v>
      </c>
      <c r="I26" s="368" t="s">
        <v>2102</v>
      </c>
      <c r="J26" s="130" t="s">
        <v>1179</v>
      </c>
      <c r="K26" s="130" t="s">
        <v>1183</v>
      </c>
      <c r="L26" s="130" t="s">
        <v>244</v>
      </c>
      <c r="M26" s="136">
        <v>31461</v>
      </c>
      <c r="N26" s="122"/>
      <c r="O26" s="119" t="s">
        <v>2192</v>
      </c>
      <c r="P26" s="371">
        <v>39032</v>
      </c>
    </row>
    <row r="27" spans="1:19">
      <c r="A27" s="210">
        <v>21</v>
      </c>
      <c r="B27" s="234">
        <v>1.7337962962962961E-2</v>
      </c>
      <c r="C27" s="217">
        <f t="shared" si="2"/>
        <v>24.966666666666665</v>
      </c>
      <c r="D27" s="217">
        <f t="shared" si="0"/>
        <v>22.75</v>
      </c>
      <c r="E27" s="232">
        <f>'5K'!$E27*(1-$K$2)+'10K'!$E27*$K$2</f>
        <v>1</v>
      </c>
      <c r="F27" s="312">
        <f t="shared" si="3"/>
        <v>91.121495327102807</v>
      </c>
      <c r="G27" s="217">
        <v>23.7</v>
      </c>
      <c r="H27" s="210">
        <v>21</v>
      </c>
      <c r="I27" s="368" t="s">
        <v>2105</v>
      </c>
      <c r="J27" s="130" t="s">
        <v>1969</v>
      </c>
      <c r="K27" s="130" t="s">
        <v>1970</v>
      </c>
      <c r="L27" s="130" t="s">
        <v>248</v>
      </c>
      <c r="M27" s="136">
        <v>34374</v>
      </c>
      <c r="N27" s="122"/>
      <c r="O27" s="119" t="s">
        <v>2193</v>
      </c>
      <c r="P27" s="371">
        <v>42078</v>
      </c>
    </row>
    <row r="28" spans="1:19">
      <c r="A28" s="210">
        <v>22</v>
      </c>
      <c r="B28" s="234">
        <v>1.7777777777777778E-2</v>
      </c>
      <c r="C28" s="217">
        <f t="shared" si="2"/>
        <v>25.6</v>
      </c>
      <c r="D28" s="217">
        <f t="shared" si="0"/>
        <v>22.75</v>
      </c>
      <c r="E28" s="232">
        <f>'5K'!$E28*(1-$K$2)+'10K'!$E28*$K$2</f>
        <v>1</v>
      </c>
      <c r="F28" s="312">
        <f t="shared" si="3"/>
        <v>88.8671875</v>
      </c>
      <c r="G28" s="217">
        <v>23.7</v>
      </c>
      <c r="H28" s="210">
        <v>22</v>
      </c>
      <c r="I28" s="368" t="s">
        <v>2106</v>
      </c>
      <c r="J28" s="130" t="s">
        <v>1759</v>
      </c>
      <c r="K28" s="130" t="s">
        <v>2194</v>
      </c>
      <c r="L28" s="130" t="s">
        <v>244</v>
      </c>
      <c r="M28" s="136">
        <v>28684</v>
      </c>
      <c r="N28" s="122"/>
      <c r="O28" s="119" t="s">
        <v>2195</v>
      </c>
      <c r="P28" s="371">
        <v>37005</v>
      </c>
    </row>
    <row r="29" spans="1:19">
      <c r="A29" s="210">
        <v>23</v>
      </c>
      <c r="B29" s="234">
        <v>1.7465277777777777E-2</v>
      </c>
      <c r="C29" s="217">
        <f t="shared" si="2"/>
        <v>25.15</v>
      </c>
      <c r="D29" s="217">
        <f t="shared" si="0"/>
        <v>22.75</v>
      </c>
      <c r="E29" s="232">
        <f>'5K'!$E29*(1-$K$2)+'10K'!$E29*$K$2</f>
        <v>1</v>
      </c>
      <c r="F29" s="312">
        <f t="shared" si="3"/>
        <v>90.457256461232603</v>
      </c>
      <c r="G29" s="217">
        <v>23.7</v>
      </c>
      <c r="H29" s="210">
        <v>23</v>
      </c>
      <c r="I29" s="368" t="s">
        <v>2107</v>
      </c>
      <c r="J29" s="130" t="s">
        <v>265</v>
      </c>
      <c r="K29" s="130" t="s">
        <v>533</v>
      </c>
      <c r="L29" s="130" t="s">
        <v>266</v>
      </c>
      <c r="M29" s="136">
        <v>27150</v>
      </c>
      <c r="N29" s="122"/>
      <c r="O29" s="119" t="s">
        <v>531</v>
      </c>
      <c r="P29" s="371">
        <v>35582</v>
      </c>
    </row>
    <row r="30" spans="1:19">
      <c r="A30" s="210">
        <v>24</v>
      </c>
      <c r="B30" s="234">
        <v>1.7187499999999998E-2</v>
      </c>
      <c r="C30" s="217">
        <f t="shared" si="2"/>
        <v>24.749999999999996</v>
      </c>
      <c r="D30" s="217">
        <f t="shared" si="0"/>
        <v>22.75</v>
      </c>
      <c r="E30" s="232">
        <f>'5K'!$E30*(1-$K$2)+'10K'!$E30*$K$2</f>
        <v>1</v>
      </c>
      <c r="F30" s="312">
        <f t="shared" si="3"/>
        <v>91.919191919191931</v>
      </c>
      <c r="G30" s="217">
        <v>23.7</v>
      </c>
      <c r="H30" s="210">
        <v>24</v>
      </c>
      <c r="I30" s="368" t="s">
        <v>2108</v>
      </c>
      <c r="J30" s="130" t="s">
        <v>257</v>
      </c>
      <c r="K30" s="130" t="s">
        <v>528</v>
      </c>
      <c r="L30" s="130" t="s">
        <v>259</v>
      </c>
      <c r="M30" s="136">
        <v>27015</v>
      </c>
      <c r="N30" s="122"/>
      <c r="O30" s="119" t="s">
        <v>2191</v>
      </c>
      <c r="P30" s="371">
        <v>35896</v>
      </c>
    </row>
    <row r="31" spans="1:19">
      <c r="A31" s="210">
        <v>25</v>
      </c>
      <c r="B31" s="234">
        <v>1.699074074074074E-2</v>
      </c>
      <c r="C31" s="217">
        <f t="shared" si="2"/>
        <v>24.466666666666665</v>
      </c>
      <c r="D31" s="217">
        <f t="shared" si="0"/>
        <v>22.75</v>
      </c>
      <c r="E31" s="232">
        <f>'5K'!$E31*(1-$K$2)+'10K'!$E31*$K$2</f>
        <v>1</v>
      </c>
      <c r="F31" s="312">
        <f t="shared" si="3"/>
        <v>92.983651226158045</v>
      </c>
      <c r="G31" s="217">
        <v>23.7</v>
      </c>
      <c r="H31" s="210">
        <v>25</v>
      </c>
      <c r="I31" s="369" t="s">
        <v>2109</v>
      </c>
      <c r="J31" s="372" t="s">
        <v>2196</v>
      </c>
      <c r="K31" s="372" t="s">
        <v>2197</v>
      </c>
      <c r="L31" s="372" t="s">
        <v>2198</v>
      </c>
      <c r="M31" s="376">
        <v>28002</v>
      </c>
      <c r="N31" s="138"/>
      <c r="O31" s="120" t="s">
        <v>2188</v>
      </c>
      <c r="P31" s="168">
        <v>37450</v>
      </c>
    </row>
    <row r="32" spans="1:19">
      <c r="A32" s="210">
        <v>26</v>
      </c>
      <c r="B32" s="234">
        <v>1.7361111111111112E-2</v>
      </c>
      <c r="C32" s="217">
        <f t="shared" si="2"/>
        <v>25</v>
      </c>
      <c r="D32" s="217">
        <f t="shared" si="0"/>
        <v>22.75</v>
      </c>
      <c r="E32" s="232">
        <f>'5K'!$E32*(1-$K$2)+'10K'!$E32*$K$2</f>
        <v>1</v>
      </c>
      <c r="F32" s="312">
        <f t="shared" si="3"/>
        <v>91</v>
      </c>
      <c r="G32" s="217">
        <v>23.7</v>
      </c>
      <c r="H32" s="210">
        <v>26</v>
      </c>
      <c r="I32" s="368" t="s">
        <v>2110</v>
      </c>
      <c r="J32" s="130" t="s">
        <v>2199</v>
      </c>
      <c r="K32" s="130" t="s">
        <v>2200</v>
      </c>
      <c r="L32" s="130" t="s">
        <v>244</v>
      </c>
      <c r="M32" s="136">
        <v>32324</v>
      </c>
      <c r="N32" s="122"/>
      <c r="O32" s="119" t="s">
        <v>2193</v>
      </c>
      <c r="P32" s="371">
        <v>42078</v>
      </c>
    </row>
    <row r="33" spans="1:16">
      <c r="A33" s="210">
        <v>27</v>
      </c>
      <c r="B33" s="234">
        <v>1.7222222222222222E-2</v>
      </c>
      <c r="C33" s="217">
        <f t="shared" si="2"/>
        <v>24.8</v>
      </c>
      <c r="D33" s="217">
        <f t="shared" si="0"/>
        <v>22.752197371466288</v>
      </c>
      <c r="E33" s="232">
        <f>'5K'!$E33*(1-$K$2)+'10K'!$E33*$K$2</f>
        <v>0.99990342157153378</v>
      </c>
      <c r="F33" s="312">
        <f t="shared" si="3"/>
        <v>91.742731336557611</v>
      </c>
      <c r="G33" s="217">
        <v>23.7</v>
      </c>
      <c r="H33" s="210">
        <v>27</v>
      </c>
      <c r="I33" s="368" t="s">
        <v>2111</v>
      </c>
      <c r="J33" s="130" t="s">
        <v>523</v>
      </c>
      <c r="K33" s="130" t="s">
        <v>524</v>
      </c>
      <c r="L33" s="130" t="s">
        <v>314</v>
      </c>
      <c r="M33" s="136">
        <v>23521</v>
      </c>
      <c r="N33" s="122"/>
      <c r="O33" s="119" t="s">
        <v>483</v>
      </c>
      <c r="P33" s="371">
        <v>33734</v>
      </c>
    </row>
    <row r="34" spans="1:16">
      <c r="A34" s="210">
        <v>28</v>
      </c>
      <c r="B34" s="234">
        <v>1.744212962962963E-2</v>
      </c>
      <c r="C34" s="217">
        <f t="shared" si="2"/>
        <v>25.116666666666667</v>
      </c>
      <c r="D34" s="217">
        <f t="shared" si="0"/>
        <v>22.760413856108457</v>
      </c>
      <c r="E34" s="232">
        <f>'5K'!$E34*(1-$K$2)+'10K'!$E34*$K$2</f>
        <v>0.9995424575240901</v>
      </c>
      <c r="F34" s="312">
        <f t="shared" si="3"/>
        <v>90.618767841175014</v>
      </c>
      <c r="G34" s="217">
        <v>23.7</v>
      </c>
      <c r="H34" s="210">
        <v>28</v>
      </c>
      <c r="I34" s="368" t="s">
        <v>2112</v>
      </c>
      <c r="J34" s="130" t="s">
        <v>2201</v>
      </c>
      <c r="K34" s="130" t="s">
        <v>2202</v>
      </c>
      <c r="L34" s="130" t="s">
        <v>217</v>
      </c>
      <c r="M34" s="136">
        <v>22098</v>
      </c>
      <c r="N34" s="122"/>
      <c r="O34" s="119" t="s">
        <v>483</v>
      </c>
      <c r="P34" s="371">
        <v>32642</v>
      </c>
    </row>
    <row r="35" spans="1:16">
      <c r="A35" s="210">
        <v>29</v>
      </c>
      <c r="B35" s="234">
        <v>1.7361111111111112E-2</v>
      </c>
      <c r="C35" s="217">
        <f t="shared" si="2"/>
        <v>25</v>
      </c>
      <c r="D35" s="217">
        <f t="shared" si="0"/>
        <v>22.780769970801195</v>
      </c>
      <c r="E35" s="232">
        <f>'5K'!$E35*(1-$K$2)+'10K'!$E35*$K$2</f>
        <v>0.99864930066715774</v>
      </c>
      <c r="F35" s="312">
        <f t="shared" si="3"/>
        <v>91.123079883204781</v>
      </c>
      <c r="G35" s="217">
        <v>23.704740948189638</v>
      </c>
      <c r="H35" s="210">
        <v>29</v>
      </c>
      <c r="I35" s="368" t="s">
        <v>2110</v>
      </c>
      <c r="J35" s="130" t="s">
        <v>1515</v>
      </c>
      <c r="K35" s="130" t="s">
        <v>1516</v>
      </c>
      <c r="L35" s="130" t="s">
        <v>509</v>
      </c>
      <c r="M35" s="136">
        <v>19633</v>
      </c>
      <c r="N35" s="122"/>
      <c r="O35" s="119" t="s">
        <v>887</v>
      </c>
      <c r="P35" s="371">
        <v>30275</v>
      </c>
    </row>
    <row r="36" spans="1:16">
      <c r="A36" s="210">
        <v>30</v>
      </c>
      <c r="B36" s="234">
        <v>1.7164351851851851E-2</v>
      </c>
      <c r="C36" s="217">
        <f t="shared" si="2"/>
        <v>24.716666666666665</v>
      </c>
      <c r="D36" s="217">
        <f t="shared" si="0"/>
        <v>22.811043470050183</v>
      </c>
      <c r="E36" s="232">
        <f>'5K'!$E36*(1-$K$2)+'10K'!$E36*$K$2</f>
        <v>0.99732395100073656</v>
      </c>
      <c r="F36" s="312">
        <f t="shared" si="3"/>
        <v>92.290128671814642</v>
      </c>
      <c r="G36" s="217">
        <v>23.721349214292864</v>
      </c>
      <c r="H36" s="210">
        <v>30</v>
      </c>
      <c r="I36" s="368" t="s">
        <v>2113</v>
      </c>
      <c r="J36" s="130" t="s">
        <v>274</v>
      </c>
      <c r="K36" s="130" t="s">
        <v>1998</v>
      </c>
      <c r="L36" s="130" t="s">
        <v>276</v>
      </c>
      <c r="M36" s="136">
        <v>25535</v>
      </c>
      <c r="N36" s="122"/>
      <c r="O36" s="119" t="s">
        <v>2191</v>
      </c>
      <c r="P36" s="371">
        <v>36638</v>
      </c>
    </row>
    <row r="37" spans="1:16">
      <c r="A37" s="210">
        <v>31</v>
      </c>
      <c r="B37" s="234">
        <v>1.7395833333333336E-2</v>
      </c>
      <c r="C37" s="217">
        <f t="shared" si="2"/>
        <v>25.050000000000004</v>
      </c>
      <c r="D37" s="217">
        <f t="shared" si="0"/>
        <v>22.852869877975785</v>
      </c>
      <c r="E37" s="232">
        <f>'5K'!$E37*(1-$K$2)+'10K'!$E37*$K$2</f>
        <v>0.99549860133431545</v>
      </c>
      <c r="F37" s="312">
        <f t="shared" si="3"/>
        <v>91.229021468965186</v>
      </c>
      <c r="G37" s="217">
        <v>23.749874736947589</v>
      </c>
      <c r="H37" s="210">
        <v>31</v>
      </c>
      <c r="I37" s="368" t="s">
        <v>2114</v>
      </c>
      <c r="J37" s="130" t="s">
        <v>2203</v>
      </c>
      <c r="K37" s="130" t="s">
        <v>2204</v>
      </c>
      <c r="L37" s="130" t="s">
        <v>244</v>
      </c>
      <c r="M37" s="136">
        <v>31037</v>
      </c>
      <c r="N37" s="122"/>
      <c r="O37" s="119" t="s">
        <v>529</v>
      </c>
      <c r="P37" s="371">
        <v>42532</v>
      </c>
    </row>
    <row r="38" spans="1:16">
      <c r="A38" s="210">
        <v>32</v>
      </c>
      <c r="B38" s="234">
        <v>1.7083333333333336E-2</v>
      </c>
      <c r="C38" s="217">
        <f t="shared" si="2"/>
        <v>24.600000000000005</v>
      </c>
      <c r="D38" s="217">
        <f t="shared" si="0"/>
        <v>22.904812278046588</v>
      </c>
      <c r="E38" s="232">
        <f>'5K'!$E38*(1-$K$2)+'10K'!$E38*$K$2</f>
        <v>0.99324105885840552</v>
      </c>
      <c r="F38" s="312">
        <f t="shared" si="3"/>
        <v>93.108993000189372</v>
      </c>
      <c r="G38" s="217">
        <v>23.790403533427021</v>
      </c>
      <c r="H38" s="210">
        <v>32</v>
      </c>
      <c r="I38" s="368" t="s">
        <v>2115</v>
      </c>
      <c r="J38" s="130" t="s">
        <v>291</v>
      </c>
      <c r="K38" s="130" t="s">
        <v>1877</v>
      </c>
      <c r="L38" s="130" t="s">
        <v>217</v>
      </c>
      <c r="M38" s="136">
        <v>26709</v>
      </c>
      <c r="N38" s="122" t="s">
        <v>2205</v>
      </c>
      <c r="O38" s="119" t="s">
        <v>869</v>
      </c>
      <c r="P38" s="371">
        <v>38445</v>
      </c>
    </row>
    <row r="39" spans="1:16">
      <c r="A39" s="210">
        <v>33</v>
      </c>
      <c r="B39" s="234">
        <v>1.7627314814814814E-2</v>
      </c>
      <c r="C39" s="217">
        <f t="shared" si="2"/>
        <v>25.383333333333333</v>
      </c>
      <c r="D39" s="217">
        <f t="shared" si="0"/>
        <v>22.967007825438792</v>
      </c>
      <c r="E39" s="232">
        <f>'5K'!$E39*(1-$K$2)+'10K'!$E39*$K$2</f>
        <v>0.99055132357300679</v>
      </c>
      <c r="F39" s="312">
        <f t="shared" si="3"/>
        <v>90.480661163908565</v>
      </c>
      <c r="G39" s="217">
        <v>23.840659893370887</v>
      </c>
      <c r="H39" s="210">
        <v>33</v>
      </c>
      <c r="I39" s="368" t="s">
        <v>2116</v>
      </c>
      <c r="J39" s="130" t="s">
        <v>271</v>
      </c>
      <c r="K39" s="130" t="s">
        <v>272</v>
      </c>
      <c r="L39" s="130" t="s">
        <v>217</v>
      </c>
      <c r="M39" s="136">
        <v>21798</v>
      </c>
      <c r="N39" s="122"/>
      <c r="O39" s="119" t="s">
        <v>529</v>
      </c>
      <c r="P39" s="371">
        <v>33969</v>
      </c>
    </row>
    <row r="40" spans="1:16">
      <c r="A40" s="210">
        <v>34</v>
      </c>
      <c r="B40" s="234">
        <v>1.7187499999999998E-2</v>
      </c>
      <c r="C40" s="217">
        <f t="shared" si="2"/>
        <v>24.749999999999996</v>
      </c>
      <c r="D40" s="217">
        <f t="shared" si="0"/>
        <v>23.041955505622511</v>
      </c>
      <c r="E40" s="232">
        <f>'5K'!$E40*(1-$K$2)+'10K'!$E40*$K$2</f>
        <v>0.98732939547811949</v>
      </c>
      <c r="F40" s="312">
        <f t="shared" si="3"/>
        <v>93.098810123727333</v>
      </c>
      <c r="G40" s="217">
        <v>23.903177004538577</v>
      </c>
      <c r="H40" s="210">
        <v>34</v>
      </c>
      <c r="I40" s="368" t="s">
        <v>2108</v>
      </c>
      <c r="J40" s="130" t="s">
        <v>538</v>
      </c>
      <c r="K40" s="130" t="s">
        <v>539</v>
      </c>
      <c r="L40" s="130" t="s">
        <v>217</v>
      </c>
      <c r="M40" s="136">
        <v>29775</v>
      </c>
      <c r="N40" s="122"/>
      <c r="O40" s="119" t="s">
        <v>255</v>
      </c>
      <c r="P40" s="371">
        <v>42547</v>
      </c>
    </row>
    <row r="41" spans="1:16">
      <c r="A41" s="210">
        <v>35</v>
      </c>
      <c r="B41" s="234">
        <v>1.7858796296296296E-2</v>
      </c>
      <c r="C41" s="217">
        <f t="shared" si="2"/>
        <v>25.716666666666665</v>
      </c>
      <c r="D41" s="217">
        <f t="shared" ref="D41:D72" si="4">E$4/E41</f>
        <v>23.128388291646026</v>
      </c>
      <c r="E41" s="232">
        <f>'5K'!$E41*(1-$K$2)+'10K'!$E41*$K$2</f>
        <v>0.98363966019272087</v>
      </c>
      <c r="F41" s="312">
        <f t="shared" si="3"/>
        <v>89.935404892985204</v>
      </c>
      <c r="G41" s="217">
        <v>23.97814649939296</v>
      </c>
      <c r="H41" s="210">
        <v>35</v>
      </c>
      <c r="I41" s="368" t="s">
        <v>2117</v>
      </c>
      <c r="J41" s="130" t="s">
        <v>1991</v>
      </c>
      <c r="K41" s="130" t="s">
        <v>2206</v>
      </c>
      <c r="L41" s="130" t="s">
        <v>295</v>
      </c>
      <c r="M41" s="136">
        <v>20852</v>
      </c>
      <c r="N41" s="122"/>
      <c r="O41" s="119" t="s">
        <v>2207</v>
      </c>
      <c r="P41" s="371">
        <v>33851</v>
      </c>
    </row>
    <row r="42" spans="1:16">
      <c r="A42" s="210">
        <v>36</v>
      </c>
      <c r="B42" s="234">
        <v>1.7199074074074071E-2</v>
      </c>
      <c r="C42" s="217">
        <f t="shared" si="2"/>
        <v>24.766666666666662</v>
      </c>
      <c r="D42" s="217">
        <f t="shared" si="4"/>
        <v>23.226478684442085</v>
      </c>
      <c r="E42" s="232">
        <f>'5K'!$E42*(1-$K$2)+'10K'!$E42*$K$2</f>
        <v>0.97948553928834481</v>
      </c>
      <c r="F42" s="312">
        <f t="shared" si="3"/>
        <v>93.781205993709648</v>
      </c>
      <c r="G42" s="217">
        <v>24.063356685957963</v>
      </c>
      <c r="H42" s="210">
        <v>36</v>
      </c>
      <c r="I42" s="368" t="s">
        <v>2118</v>
      </c>
      <c r="J42" s="130" t="s">
        <v>761</v>
      </c>
      <c r="K42" s="130" t="s">
        <v>762</v>
      </c>
      <c r="L42" s="130" t="s">
        <v>244</v>
      </c>
      <c r="M42" s="136">
        <v>29113</v>
      </c>
      <c r="N42" s="122" t="s">
        <v>2208</v>
      </c>
      <c r="O42" s="119" t="s">
        <v>255</v>
      </c>
      <c r="P42" s="371">
        <v>42547</v>
      </c>
    </row>
    <row r="43" spans="1:16">
      <c r="A43" s="210">
        <v>37</v>
      </c>
      <c r="B43" s="234">
        <v>1.8252314814814815E-2</v>
      </c>
      <c r="C43" s="217">
        <f t="shared" si="2"/>
        <v>26.283333333333335</v>
      </c>
      <c r="D43" s="217">
        <f t="shared" si="4"/>
        <v>23.334974718232026</v>
      </c>
      <c r="E43" s="232">
        <f>'5K'!$E43*(1-$K$2)+'10K'!$E43*$K$2</f>
        <v>0.97493141838396868</v>
      </c>
      <c r="F43" s="312">
        <f t="shared" si="3"/>
        <v>88.782402225359633</v>
      </c>
      <c r="G43" s="217">
        <v>24.161484351106125</v>
      </c>
      <c r="H43" s="210">
        <v>37</v>
      </c>
      <c r="I43" s="368" t="s">
        <v>2119</v>
      </c>
      <c r="J43" s="130" t="s">
        <v>2006</v>
      </c>
      <c r="K43" s="130" t="s">
        <v>2007</v>
      </c>
      <c r="L43" s="130" t="s">
        <v>303</v>
      </c>
      <c r="M43" s="136">
        <v>22024</v>
      </c>
      <c r="N43" s="122"/>
      <c r="O43" s="119" t="s">
        <v>2209</v>
      </c>
      <c r="P43" s="371">
        <v>35708</v>
      </c>
    </row>
    <row r="44" spans="1:16">
      <c r="A44" s="210">
        <v>38</v>
      </c>
      <c r="B44" s="234">
        <v>1.8171296296296297E-2</v>
      </c>
      <c r="C44" s="217">
        <f t="shared" si="2"/>
        <v>26.166666666666668</v>
      </c>
      <c r="D44" s="217">
        <f t="shared" si="4"/>
        <v>23.457354056283549</v>
      </c>
      <c r="E44" s="232">
        <f>'5K'!$E44*(1-$K$2)+'10K'!$E44*$K$2</f>
        <v>0.96984510467010376</v>
      </c>
      <c r="F44" s="312">
        <f t="shared" ref="F44:F75" si="5">100*(D44/C44)</f>
        <v>89.645939068599546</v>
      </c>
      <c r="G44" s="217">
        <v>24.272839000409665</v>
      </c>
      <c r="H44" s="210">
        <v>38</v>
      </c>
      <c r="I44" s="368" t="s">
        <v>2100</v>
      </c>
      <c r="J44" s="130" t="s">
        <v>2201</v>
      </c>
      <c r="K44" s="130" t="s">
        <v>2202</v>
      </c>
      <c r="L44" s="130" t="s">
        <v>217</v>
      </c>
      <c r="M44" s="136">
        <v>22098</v>
      </c>
      <c r="N44" s="122"/>
      <c r="O44" s="119" t="s">
        <v>715</v>
      </c>
      <c r="P44" s="371">
        <v>36197</v>
      </c>
    </row>
    <row r="45" spans="1:16">
      <c r="A45" s="210">
        <v>39</v>
      </c>
      <c r="B45" s="234">
        <v>1.7650462962962962E-2</v>
      </c>
      <c r="C45" s="217">
        <f t="shared" si="2"/>
        <v>25.416666666666664</v>
      </c>
      <c r="D45" s="217">
        <f t="shared" si="4"/>
        <v>23.59159235441718</v>
      </c>
      <c r="E45" s="232">
        <f>'5K'!$E45*(1-$K$2)+'10K'!$E45*$K$2</f>
        <v>0.96432659814675015</v>
      </c>
      <c r="F45" s="312">
        <f t="shared" si="5"/>
        <v>92.819379755084</v>
      </c>
      <c r="G45" s="217">
        <v>24.397776405188385</v>
      </c>
      <c r="H45" s="210">
        <v>39</v>
      </c>
      <c r="I45" s="368" t="s">
        <v>2120</v>
      </c>
      <c r="J45" s="130" t="s">
        <v>1572</v>
      </c>
      <c r="K45" s="130" t="s">
        <v>2210</v>
      </c>
      <c r="L45" s="130" t="s">
        <v>765</v>
      </c>
      <c r="M45" s="136">
        <v>24928</v>
      </c>
      <c r="N45" s="122"/>
      <c r="O45" s="119" t="s">
        <v>2211</v>
      </c>
      <c r="P45" s="371">
        <v>39274</v>
      </c>
    </row>
    <row r="46" spans="1:16">
      <c r="A46" s="210">
        <v>40</v>
      </c>
      <c r="B46" s="234">
        <v>1.8275462962962962E-2</v>
      </c>
      <c r="C46" s="217">
        <f t="shared" si="2"/>
        <v>26.316666666666666</v>
      </c>
      <c r="D46" s="217">
        <f t="shared" si="4"/>
        <v>23.739755720376898</v>
      </c>
      <c r="E46" s="232">
        <f>'5K'!$E46*(1-$K$2)+'10K'!$E46*$K$2</f>
        <v>0.9583080916233967</v>
      </c>
      <c r="F46" s="312">
        <f t="shared" si="5"/>
        <v>90.208064801938818</v>
      </c>
      <c r="G46" s="217">
        <v>24.534161490683228</v>
      </c>
      <c r="H46" s="210">
        <v>40</v>
      </c>
      <c r="I46" s="368" t="s">
        <v>2121</v>
      </c>
      <c r="J46" s="130" t="s">
        <v>639</v>
      </c>
      <c r="K46" s="130" t="s">
        <v>2212</v>
      </c>
      <c r="L46" s="130" t="s">
        <v>217</v>
      </c>
      <c r="M46" s="136">
        <v>20887</v>
      </c>
      <c r="N46" s="122"/>
      <c r="O46" s="119" t="s">
        <v>2213</v>
      </c>
      <c r="P46" s="371">
        <v>35623</v>
      </c>
    </row>
    <row r="47" spans="1:16">
      <c r="A47" s="210">
        <v>41</v>
      </c>
      <c r="B47" s="234">
        <v>1.8229166666666668E-2</v>
      </c>
      <c r="C47" s="217">
        <f t="shared" si="2"/>
        <v>26.25</v>
      </c>
      <c r="D47" s="217">
        <f t="shared" si="4"/>
        <v>23.900639091801647</v>
      </c>
      <c r="E47" s="232">
        <f>'5K'!$E47*(1-$K$2)+'10K'!$E47*$K$2</f>
        <v>0.95185739229055444</v>
      </c>
      <c r="F47" s="312">
        <f t="shared" si="5"/>
        <v>91.050053683053889</v>
      </c>
      <c r="G47" s="217">
        <v>24.684928653265285</v>
      </c>
      <c r="H47" s="210">
        <v>41</v>
      </c>
      <c r="I47" s="368" t="s">
        <v>2122</v>
      </c>
      <c r="J47" s="130" t="s">
        <v>2214</v>
      </c>
      <c r="K47" s="130" t="s">
        <v>2215</v>
      </c>
      <c r="L47" s="130" t="s">
        <v>295</v>
      </c>
      <c r="M47" s="136">
        <v>22636</v>
      </c>
      <c r="N47" s="122" t="s">
        <v>2216</v>
      </c>
      <c r="O47" s="119" t="s">
        <v>2217</v>
      </c>
      <c r="P47" s="371">
        <v>37695</v>
      </c>
    </row>
    <row r="48" spans="1:16">
      <c r="A48" s="210">
        <v>42</v>
      </c>
      <c r="B48" s="234">
        <v>1.8159722222222219E-2</v>
      </c>
      <c r="C48" s="217">
        <f t="shared" si="2"/>
        <v>26.149999999999995</v>
      </c>
      <c r="D48" s="217">
        <f t="shared" si="4"/>
        <v>24.074723705699537</v>
      </c>
      <c r="E48" s="232">
        <f>'5K'!$E48*(1-$K$2)+'10K'!$E48*$K$2</f>
        <v>0.94497450014822326</v>
      </c>
      <c r="F48" s="312">
        <f t="shared" si="5"/>
        <v>92.063952985466699</v>
      </c>
      <c r="G48" s="217">
        <v>24.850581944007548</v>
      </c>
      <c r="H48" s="210">
        <v>42</v>
      </c>
      <c r="I48" s="368" t="s">
        <v>2123</v>
      </c>
      <c r="J48" s="171" t="s">
        <v>761</v>
      </c>
      <c r="K48" s="153" t="s">
        <v>533</v>
      </c>
      <c r="L48" s="171" t="s">
        <v>244</v>
      </c>
      <c r="M48" s="136">
        <v>29174</v>
      </c>
      <c r="N48" s="153" t="s">
        <v>2218</v>
      </c>
      <c r="O48" s="171" t="s">
        <v>642</v>
      </c>
      <c r="P48" s="373">
        <v>44738</v>
      </c>
    </row>
    <row r="49" spans="1:16">
      <c r="A49" s="210">
        <v>43</v>
      </c>
      <c r="B49" s="234">
        <v>1.8483796296296297E-2</v>
      </c>
      <c r="C49" s="217">
        <f t="shared" si="2"/>
        <v>26.616666666666667</v>
      </c>
      <c r="D49" s="217">
        <f t="shared" si="4"/>
        <v>24.266050611423328</v>
      </c>
      <c r="E49" s="232">
        <f>'5K'!$E49*(1-$K$2)+'10K'!$E49*$K$2</f>
        <v>0.937523800815381</v>
      </c>
      <c r="F49" s="312">
        <f t="shared" si="5"/>
        <v>91.168630975917324</v>
      </c>
      <c r="G49" s="217">
        <v>25.031685678073512</v>
      </c>
      <c r="H49" s="210">
        <v>43</v>
      </c>
      <c r="I49" s="368" t="s">
        <v>2124</v>
      </c>
      <c r="J49" s="130" t="s">
        <v>293</v>
      </c>
      <c r="K49" s="130" t="s">
        <v>1540</v>
      </c>
      <c r="L49" s="130" t="s">
        <v>295</v>
      </c>
      <c r="M49" s="136">
        <v>22400</v>
      </c>
      <c r="N49" s="122" t="s">
        <v>2219</v>
      </c>
      <c r="O49" s="119" t="s">
        <v>719</v>
      </c>
      <c r="P49" s="371">
        <v>38312</v>
      </c>
    </row>
    <row r="50" spans="1:16">
      <c r="A50" s="210">
        <v>44</v>
      </c>
      <c r="B50" s="234">
        <v>1.8356481481481481E-2</v>
      </c>
      <c r="C50" s="217">
        <f t="shared" si="2"/>
        <v>26.433333333333334</v>
      </c>
      <c r="D50" s="217">
        <f t="shared" si="4"/>
        <v>24.47087716624721</v>
      </c>
      <c r="E50" s="232">
        <f>'5K'!$E50*(1-$K$2)+'10K'!$E50*$K$2</f>
        <v>0.92967652305407256</v>
      </c>
      <c r="F50" s="312">
        <f t="shared" si="5"/>
        <v>92.575827867265616</v>
      </c>
      <c r="G50" s="217">
        <v>25.226184140500266</v>
      </c>
      <c r="H50" s="210">
        <v>44</v>
      </c>
      <c r="I50" s="368" t="s">
        <v>2125</v>
      </c>
      <c r="J50" s="130" t="s">
        <v>557</v>
      </c>
      <c r="K50" s="130" t="s">
        <v>558</v>
      </c>
      <c r="L50" s="130" t="s">
        <v>217</v>
      </c>
      <c r="M50" s="136">
        <v>16398</v>
      </c>
      <c r="N50" s="122"/>
      <c r="O50" s="119" t="s">
        <v>483</v>
      </c>
      <c r="P50" s="371">
        <v>32642</v>
      </c>
    </row>
    <row r="51" spans="1:16">
      <c r="A51" s="210">
        <v>45</v>
      </c>
      <c r="B51" s="234">
        <v>1.8703703703703705E-2</v>
      </c>
      <c r="C51" s="217">
        <f t="shared" si="2"/>
        <v>26.933333333333334</v>
      </c>
      <c r="D51" s="217">
        <f t="shared" si="4"/>
        <v>24.691721466939885</v>
      </c>
      <c r="E51" s="232">
        <f>'5K'!$E51*(1-$K$2)+'10K'!$E51*$K$2</f>
        <v>0.92136143810225279</v>
      </c>
      <c r="F51" s="312">
        <f t="shared" si="5"/>
        <v>91.677183664380763</v>
      </c>
      <c r="G51" s="217">
        <v>25.437372544810561</v>
      </c>
      <c r="H51" s="210">
        <v>45</v>
      </c>
      <c r="I51" s="368" t="s">
        <v>2126</v>
      </c>
      <c r="J51" s="130" t="s">
        <v>557</v>
      </c>
      <c r="K51" s="130" t="s">
        <v>558</v>
      </c>
      <c r="L51" s="130" t="s">
        <v>217</v>
      </c>
      <c r="M51" s="136">
        <v>16398</v>
      </c>
      <c r="N51" s="122"/>
      <c r="O51" s="119" t="s">
        <v>483</v>
      </c>
      <c r="P51" s="371">
        <v>33006</v>
      </c>
    </row>
    <row r="52" spans="1:16">
      <c r="A52" s="210">
        <v>46</v>
      </c>
      <c r="B52" s="234">
        <v>1.9664351851851853E-2</v>
      </c>
      <c r="C52" s="217">
        <f t="shared" si="2"/>
        <v>28.31666666666667</v>
      </c>
      <c r="D52" s="217">
        <f t="shared" si="4"/>
        <v>24.92936098565605</v>
      </c>
      <c r="E52" s="232">
        <f>'5K'!$E52*(1-$K$2)+'10K'!$E52*$K$2</f>
        <v>0.91257854595992172</v>
      </c>
      <c r="F52" s="312">
        <f t="shared" si="5"/>
        <v>88.037766871063155</v>
      </c>
      <c r="G52" s="217">
        <v>25.666016894087068</v>
      </c>
      <c r="H52" s="210">
        <v>46</v>
      </c>
      <c r="I52" s="368" t="s">
        <v>2127</v>
      </c>
      <c r="J52" s="130" t="s">
        <v>1222</v>
      </c>
      <c r="K52" s="130" t="s">
        <v>2220</v>
      </c>
      <c r="L52" s="130" t="s">
        <v>375</v>
      </c>
      <c r="M52" s="136">
        <v>24882</v>
      </c>
      <c r="N52" s="122"/>
      <c r="O52" s="119" t="s">
        <v>2221</v>
      </c>
      <c r="P52" s="371">
        <v>42015</v>
      </c>
    </row>
    <row r="53" spans="1:16">
      <c r="A53" s="210">
        <v>47</v>
      </c>
      <c r="B53" s="234">
        <v>1.8726851851851852E-2</v>
      </c>
      <c r="C53" s="217">
        <f t="shared" si="2"/>
        <v>26.966666666666669</v>
      </c>
      <c r="D53" s="217">
        <f t="shared" si="4"/>
        <v>25.17638896115669</v>
      </c>
      <c r="E53" s="232">
        <f>'5K'!$E53*(1-$K$2)+'10K'!$E53*$K$2</f>
        <v>0.90362442505554563</v>
      </c>
      <c r="F53" s="312">
        <f t="shared" si="5"/>
        <v>93.361145715043335</v>
      </c>
      <c r="G53" s="217">
        <v>25.910134470318138</v>
      </c>
      <c r="H53" s="210">
        <v>47</v>
      </c>
      <c r="I53" s="368" t="s">
        <v>2128</v>
      </c>
      <c r="J53" s="130" t="s">
        <v>301</v>
      </c>
      <c r="K53" s="130" t="s">
        <v>554</v>
      </c>
      <c r="L53" s="130" t="s">
        <v>303</v>
      </c>
      <c r="M53" s="136">
        <v>20152</v>
      </c>
      <c r="N53" s="122" t="s">
        <v>2216</v>
      </c>
      <c r="O53" s="119" t="s">
        <v>2217</v>
      </c>
      <c r="P53" s="371">
        <v>37331</v>
      </c>
    </row>
    <row r="54" spans="1:16">
      <c r="A54" s="210">
        <v>48</v>
      </c>
      <c r="B54" s="234">
        <v>1.800925925925926E-2</v>
      </c>
      <c r="C54" s="217">
        <f t="shared" si="2"/>
        <v>25.933333333333334</v>
      </c>
      <c r="D54" s="217">
        <f t="shared" si="4"/>
        <v>25.439930168178801</v>
      </c>
      <c r="E54" s="232">
        <f>'5K'!$E54*(1-$K$2)+'10K'!$E54*$K$2</f>
        <v>0.89426346100810195</v>
      </c>
      <c r="F54" s="312">
        <f t="shared" si="5"/>
        <v>98.097417100946544</v>
      </c>
      <c r="G54" s="217">
        <v>26.173384870237438</v>
      </c>
      <c r="H54" s="210">
        <v>48</v>
      </c>
      <c r="I54" s="368" t="s">
        <v>2129</v>
      </c>
      <c r="J54" s="130" t="s">
        <v>301</v>
      </c>
      <c r="K54" s="130" t="s">
        <v>554</v>
      </c>
      <c r="L54" s="130" t="s">
        <v>303</v>
      </c>
      <c r="M54" s="136">
        <v>20152</v>
      </c>
      <c r="N54" s="122" t="s">
        <v>2216</v>
      </c>
      <c r="O54" s="119" t="s">
        <v>2217</v>
      </c>
      <c r="P54" s="371">
        <v>37695</v>
      </c>
    </row>
    <row r="55" spans="1:16">
      <c r="A55" s="210">
        <v>49</v>
      </c>
      <c r="B55" s="234">
        <v>1.8101851851851852E-2</v>
      </c>
      <c r="C55" s="217">
        <f t="shared" si="2"/>
        <v>26.066666666666666</v>
      </c>
      <c r="D55" s="217">
        <f t="shared" si="4"/>
        <v>25.716929547749466</v>
      </c>
      <c r="E55" s="232">
        <f>'5K'!$E55*(1-$K$2)+'10K'!$E55*$K$2</f>
        <v>0.88463126819861326</v>
      </c>
      <c r="F55" s="312">
        <f t="shared" si="5"/>
        <v>98.658297497760088</v>
      </c>
      <c r="G55" s="217">
        <v>26.456798392498325</v>
      </c>
      <c r="H55" s="210">
        <v>49</v>
      </c>
      <c r="I55" s="368" t="s">
        <v>2130</v>
      </c>
      <c r="J55" s="130" t="s">
        <v>301</v>
      </c>
      <c r="K55" s="130" t="s">
        <v>554</v>
      </c>
      <c r="L55" s="130" t="s">
        <v>303</v>
      </c>
      <c r="M55" s="136">
        <v>20152</v>
      </c>
      <c r="N55" s="122" t="s">
        <v>2216</v>
      </c>
      <c r="O55" s="119" t="s">
        <v>2217</v>
      </c>
      <c r="P55" s="371">
        <v>38066</v>
      </c>
    </row>
    <row r="56" spans="1:16">
      <c r="A56" s="210">
        <v>50</v>
      </c>
      <c r="B56" s="234">
        <v>1.8530092592592595E-2</v>
      </c>
      <c r="C56" s="217">
        <f t="shared" si="2"/>
        <v>26.683333333333337</v>
      </c>
      <c r="D56" s="217">
        <f t="shared" si="4"/>
        <v>26.006073419225913</v>
      </c>
      <c r="E56" s="232">
        <f>'5K'!$E56*(1-$K$2)+'10K'!$E56*$K$2</f>
        <v>0.87479565381759072</v>
      </c>
      <c r="F56" s="312">
        <f t="shared" si="5"/>
        <v>97.461861658560551</v>
      </c>
      <c r="G56" s="217">
        <v>26.752455130375889</v>
      </c>
      <c r="H56" s="210">
        <v>50</v>
      </c>
      <c r="I56" s="368" t="s">
        <v>2131</v>
      </c>
      <c r="J56" s="130" t="s">
        <v>301</v>
      </c>
      <c r="K56" s="130" t="s">
        <v>554</v>
      </c>
      <c r="L56" s="130" t="s">
        <v>303</v>
      </c>
      <c r="M56" s="136">
        <v>20152</v>
      </c>
      <c r="N56" s="122" t="s">
        <v>2216</v>
      </c>
      <c r="O56" s="119" t="s">
        <v>2217</v>
      </c>
      <c r="P56" s="371">
        <v>38430</v>
      </c>
    </row>
    <row r="57" spans="1:16">
      <c r="A57" s="210">
        <v>51</v>
      </c>
      <c r="B57" s="234">
        <v>2.0231481481481482E-2</v>
      </c>
      <c r="C57" s="217">
        <f t="shared" si="2"/>
        <v>29.133333333333333</v>
      </c>
      <c r="D57" s="217">
        <f t="shared" si="4"/>
        <v>26.301793103435468</v>
      </c>
      <c r="E57" s="232">
        <f>'5K'!$E57*(1-$K$2)+'10K'!$E57*$K$2</f>
        <v>0.86496003943656818</v>
      </c>
      <c r="F57" s="312">
        <f t="shared" si="5"/>
        <v>90.280754359618314</v>
      </c>
      <c r="G57" s="217">
        <v>27.051706426207055</v>
      </c>
      <c r="H57" s="210">
        <v>51</v>
      </c>
      <c r="I57" s="368" t="s">
        <v>2132</v>
      </c>
      <c r="J57" s="130" t="s">
        <v>312</v>
      </c>
      <c r="K57" s="130" t="s">
        <v>578</v>
      </c>
      <c r="L57" s="130" t="s">
        <v>314</v>
      </c>
      <c r="M57" s="136">
        <v>22396</v>
      </c>
      <c r="N57" s="122"/>
      <c r="O57" s="119" t="s">
        <v>315</v>
      </c>
      <c r="P57" s="371">
        <v>41066</v>
      </c>
    </row>
    <row r="58" spans="1:16">
      <c r="A58" s="210">
        <v>52</v>
      </c>
      <c r="B58" s="234">
        <v>1.9722222222222221E-2</v>
      </c>
      <c r="C58" s="217">
        <f t="shared" si="2"/>
        <v>28.4</v>
      </c>
      <c r="D58" s="217">
        <f t="shared" si="4"/>
        <v>26.60642526433373</v>
      </c>
      <c r="E58" s="232">
        <f>'5K'!$E58*(1-$K$2)+'10K'!$E58*$K$2</f>
        <v>0.85505661786503429</v>
      </c>
      <c r="F58" s="312">
        <f t="shared" si="5"/>
        <v>93.684596001175109</v>
      </c>
      <c r="G58" s="217">
        <v>27.360886631262989</v>
      </c>
      <c r="H58" s="210">
        <v>52</v>
      </c>
      <c r="I58" s="368" t="s">
        <v>2133</v>
      </c>
      <c r="J58" s="130" t="s">
        <v>312</v>
      </c>
      <c r="K58" s="130" t="s">
        <v>578</v>
      </c>
      <c r="L58" s="130" t="s">
        <v>314</v>
      </c>
      <c r="M58" s="136">
        <v>22396</v>
      </c>
      <c r="N58" s="122"/>
      <c r="O58" s="119" t="s">
        <v>2222</v>
      </c>
      <c r="P58" s="371">
        <v>41458</v>
      </c>
    </row>
    <row r="59" spans="1:16">
      <c r="A59" s="210">
        <v>53</v>
      </c>
      <c r="B59" s="234">
        <v>2.0682870370370372E-2</v>
      </c>
      <c r="C59" s="217">
        <f t="shared" si="2"/>
        <v>29.783333333333335</v>
      </c>
      <c r="D59" s="217">
        <f t="shared" si="4"/>
        <v>26.916037233130989</v>
      </c>
      <c r="E59" s="232">
        <f>'5K'!$E59*(1-$K$2)+'10K'!$E59*$K$2</f>
        <v>0.84522100348401186</v>
      </c>
      <c r="F59" s="312">
        <f t="shared" si="5"/>
        <v>90.372816675313899</v>
      </c>
      <c r="G59" s="217">
        <v>27.677215928996848</v>
      </c>
      <c r="H59" s="210">
        <v>53</v>
      </c>
      <c r="I59" s="368" t="s">
        <v>2134</v>
      </c>
      <c r="J59" s="130" t="s">
        <v>583</v>
      </c>
      <c r="K59" s="130" t="s">
        <v>584</v>
      </c>
      <c r="L59" s="130" t="s">
        <v>552</v>
      </c>
      <c r="M59" s="136">
        <v>21934</v>
      </c>
      <c r="N59" s="122"/>
      <c r="O59" s="119" t="s">
        <v>2223</v>
      </c>
      <c r="P59" s="371">
        <v>41637</v>
      </c>
    </row>
    <row r="60" spans="1:16">
      <c r="A60" s="210">
        <v>54</v>
      </c>
      <c r="B60" s="234">
        <v>2.0509259259259258E-2</v>
      </c>
      <c r="C60" s="217">
        <f t="shared" si="2"/>
        <v>29.533333333333331</v>
      </c>
      <c r="D60" s="217">
        <f t="shared" si="4"/>
        <v>27.232939786543596</v>
      </c>
      <c r="E60" s="232">
        <f>'5K'!$E60*(1-$K$2)+'10K'!$E60*$K$2</f>
        <v>0.83538538910298932</v>
      </c>
      <c r="F60" s="312">
        <f t="shared" si="5"/>
        <v>92.210857065046042</v>
      </c>
      <c r="G60" s="217">
        <v>27.997637330183107</v>
      </c>
      <c r="H60" s="210">
        <v>54</v>
      </c>
      <c r="I60" s="368" t="s">
        <v>2135</v>
      </c>
      <c r="J60" s="130" t="s">
        <v>350</v>
      </c>
      <c r="K60" s="130" t="s">
        <v>1578</v>
      </c>
      <c r="L60" s="130" t="s">
        <v>314</v>
      </c>
      <c r="M60" s="136">
        <v>18021</v>
      </c>
      <c r="N60" s="122"/>
      <c r="O60" s="119" t="s">
        <v>2222</v>
      </c>
      <c r="P60" s="371">
        <v>37810</v>
      </c>
    </row>
    <row r="61" spans="1:16">
      <c r="A61" s="210">
        <v>55</v>
      </c>
      <c r="B61" s="234">
        <v>2.1319444444444443E-2</v>
      </c>
      <c r="C61" s="217">
        <f t="shared" si="2"/>
        <v>30.7</v>
      </c>
      <c r="D61" s="217">
        <f t="shared" si="4"/>
        <v>27.55965713949178</v>
      </c>
      <c r="E61" s="232">
        <f>'5K'!$E61*(1-$K$2)+'10K'!$E61*$K$2</f>
        <v>0.82548196753145553</v>
      </c>
      <c r="F61" s="312">
        <f t="shared" si="5"/>
        <v>89.770870161211008</v>
      </c>
      <c r="G61" s="217">
        <v>28.328950513985177</v>
      </c>
      <c r="H61" s="210">
        <v>55</v>
      </c>
      <c r="I61" s="368" t="s">
        <v>2136</v>
      </c>
      <c r="J61" s="130" t="s">
        <v>803</v>
      </c>
      <c r="K61" s="130" t="s">
        <v>888</v>
      </c>
      <c r="L61" s="130" t="s">
        <v>217</v>
      </c>
      <c r="M61" s="136">
        <v>15914</v>
      </c>
      <c r="N61" s="122"/>
      <c r="O61" s="119" t="s">
        <v>2224</v>
      </c>
      <c r="P61" s="371">
        <v>36015</v>
      </c>
    </row>
    <row r="62" spans="1:16">
      <c r="A62" s="210">
        <v>56</v>
      </c>
      <c r="B62" s="234">
        <v>2.0937499999999998E-2</v>
      </c>
      <c r="C62" s="217">
        <f t="shared" si="2"/>
        <v>30.15</v>
      </c>
      <c r="D62" s="217">
        <f t="shared" si="4"/>
        <v>27.893091005788833</v>
      </c>
      <c r="E62" s="232">
        <f>'5K'!$E62*(1-$K$2)+'10K'!$E62*$K$2</f>
        <v>0.81561416034094414</v>
      </c>
      <c r="F62" s="312">
        <f t="shared" si="5"/>
        <v>92.514398029150357</v>
      </c>
      <c r="G62" s="217">
        <v>28.664731494920176</v>
      </c>
      <c r="H62" s="210">
        <v>56</v>
      </c>
      <c r="I62" s="368" t="s">
        <v>2137</v>
      </c>
      <c r="J62" s="130" t="s">
        <v>2225</v>
      </c>
      <c r="K62" s="130" t="s">
        <v>2226</v>
      </c>
      <c r="L62" s="130" t="s">
        <v>375</v>
      </c>
      <c r="M62" s="136">
        <v>21941</v>
      </c>
      <c r="N62" s="122"/>
      <c r="O62" s="119" t="s">
        <v>2186</v>
      </c>
      <c r="P62" s="371">
        <v>42469</v>
      </c>
    </row>
    <row r="63" spans="1:16">
      <c r="A63" s="210">
        <v>57</v>
      </c>
      <c r="B63" s="234">
        <v>2.1319444444444443E-2</v>
      </c>
      <c r="C63" s="217">
        <f t="shared" si="2"/>
        <v>30.7</v>
      </c>
      <c r="D63" s="217">
        <f t="shared" si="4"/>
        <v>28.235939904123473</v>
      </c>
      <c r="E63" s="232">
        <f>'5K'!$E63*(1-$K$2)+'10K'!$E63*$K$2</f>
        <v>0.80571073876941046</v>
      </c>
      <c r="F63" s="312">
        <f t="shared" si="5"/>
        <v>91.973745616037377</v>
      </c>
      <c r="G63" s="217">
        <v>29.012118986412045</v>
      </c>
      <c r="H63" s="210">
        <v>57</v>
      </c>
      <c r="I63" s="368" t="s">
        <v>2136</v>
      </c>
      <c r="J63" s="130" t="s">
        <v>1234</v>
      </c>
      <c r="K63" s="130" t="s">
        <v>1564</v>
      </c>
      <c r="L63" s="130" t="s">
        <v>217</v>
      </c>
      <c r="M63" s="136">
        <v>14922</v>
      </c>
      <c r="N63" s="122" t="s">
        <v>2227</v>
      </c>
      <c r="O63" s="119" t="s">
        <v>2228</v>
      </c>
      <c r="P63" s="371">
        <v>35883</v>
      </c>
    </row>
    <row r="64" spans="1:16">
      <c r="A64" s="210">
        <v>58</v>
      </c>
      <c r="B64" s="234">
        <v>2.1944444444444447E-2</v>
      </c>
      <c r="C64" s="217">
        <f t="shared" si="2"/>
        <v>31.600000000000005</v>
      </c>
      <c r="D64" s="217">
        <f t="shared" si="4"/>
        <v>28.584886375840508</v>
      </c>
      <c r="E64" s="232">
        <f>'5K'!$E64*(1-$K$2)+'10K'!$E64*$K$2</f>
        <v>0.79587512438838792</v>
      </c>
      <c r="F64" s="312">
        <f t="shared" si="5"/>
        <v>90.458501189368675</v>
      </c>
      <c r="G64" s="217">
        <v>29.368029739776947</v>
      </c>
      <c r="H64" s="210">
        <v>58</v>
      </c>
      <c r="I64" s="368" t="s">
        <v>2138</v>
      </c>
      <c r="J64" s="130" t="s">
        <v>335</v>
      </c>
      <c r="K64" s="130" t="s">
        <v>594</v>
      </c>
      <c r="L64" s="130" t="s">
        <v>217</v>
      </c>
      <c r="M64" s="136">
        <v>18901</v>
      </c>
      <c r="N64" s="122" t="s">
        <v>2229</v>
      </c>
      <c r="O64" s="119" t="s">
        <v>529</v>
      </c>
      <c r="P64" s="371">
        <v>40111</v>
      </c>
    </row>
    <row r="65" spans="1:16">
      <c r="A65" s="210">
        <v>59</v>
      </c>
      <c r="B65" s="234">
        <v>2.1898148148148149E-2</v>
      </c>
      <c r="C65" s="217">
        <f t="shared" si="2"/>
        <v>31.533333333333335</v>
      </c>
      <c r="D65" s="217">
        <f t="shared" si="4"/>
        <v>28.942565494941629</v>
      </c>
      <c r="E65" s="232">
        <f>'5K'!$E65*(1-$K$2)+'10K'!$E65*$K$2</f>
        <v>0.78603951000736538</v>
      </c>
      <c r="F65" s="312">
        <f t="shared" si="5"/>
        <v>91.784034339138358</v>
      </c>
      <c r="G65" s="217">
        <v>29.729051680883089</v>
      </c>
      <c r="H65" s="210">
        <v>59</v>
      </c>
      <c r="I65" s="368" t="s">
        <v>2139</v>
      </c>
      <c r="J65" s="130" t="s">
        <v>326</v>
      </c>
      <c r="K65" s="130" t="s">
        <v>2029</v>
      </c>
      <c r="L65" s="130" t="s">
        <v>217</v>
      </c>
      <c r="M65" s="136">
        <v>20087</v>
      </c>
      <c r="N65" s="122" t="s">
        <v>2230</v>
      </c>
      <c r="O65" s="22" t="s">
        <v>2231</v>
      </c>
      <c r="P65" s="371">
        <v>41693</v>
      </c>
    </row>
    <row r="66" spans="1:16">
      <c r="A66" s="210">
        <v>60</v>
      </c>
      <c r="B66" s="234">
        <v>2.1851851851851848E-2</v>
      </c>
      <c r="C66" s="217">
        <f t="shared" si="2"/>
        <v>31.466666666666661</v>
      </c>
      <c r="D66" s="217">
        <f t="shared" si="4"/>
        <v>29.311869836962099</v>
      </c>
      <c r="E66" s="232">
        <f>'5K'!$E66*(1-$K$2)+'10K'!$E66*$K$2</f>
        <v>0.77613608843583159</v>
      </c>
      <c r="F66" s="312">
        <f t="shared" si="5"/>
        <v>93.152128719159236</v>
      </c>
      <c r="G66" s="217">
        <v>30.10288327194208</v>
      </c>
      <c r="H66" s="210">
        <v>60</v>
      </c>
      <c r="I66" s="368" t="s">
        <v>422</v>
      </c>
      <c r="J66" s="130" t="s">
        <v>326</v>
      </c>
      <c r="K66" s="130" t="s">
        <v>2029</v>
      </c>
      <c r="L66" s="130" t="s">
        <v>217</v>
      </c>
      <c r="M66" s="136">
        <v>20087</v>
      </c>
      <c r="N66" s="122" t="s">
        <v>2230</v>
      </c>
      <c r="O66" s="119" t="s">
        <v>2168</v>
      </c>
      <c r="P66" s="371">
        <v>42057</v>
      </c>
    </row>
    <row r="67" spans="1:16">
      <c r="A67" s="210">
        <v>61</v>
      </c>
      <c r="B67" s="234">
        <v>2.2430555555555554E-2</v>
      </c>
      <c r="C67" s="217">
        <f t="shared" si="2"/>
        <v>32.299999999999997</v>
      </c>
      <c r="D67" s="217">
        <f t="shared" si="4"/>
        <v>29.688093339705834</v>
      </c>
      <c r="E67" s="232">
        <f>'5K'!$E67*(1-$K$2)+'10K'!$E67*$K$2</f>
        <v>0.76630047405480906</v>
      </c>
      <c r="F67" s="312">
        <f t="shared" si="5"/>
        <v>91.913601670915895</v>
      </c>
      <c r="G67" s="217">
        <v>30.486236171854902</v>
      </c>
      <c r="H67" s="210">
        <v>61</v>
      </c>
      <c r="I67" s="368" t="s">
        <v>2140</v>
      </c>
      <c r="J67" s="130" t="s">
        <v>347</v>
      </c>
      <c r="K67" s="130" t="s">
        <v>597</v>
      </c>
      <c r="L67" s="130" t="s">
        <v>259</v>
      </c>
      <c r="M67" s="136">
        <v>17277</v>
      </c>
      <c r="N67" s="122"/>
      <c r="O67" s="119" t="s">
        <v>2232</v>
      </c>
      <c r="P67" s="371">
        <v>39616</v>
      </c>
    </row>
    <row r="68" spans="1:16">
      <c r="A68" s="210">
        <v>62</v>
      </c>
      <c r="B68" s="234">
        <v>2.1979166666666664E-2</v>
      </c>
      <c r="C68" s="217">
        <f t="shared" si="2"/>
        <v>31.649999999999995</v>
      </c>
      <c r="D68" s="217">
        <f t="shared" si="4"/>
        <v>30.07679620817008</v>
      </c>
      <c r="E68" s="232">
        <f>'5K'!$E68*(1-$K$2)+'10K'!$E68*$K$2</f>
        <v>0.75639705248327527</v>
      </c>
      <c r="F68" s="312">
        <f t="shared" si="5"/>
        <v>95.029371905750665</v>
      </c>
      <c r="G68" s="217">
        <v>30.875455966649298</v>
      </c>
      <c r="H68" s="210">
        <v>62</v>
      </c>
      <c r="I68" s="368" t="s">
        <v>2141</v>
      </c>
      <c r="J68" s="130" t="s">
        <v>347</v>
      </c>
      <c r="K68" s="130" t="s">
        <v>597</v>
      </c>
      <c r="L68" s="130" t="s">
        <v>259</v>
      </c>
      <c r="M68" s="136">
        <v>17277</v>
      </c>
      <c r="N68" s="122"/>
      <c r="O68" s="119" t="s">
        <v>2233</v>
      </c>
      <c r="P68" s="371">
        <v>40027</v>
      </c>
    </row>
    <row r="69" spans="1:16">
      <c r="A69" s="210">
        <v>63</v>
      </c>
      <c r="B69" s="234">
        <v>2.269675925925926E-2</v>
      </c>
      <c r="C69" s="217">
        <f t="shared" si="2"/>
        <v>32.683333333333337</v>
      </c>
      <c r="D69" s="217">
        <f t="shared" si="4"/>
        <v>30.473044600093647</v>
      </c>
      <c r="E69" s="232">
        <f>'5K'!$E69*(1-$K$2)+'10K'!$E69*$K$2</f>
        <v>0.74656143810225273</v>
      </c>
      <c r="F69" s="312">
        <f t="shared" si="5"/>
        <v>93.237260377645015</v>
      </c>
      <c r="G69" s="217">
        <v>31.278870265276492</v>
      </c>
      <c r="H69" s="210">
        <v>63</v>
      </c>
      <c r="I69" s="368" t="s">
        <v>2142</v>
      </c>
      <c r="J69" s="130" t="s">
        <v>335</v>
      </c>
      <c r="K69" s="130" t="s">
        <v>594</v>
      </c>
      <c r="L69" s="130" t="s">
        <v>217</v>
      </c>
      <c r="M69" s="136">
        <v>18901</v>
      </c>
      <c r="N69" s="122" t="s">
        <v>2234</v>
      </c>
      <c r="O69" s="119" t="s">
        <v>1371</v>
      </c>
      <c r="P69" s="172">
        <v>41965</v>
      </c>
    </row>
    <row r="70" spans="1:16">
      <c r="A70" s="210">
        <v>64</v>
      </c>
      <c r="B70" s="234">
        <v>2.372685185185185E-2</v>
      </c>
      <c r="C70" s="217">
        <f t="shared" si="2"/>
        <v>34.166666666666664</v>
      </c>
      <c r="D70" s="217">
        <f t="shared" si="4"/>
        <v>30.879873173291095</v>
      </c>
      <c r="E70" s="232">
        <f>'5K'!$E70*(1-$K$2)+'10K'!$E70*$K$2</f>
        <v>0.73672582372123019</v>
      </c>
      <c r="F70" s="312">
        <f t="shared" si="5"/>
        <v>90.380116604754434</v>
      </c>
      <c r="G70" s="217">
        <v>31.692966033698848</v>
      </c>
      <c r="H70" s="210">
        <v>64</v>
      </c>
      <c r="I70" s="368" t="s">
        <v>2143</v>
      </c>
      <c r="J70" s="130" t="s">
        <v>335</v>
      </c>
      <c r="K70" s="130" t="s">
        <v>594</v>
      </c>
      <c r="L70" s="130" t="s">
        <v>217</v>
      </c>
      <c r="M70" s="136">
        <v>18901</v>
      </c>
      <c r="N70" s="122" t="s">
        <v>2235</v>
      </c>
      <c r="O70" s="119" t="s">
        <v>529</v>
      </c>
      <c r="P70" s="371">
        <v>42603</v>
      </c>
    </row>
    <row r="71" spans="1:16">
      <c r="A71" s="210">
        <v>65</v>
      </c>
      <c r="B71" s="234">
        <v>2.3472222222222217E-2</v>
      </c>
      <c r="C71" s="217">
        <f t="shared" si="2"/>
        <v>33.79999999999999</v>
      </c>
      <c r="D71" s="217">
        <f t="shared" si="4"/>
        <v>31.30063125835575</v>
      </c>
      <c r="E71" s="232">
        <f>'5K'!$E71*(1-$K$2)+'10K'!$E71*$K$2</f>
        <v>0.7268224021496964</v>
      </c>
      <c r="F71" s="312">
        <f t="shared" si="5"/>
        <v>92.605417924129469</v>
      </c>
      <c r="G71" s="217">
        <v>32.113821138211378</v>
      </c>
      <c r="H71" s="210">
        <v>65</v>
      </c>
      <c r="I71" s="368" t="s">
        <v>2144</v>
      </c>
      <c r="J71" s="130" t="s">
        <v>340</v>
      </c>
      <c r="K71" s="130" t="s">
        <v>1916</v>
      </c>
      <c r="L71" s="130" t="s">
        <v>217</v>
      </c>
      <c r="M71" s="136">
        <v>17959</v>
      </c>
      <c r="N71" s="122" t="s">
        <v>2236</v>
      </c>
      <c r="O71" s="119" t="s">
        <v>343</v>
      </c>
      <c r="P71" s="371">
        <v>41720</v>
      </c>
    </row>
    <row r="72" spans="1:16">
      <c r="A72" s="210">
        <v>66</v>
      </c>
      <c r="B72" s="234">
        <v>2.4641203703703703E-2</v>
      </c>
      <c r="C72" s="217">
        <f t="shared" si="2"/>
        <v>35.483333333333334</v>
      </c>
      <c r="D72" s="217">
        <f t="shared" si="4"/>
        <v>31.731437611185285</v>
      </c>
      <c r="E72" s="232">
        <f>'5K'!$E72*(1-$K$2)+'10K'!$E72*$K$2</f>
        <v>0.71695459495918512</v>
      </c>
      <c r="F72" s="312">
        <f t="shared" si="5"/>
        <v>89.426315484787082</v>
      </c>
      <c r="G72" s="217">
        <v>32.550473836011534</v>
      </c>
      <c r="H72" s="210">
        <v>66</v>
      </c>
      <c r="I72" s="368" t="s">
        <v>2145</v>
      </c>
      <c r="J72" s="130" t="s">
        <v>1272</v>
      </c>
      <c r="K72" s="130" t="s">
        <v>2237</v>
      </c>
      <c r="L72" s="130" t="s">
        <v>217</v>
      </c>
      <c r="M72" s="136">
        <v>11324</v>
      </c>
      <c r="N72" s="122"/>
      <c r="O72" s="119" t="s">
        <v>2213</v>
      </c>
      <c r="P72" s="371">
        <v>35623</v>
      </c>
    </row>
    <row r="73" spans="1:16">
      <c r="A73" s="210">
        <v>67</v>
      </c>
      <c r="B73" s="234">
        <v>2.461805555555556E-2</v>
      </c>
      <c r="C73" s="217">
        <f t="shared" si="2"/>
        <v>35.450000000000003</v>
      </c>
      <c r="D73" s="217">
        <f t="shared" ref="D73:D104" si="6">E$4/E73</f>
        <v>32.17588889782801</v>
      </c>
      <c r="E73" s="232">
        <f>'5K'!$E73*(1-$K$2)+'10K'!$E73*$K$2</f>
        <v>0.70705117338765133</v>
      </c>
      <c r="F73" s="312">
        <f t="shared" si="5"/>
        <v>90.76414357638366</v>
      </c>
      <c r="G73" s="217">
        <v>32.999164578111944</v>
      </c>
      <c r="H73" s="210">
        <v>67</v>
      </c>
      <c r="I73" s="368" t="s">
        <v>2146</v>
      </c>
      <c r="J73" s="130" t="s">
        <v>1577</v>
      </c>
      <c r="K73" s="130" t="s">
        <v>1578</v>
      </c>
      <c r="L73" s="130" t="s">
        <v>217</v>
      </c>
      <c r="M73" s="136">
        <v>18106</v>
      </c>
      <c r="N73" s="122" t="s">
        <v>2230</v>
      </c>
      <c r="O73" s="119" t="s">
        <v>2217</v>
      </c>
      <c r="P73" s="371">
        <v>42812</v>
      </c>
    </row>
    <row r="74" spans="1:16">
      <c r="A74" s="210">
        <v>68</v>
      </c>
      <c r="B74" s="234">
        <v>2.361111111111111E-2</v>
      </c>
      <c r="C74" s="217">
        <f t="shared" si="2"/>
        <v>34</v>
      </c>
      <c r="D74" s="217">
        <f t="shared" si="6"/>
        <v>32.629793908233339</v>
      </c>
      <c r="E74" s="232">
        <f>'5K'!$E74*(1-$K$2)+'10K'!$E74*$K$2</f>
        <v>0.6972155590066289</v>
      </c>
      <c r="F74" s="312">
        <f t="shared" si="5"/>
        <v>95.969982083039227</v>
      </c>
      <c r="G74" s="217">
        <v>33.455674760022582</v>
      </c>
      <c r="H74" s="210">
        <v>68</v>
      </c>
      <c r="I74" s="368" t="s">
        <v>2143</v>
      </c>
      <c r="J74" s="130" t="s">
        <v>340</v>
      </c>
      <c r="K74" s="130" t="s">
        <v>1916</v>
      </c>
      <c r="L74" s="130" t="s">
        <v>217</v>
      </c>
      <c r="M74" s="136">
        <v>17959</v>
      </c>
      <c r="N74" s="122"/>
      <c r="O74" s="119" t="s">
        <v>343</v>
      </c>
      <c r="P74" s="371">
        <v>42805</v>
      </c>
    </row>
    <row r="75" spans="1:16">
      <c r="A75" s="210">
        <v>69</v>
      </c>
      <c r="B75" s="234">
        <v>2.7013888888888889E-2</v>
      </c>
      <c r="C75" s="217">
        <f t="shared" ref="C75:C91" si="7">B75*1440</f>
        <v>38.9</v>
      </c>
      <c r="D75" s="217">
        <f t="shared" si="6"/>
        <v>33.096688633229164</v>
      </c>
      <c r="E75" s="232">
        <f>'5K'!$E75*(1-$K$2)+'10K'!$E75*$K$2</f>
        <v>0.68737994462560636</v>
      </c>
      <c r="F75" s="312">
        <f t="shared" si="5"/>
        <v>85.081461782080112</v>
      </c>
      <c r="G75" s="217">
        <v>33.929849677881172</v>
      </c>
      <c r="H75" s="210">
        <v>69</v>
      </c>
      <c r="I75" s="368" t="s">
        <v>2147</v>
      </c>
      <c r="J75" s="22" t="s">
        <v>872</v>
      </c>
      <c r="K75" s="22" t="s">
        <v>2238</v>
      </c>
      <c r="L75" s="130" t="s">
        <v>217</v>
      </c>
      <c r="M75" s="136">
        <v>17106</v>
      </c>
      <c r="N75" s="22" t="s">
        <v>2205</v>
      </c>
      <c r="O75" s="119" t="s">
        <v>865</v>
      </c>
      <c r="P75" s="172">
        <v>42463</v>
      </c>
    </row>
    <row r="76" spans="1:16">
      <c r="A76" s="210">
        <v>70</v>
      </c>
      <c r="B76" s="234">
        <v>2.5011574074074075E-2</v>
      </c>
      <c r="C76" s="217">
        <f t="shared" si="7"/>
        <v>36.016666666666666</v>
      </c>
      <c r="D76" s="217">
        <f t="shared" si="6"/>
        <v>33.580499435526889</v>
      </c>
      <c r="E76" s="232">
        <f>'5K'!$E76*(1-$K$2)+'10K'!$E76*$K$2</f>
        <v>0.67747652305407247</v>
      </c>
      <c r="F76" s="312">
        <f t="shared" ref="F76:F91" si="8">100*(D76/C76)</f>
        <v>93.236000283739628</v>
      </c>
      <c r="G76" s="217">
        <v>34.417659018297996</v>
      </c>
      <c r="H76" s="210">
        <v>70</v>
      </c>
      <c r="I76" s="368" t="s">
        <v>2148</v>
      </c>
      <c r="J76" s="130" t="s">
        <v>347</v>
      </c>
      <c r="K76" s="130" t="s">
        <v>597</v>
      </c>
      <c r="L76" s="130" t="s">
        <v>259</v>
      </c>
      <c r="M76" s="136">
        <v>17277</v>
      </c>
      <c r="N76" s="122"/>
      <c r="O76" s="119" t="s">
        <v>2239</v>
      </c>
      <c r="P76" s="371">
        <v>42867</v>
      </c>
    </row>
    <row r="77" spans="1:16">
      <c r="A77" s="210">
        <v>71</v>
      </c>
      <c r="B77" s="234">
        <v>2.6805555555555555E-2</v>
      </c>
      <c r="C77" s="217">
        <f t="shared" si="7"/>
        <v>38.6</v>
      </c>
      <c r="D77" s="217">
        <f t="shared" si="6"/>
        <v>34.07520375768479</v>
      </c>
      <c r="E77" s="232">
        <f>'5K'!$E77*(1-$K$2)+'10K'!$E77*$K$2</f>
        <v>0.66764090867304993</v>
      </c>
      <c r="F77" s="312">
        <f t="shared" si="8"/>
        <v>88.277729942188571</v>
      </c>
      <c r="G77" s="217">
        <v>34.914555097230405</v>
      </c>
      <c r="H77" s="210">
        <v>71</v>
      </c>
      <c r="I77" s="368" t="s">
        <v>2149</v>
      </c>
      <c r="J77" s="22" t="s">
        <v>354</v>
      </c>
      <c r="K77" s="22" t="s">
        <v>355</v>
      </c>
      <c r="L77" s="130" t="s">
        <v>217</v>
      </c>
      <c r="M77" s="136">
        <v>16210</v>
      </c>
      <c r="N77" s="374" t="s">
        <v>2240</v>
      </c>
      <c r="O77" s="119" t="s">
        <v>2241</v>
      </c>
      <c r="P77" s="172">
        <v>42225</v>
      </c>
    </row>
    <row r="78" spans="1:16">
      <c r="A78" s="210">
        <v>72</v>
      </c>
      <c r="B78" s="234">
        <v>2.7407407407407408E-2</v>
      </c>
      <c r="C78" s="217">
        <f t="shared" si="7"/>
        <v>39.466666666666669</v>
      </c>
      <c r="D78" s="217">
        <f t="shared" si="6"/>
        <v>34.588267274005524</v>
      </c>
      <c r="E78" s="232">
        <f>'5K'!$E78*(1-$K$2)+'10K'!$E78*$K$2</f>
        <v>0.65773748710151614</v>
      </c>
      <c r="F78" s="312">
        <f t="shared" si="8"/>
        <v>87.63919072805453</v>
      </c>
      <c r="G78" s="217">
        <v>35.431305127821794</v>
      </c>
      <c r="H78" s="210">
        <v>72</v>
      </c>
      <c r="I78" s="368" t="s">
        <v>2150</v>
      </c>
      <c r="J78" s="130" t="s">
        <v>611</v>
      </c>
      <c r="K78" s="130" t="s">
        <v>612</v>
      </c>
      <c r="L78" s="130" t="s">
        <v>259</v>
      </c>
      <c r="M78" s="136">
        <v>12120</v>
      </c>
      <c r="N78" s="122"/>
      <c r="O78" s="119" t="s">
        <v>2242</v>
      </c>
      <c r="P78" s="371">
        <v>38676</v>
      </c>
    </row>
    <row r="79" spans="1:16">
      <c r="A79" s="210">
        <v>73</v>
      </c>
      <c r="B79" s="234">
        <v>2.6354166666666668E-2</v>
      </c>
      <c r="C79" s="217">
        <f t="shared" si="7"/>
        <v>37.950000000000003</v>
      </c>
      <c r="D79" s="217">
        <f t="shared" si="6"/>
        <v>35.113341939380994</v>
      </c>
      <c r="E79" s="232">
        <f>'5K'!$E79*(1-$K$2)+'10K'!$E79*$K$2</f>
        <v>0.64790187272049371</v>
      </c>
      <c r="F79" s="312">
        <f t="shared" si="8"/>
        <v>92.52527520258495</v>
      </c>
      <c r="G79" s="217">
        <v>35.963581183611531</v>
      </c>
      <c r="H79" s="210">
        <v>73</v>
      </c>
      <c r="I79" s="368" t="s">
        <v>2151</v>
      </c>
      <c r="J79" s="130" t="s">
        <v>611</v>
      </c>
      <c r="K79" s="130" t="s">
        <v>612</v>
      </c>
      <c r="L79" s="130" t="s">
        <v>259</v>
      </c>
      <c r="M79" s="136">
        <v>12120</v>
      </c>
      <c r="N79" s="122"/>
      <c r="O79" s="119" t="s">
        <v>547</v>
      </c>
      <c r="P79" s="371">
        <v>38866</v>
      </c>
    </row>
    <row r="80" spans="1:16">
      <c r="A80" s="210">
        <v>74</v>
      </c>
      <c r="B80" s="234">
        <v>2.7881944444444445E-2</v>
      </c>
      <c r="C80" s="217">
        <f t="shared" si="7"/>
        <v>40.15</v>
      </c>
      <c r="D80" s="217">
        <f t="shared" si="6"/>
        <v>35.654604365392238</v>
      </c>
      <c r="E80" s="232">
        <f>'5K'!$E80*(1-$K$2)+'10K'!$E80*$K$2</f>
        <v>0.63806625833947117</v>
      </c>
      <c r="F80" s="312">
        <f t="shared" si="8"/>
        <v>88.803497796742818</v>
      </c>
      <c r="G80" s="217">
        <v>36.506469500924212</v>
      </c>
      <c r="H80" s="210">
        <v>74</v>
      </c>
      <c r="I80" s="368" t="s">
        <v>2152</v>
      </c>
      <c r="J80" s="22" t="s">
        <v>636</v>
      </c>
      <c r="K80" s="22" t="s">
        <v>637</v>
      </c>
      <c r="L80" s="130" t="s">
        <v>217</v>
      </c>
      <c r="M80" s="136">
        <v>6357</v>
      </c>
      <c r="N80" s="122" t="s">
        <v>2216</v>
      </c>
      <c r="O80" s="119" t="s">
        <v>1928</v>
      </c>
      <c r="P80" s="371">
        <v>33734</v>
      </c>
    </row>
    <row r="81" spans="1:16">
      <c r="A81" s="210">
        <v>75</v>
      </c>
      <c r="B81" s="234">
        <v>2.8946759259259255E-2</v>
      </c>
      <c r="C81" s="217">
        <f t="shared" si="7"/>
        <v>41.68333333333333</v>
      </c>
      <c r="D81" s="217">
        <f t="shared" si="6"/>
        <v>36.216723862644784</v>
      </c>
      <c r="E81" s="232">
        <f>'5K'!$E81*(1-$K$2)+'10K'!$E81*$K$2</f>
        <v>0.62816283676793738</v>
      </c>
      <c r="F81" s="312">
        <f t="shared" si="8"/>
        <v>86.885383117100645</v>
      </c>
      <c r="G81" s="217">
        <v>37.07179727827311</v>
      </c>
      <c r="H81" s="210">
        <v>75</v>
      </c>
      <c r="I81" s="368" t="s">
        <v>2153</v>
      </c>
      <c r="J81" s="130" t="s">
        <v>2243</v>
      </c>
      <c r="K81" s="130" t="s">
        <v>2244</v>
      </c>
      <c r="L81" s="130" t="s">
        <v>375</v>
      </c>
      <c r="M81" s="136">
        <v>14071</v>
      </c>
      <c r="N81" s="122"/>
      <c r="O81" s="119" t="s">
        <v>635</v>
      </c>
      <c r="P81" s="371">
        <v>41560</v>
      </c>
    </row>
    <row r="82" spans="1:16">
      <c r="A82" s="210">
        <v>76</v>
      </c>
      <c r="B82" s="234">
        <v>2.8043981481481479E-2</v>
      </c>
      <c r="C82" s="217">
        <f t="shared" si="7"/>
        <v>40.383333333333333</v>
      </c>
      <c r="D82" s="217">
        <f t="shared" si="6"/>
        <v>36.810880050226395</v>
      </c>
      <c r="E82" s="232">
        <f>'5K'!$E82*(1-$K$2)+'10K'!$E82*$K$2</f>
        <v>0.618023800815381</v>
      </c>
      <c r="F82" s="312">
        <f t="shared" si="8"/>
        <v>91.153644367048443</v>
      </c>
      <c r="G82" s="217">
        <v>37.654909437559581</v>
      </c>
      <c r="H82" s="210">
        <v>76</v>
      </c>
      <c r="I82" s="368" t="s">
        <v>2154</v>
      </c>
      <c r="J82" s="130" t="s">
        <v>611</v>
      </c>
      <c r="K82" s="130" t="s">
        <v>612</v>
      </c>
      <c r="L82" s="130" t="s">
        <v>259</v>
      </c>
      <c r="M82" s="136">
        <v>12120</v>
      </c>
      <c r="N82" s="122"/>
      <c r="O82" s="119" t="s">
        <v>2245</v>
      </c>
      <c r="P82" s="371">
        <v>39958</v>
      </c>
    </row>
    <row r="83" spans="1:16">
      <c r="A83" s="210">
        <v>77</v>
      </c>
      <c r="B83" s="234">
        <v>2.9861111111111113E-2</v>
      </c>
      <c r="C83" s="217">
        <f t="shared" si="7"/>
        <v>43</v>
      </c>
      <c r="D83" s="217">
        <f t="shared" si="6"/>
        <v>37.456297546979833</v>
      </c>
      <c r="E83" s="232">
        <f>'5K'!$E83*(1-$K$2)+'10K'!$E83*$K$2</f>
        <v>0.60737450014822336</v>
      </c>
      <c r="F83" s="312">
        <f t="shared" si="8"/>
        <v>87.107668713906591</v>
      </c>
      <c r="G83" s="217">
        <v>38.269013402228325</v>
      </c>
      <c r="H83" s="210">
        <v>77</v>
      </c>
      <c r="I83" s="368" t="s">
        <v>2155</v>
      </c>
      <c r="J83" s="130" t="s">
        <v>816</v>
      </c>
      <c r="K83" s="130" t="s">
        <v>817</v>
      </c>
      <c r="L83" s="130" t="s">
        <v>375</v>
      </c>
      <c r="M83" s="136">
        <v>10173</v>
      </c>
      <c r="N83" s="122"/>
      <c r="O83" s="119" t="s">
        <v>376</v>
      </c>
      <c r="P83" s="371">
        <v>38501</v>
      </c>
    </row>
    <row r="84" spans="1:16">
      <c r="A84" s="210">
        <v>78</v>
      </c>
      <c r="B84" s="234">
        <v>3.1770833333333331E-2</v>
      </c>
      <c r="C84" s="217">
        <f t="shared" si="7"/>
        <v>45.75</v>
      </c>
      <c r="D84" s="217">
        <f t="shared" si="6"/>
        <v>38.16540427590563</v>
      </c>
      <c r="E84" s="232">
        <f>'5K'!$E84*(1-$K$2)+'10K'!$E84*$K$2</f>
        <v>0.59608958510004317</v>
      </c>
      <c r="F84" s="312">
        <f t="shared" si="8"/>
        <v>83.421648690504114</v>
      </c>
      <c r="G84" s="217">
        <v>38.961038961038966</v>
      </c>
      <c r="H84" s="210">
        <v>78</v>
      </c>
      <c r="I84" s="368" t="s">
        <v>2156</v>
      </c>
      <c r="J84" s="130" t="s">
        <v>373</v>
      </c>
      <c r="K84" s="130" t="s">
        <v>631</v>
      </c>
      <c r="L84" s="130" t="s">
        <v>375</v>
      </c>
      <c r="M84" s="136">
        <v>11106</v>
      </c>
      <c r="N84" s="122"/>
      <c r="O84" s="119" t="s">
        <v>2246</v>
      </c>
      <c r="P84" s="371">
        <v>39691</v>
      </c>
    </row>
    <row r="85" spans="1:16">
      <c r="A85" s="210">
        <v>79</v>
      </c>
      <c r="B85" s="234">
        <v>3.6620370370370373E-2</v>
      </c>
      <c r="C85" s="217">
        <f t="shared" si="7"/>
        <v>52.733333333333334</v>
      </c>
      <c r="D85" s="217">
        <f t="shared" si="6"/>
        <v>38.955167940659919</v>
      </c>
      <c r="E85" s="232">
        <f>'5K'!$E85*(1-$K$2)+'10K'!$E85*$K$2</f>
        <v>0.58400467005186285</v>
      </c>
      <c r="F85" s="312">
        <f t="shared" si="8"/>
        <v>73.871999887471389</v>
      </c>
      <c r="G85" s="217">
        <v>39.731768650461021</v>
      </c>
      <c r="H85" s="210">
        <v>79</v>
      </c>
      <c r="I85" s="368" t="s">
        <v>2157</v>
      </c>
      <c r="J85" s="22" t="s">
        <v>1923</v>
      </c>
      <c r="K85" s="22" t="s">
        <v>2247</v>
      </c>
      <c r="L85" s="130" t="s">
        <v>217</v>
      </c>
      <c r="M85" s="136">
        <v>14375</v>
      </c>
      <c r="N85" s="22" t="s">
        <v>2248</v>
      </c>
      <c r="O85" s="22" t="s">
        <v>2249</v>
      </c>
      <c r="P85" s="172">
        <v>43254</v>
      </c>
    </row>
    <row r="86" spans="1:16">
      <c r="A86" s="210">
        <v>80</v>
      </c>
      <c r="B86" s="283">
        <v>3.0428240740740742E-2</v>
      </c>
      <c r="C86" s="217">
        <f t="shared" si="7"/>
        <v>43.81666666666667</v>
      </c>
      <c r="D86" s="217">
        <f t="shared" si="6"/>
        <v>39.834027453407387</v>
      </c>
      <c r="E86" s="232">
        <f>'5K'!$E86*(1-$K$2)+'10K'!$E86*$K$2</f>
        <v>0.57111975500368273</v>
      </c>
      <c r="F86" s="312">
        <f t="shared" si="8"/>
        <v>90.910675055323054</v>
      </c>
      <c r="G86" s="217">
        <v>40.596094552929088</v>
      </c>
      <c r="H86" s="210">
        <v>80</v>
      </c>
      <c r="I86" s="368" t="s">
        <v>2158</v>
      </c>
      <c r="J86" s="130" t="s">
        <v>816</v>
      </c>
      <c r="K86" s="130" t="s">
        <v>817</v>
      </c>
      <c r="L86" s="130" t="s">
        <v>375</v>
      </c>
      <c r="M86" s="136">
        <v>10173</v>
      </c>
      <c r="N86" s="122"/>
      <c r="O86" s="130" t="s">
        <v>2246</v>
      </c>
      <c r="P86" s="371">
        <v>39691</v>
      </c>
    </row>
    <row r="87" spans="1:16">
      <c r="A87" s="210">
        <v>81</v>
      </c>
      <c r="B87" s="234"/>
      <c r="C87" s="217"/>
      <c r="D87" s="217">
        <f t="shared" si="6"/>
        <v>40.804624876565036</v>
      </c>
      <c r="E87" s="232">
        <f>'5K'!$E87*(1-$K$2)+'10K'!$E87*$K$2</f>
        <v>0.55753483995550246</v>
      </c>
      <c r="F87" s="312"/>
      <c r="G87" s="217">
        <v>41.549789621318368</v>
      </c>
      <c r="H87" s="210">
        <v>81</v>
      </c>
      <c r="I87" s="368" t="s">
        <v>2159</v>
      </c>
      <c r="J87" s="22" t="s">
        <v>365</v>
      </c>
      <c r="K87" s="22" t="s">
        <v>366</v>
      </c>
      <c r="L87" s="130" t="s">
        <v>217</v>
      </c>
      <c r="M87" s="136">
        <v>13343</v>
      </c>
      <c r="N87" s="22" t="s">
        <v>2250</v>
      </c>
      <c r="O87" s="22" t="s">
        <v>2251</v>
      </c>
      <c r="P87" s="375">
        <v>43176</v>
      </c>
    </row>
    <row r="88" spans="1:16">
      <c r="A88" s="210">
        <v>82</v>
      </c>
      <c r="B88" s="234">
        <v>3.3865740740740738E-2</v>
      </c>
      <c r="C88" s="217">
        <f t="shared" si="7"/>
        <v>48.766666666666666</v>
      </c>
      <c r="D88" s="217">
        <f t="shared" si="6"/>
        <v>41.88530451123939</v>
      </c>
      <c r="E88" s="232">
        <f>'5K'!$E88*(1-$K$2)+'10K'!$E88*$K$2</f>
        <v>0.54314992490732228</v>
      </c>
      <c r="F88" s="312">
        <f t="shared" si="8"/>
        <v>85.889209524072569</v>
      </c>
      <c r="G88" s="217">
        <v>42.618234130552054</v>
      </c>
      <c r="H88" s="210">
        <v>82</v>
      </c>
      <c r="I88" s="368" t="s">
        <v>2160</v>
      </c>
      <c r="J88" s="130" t="s">
        <v>816</v>
      </c>
      <c r="K88" s="130" t="s">
        <v>817</v>
      </c>
      <c r="L88" s="130" t="s">
        <v>375</v>
      </c>
      <c r="M88" s="136">
        <v>10173</v>
      </c>
      <c r="N88" s="122"/>
      <c r="O88" s="119" t="s">
        <v>376</v>
      </c>
      <c r="P88" s="371">
        <v>40244</v>
      </c>
    </row>
    <row r="89" spans="1:16">
      <c r="A89" s="210">
        <v>83</v>
      </c>
      <c r="B89" s="234">
        <v>3.5358796296296298E-2</v>
      </c>
      <c r="C89" s="217">
        <f t="shared" si="7"/>
        <v>50.916666666666671</v>
      </c>
      <c r="D89" s="217">
        <f t="shared" si="6"/>
        <v>43.081816774924015</v>
      </c>
      <c r="E89" s="232">
        <f>'5K'!$E89*(1-$K$2)+'10K'!$E89*$K$2</f>
        <v>0.52806500985914206</v>
      </c>
      <c r="F89" s="312">
        <f t="shared" si="8"/>
        <v>84.612406104597071</v>
      </c>
      <c r="G89" s="217">
        <v>43.80776340110905</v>
      </c>
      <c r="H89" s="210">
        <v>83</v>
      </c>
      <c r="I89" s="368" t="s">
        <v>2161</v>
      </c>
      <c r="J89" s="130" t="s">
        <v>373</v>
      </c>
      <c r="K89" s="130" t="s">
        <v>631</v>
      </c>
      <c r="L89" s="130" t="s">
        <v>375</v>
      </c>
      <c r="M89" s="136">
        <v>11106</v>
      </c>
      <c r="N89" s="122"/>
      <c r="O89" s="119" t="s">
        <v>635</v>
      </c>
      <c r="P89" s="371">
        <v>41560</v>
      </c>
    </row>
    <row r="90" spans="1:16">
      <c r="A90" s="210">
        <v>84</v>
      </c>
      <c r="B90" s="234">
        <v>4.6006944444444448E-2</v>
      </c>
      <c r="C90" s="217">
        <f t="shared" si="7"/>
        <v>66.25</v>
      </c>
      <c r="D90" s="217">
        <f t="shared" si="6"/>
        <v>44.417969832265136</v>
      </c>
      <c r="E90" s="232">
        <f>'5K'!$E90*(1-$K$2)+'10K'!$E90*$K$2</f>
        <v>0.51218009481096183</v>
      </c>
      <c r="F90" s="312">
        <f t="shared" si="8"/>
        <v>67.045992199645482</v>
      </c>
      <c r="G90" s="217">
        <v>45.125666412795127</v>
      </c>
      <c r="H90" s="210">
        <v>84</v>
      </c>
      <c r="I90" s="368" t="s">
        <v>2162</v>
      </c>
      <c r="J90" s="130" t="s">
        <v>2252</v>
      </c>
      <c r="K90" s="130" t="s">
        <v>2253</v>
      </c>
      <c r="L90" s="130" t="s">
        <v>217</v>
      </c>
      <c r="M90" s="136">
        <v>11242</v>
      </c>
      <c r="N90" s="22" t="s">
        <v>2205</v>
      </c>
      <c r="O90" s="22" t="s">
        <v>865</v>
      </c>
      <c r="P90" s="172">
        <v>42096</v>
      </c>
    </row>
    <row r="91" spans="1:16">
      <c r="A91" s="210">
        <v>85</v>
      </c>
      <c r="B91" s="234">
        <v>3.8483796296296294E-2</v>
      </c>
      <c r="C91" s="217">
        <f t="shared" si="7"/>
        <v>55.416666666666664</v>
      </c>
      <c r="D91" s="217">
        <f t="shared" si="6"/>
        <v>45.913665620100616</v>
      </c>
      <c r="E91" s="232">
        <f>'5K'!$E91*(1-$K$2)+'10K'!$E91*$K$2</f>
        <v>0.49549517976278157</v>
      </c>
      <c r="F91" s="312">
        <f t="shared" si="8"/>
        <v>82.851727434768037</v>
      </c>
      <c r="G91" s="217">
        <v>46.616837136113297</v>
      </c>
      <c r="H91" s="210">
        <v>85</v>
      </c>
      <c r="I91" s="368" t="s">
        <v>2163</v>
      </c>
      <c r="J91" s="130" t="s">
        <v>373</v>
      </c>
      <c r="K91" s="130" t="s">
        <v>631</v>
      </c>
      <c r="L91" s="130" t="s">
        <v>375</v>
      </c>
      <c r="M91" s="136">
        <v>11106</v>
      </c>
      <c r="N91" s="122"/>
      <c r="O91" s="119" t="s">
        <v>635</v>
      </c>
      <c r="P91" s="371">
        <v>42288</v>
      </c>
    </row>
    <row r="92" spans="1:16">
      <c r="A92" s="210">
        <v>86</v>
      </c>
      <c r="B92" s="234"/>
      <c r="C92" s="217"/>
      <c r="D92" s="217">
        <f t="shared" si="6"/>
        <v>47.5831658071181</v>
      </c>
      <c r="E92" s="232">
        <f>'5K'!$E92*(1-$K$2)+'10K'!$E92*$K$2</f>
        <v>0.47811026471460133</v>
      </c>
      <c r="F92" s="312"/>
      <c r="G92" s="217">
        <v>48.278671827256062</v>
      </c>
      <c r="H92" s="210">
        <v>86</v>
      </c>
      <c r="I92" s="370">
        <v>5.6145833333333339E-2</v>
      </c>
      <c r="J92" s="22" t="s">
        <v>639</v>
      </c>
      <c r="K92" s="22" t="s">
        <v>640</v>
      </c>
      <c r="L92" s="130" t="s">
        <v>217</v>
      </c>
      <c r="M92" s="377">
        <v>535</v>
      </c>
      <c r="N92" s="22" t="s">
        <v>2254</v>
      </c>
      <c r="O92" s="22" t="s">
        <v>2255</v>
      </c>
      <c r="P92" s="172">
        <v>32159</v>
      </c>
    </row>
    <row r="93" spans="1:16">
      <c r="A93" s="210">
        <v>87</v>
      </c>
      <c r="B93" s="234"/>
      <c r="C93" s="217"/>
      <c r="D93" s="217">
        <f t="shared" si="6"/>
        <v>49.464549011052178</v>
      </c>
      <c r="E93" s="232">
        <f>'5K'!$E93*(1-$K$2)+'10K'!$E93*$K$2</f>
        <v>0.45992534966642118</v>
      </c>
      <c r="F93" s="312"/>
      <c r="G93" s="217">
        <v>50.148116800677101</v>
      </c>
      <c r="H93" s="210">
        <v>87</v>
      </c>
      <c r="I93" s="370">
        <v>4.780092592592592E-2</v>
      </c>
      <c r="J93" s="22" t="s">
        <v>2256</v>
      </c>
      <c r="K93" s="22" t="s">
        <v>2257</v>
      </c>
      <c r="L93" s="130" t="s">
        <v>217</v>
      </c>
      <c r="M93" s="377">
        <v>3447</v>
      </c>
      <c r="N93" s="22" t="s">
        <v>2258</v>
      </c>
      <c r="O93" s="22" t="s">
        <v>2259</v>
      </c>
      <c r="P93" s="172">
        <v>35505</v>
      </c>
    </row>
    <row r="94" spans="1:16">
      <c r="A94" s="210">
        <v>88</v>
      </c>
      <c r="B94" s="234"/>
      <c r="C94" s="217"/>
      <c r="D94" s="217">
        <f t="shared" si="6"/>
        <v>51.582572059843251</v>
      </c>
      <c r="E94" s="232">
        <f>'5K'!$E94*(1-$K$2)+'10K'!$E94*$K$2</f>
        <v>0.44104043461824094</v>
      </c>
      <c r="F94" s="312"/>
      <c r="G94" s="217">
        <v>52.271724746360825</v>
      </c>
      <c r="H94" s="210">
        <v>88</v>
      </c>
      <c r="I94" s="370">
        <v>5.6122685185185185E-2</v>
      </c>
      <c r="J94" s="22" t="s">
        <v>2256</v>
      </c>
      <c r="K94" s="22" t="s">
        <v>2257</v>
      </c>
      <c r="L94" s="130" t="s">
        <v>217</v>
      </c>
      <c r="M94" s="377">
        <v>3447</v>
      </c>
      <c r="N94" s="22" t="s">
        <v>2260</v>
      </c>
      <c r="O94" s="22" t="s">
        <v>2261</v>
      </c>
      <c r="P94" s="172">
        <v>35890</v>
      </c>
    </row>
    <row r="95" spans="1:16">
      <c r="A95" s="210">
        <v>89</v>
      </c>
      <c r="B95" s="234"/>
      <c r="C95" s="217"/>
      <c r="D95" s="217">
        <f t="shared" si="6"/>
        <v>53.992410075020402</v>
      </c>
      <c r="E95" s="232">
        <f>'5K'!$E95*(1-$K$2)+'10K'!$E95*$K$2</f>
        <v>0.42135551957006068</v>
      </c>
      <c r="F95" s="312"/>
      <c r="G95" s="217">
        <v>54.683894785417628</v>
      </c>
      <c r="H95" s="210">
        <v>89</v>
      </c>
      <c r="I95" s="370">
        <v>4.8055555555555553E-2</v>
      </c>
      <c r="J95" s="22" t="s">
        <v>390</v>
      </c>
      <c r="K95" s="22" t="s">
        <v>391</v>
      </c>
      <c r="L95" s="130" t="s">
        <v>217</v>
      </c>
      <c r="M95" s="377">
        <v>8487</v>
      </c>
      <c r="N95" s="22" t="s">
        <v>2262</v>
      </c>
      <c r="O95" s="22" t="s">
        <v>393</v>
      </c>
      <c r="P95" s="172">
        <v>41020</v>
      </c>
    </row>
    <row r="96" spans="1:16">
      <c r="A96" s="210">
        <v>90</v>
      </c>
      <c r="B96" s="234"/>
      <c r="C96" s="217"/>
      <c r="D96" s="217">
        <f t="shared" si="6"/>
        <v>56.75147976273788</v>
      </c>
      <c r="E96" s="232">
        <f>'5K'!$E96*(1-$K$2)+'10K'!$E96*$K$2</f>
        <v>0.4008706045218805</v>
      </c>
      <c r="F96" s="312"/>
      <c r="G96" s="217">
        <v>57.440620455647114</v>
      </c>
      <c r="H96" s="210">
        <v>90</v>
      </c>
      <c r="I96" s="370"/>
      <c r="J96" s="22"/>
      <c r="K96" s="22"/>
      <c r="L96" s="130"/>
      <c r="M96" s="377"/>
      <c r="N96" s="22"/>
      <c r="O96" s="22"/>
      <c r="P96" s="172"/>
    </row>
    <row r="97" spans="1:16">
      <c r="A97" s="210">
        <v>91</v>
      </c>
      <c r="B97" s="234"/>
      <c r="C97" s="217"/>
      <c r="D97" s="217">
        <f t="shared" si="6"/>
        <v>59.917981190006962</v>
      </c>
      <c r="E97" s="232">
        <f>'5K'!$E97*(1-$K$2)+'10K'!$E97*$K$2</f>
        <v>0.37968568947370029</v>
      </c>
      <c r="F97" s="312"/>
      <c r="G97" s="217">
        <v>60.613810741687978</v>
      </c>
      <c r="H97" s="210">
        <v>91</v>
      </c>
      <c r="I97" s="370">
        <v>5.2418981481481476E-2</v>
      </c>
      <c r="J97" s="22" t="s">
        <v>390</v>
      </c>
      <c r="K97" s="22" t="s">
        <v>391</v>
      </c>
      <c r="L97" s="130" t="s">
        <v>217</v>
      </c>
      <c r="M97" s="377">
        <v>8487</v>
      </c>
      <c r="N97" s="22" t="s">
        <v>2262</v>
      </c>
      <c r="O97" s="22" t="s">
        <v>393</v>
      </c>
      <c r="P97" s="172">
        <v>42084</v>
      </c>
    </row>
    <row r="98" spans="1:16">
      <c r="A98" s="210">
        <v>92</v>
      </c>
      <c r="B98" s="234"/>
      <c r="C98" s="217"/>
      <c r="D98" s="217">
        <f t="shared" si="6"/>
        <v>63.600645082575781</v>
      </c>
      <c r="E98" s="232">
        <f>'5K'!$E98*(1-$K$2)+'10K'!$E98*$K$2</f>
        <v>0.35770077442552006</v>
      </c>
      <c r="F98" s="312"/>
      <c r="G98" s="217">
        <v>64.314789687924019</v>
      </c>
      <c r="H98" s="210">
        <v>92</v>
      </c>
      <c r="I98" s="266"/>
    </row>
    <row r="99" spans="1:16">
      <c r="A99" s="210">
        <v>93</v>
      </c>
      <c r="B99" s="234"/>
      <c r="C99" s="217"/>
      <c r="D99" s="217">
        <f t="shared" si="6"/>
        <v>67.913758999327143</v>
      </c>
      <c r="E99" s="232">
        <f>'5K'!$E99*(1-$K$2)+'10K'!$E99*$K$2</f>
        <v>0.33498366656785106</v>
      </c>
      <c r="F99" s="312"/>
      <c r="G99" s="217">
        <v>68.635968722849697</v>
      </c>
      <c r="H99" s="210">
        <v>93</v>
      </c>
      <c r="I99" s="266"/>
    </row>
    <row r="100" spans="1:16">
      <c r="A100" s="210">
        <v>94</v>
      </c>
      <c r="B100" s="234"/>
      <c r="C100" s="217"/>
      <c r="D100" s="217">
        <f t="shared" si="6"/>
        <v>73.034000582706526</v>
      </c>
      <c r="E100" s="232">
        <f>'5K'!$E100*(1-$K$2)+'10K'!$E100*$K$2</f>
        <v>0.31149875151967088</v>
      </c>
      <c r="F100" s="312"/>
      <c r="G100" s="217">
        <v>73.785803237858033</v>
      </c>
      <c r="H100" s="210">
        <v>94</v>
      </c>
      <c r="I100" s="266"/>
    </row>
    <row r="101" spans="1:16">
      <c r="A101" s="210">
        <v>95</v>
      </c>
      <c r="B101" s="234"/>
      <c r="C101" s="217"/>
      <c r="D101" s="217">
        <f t="shared" si="6"/>
        <v>79.200398546662996</v>
      </c>
      <c r="E101" s="232">
        <f>'5K'!$E101*(1-$K$2)+'10K'!$E101*$K$2</f>
        <v>0.28724602928097942</v>
      </c>
      <c r="F101" s="312"/>
      <c r="G101" s="217">
        <v>79.986500168747881</v>
      </c>
      <c r="H101" s="210">
        <v>95</v>
      </c>
      <c r="I101" s="266"/>
    </row>
    <row r="102" spans="1:16">
      <c r="A102" s="210">
        <v>96</v>
      </c>
      <c r="B102" s="210" t="s">
        <v>63</v>
      </c>
      <c r="C102" s="217"/>
      <c r="D102" s="217">
        <f t="shared" si="6"/>
        <v>86.745608728733202</v>
      </c>
      <c r="E102" s="232">
        <f>'5K'!$E102*(1-$K$2)+'10K'!$E102*$K$2</f>
        <v>0.26226111423279919</v>
      </c>
      <c r="F102" s="312"/>
      <c r="G102" s="217">
        <v>87.58314855875831</v>
      </c>
      <c r="H102" s="210">
        <v>96</v>
      </c>
      <c r="I102" s="266"/>
    </row>
    <row r="103" spans="1:16">
      <c r="A103" s="210">
        <v>97</v>
      </c>
      <c r="B103" s="210" t="s">
        <v>63</v>
      </c>
      <c r="C103" s="217"/>
      <c r="D103" s="217">
        <f t="shared" si="6"/>
        <v>96.204184938877859</v>
      </c>
      <c r="E103" s="232">
        <f>'5K'!$E103*(1-$K$2)+'10K'!$E103*$K$2</f>
        <v>0.23647619918461896</v>
      </c>
      <c r="G103" s="217">
        <v>97.091356001638658</v>
      </c>
      <c r="H103" s="210">
        <v>97</v>
      </c>
      <c r="I103" s="266"/>
    </row>
    <row r="104" spans="1:16">
      <c r="A104" s="210">
        <v>98</v>
      </c>
      <c r="B104" s="210" t="s">
        <v>63</v>
      </c>
      <c r="C104" s="217"/>
      <c r="D104" s="217">
        <f t="shared" si="6"/>
        <v>108.35444112574061</v>
      </c>
      <c r="E104" s="232">
        <f>'5K'!$E104*(1-$K$2)+'10K'!$E104*$K$2</f>
        <v>0.20995909132695001</v>
      </c>
      <c r="G104" s="217">
        <v>109.36778957083526</v>
      </c>
      <c r="H104" s="210">
        <v>98</v>
      </c>
      <c r="I104" s="266"/>
    </row>
    <row r="105" spans="1:16">
      <c r="A105" s="210">
        <v>99</v>
      </c>
      <c r="B105" s="210" t="s">
        <v>63</v>
      </c>
      <c r="C105" s="217"/>
      <c r="D105" s="217">
        <f>E$4/E105</f>
        <v>124.53867570905248</v>
      </c>
      <c r="E105" s="232">
        <f>'5K'!$E105*(1-$K$2)+'10K'!$E105*$K$2</f>
        <v>0.18267417627876981</v>
      </c>
      <c r="G105" s="217">
        <v>125.72944297082228</v>
      </c>
      <c r="H105" s="210">
        <v>99</v>
      </c>
      <c r="I105" s="266"/>
    </row>
    <row r="106" spans="1:16">
      <c r="A106" s="210">
        <v>100</v>
      </c>
      <c r="D106" s="217">
        <f>E$4/E106</f>
        <v>147.13352775807644</v>
      </c>
      <c r="E106" s="232">
        <f>'5K'!$E106*(1-$K$2)+'10K'!$E106*$K$2</f>
        <v>0.15462145404007829</v>
      </c>
      <c r="G106" s="217">
        <v>148.49624060150376</v>
      </c>
    </row>
    <row r="107" spans="1:16">
      <c r="E107" s="232"/>
    </row>
    <row r="108" spans="1:16">
      <c r="E108" s="232"/>
    </row>
  </sheetData>
  <conditionalFormatting sqref="N77 P87">
    <cfRule type="expression" dxfId="14" priority="1" stopIfTrue="1">
      <formula>#REF!="unvalidatable"</formula>
    </cfRule>
    <cfRule type="expression" dxfId="13" priority="2" stopIfTrue="1">
      <formula>$AK77="record"</formula>
    </cfRule>
    <cfRule type="expression" dxfId="12" priority="3" stopIfTrue="1">
      <formula>$AK77="best"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0" customWidth="1"/>
    <col min="6" max="7" width="10.6640625" style="210" customWidth="1"/>
    <col min="8" max="16384" width="9.6640625" style="210"/>
  </cols>
  <sheetData>
    <row r="1" spans="1:11" ht="31.5">
      <c r="A1" s="206" t="s">
        <v>64</v>
      </c>
      <c r="B1" s="207"/>
      <c r="C1" s="208"/>
      <c r="D1" s="209" t="s">
        <v>32</v>
      </c>
      <c r="E1" s="209" t="s">
        <v>54</v>
      </c>
      <c r="F1" s="209"/>
      <c r="G1" s="209"/>
      <c r="H1" s="209"/>
      <c r="I1" s="209"/>
      <c r="K1" s="207" t="s">
        <v>2088</v>
      </c>
    </row>
    <row r="2" spans="1:11" ht="21.75" customHeight="1">
      <c r="A2" s="206"/>
      <c r="B2" s="207"/>
      <c r="C2" s="208"/>
      <c r="D2" s="209"/>
      <c r="E2" s="209"/>
      <c r="F2" s="81"/>
      <c r="G2" s="82"/>
      <c r="H2" s="211"/>
      <c r="I2" s="211"/>
      <c r="K2" s="207">
        <f>Parameters!M20</f>
        <v>0.68647273752760152</v>
      </c>
    </row>
    <row r="3" spans="1:11" ht="17.25" customHeight="1">
      <c r="A3" s="206"/>
      <c r="B3" s="207"/>
      <c r="C3" s="208"/>
      <c r="D3" s="209"/>
      <c r="E3" s="209"/>
      <c r="F3" s="81"/>
      <c r="G3" s="82"/>
      <c r="H3" s="212"/>
      <c r="I3" s="213"/>
    </row>
    <row r="4" spans="1:11" ht="15.75">
      <c r="A4" s="207"/>
      <c r="B4" s="207"/>
      <c r="C4" s="207"/>
      <c r="D4" s="214">
        <f>Parameters!G20</f>
        <v>1.5914351851851853E-2</v>
      </c>
      <c r="E4" s="215">
        <f>D4*1440</f>
        <v>22.916666666666668</v>
      </c>
      <c r="F4" s="216"/>
      <c r="G4" s="205"/>
      <c r="H4" s="212"/>
      <c r="I4" s="213"/>
    </row>
    <row r="5" spans="1:11" ht="15.75">
      <c r="A5" s="207"/>
      <c r="B5" s="207"/>
      <c r="C5" s="207"/>
      <c r="D5" s="214"/>
      <c r="E5" s="207">
        <f>E4*60</f>
        <v>1375</v>
      </c>
      <c r="F5" s="216"/>
      <c r="G5" s="205"/>
      <c r="H5" s="212"/>
      <c r="I5" s="213"/>
    </row>
    <row r="6" spans="1:11" ht="31.5">
      <c r="A6" s="218" t="s">
        <v>52</v>
      </c>
      <c r="B6" s="218" t="s">
        <v>32</v>
      </c>
      <c r="C6" s="218" t="s">
        <v>53</v>
      </c>
      <c r="D6" s="218" t="s">
        <v>129</v>
      </c>
      <c r="E6" s="218" t="s">
        <v>132</v>
      </c>
    </row>
    <row r="7" spans="1:11">
      <c r="A7" s="210">
        <v>1</v>
      </c>
    </row>
    <row r="8" spans="1:11">
      <c r="A8" s="210">
        <v>2</v>
      </c>
    </row>
    <row r="9" spans="1:11">
      <c r="A9" s="210">
        <v>3</v>
      </c>
      <c r="B9" s="231"/>
      <c r="C9" s="217"/>
      <c r="D9" s="217">
        <f>E$4/E9</f>
        <v>37.213149485629394</v>
      </c>
      <c r="E9" s="232">
        <f>'5K'!$E9*(1-$K$2)+'10K'!$E9*$K$2</f>
        <v>0.61582174536225154</v>
      </c>
    </row>
    <row r="10" spans="1:11">
      <c r="A10" s="210">
        <v>4</v>
      </c>
      <c r="B10" s="234"/>
      <c r="C10" s="217"/>
      <c r="D10" s="217">
        <f>E$4/E10</f>
        <v>35.143157870586343</v>
      </c>
      <c r="E10" s="232">
        <f>'5K'!$E10*(1-$K$2)+'10K'!$E10*$K$2</f>
        <v>0.65209469083730687</v>
      </c>
    </row>
    <row r="11" spans="1:11">
      <c r="A11" s="210">
        <v>5</v>
      </c>
      <c r="B11" s="234"/>
      <c r="C11" s="217"/>
      <c r="D11" s="217">
        <f t="shared" ref="D11:D41" si="0">E$4/E11</f>
        <v>33.374028070184671</v>
      </c>
      <c r="E11" s="232">
        <f>'5K'!$E11*(1-$K$2)+'10K'!$E11*$K$2</f>
        <v>0.6866616944911037</v>
      </c>
    </row>
    <row r="12" spans="1:11">
      <c r="A12" s="210">
        <v>6</v>
      </c>
      <c r="B12" s="234"/>
      <c r="C12" s="217"/>
      <c r="D12" s="217">
        <f t="shared" si="0"/>
        <v>31.849814985363324</v>
      </c>
      <c r="E12" s="232">
        <f>'5K'!$E12*(1-$K$2)+'10K'!$E12*$K$2</f>
        <v>0.71952275632364238</v>
      </c>
    </row>
    <row r="13" spans="1:11">
      <c r="A13" s="210">
        <v>7</v>
      </c>
      <c r="B13" s="234"/>
      <c r="C13" s="217"/>
      <c r="D13" s="217">
        <f t="shared" si="0"/>
        <v>30.526688336209798</v>
      </c>
      <c r="E13" s="232">
        <f>'5K'!$E13*(1-$K$2)+'10K'!$E13*$K$2</f>
        <v>0.75070922906116999</v>
      </c>
    </row>
    <row r="14" spans="1:11">
      <c r="A14" s="210">
        <v>8</v>
      </c>
      <c r="B14" s="234"/>
      <c r="C14" s="217"/>
      <c r="D14" s="217">
        <f t="shared" si="0"/>
        <v>29.376961270879182</v>
      </c>
      <c r="E14" s="232">
        <f>'5K'!$E14*(1-$K$2)+'10K'!$E14*$K$2</f>
        <v>0.78008975997743923</v>
      </c>
    </row>
    <row r="15" spans="1:11">
      <c r="A15" s="210">
        <v>9</v>
      </c>
      <c r="B15" s="234"/>
      <c r="C15" s="217"/>
      <c r="D15" s="217">
        <f t="shared" si="0"/>
        <v>28.369384258468724</v>
      </c>
      <c r="E15" s="232">
        <f>'5K'!$E15*(1-$K$2)+'10K'!$E15*$K$2</f>
        <v>0.80779570179869764</v>
      </c>
    </row>
    <row r="16" spans="1:11">
      <c r="A16" s="210">
        <v>10</v>
      </c>
      <c r="B16" s="234"/>
      <c r="C16" s="217"/>
      <c r="D16" s="217">
        <f t="shared" si="0"/>
        <v>27.482487639815805</v>
      </c>
      <c r="E16" s="232">
        <f>'5K'!$E16*(1-$K$2)+'10K'!$E16*$K$2</f>
        <v>0.83386434907245033</v>
      </c>
    </row>
    <row r="17" spans="1:5">
      <c r="A17" s="210">
        <v>11</v>
      </c>
      <c r="B17" s="234"/>
      <c r="C17" s="217"/>
      <c r="D17" s="217">
        <f t="shared" si="0"/>
        <v>26.706607788058427</v>
      </c>
      <c r="E17" s="232">
        <f>'5K'!$E17*(1-$K$2)+'10K'!$E17*$K$2</f>
        <v>0.8580897599774393</v>
      </c>
    </row>
    <row r="18" spans="1:5">
      <c r="A18" s="210">
        <v>12</v>
      </c>
      <c r="B18" s="234"/>
      <c r="C18" s="217"/>
      <c r="D18" s="217">
        <f t="shared" si="0"/>
        <v>26.020695492308715</v>
      </c>
      <c r="E18" s="232">
        <f>'5K'!$E18*(1-$K$2)+'10K'!$E18*$K$2</f>
        <v>0.88070922906117</v>
      </c>
    </row>
    <row r="19" spans="1:5">
      <c r="A19" s="210">
        <v>13</v>
      </c>
      <c r="B19" s="234"/>
      <c r="C19" s="217"/>
      <c r="D19" s="217">
        <f t="shared" si="0"/>
        <v>25.418018156814732</v>
      </c>
      <c r="E19" s="232">
        <f>'5K'!$E19*(1-$K$2)+'10K'!$E19*$K$2</f>
        <v>0.90159140359739509</v>
      </c>
    </row>
    <row r="20" spans="1:5">
      <c r="A20" s="210">
        <v>14</v>
      </c>
      <c r="B20" s="234"/>
      <c r="C20" s="217"/>
      <c r="D20" s="217">
        <f t="shared" si="0"/>
        <v>24.889661638325059</v>
      </c>
      <c r="E20" s="232">
        <f>'5K'!$E20*(1-$K$2)+'10K'!$E20*$K$2</f>
        <v>0.92073034176485646</v>
      </c>
    </row>
    <row r="21" spans="1:5">
      <c r="A21" s="210">
        <v>15</v>
      </c>
      <c r="B21" s="234"/>
      <c r="C21" s="217"/>
      <c r="D21" s="217">
        <f t="shared" si="0"/>
        <v>24.423895832384854</v>
      </c>
      <c r="E21" s="232">
        <f>'5K'!$E21*(1-$K$2)+'10K'!$E21*$K$2</f>
        <v>0.93828874901604853</v>
      </c>
    </row>
    <row r="22" spans="1:5">
      <c r="A22" s="210">
        <v>16</v>
      </c>
      <c r="B22" s="234"/>
      <c r="C22" s="217"/>
      <c r="D22" s="217">
        <f t="shared" si="0"/>
        <v>23.991535987960475</v>
      </c>
      <c r="E22" s="232">
        <f>'5K'!$E22*(1-$K$2)+'10K'!$E22*$K$2</f>
        <v>0.9551979780772184</v>
      </c>
    </row>
    <row r="23" spans="1:5">
      <c r="A23" s="210">
        <v>17</v>
      </c>
      <c r="B23" s="234"/>
      <c r="C23" s="217"/>
      <c r="D23" s="217">
        <f t="shared" si="0"/>
        <v>23.574217430325326</v>
      </c>
      <c r="E23" s="232">
        <f>'5K'!$E23*(1-$K$2)+'10K'!$E23*$K$2</f>
        <v>0.97210720713838839</v>
      </c>
    </row>
    <row r="24" spans="1:5">
      <c r="A24" s="210">
        <v>18</v>
      </c>
      <c r="B24" s="234"/>
      <c r="C24" s="217"/>
      <c r="D24" s="217">
        <f t="shared" si="0"/>
        <v>23.238050942417821</v>
      </c>
      <c r="E24" s="232">
        <f>'5K'!$E24*(1-$K$2)+'10K'!$E24*$K$2</f>
        <v>0.98616991259088294</v>
      </c>
    </row>
    <row r="25" spans="1:5">
      <c r="A25" s="210">
        <v>19</v>
      </c>
      <c r="B25" s="234"/>
      <c r="C25" s="217"/>
      <c r="D25" s="217">
        <f t="shared" si="0"/>
        <v>23.043214977603569</v>
      </c>
      <c r="E25" s="232">
        <f>'5K'!$E25*(1-$K$2)+'10K'!$E25*$K$2</f>
        <v>0.99450821809977918</v>
      </c>
    </row>
    <row r="26" spans="1:5">
      <c r="A26" s="210">
        <v>20</v>
      </c>
      <c r="B26" s="234"/>
      <c r="C26" s="217"/>
      <c r="D26" s="217">
        <f t="shared" si="0"/>
        <v>22.948173257301061</v>
      </c>
      <c r="E26" s="232">
        <f>'5K'!$E26*(1-$K$2)+'10K'!$E26*$K$2</f>
        <v>0.99862705452494482</v>
      </c>
    </row>
    <row r="27" spans="1:5">
      <c r="A27" s="210">
        <v>21</v>
      </c>
      <c r="B27" s="234"/>
      <c r="C27" s="217"/>
      <c r="D27" s="217">
        <f t="shared" si="0"/>
        <v>22.916666666666668</v>
      </c>
      <c r="E27" s="232">
        <f>'5K'!$E27*(1-$K$2)+'10K'!$E27*$K$2</f>
        <v>1</v>
      </c>
    </row>
    <row r="28" spans="1:5">
      <c r="A28" s="210">
        <v>22</v>
      </c>
      <c r="B28" s="234"/>
      <c r="C28" s="217"/>
      <c r="D28" s="217">
        <f t="shared" si="0"/>
        <v>22.916666666666668</v>
      </c>
      <c r="E28" s="232">
        <f>'5K'!$E28*(1-$K$2)+'10K'!$E28*$K$2</f>
        <v>1</v>
      </c>
    </row>
    <row r="29" spans="1:5">
      <c r="A29" s="210">
        <v>23</v>
      </c>
      <c r="B29" s="234"/>
      <c r="C29" s="217"/>
      <c r="D29" s="217">
        <f t="shared" si="0"/>
        <v>22.916666666666668</v>
      </c>
      <c r="E29" s="232">
        <f>'5K'!$E29*(1-$K$2)+'10K'!$E29*$K$2</f>
        <v>1</v>
      </c>
    </row>
    <row r="30" spans="1:5">
      <c r="A30" s="210">
        <v>24</v>
      </c>
      <c r="B30" s="234"/>
      <c r="C30" s="217"/>
      <c r="D30" s="217">
        <f t="shared" si="0"/>
        <v>22.916666666666668</v>
      </c>
      <c r="E30" s="232">
        <f>'5K'!$E30*(1-$K$2)+'10K'!$E30*$K$2</f>
        <v>1</v>
      </c>
    </row>
    <row r="31" spans="1:5">
      <c r="A31" s="210">
        <v>25</v>
      </c>
      <c r="B31" s="234"/>
      <c r="C31" s="217"/>
      <c r="D31" s="217">
        <f t="shared" si="0"/>
        <v>22.916666666666668</v>
      </c>
      <c r="E31" s="232">
        <f>'5K'!$E31*(1-$K$2)+'10K'!$E31*$K$2</f>
        <v>1</v>
      </c>
    </row>
    <row r="32" spans="1:5">
      <c r="A32" s="210">
        <v>26</v>
      </c>
      <c r="B32" s="234"/>
      <c r="C32" s="217"/>
      <c r="D32" s="217">
        <f t="shared" si="0"/>
        <v>22.916666666666668</v>
      </c>
      <c r="E32" s="232">
        <f>'5K'!$E32*(1-$K$2)+'10K'!$E32*$K$2</f>
        <v>1</v>
      </c>
    </row>
    <row r="33" spans="1:5">
      <c r="A33" s="210">
        <v>27</v>
      </c>
      <c r="B33" s="234"/>
      <c r="C33" s="217"/>
      <c r="D33" s="217">
        <f t="shared" si="0"/>
        <v>22.918822369357631</v>
      </c>
      <c r="E33" s="232">
        <f>'5K'!$E33*(1-$K$2)+'10K'!$E33*$K$2</f>
        <v>0.99990594182125836</v>
      </c>
    </row>
    <row r="34" spans="1:5">
      <c r="A34" s="210">
        <v>28</v>
      </c>
      <c r="B34" s="234"/>
      <c r="C34" s="217"/>
      <c r="D34" s="217">
        <f t="shared" si="0"/>
        <v>22.927002659502993</v>
      </c>
      <c r="E34" s="232">
        <f>'5K'!$E34*(1-$K$2)+'10K'!$E34*$K$2</f>
        <v>0.99954917819002209</v>
      </c>
    </row>
    <row r="35" spans="1:5">
      <c r="A35" s="210">
        <v>29</v>
      </c>
      <c r="B35" s="234"/>
      <c r="C35" s="217"/>
      <c r="D35" s="217">
        <f t="shared" si="0"/>
        <v>22.947391805398606</v>
      </c>
      <c r="E35" s="232">
        <f>'5K'!$E35*(1-$K$2)+'10K'!$E35*$K$2</f>
        <v>0.99866106183253867</v>
      </c>
    </row>
    <row r="36" spans="1:5">
      <c r="A36" s="210">
        <v>30</v>
      </c>
      <c r="B36" s="234"/>
      <c r="C36" s="217"/>
      <c r="D36" s="217">
        <f t="shared" si="0"/>
        <v>22.977750886238727</v>
      </c>
      <c r="E36" s="232">
        <f>'5K'!$E36*(1-$K$2)+'10K'!$E36*$K$2</f>
        <v>0.99734159274880807</v>
      </c>
    </row>
    <row r="37" spans="1:5">
      <c r="A37" s="210">
        <v>31</v>
      </c>
      <c r="B37" s="234"/>
      <c r="C37" s="217"/>
      <c r="D37" s="217">
        <f t="shared" si="0"/>
        <v>23.019746243606839</v>
      </c>
      <c r="E37" s="232">
        <f>'5K'!$E37*(1-$K$2)+'10K'!$E37*$K$2</f>
        <v>0.99552212366507731</v>
      </c>
    </row>
    <row r="38" spans="1:5">
      <c r="A38" s="210">
        <v>32</v>
      </c>
      <c r="B38" s="234"/>
      <c r="C38" s="217"/>
      <c r="D38" s="217">
        <f t="shared" si="0"/>
        <v>23.071910588643792</v>
      </c>
      <c r="E38" s="232">
        <f>'5K'!$E38*(1-$K$2)+'10K'!$E38*$K$2</f>
        <v>0.99327130185509926</v>
      </c>
    </row>
    <row r="39" spans="1:5">
      <c r="A39" s="210">
        <v>33</v>
      </c>
      <c r="B39" s="234"/>
      <c r="C39" s="217"/>
      <c r="D39" s="217">
        <f t="shared" si="0"/>
        <v>23.134381384432164</v>
      </c>
      <c r="E39" s="232">
        <f>'5K'!$E39*(1-$K$2)+'10K'!$E39*$K$2</f>
        <v>0.99058912731887427</v>
      </c>
    </row>
    <row r="40" spans="1:5">
      <c r="A40" s="210">
        <v>34</v>
      </c>
      <c r="B40" s="234"/>
      <c r="C40" s="217"/>
      <c r="D40" s="217">
        <f t="shared" si="0"/>
        <v>23.209674884975485</v>
      </c>
      <c r="E40" s="232">
        <f>'5K'!$E40*(1-$K$2)+'10K'!$E40*$K$2</f>
        <v>0.98737560005640179</v>
      </c>
    </row>
    <row r="41" spans="1:5">
      <c r="A41" s="210">
        <v>35</v>
      </c>
      <c r="B41" s="234"/>
      <c r="C41" s="217"/>
      <c r="D41" s="217">
        <f t="shared" si="0"/>
        <v>23.296553653947971</v>
      </c>
      <c r="E41" s="232">
        <f>'5K'!$E41*(1-$K$2)+'10K'!$E41*$K$2</f>
        <v>0.98369342552017669</v>
      </c>
    </row>
    <row r="42" spans="1:5">
      <c r="A42" s="210">
        <v>36</v>
      </c>
      <c r="B42" s="234"/>
      <c r="C42" s="217"/>
      <c r="D42" s="217">
        <f t="shared" ref="D42:D73" si="1">E$4/E42</f>
        <v>23.395131125668879</v>
      </c>
      <c r="E42" s="232">
        <f>'5K'!$E42*(1-$K$2)+'10K'!$E42*$K$2</f>
        <v>0.97954854553145698</v>
      </c>
    </row>
    <row r="43" spans="1:5">
      <c r="A43" s="210">
        <v>37</v>
      </c>
      <c r="B43" s="234"/>
      <c r="C43" s="217"/>
      <c r="D43" s="217">
        <f t="shared" si="1"/>
        <v>23.504185139560544</v>
      </c>
      <c r="E43" s="232">
        <f>'5K'!$E43*(1-$K$2)+'10K'!$E43*$K$2</f>
        <v>0.97500366554273743</v>
      </c>
    </row>
    <row r="44" spans="1:5">
      <c r="A44" s="210">
        <v>38</v>
      </c>
      <c r="B44" s="234"/>
      <c r="C44" s="217"/>
      <c r="D44" s="217">
        <f t="shared" si="1"/>
        <v>23.6271971397431</v>
      </c>
      <c r="E44" s="232">
        <f>'5K'!$E44*(1-$K$2)+'10K'!$E44*$K$2</f>
        <v>0.9699274328277705</v>
      </c>
    </row>
    <row r="45" spans="1:5">
      <c r="A45" s="210">
        <v>39</v>
      </c>
      <c r="B45" s="234"/>
      <c r="C45" s="217"/>
      <c r="D45" s="217">
        <f t="shared" si="1"/>
        <v>23.762126763325792</v>
      </c>
      <c r="E45" s="232">
        <f>'5K'!$E45*(1-$K$2)+'10K'!$E45*$K$2</f>
        <v>0.96441984738655639</v>
      </c>
    </row>
    <row r="46" spans="1:5">
      <c r="A46" s="210">
        <v>40</v>
      </c>
      <c r="B46" s="234"/>
      <c r="C46" s="217"/>
      <c r="D46" s="217">
        <f t="shared" si="1"/>
        <v>23.9110741552403</v>
      </c>
      <c r="E46" s="232">
        <f>'5K'!$E46*(1-$K$2)+'10K'!$E46*$K$2</f>
        <v>0.95841226194534224</v>
      </c>
    </row>
    <row r="47" spans="1:5">
      <c r="A47" s="210">
        <v>41</v>
      </c>
      <c r="B47" s="234"/>
      <c r="C47" s="217"/>
      <c r="D47" s="217">
        <f t="shared" si="1"/>
        <v>24.072803401383648</v>
      </c>
      <c r="E47" s="232">
        <f>'5K'!$E47*(1-$K$2)+'10K'!$E47*$K$2</f>
        <v>0.95197332377788091</v>
      </c>
    </row>
    <row r="48" spans="1:5">
      <c r="A48" s="210">
        <v>42</v>
      </c>
      <c r="B48" s="234"/>
      <c r="C48" s="217"/>
      <c r="D48" s="217">
        <f t="shared" si="1"/>
        <v>24.247797191732463</v>
      </c>
      <c r="E48" s="232">
        <f>'5K'!$E48*(1-$K$2)+'10K'!$E48*$K$2</f>
        <v>0.9451030328841723</v>
      </c>
    </row>
    <row r="49" spans="1:5">
      <c r="A49" s="210">
        <v>43</v>
      </c>
      <c r="B49" s="234"/>
      <c r="C49" s="217"/>
      <c r="D49" s="217">
        <f t="shared" si="1"/>
        <v>24.440166575419848</v>
      </c>
      <c r="E49" s="232">
        <f>'5K'!$E49*(1-$K$2)+'10K'!$E49*$K$2</f>
        <v>0.93766409471671086</v>
      </c>
    </row>
    <row r="50" spans="1:5">
      <c r="A50" s="210">
        <v>44</v>
      </c>
      <c r="B50" s="234"/>
      <c r="C50" s="217"/>
      <c r="D50" s="217">
        <f t="shared" si="1"/>
        <v>24.64605314538008</v>
      </c>
      <c r="E50" s="232">
        <f>'5K'!$E50*(1-$K$2)+'10K'!$E50*$K$2</f>
        <v>0.92983109837050781</v>
      </c>
    </row>
    <row r="51" spans="1:5">
      <c r="A51" s="210">
        <v>45</v>
      </c>
      <c r="B51" s="234"/>
      <c r="C51" s="217"/>
      <c r="D51" s="217">
        <f t="shared" si="1"/>
        <v>24.868078332742996</v>
      </c>
      <c r="E51" s="232">
        <f>'5K'!$E51*(1-$K$2)+'10K'!$E51*$K$2</f>
        <v>0.92152945475055192</v>
      </c>
    </row>
    <row r="52" spans="1:5">
      <c r="A52" s="210">
        <v>46</v>
      </c>
      <c r="B52" s="234"/>
      <c r="C52" s="217"/>
      <c r="D52" s="217">
        <f t="shared" si="1"/>
        <v>25.1070244749259</v>
      </c>
      <c r="E52" s="232">
        <f>'5K'!$E52*(1-$K$2)+'10K'!$E52*$K$2</f>
        <v>0.91275916385684341</v>
      </c>
    </row>
    <row r="53" spans="1:5">
      <c r="A53" s="210">
        <v>47</v>
      </c>
      <c r="B53" s="234"/>
      <c r="C53" s="217"/>
      <c r="D53" s="217">
        <f t="shared" si="1"/>
        <v>25.355503974321405</v>
      </c>
      <c r="E53" s="232">
        <f>'5K'!$E53*(1-$K$2)+'10K'!$E53*$K$2</f>
        <v>0.90381428386812379</v>
      </c>
    </row>
    <row r="54" spans="1:5">
      <c r="A54" s="210">
        <v>48</v>
      </c>
      <c r="B54" s="234"/>
      <c r="C54" s="217"/>
      <c r="D54" s="217">
        <f t="shared" si="1"/>
        <v>25.620743465377128</v>
      </c>
      <c r="E54" s="232">
        <f>'5K'!$E54*(1-$K$2)+'10K'!$E54*$K$2</f>
        <v>0.89445752023688763</v>
      </c>
    </row>
    <row r="55" spans="1:5">
      <c r="A55" s="210">
        <v>49</v>
      </c>
      <c r="B55" s="234"/>
      <c r="C55" s="217"/>
      <c r="D55" s="217">
        <f t="shared" si="1"/>
        <v>25.899625834010031</v>
      </c>
      <c r="E55" s="232">
        <f>'5K'!$E55*(1-$K$2)+'10K'!$E55*$K$2</f>
        <v>0.88482616751064036</v>
      </c>
    </row>
    <row r="56" spans="1:5">
      <c r="A56" s="210">
        <v>50</v>
      </c>
      <c r="B56" s="234"/>
      <c r="C56" s="217"/>
      <c r="D56" s="217">
        <f t="shared" si="1"/>
        <v>26.190809248876242</v>
      </c>
      <c r="E56" s="232">
        <f>'5K'!$E56*(1-$K$2)+'10K'!$E56*$K$2</f>
        <v>0.87498887296313477</v>
      </c>
    </row>
    <row r="57" spans="1:5">
      <c r="A57" s="210">
        <v>51</v>
      </c>
      <c r="B57" s="234"/>
      <c r="C57" s="217"/>
      <c r="D57" s="217">
        <f t="shared" si="1"/>
        <v>26.488614525369588</v>
      </c>
      <c r="E57" s="232">
        <f>'5K'!$E57*(1-$K$2)+'10K'!$E57*$K$2</f>
        <v>0.8651515784156294</v>
      </c>
    </row>
    <row r="58" spans="1:5">
      <c r="A58" s="210">
        <v>52</v>
      </c>
      <c r="B58" s="234"/>
      <c r="C58" s="217"/>
      <c r="D58" s="217">
        <f t="shared" si="1"/>
        <v>26.795420737744923</v>
      </c>
      <c r="E58" s="232">
        <f>'5K'!$E58*(1-$K$2)+'10K'!$E58*$K$2</f>
        <v>0.85524563659437103</v>
      </c>
    </row>
    <row r="59" spans="1:5">
      <c r="A59" s="210">
        <v>53</v>
      </c>
      <c r="B59" s="234"/>
      <c r="C59" s="217"/>
      <c r="D59" s="217">
        <f t="shared" si="1"/>
        <v>27.107216154482035</v>
      </c>
      <c r="E59" s="232">
        <f>'5K'!$E59*(1-$K$2)+'10K'!$E59*$K$2</f>
        <v>0.84540834204686555</v>
      </c>
    </row>
    <row r="60" spans="1:5">
      <c r="A60" s="210">
        <v>54</v>
      </c>
      <c r="B60" s="234"/>
      <c r="C60" s="217"/>
      <c r="D60" s="217">
        <f t="shared" si="1"/>
        <v>27.426353193124754</v>
      </c>
      <c r="E60" s="232">
        <f>'5K'!$E60*(1-$K$2)+'10K'!$E60*$K$2</f>
        <v>0.83557104749935995</v>
      </c>
    </row>
    <row r="61" spans="1:5">
      <c r="A61" s="210">
        <v>55</v>
      </c>
      <c r="B61" s="234"/>
      <c r="C61" s="217"/>
      <c r="D61" s="217">
        <f t="shared" si="1"/>
        <v>27.755401686553874</v>
      </c>
      <c r="E61" s="232">
        <f>'5K'!$E61*(1-$K$2)+'10K'!$E61*$K$2</f>
        <v>0.8256651056781017</v>
      </c>
    </row>
    <row r="62" spans="1:5">
      <c r="A62" s="210">
        <v>56</v>
      </c>
      <c r="B62" s="234"/>
      <c r="C62" s="217"/>
      <c r="D62" s="217">
        <f t="shared" si="1"/>
        <v>28.091157335360773</v>
      </c>
      <c r="E62" s="232">
        <f>'5K'!$E62*(1-$K$2)+'10K'!$E62*$K$2</f>
        <v>0.815796458404349</v>
      </c>
    </row>
    <row r="63" spans="1:5">
      <c r="A63" s="210">
        <v>57</v>
      </c>
      <c r="B63" s="234"/>
      <c r="C63" s="217"/>
      <c r="D63" s="217">
        <f t="shared" si="1"/>
        <v>28.43645159621861</v>
      </c>
      <c r="E63" s="232">
        <f>'5K'!$E63*(1-$K$2)+'10K'!$E63*$K$2</f>
        <v>0.80589051658309063</v>
      </c>
    </row>
    <row r="64" spans="1:5">
      <c r="A64" s="210">
        <v>58</v>
      </c>
      <c r="B64" s="234"/>
      <c r="C64" s="217"/>
      <c r="D64" s="217">
        <f t="shared" si="1"/>
        <v>28.787857435042511</v>
      </c>
      <c r="E64" s="232">
        <f>'5K'!$E64*(1-$K$2)+'10K'!$E64*$K$2</f>
        <v>0.79605322203558515</v>
      </c>
    </row>
    <row r="65" spans="1:5">
      <c r="A65" s="210">
        <v>59</v>
      </c>
      <c r="B65" s="234"/>
      <c r="C65" s="217"/>
      <c r="D65" s="217">
        <f t="shared" si="1"/>
        <v>29.148056997375097</v>
      </c>
      <c r="E65" s="232">
        <f>'5K'!$E65*(1-$K$2)+'10K'!$E65*$K$2</f>
        <v>0.78621592748807956</v>
      </c>
    </row>
    <row r="66" spans="1:5">
      <c r="A66" s="210">
        <v>60</v>
      </c>
      <c r="B66" s="234"/>
      <c r="C66" s="217"/>
      <c r="D66" s="217">
        <f t="shared" si="1"/>
        <v>29.519994705442443</v>
      </c>
      <c r="E66" s="232">
        <f>'5K'!$E66*(1-$K$2)+'10K'!$E66*$K$2</f>
        <v>0.77630998566682141</v>
      </c>
    </row>
    <row r="67" spans="1:5">
      <c r="A67" s="210">
        <v>61</v>
      </c>
      <c r="B67" s="234"/>
      <c r="C67" s="217"/>
      <c r="D67" s="217">
        <f t="shared" si="1"/>
        <v>29.898869108044007</v>
      </c>
      <c r="E67" s="232">
        <f>'5K'!$E67*(1-$K$2)+'10K'!$E67*$K$2</f>
        <v>0.76647269111931582</v>
      </c>
    </row>
    <row r="68" spans="1:5">
      <c r="A68" s="210">
        <v>62</v>
      </c>
      <c r="B68" s="234"/>
      <c r="C68" s="217"/>
      <c r="D68" s="217">
        <f t="shared" si="1"/>
        <v>30.290343433581697</v>
      </c>
      <c r="E68" s="232">
        <f>'5K'!$E68*(1-$K$2)+'10K'!$E68*$K$2</f>
        <v>0.75656674929805756</v>
      </c>
    </row>
    <row r="69" spans="1:5">
      <c r="A69" s="210">
        <v>63</v>
      </c>
      <c r="B69" s="234"/>
      <c r="C69" s="217"/>
      <c r="D69" s="217">
        <f t="shared" si="1"/>
        <v>30.689383579119792</v>
      </c>
      <c r="E69" s="232">
        <f>'5K'!$E69*(1-$K$2)+'10K'!$E69*$K$2</f>
        <v>0.74672945475055208</v>
      </c>
    </row>
    <row r="70" spans="1:5">
      <c r="A70" s="210">
        <v>64</v>
      </c>
      <c r="B70" s="234"/>
      <c r="C70" s="217"/>
      <c r="D70" s="217">
        <f t="shared" si="1"/>
        <v>31.099077862834243</v>
      </c>
      <c r="E70" s="232">
        <f>'5K'!$E70*(1-$K$2)+'10K'!$E70*$K$2</f>
        <v>0.73689216020304649</v>
      </c>
    </row>
    <row r="71" spans="1:5">
      <c r="A71" s="210">
        <v>65</v>
      </c>
      <c r="B71" s="234"/>
      <c r="C71" s="217"/>
      <c r="D71" s="217">
        <f t="shared" si="1"/>
        <v>31.522835078878511</v>
      </c>
      <c r="E71" s="232">
        <f>'5K'!$E71*(1-$K$2)+'10K'!$E71*$K$2</f>
        <v>0.72698621838178823</v>
      </c>
    </row>
    <row r="72" spans="1:5">
      <c r="A72" s="210">
        <v>66</v>
      </c>
      <c r="B72" s="234"/>
      <c r="C72" s="217"/>
      <c r="D72" s="217">
        <f t="shared" si="1"/>
        <v>31.95663806041955</v>
      </c>
      <c r="E72" s="232">
        <f>'5K'!$E72*(1-$K$2)+'10K'!$E72*$K$2</f>
        <v>0.71711757110803542</v>
      </c>
    </row>
    <row r="73" spans="1:5">
      <c r="A73" s="210">
        <v>67</v>
      </c>
      <c r="B73" s="234"/>
      <c r="C73" s="217"/>
      <c r="D73" s="217">
        <f t="shared" si="1"/>
        <v>32.404255978904253</v>
      </c>
      <c r="E73" s="232">
        <f>'5K'!$E73*(1-$K$2)+'10K'!$E73*$K$2</f>
        <v>0.70721162928677717</v>
      </c>
    </row>
    <row r="74" spans="1:5">
      <c r="A74" s="210">
        <v>68</v>
      </c>
      <c r="B74" s="234"/>
      <c r="C74" s="217"/>
      <c r="D74" s="217">
        <f t="shared" ref="D74:D105" si="2">E$4/E74</f>
        <v>32.861356555707708</v>
      </c>
      <c r="E74" s="232">
        <f>'5K'!$E74*(1-$K$2)+'10K'!$E74*$K$2</f>
        <v>0.69737433473927168</v>
      </c>
    </row>
    <row r="75" spans="1:5">
      <c r="A75" s="210">
        <v>69</v>
      </c>
      <c r="B75" s="234"/>
      <c r="C75" s="217"/>
      <c r="D75" s="217">
        <f t="shared" si="2"/>
        <v>33.331537541998912</v>
      </c>
      <c r="E75" s="232">
        <f>'5K'!$E75*(1-$K$2)+'10K'!$E75*$K$2</f>
        <v>0.6875370401917662</v>
      </c>
    </row>
    <row r="76" spans="1:5">
      <c r="A76" s="210">
        <v>70</v>
      </c>
      <c r="B76" s="234"/>
      <c r="C76" s="217"/>
      <c r="D76" s="217">
        <f t="shared" si="2"/>
        <v>33.818794210853262</v>
      </c>
      <c r="E76" s="232">
        <f>'5K'!$E76*(1-$K$2)+'10K'!$E76*$K$2</f>
        <v>0.67763109837050783</v>
      </c>
    </row>
    <row r="77" spans="1:5">
      <c r="A77" s="210">
        <v>71</v>
      </c>
      <c r="B77" s="234"/>
      <c r="C77" s="217"/>
      <c r="D77" s="217">
        <f t="shared" si="2"/>
        <v>34.316980084979484</v>
      </c>
      <c r="E77" s="232">
        <f>'5K'!$E77*(1-$K$2)+'10K'!$E77*$K$2</f>
        <v>0.66779380382300235</v>
      </c>
    </row>
    <row r="78" spans="1:5">
      <c r="A78" s="210">
        <v>72</v>
      </c>
      <c r="B78" s="234"/>
      <c r="C78" s="217"/>
      <c r="D78" s="217">
        <f t="shared" si="2"/>
        <v>34.833697337018073</v>
      </c>
      <c r="E78" s="232">
        <f>'5K'!$E78*(1-$K$2)+'10K'!$E78*$K$2</f>
        <v>0.65788786200174409</v>
      </c>
    </row>
    <row r="79" spans="1:5">
      <c r="A79" s="210">
        <v>73</v>
      </c>
      <c r="B79" s="234"/>
      <c r="C79" s="217"/>
      <c r="D79" s="217">
        <f t="shared" si="2"/>
        <v>35.362466785101468</v>
      </c>
      <c r="E79" s="232">
        <f>'5K'!$E79*(1-$K$2)+'10K'!$E79*$K$2</f>
        <v>0.6480505674542385</v>
      </c>
    </row>
    <row r="80" spans="1:5">
      <c r="A80" s="210">
        <v>74</v>
      </c>
      <c r="B80" s="234"/>
      <c r="C80" s="217"/>
      <c r="D80" s="217">
        <f t="shared" si="2"/>
        <v>35.907536930864886</v>
      </c>
      <c r="E80" s="232">
        <f>'5K'!$E80*(1-$K$2)+'10K'!$E80*$K$2</f>
        <v>0.63821327290673302</v>
      </c>
    </row>
    <row r="81" spans="1:5">
      <c r="A81" s="210">
        <v>75</v>
      </c>
      <c r="B81" s="234"/>
      <c r="C81" s="217"/>
      <c r="D81" s="217">
        <f t="shared" si="2"/>
        <v>36.473657926409089</v>
      </c>
      <c r="E81" s="232">
        <f>'5K'!$E81*(1-$K$2)+'10K'!$E81*$K$2</f>
        <v>0.62830733108547476</v>
      </c>
    </row>
    <row r="82" spans="1:5">
      <c r="A82" s="210">
        <v>76</v>
      </c>
      <c r="B82" s="234"/>
      <c r="C82" s="217"/>
      <c r="D82" s="217">
        <f t="shared" si="2"/>
        <v>37.072141301200617</v>
      </c>
      <c r="E82" s="232">
        <f>'5K'!$E82*(1-$K$2)+'10K'!$E82*$K$2</f>
        <v>0.61816409471671085</v>
      </c>
    </row>
    <row r="83" spans="1:5">
      <c r="A83" s="210">
        <v>77</v>
      </c>
      <c r="B83" s="234"/>
      <c r="C83" s="217"/>
      <c r="D83" s="217">
        <f t="shared" si="2"/>
        <v>37.722719766299512</v>
      </c>
      <c r="E83" s="232">
        <f>'5K'!$E83*(1-$K$2)+'10K'!$E83*$K$2</f>
        <v>0.60750303288417229</v>
      </c>
    </row>
    <row r="84" spans="1:5">
      <c r="A84" s="210">
        <v>78</v>
      </c>
      <c r="B84" s="234"/>
      <c r="C84" s="217"/>
      <c r="D84" s="217">
        <f t="shared" si="2"/>
        <v>38.437582880160441</v>
      </c>
      <c r="E84" s="232">
        <f>'5K'!$E84*(1-$K$2)+'10K'!$E84*$K$2</f>
        <v>0.59620467650412812</v>
      </c>
    </row>
    <row r="85" spans="1:5">
      <c r="A85" s="210">
        <v>79</v>
      </c>
      <c r="B85" s="234"/>
      <c r="C85" s="217"/>
      <c r="D85" s="217">
        <f t="shared" si="2"/>
        <v>39.233724883850584</v>
      </c>
      <c r="E85" s="232">
        <f>'5K'!$E85*(1-$K$2)+'10K'!$E85*$K$2</f>
        <v>0.58410632012408392</v>
      </c>
    </row>
    <row r="86" spans="1:5">
      <c r="A86" s="210">
        <v>80</v>
      </c>
      <c r="B86" s="234"/>
      <c r="C86" s="217"/>
      <c r="D86" s="217">
        <f t="shared" si="2"/>
        <v>40.119655399159846</v>
      </c>
      <c r="E86" s="232">
        <f>'5K'!$E86*(1-$K$2)+'10K'!$E86*$K$2</f>
        <v>0.57120796374403981</v>
      </c>
    </row>
    <row r="87" spans="1:5">
      <c r="A87" s="210">
        <v>81</v>
      </c>
      <c r="B87" s="234"/>
      <c r="C87" s="217"/>
      <c r="D87" s="217">
        <f t="shared" si="2"/>
        <v>41.098048462617605</v>
      </c>
      <c r="E87" s="232">
        <f>'5K'!$E87*(1-$K$2)+'10K'!$E87*$K$2</f>
        <v>0.55760960736399567</v>
      </c>
    </row>
    <row r="88" spans="1:5">
      <c r="A88" s="210">
        <v>82</v>
      </c>
      <c r="B88" s="234"/>
      <c r="C88" s="217"/>
      <c r="D88" s="217">
        <f t="shared" si="2"/>
        <v>42.187393256594589</v>
      </c>
      <c r="E88" s="232">
        <f>'5K'!$E88*(1-$K$2)+'10K'!$E88*$K$2</f>
        <v>0.54321125098395151</v>
      </c>
    </row>
    <row r="89" spans="1:5">
      <c r="A89" s="210">
        <v>83</v>
      </c>
      <c r="B89" s="234"/>
      <c r="C89" s="217"/>
      <c r="D89" s="217">
        <f t="shared" si="2"/>
        <v>43.393499573333685</v>
      </c>
      <c r="E89" s="232">
        <f>'5K'!$E89*(1-$K$2)+'10K'!$E89*$K$2</f>
        <v>0.52811289460390731</v>
      </c>
    </row>
    <row r="90" spans="1:5">
      <c r="A90" s="210">
        <v>84</v>
      </c>
      <c r="B90" s="234"/>
      <c r="C90" s="217"/>
      <c r="D90" s="217">
        <f t="shared" si="2"/>
        <v>44.740367475963659</v>
      </c>
      <c r="E90" s="232">
        <f>'5K'!$E90*(1-$K$2)+'10K'!$E90*$K$2</f>
        <v>0.51221453822386309</v>
      </c>
    </row>
    <row r="91" spans="1:5">
      <c r="A91" s="210">
        <v>85</v>
      </c>
      <c r="B91" s="234"/>
      <c r="C91" s="217"/>
      <c r="D91" s="217">
        <f t="shared" si="2"/>
        <v>46.248069198050409</v>
      </c>
      <c r="E91" s="232">
        <f>'5K'!$E91*(1-$K$2)+'10K'!$E91*$K$2</f>
        <v>0.49551618184381896</v>
      </c>
    </row>
    <row r="92" spans="1:5">
      <c r="A92" s="210">
        <v>86</v>
      </c>
      <c r="B92" s="234"/>
      <c r="C92" s="217"/>
      <c r="D92" s="217">
        <f t="shared" si="2"/>
        <v>47.931002456219815</v>
      </c>
      <c r="E92" s="232">
        <f>'5K'!$E92*(1-$K$2)+'10K'!$E92*$K$2</f>
        <v>0.47811782546377479</v>
      </c>
    </row>
    <row r="93" spans="1:5">
      <c r="A93" s="210">
        <v>87</v>
      </c>
      <c r="B93" s="234"/>
      <c r="C93" s="217"/>
      <c r="D93" s="217">
        <f t="shared" si="2"/>
        <v>49.827563752241531</v>
      </c>
      <c r="E93" s="232">
        <f>'5K'!$E93*(1-$K$2)+'10K'!$E93*$K$2</f>
        <v>0.45991946908373066</v>
      </c>
    </row>
    <row r="94" spans="1:5">
      <c r="A94" s="210">
        <v>88</v>
      </c>
      <c r="B94" s="234"/>
      <c r="C94" s="217"/>
      <c r="D94" s="217">
        <f t="shared" si="2"/>
        <v>51.962742840531376</v>
      </c>
      <c r="E94" s="232">
        <f>'5K'!$E94*(1-$K$2)+'10K'!$E94*$K$2</f>
        <v>0.44102111270368655</v>
      </c>
    </row>
    <row r="95" spans="1:5">
      <c r="A95" s="210">
        <v>89</v>
      </c>
      <c r="B95" s="234"/>
      <c r="C95" s="217"/>
      <c r="D95" s="217">
        <f t="shared" si="2"/>
        <v>54.392188227931968</v>
      </c>
      <c r="E95" s="232">
        <f>'5K'!$E95*(1-$K$2)+'10K'!$E95*$K$2</f>
        <v>0.42132275632364236</v>
      </c>
    </row>
    <row r="96" spans="1:5">
      <c r="A96" s="210">
        <v>90</v>
      </c>
      <c r="B96" s="234"/>
      <c r="C96" s="217"/>
      <c r="D96" s="217">
        <f t="shared" si="2"/>
        <v>57.173831408196143</v>
      </c>
      <c r="E96" s="232">
        <f>'5K'!$E96*(1-$K$2)+'10K'!$E96*$K$2</f>
        <v>0.4008243999435982</v>
      </c>
    </row>
    <row r="97" spans="1:5">
      <c r="A97" s="210">
        <v>91</v>
      </c>
      <c r="B97" s="234"/>
      <c r="C97" s="217"/>
      <c r="D97" s="217">
        <f t="shared" si="2"/>
        <v>60.366423893228337</v>
      </c>
      <c r="E97" s="232">
        <f>'5K'!$E97*(1-$K$2)+'10K'!$E97*$K$2</f>
        <v>0.37962604356355401</v>
      </c>
    </row>
    <row r="98" spans="1:5">
      <c r="A98" s="210">
        <v>92</v>
      </c>
      <c r="B98" s="234"/>
      <c r="C98" s="217"/>
      <c r="D98" s="217">
        <f t="shared" si="2"/>
        <v>64.079676959987211</v>
      </c>
      <c r="E98" s="232">
        <f>'5K'!$E98*(1-$K$2)+'10K'!$E98*$K$2</f>
        <v>0.35762768718350985</v>
      </c>
    </row>
    <row r="99" spans="1:5">
      <c r="A99" s="210">
        <v>93</v>
      </c>
      <c r="B99" s="234"/>
      <c r="C99" s="217"/>
      <c r="D99" s="217">
        <f t="shared" si="2"/>
        <v>68.428799714588607</v>
      </c>
      <c r="E99" s="232">
        <f>'5K'!$E99*(1-$K$2)+'10K'!$E99*$K$2</f>
        <v>0.33489797807721844</v>
      </c>
    </row>
    <row r="100" spans="1:5">
      <c r="A100" s="210">
        <v>94</v>
      </c>
      <c r="C100" s="217"/>
      <c r="D100" s="217">
        <f t="shared" si="2"/>
        <v>73.5924679091369</v>
      </c>
      <c r="E100" s="232">
        <f>'5K'!$E100*(1-$K$2)+'10K'!$E100*$K$2</f>
        <v>0.31139962169717428</v>
      </c>
    </row>
    <row r="101" spans="1:5">
      <c r="A101" s="210">
        <v>95</v>
      </c>
      <c r="B101" s="234"/>
      <c r="C101" s="217"/>
      <c r="D101" s="217">
        <f t="shared" si="2"/>
        <v>79.812132884201361</v>
      </c>
      <c r="E101" s="232">
        <f>'5K'!$E101*(1-$K$2)+'10K'!$E101*$K$2</f>
        <v>0.28713261804337736</v>
      </c>
    </row>
    <row r="102" spans="1:5">
      <c r="A102" s="210">
        <v>96</v>
      </c>
      <c r="C102" s="217"/>
      <c r="D102" s="217">
        <f t="shared" si="2"/>
        <v>87.423393345274405</v>
      </c>
      <c r="E102" s="232">
        <f>'5K'!$E102*(1-$K$2)+'10K'!$E102*$K$2</f>
        <v>0.26213426166333326</v>
      </c>
    </row>
    <row r="103" spans="1:5">
      <c r="A103" s="210">
        <v>97</v>
      </c>
      <c r="C103" s="217"/>
      <c r="D103" s="217">
        <f t="shared" si="2"/>
        <v>96.966504684072945</v>
      </c>
      <c r="E103" s="232">
        <f>'5K'!$E103*(1-$K$2)+'10K'!$E103*$K$2</f>
        <v>0.23633590528328904</v>
      </c>
    </row>
    <row r="104" spans="1:5">
      <c r="A104" s="210">
        <v>98</v>
      </c>
      <c r="C104" s="217"/>
      <c r="D104" s="217">
        <f t="shared" si="2"/>
        <v>109.22778775958365</v>
      </c>
      <c r="E104" s="232">
        <f>'5K'!$E104*(1-$K$2)+'10K'!$E104*$K$2</f>
        <v>0.20980619617699764</v>
      </c>
    </row>
    <row r="105" spans="1:5">
      <c r="A105" s="210">
        <v>99</v>
      </c>
      <c r="C105" s="217"/>
      <c r="D105" s="217">
        <f t="shared" si="2"/>
        <v>125.56538224419442</v>
      </c>
      <c r="E105" s="232">
        <f>'5K'!$E105*(1-$K$2)+'10K'!$E105*$K$2</f>
        <v>0.18250783979695351</v>
      </c>
    </row>
    <row r="106" spans="1:5">
      <c r="A106" s="210">
        <v>100</v>
      </c>
      <c r="D106" s="217">
        <f>E$4/E106</f>
        <v>148.38476169233127</v>
      </c>
      <c r="E106" s="232">
        <f>'5K'!$E106*(1-$K$2)+'10K'!$E106*$K$2</f>
        <v>0.15444083614315657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7</vt:i4>
      </vt:variant>
    </vt:vector>
  </HeadingPairs>
  <TitlesOfParts>
    <vt:vector size="33" baseType="lpstr">
      <vt:lpstr>Parameters</vt:lpstr>
      <vt:lpstr>1K</vt:lpstr>
      <vt:lpstr>Mile</vt:lpstr>
      <vt:lpstr>3K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AGE</vt:lpstr>
      <vt:lpstr>b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2025-04-13T04:40:04Z</dcterms:modified>
</cp:coreProperties>
</file>