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https://sistemasistho-my.sharepoint.com/personal/practicanteti_istho_com_co/Documents/Documentos/Automatizacio_Personal/"/>
    </mc:Choice>
  </mc:AlternateContent>
  <xr:revisionPtr revIDLastSave="10" documentId="8_{CD65CE8B-706B-4E3D-909B-ABA7387E5B3C}" xr6:coauthVersionLast="47" xr6:coauthVersionMax="47" xr10:uidLastSave="{F5AC82B4-12F0-4CDA-A8BF-3978923470C4}"/>
  <bookViews>
    <workbookView xWindow="-110" yWindow="-110" windowWidth="19420" windowHeight="11500" firstSheet="3" activeTab="5" xr2:uid="{B71065F8-55CA-4475-9B07-1D864466512E}"/>
  </bookViews>
  <sheets>
    <sheet name="TABLAS" sheetId="4" state="hidden" r:id="rId1"/>
    <sheet name="MENSAJES" sheetId="29" r:id="rId2"/>
    <sheet name="PREVIO" sheetId="27" r:id="rId3"/>
    <sheet name="ENTREV.PRACTICANTES" sheetId="19" r:id="rId4"/>
    <sheet name="HISTORICO.HDV" sheetId="28" r:id="rId5"/>
    <sheet name="PERSONAL" sheetId="21" r:id="rId6"/>
    <sheet name="PQR" sheetId="10" r:id="rId7"/>
    <sheet name="DOTACION" sheetId="12" r:id="rId8"/>
    <sheet name="TEMP.SERVC" sheetId="24" r:id="rId9"/>
    <sheet name="INSTITUCIONES" sheetId="25" r:id="rId10"/>
    <sheet name="HIST.ANTC" sheetId="23" r:id="rId11"/>
  </sheets>
  <definedNames>
    <definedName name="_xlnm._FilterDatabase" localSheetId="7" hidden="1">DOTACION!#REF!</definedName>
    <definedName name="_xlnm._FilterDatabase" localSheetId="6" hidden="1">PQR!#REF!</definedName>
  </definedNames>
  <calcPr calcId="191029" calcCompleted="0"/>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21" l="1"/>
  <c r="I4" i="21" s="1"/>
  <c r="N73" i="21"/>
  <c r="O73" i="21" s="1"/>
  <c r="N72" i="21"/>
  <c r="O72" i="21" s="1"/>
  <c r="N71" i="21"/>
  <c r="O71" i="21" s="1"/>
  <c r="N70" i="21"/>
  <c r="O70" i="21" s="1"/>
  <c r="N63" i="21"/>
  <c r="O63" i="21" s="1"/>
  <c r="N64" i="21"/>
  <c r="O64" i="21" s="1"/>
  <c r="N33" i="21"/>
  <c r="O33" i="21" s="1"/>
  <c r="N26" i="21"/>
  <c r="O26" i="21" s="1"/>
  <c r="N25" i="21"/>
  <c r="O25" i="21" s="1"/>
  <c r="N16" i="21"/>
  <c r="O16" i="21" s="1"/>
  <c r="N13" i="21"/>
  <c r="O13" i="21" s="1"/>
  <c r="N12" i="21"/>
  <c r="O12" i="21" s="1"/>
  <c r="N4" i="21"/>
  <c r="O4" i="21" s="1"/>
  <c r="N5" i="21"/>
  <c r="O5" i="21" s="1"/>
  <c r="N6" i="21"/>
  <c r="N7" i="21"/>
  <c r="O7" i="21" s="1"/>
  <c r="N8" i="21"/>
  <c r="O8" i="21" s="1"/>
  <c r="N9" i="21"/>
  <c r="O9" i="21" s="1"/>
  <c r="N10" i="21"/>
  <c r="O10" i="21" s="1"/>
  <c r="N11" i="21"/>
  <c r="O11" i="21" s="1"/>
  <c r="N14" i="21"/>
  <c r="O14" i="21" s="1"/>
  <c r="N15" i="21"/>
  <c r="O15" i="21" s="1"/>
  <c r="N17" i="21"/>
  <c r="O17" i="21" s="1"/>
  <c r="N18" i="21"/>
  <c r="O18" i="21" s="1"/>
  <c r="N19" i="21"/>
  <c r="O19" i="21" s="1"/>
  <c r="N20" i="21"/>
  <c r="N21" i="21"/>
  <c r="O21" i="21" s="1"/>
  <c r="N22" i="21"/>
  <c r="O22" i="21" s="1"/>
  <c r="N23" i="21"/>
  <c r="O23" i="21" s="1"/>
  <c r="N24" i="21"/>
  <c r="O24" i="21" s="1"/>
  <c r="N27" i="21"/>
  <c r="O27" i="21" s="1"/>
  <c r="N28" i="21"/>
  <c r="O28" i="21" s="1"/>
  <c r="N29" i="21"/>
  <c r="O29" i="21" s="1"/>
  <c r="N30" i="21"/>
  <c r="O30" i="21" s="1"/>
  <c r="N31" i="21"/>
  <c r="O31" i="21" s="1"/>
  <c r="N32" i="21"/>
  <c r="O32" i="21" s="1"/>
  <c r="N34" i="21"/>
  <c r="O34" i="21" s="1"/>
  <c r="N35" i="21"/>
  <c r="N36" i="21"/>
  <c r="O36" i="21" s="1"/>
  <c r="N37" i="21"/>
  <c r="O37" i="21" s="1"/>
  <c r="N38" i="21"/>
  <c r="O38" i="21" s="1"/>
  <c r="N39" i="21"/>
  <c r="O39" i="21" s="1"/>
  <c r="N40" i="21"/>
  <c r="O40" i="21" s="1"/>
  <c r="N41" i="21"/>
  <c r="O41" i="21" s="1"/>
  <c r="N42" i="21"/>
  <c r="O42" i="21" s="1"/>
  <c r="N43" i="21"/>
  <c r="O43" i="21" s="1"/>
  <c r="N44" i="21"/>
  <c r="O44" i="21" s="1"/>
  <c r="N45" i="21"/>
  <c r="O45" i="21" s="1"/>
  <c r="N46" i="21"/>
  <c r="O46" i="21" s="1"/>
  <c r="N47" i="21"/>
  <c r="N48" i="21"/>
  <c r="N49" i="21"/>
  <c r="O49" i="21" s="1"/>
  <c r="N50" i="21"/>
  <c r="O50" i="21" s="1"/>
  <c r="N51" i="21"/>
  <c r="O51" i="21" s="1"/>
  <c r="N52" i="21"/>
  <c r="O52" i="21" s="1"/>
  <c r="N53" i="21"/>
  <c r="O53" i="21" s="1"/>
  <c r="N54" i="21"/>
  <c r="O54" i="21" s="1"/>
  <c r="N55" i="21"/>
  <c r="O55" i="21" s="1"/>
  <c r="N56" i="21"/>
  <c r="O56" i="21" s="1"/>
  <c r="N57" i="21"/>
  <c r="O57" i="21" s="1"/>
  <c r="N58" i="21"/>
  <c r="O58" i="21" s="1"/>
  <c r="N59" i="21"/>
  <c r="O59" i="21" s="1"/>
  <c r="N60" i="21"/>
  <c r="O60" i="21" s="1"/>
  <c r="N61" i="21"/>
  <c r="O61" i="21" s="1"/>
  <c r="N62" i="21"/>
  <c r="O62" i="21" s="1"/>
  <c r="N65" i="21"/>
  <c r="O65" i="21" s="1"/>
  <c r="N66" i="21"/>
  <c r="O66" i="21" s="1"/>
  <c r="N67" i="21"/>
  <c r="O67" i="21" s="1"/>
  <c r="N68" i="21"/>
  <c r="O68" i="21" s="1"/>
  <c r="N69" i="21"/>
  <c r="O69" i="21" s="1"/>
  <c r="N74" i="21"/>
  <c r="O74" i="21" s="1"/>
  <c r="N75" i="21"/>
  <c r="O75" i="21" s="1"/>
  <c r="N76" i="21"/>
  <c r="O76" i="21" s="1"/>
  <c r="O47" i="21"/>
  <c r="O48" i="21"/>
  <c r="O6" i="21"/>
  <c r="O20" i="21"/>
  <c r="O35" i="21"/>
  <c r="K4" i="21"/>
  <c r="L4" i="21" s="1"/>
  <c r="K6" i="21"/>
  <c r="L6" i="21" s="1"/>
  <c r="K7" i="21"/>
  <c r="L7" i="21" s="1"/>
  <c r="K8" i="21"/>
  <c r="L8" i="21" s="1"/>
  <c r="K9" i="21"/>
  <c r="L9" i="21" s="1"/>
  <c r="K10" i="21"/>
  <c r="L10" i="21" s="1"/>
  <c r="K11" i="21"/>
  <c r="L11" i="21" s="1"/>
  <c r="K12" i="21"/>
  <c r="L12" i="21" s="1"/>
  <c r="K13" i="21"/>
  <c r="L13" i="21" s="1"/>
  <c r="K14" i="21"/>
  <c r="L14" i="21" s="1"/>
  <c r="K15" i="21"/>
  <c r="L15" i="21" s="1"/>
  <c r="K16" i="21"/>
  <c r="L16" i="21" s="1"/>
  <c r="K17" i="21"/>
  <c r="L17" i="21" s="1"/>
  <c r="K18" i="21"/>
  <c r="L18" i="21" s="1"/>
  <c r="K19" i="21"/>
  <c r="L19" i="21" s="1"/>
  <c r="K20" i="21"/>
  <c r="L20" i="21" s="1"/>
  <c r="K21" i="21"/>
  <c r="L21" i="21" s="1"/>
  <c r="K22" i="21"/>
  <c r="L22" i="21" s="1"/>
  <c r="K23" i="21"/>
  <c r="L23" i="21" s="1"/>
  <c r="K24" i="21"/>
  <c r="L24" i="21" s="1"/>
  <c r="K25" i="21"/>
  <c r="L25" i="21" s="1"/>
  <c r="K26" i="21"/>
  <c r="L26" i="21" s="1"/>
  <c r="K27" i="21"/>
  <c r="L27" i="21" s="1"/>
  <c r="K28" i="21"/>
  <c r="L28" i="21" s="1"/>
  <c r="K29" i="21"/>
  <c r="L29" i="21" s="1"/>
  <c r="K30" i="21"/>
  <c r="L30" i="21" s="1"/>
  <c r="K31" i="21"/>
  <c r="L31" i="21" s="1"/>
  <c r="K32" i="21"/>
  <c r="L32" i="21" s="1"/>
  <c r="K33" i="21"/>
  <c r="L33" i="21" s="1"/>
  <c r="K34" i="21"/>
  <c r="L34" i="21" s="1"/>
  <c r="K35" i="21"/>
  <c r="L35" i="21" s="1"/>
  <c r="K36" i="21"/>
  <c r="L36" i="21" s="1"/>
  <c r="K37" i="21"/>
  <c r="L37" i="21" s="1"/>
  <c r="K38" i="21"/>
  <c r="L38" i="21" s="1"/>
  <c r="K39" i="21"/>
  <c r="L39" i="21" s="1"/>
  <c r="K40" i="21"/>
  <c r="L40" i="21" s="1"/>
  <c r="K41" i="21"/>
  <c r="L41" i="21" s="1"/>
  <c r="K42" i="21"/>
  <c r="L42" i="21" s="1"/>
  <c r="K43" i="21"/>
  <c r="L43" i="21" s="1"/>
  <c r="K44" i="21"/>
  <c r="L44" i="21" s="1"/>
  <c r="K45" i="21"/>
  <c r="L45" i="21" s="1"/>
  <c r="K46" i="21"/>
  <c r="L46" i="21" s="1"/>
  <c r="K47" i="21"/>
  <c r="L47" i="21" s="1"/>
  <c r="K48" i="21"/>
  <c r="L48" i="21" s="1"/>
  <c r="K49" i="21"/>
  <c r="L49" i="21" s="1"/>
  <c r="K50" i="21"/>
  <c r="L50" i="21" s="1"/>
  <c r="K51" i="21"/>
  <c r="L51" i="21" s="1"/>
  <c r="K52" i="21"/>
  <c r="L52" i="21" s="1"/>
  <c r="K53" i="21"/>
  <c r="L53" i="21" s="1"/>
  <c r="K54" i="21"/>
  <c r="L54" i="21" s="1"/>
  <c r="K55" i="21"/>
  <c r="L55" i="21" s="1"/>
  <c r="K56" i="21"/>
  <c r="L56" i="21" s="1"/>
  <c r="K57" i="21"/>
  <c r="L57" i="21" s="1"/>
  <c r="K58" i="21"/>
  <c r="L58" i="21" s="1"/>
  <c r="K59" i="21"/>
  <c r="L59" i="21" s="1"/>
  <c r="K60" i="21"/>
  <c r="L60" i="21" s="1"/>
  <c r="K61" i="21"/>
  <c r="L61" i="21" s="1"/>
  <c r="K62" i="21"/>
  <c r="L62" i="21" s="1"/>
  <c r="K63" i="21"/>
  <c r="L63" i="21" s="1"/>
  <c r="K64" i="21"/>
  <c r="L64" i="21" s="1"/>
  <c r="K65" i="21"/>
  <c r="L65" i="21" s="1"/>
  <c r="K66" i="21"/>
  <c r="L66" i="21" s="1"/>
  <c r="K67" i="21"/>
  <c r="L67" i="21" s="1"/>
  <c r="K68" i="21"/>
  <c r="L68" i="21" s="1"/>
  <c r="K69" i="21"/>
  <c r="L69" i="21" s="1"/>
  <c r="K70" i="21"/>
  <c r="L70" i="21" s="1"/>
  <c r="K71" i="21"/>
  <c r="L71" i="21" s="1"/>
  <c r="K72" i="21"/>
  <c r="L72" i="21" s="1"/>
  <c r="K73" i="21"/>
  <c r="L73" i="21" s="1"/>
  <c r="K74" i="21"/>
  <c r="L74" i="21" s="1"/>
  <c r="K75" i="21"/>
  <c r="L75" i="21" s="1"/>
  <c r="K76" i="21"/>
  <c r="L76" i="21" s="1"/>
  <c r="H5" i="21"/>
  <c r="I5" i="21" s="1"/>
  <c r="H6" i="21"/>
  <c r="I6" i="21" s="1"/>
  <c r="H7" i="21"/>
  <c r="I7" i="21" s="1"/>
  <c r="H8" i="21"/>
  <c r="I8" i="21" s="1"/>
  <c r="H9" i="21"/>
  <c r="I9" i="21" s="1"/>
  <c r="H10" i="21"/>
  <c r="I10" i="21" s="1"/>
  <c r="H11" i="21"/>
  <c r="I11" i="21" s="1"/>
  <c r="H12" i="21"/>
  <c r="I12" i="21" s="1"/>
  <c r="H13" i="21"/>
  <c r="I13" i="21" s="1"/>
  <c r="H14" i="21"/>
  <c r="I14" i="21" s="1"/>
  <c r="H15" i="21"/>
  <c r="I15" i="21" s="1"/>
  <c r="H16" i="21"/>
  <c r="I16" i="21" s="1"/>
  <c r="H17" i="21"/>
  <c r="I17" i="21" s="1"/>
  <c r="H18" i="21"/>
  <c r="I18" i="21" s="1"/>
  <c r="H19" i="21"/>
  <c r="I19" i="21" s="1"/>
  <c r="H20" i="21"/>
  <c r="I20" i="21" s="1"/>
  <c r="H21" i="21"/>
  <c r="I21" i="21" s="1"/>
  <c r="H22" i="21"/>
  <c r="I22" i="21" s="1"/>
  <c r="H23" i="21"/>
  <c r="I23" i="21" s="1"/>
  <c r="H24" i="21"/>
  <c r="I24" i="21" s="1"/>
  <c r="H25" i="21"/>
  <c r="I25" i="21" s="1"/>
  <c r="H26" i="21"/>
  <c r="I26" i="21" s="1"/>
  <c r="H27" i="21"/>
  <c r="I27" i="21" s="1"/>
  <c r="H28" i="21"/>
  <c r="I28" i="21" s="1"/>
  <c r="H29" i="21"/>
  <c r="I29" i="21" s="1"/>
  <c r="H30" i="21"/>
  <c r="I30" i="21" s="1"/>
  <c r="H31" i="21"/>
  <c r="I31" i="21" s="1"/>
  <c r="H32" i="21"/>
  <c r="I32" i="21" s="1"/>
  <c r="H33" i="21"/>
  <c r="I33" i="21" s="1"/>
  <c r="H34" i="21"/>
  <c r="I34" i="21" s="1"/>
  <c r="H35" i="21"/>
  <c r="I35" i="21" s="1"/>
  <c r="H36" i="21"/>
  <c r="I36" i="21" s="1"/>
  <c r="H37" i="21"/>
  <c r="I37" i="21" s="1"/>
  <c r="H38" i="21"/>
  <c r="I38" i="21" s="1"/>
  <c r="H39" i="21"/>
  <c r="I39" i="21" s="1"/>
  <c r="H40" i="21"/>
  <c r="I40" i="21" s="1"/>
  <c r="H41" i="21"/>
  <c r="I41" i="21" s="1"/>
  <c r="H42" i="21"/>
  <c r="I42" i="21" s="1"/>
  <c r="H43" i="21"/>
  <c r="I43" i="21" s="1"/>
  <c r="H44" i="21"/>
  <c r="I44" i="21" s="1"/>
  <c r="H45" i="21"/>
  <c r="I45" i="21" s="1"/>
  <c r="H46" i="21"/>
  <c r="I46" i="21" s="1"/>
  <c r="H47" i="21"/>
  <c r="I47" i="21" s="1"/>
  <c r="H48" i="21"/>
  <c r="I48" i="21" s="1"/>
  <c r="H49" i="21"/>
  <c r="I49" i="21" s="1"/>
  <c r="H50" i="21"/>
  <c r="I50" i="21" s="1"/>
  <c r="H51" i="21"/>
  <c r="I51" i="21" s="1"/>
  <c r="H52" i="21"/>
  <c r="I52" i="21" s="1"/>
  <c r="H53" i="21"/>
  <c r="I53" i="21" s="1"/>
  <c r="H54" i="21"/>
  <c r="I54" i="21" s="1"/>
  <c r="H55" i="21"/>
  <c r="I55" i="21" s="1"/>
  <c r="H56" i="21"/>
  <c r="I56" i="21" s="1"/>
  <c r="H57" i="21"/>
  <c r="I57" i="21" s="1"/>
  <c r="H58" i="21"/>
  <c r="I58" i="21" s="1"/>
  <c r="H59" i="21"/>
  <c r="I59" i="21" s="1"/>
  <c r="H60" i="21"/>
  <c r="I60" i="21" s="1"/>
  <c r="H61" i="21"/>
  <c r="I61" i="21" s="1"/>
  <c r="H62" i="21"/>
  <c r="I62" i="21" s="1"/>
  <c r="H63" i="21"/>
  <c r="I63" i="21" s="1"/>
  <c r="H64" i="21"/>
  <c r="I64" i="21" s="1"/>
  <c r="H65" i="21"/>
  <c r="I65" i="21" s="1"/>
  <c r="H66" i="21"/>
  <c r="I66" i="21" s="1"/>
  <c r="H67" i="21"/>
  <c r="I67" i="21" s="1"/>
  <c r="H68" i="21"/>
  <c r="I68" i="21" s="1"/>
  <c r="H69" i="21"/>
  <c r="I69" i="21" s="1"/>
  <c r="H70" i="21"/>
  <c r="I70" i="21" s="1"/>
  <c r="H71" i="21"/>
  <c r="I71" i="21" s="1"/>
  <c r="H72" i="21"/>
  <c r="I72" i="21" s="1"/>
  <c r="H73" i="21"/>
  <c r="I73" i="21" s="1"/>
  <c r="H74" i="21"/>
  <c r="I74" i="21" s="1"/>
  <c r="H75" i="21"/>
  <c r="I75" i="21" s="1"/>
  <c r="H76" i="21"/>
  <c r="I76" i="21" s="1"/>
  <c r="O339" i="12"/>
  <c r="O338" i="12"/>
  <c r="AV48" i="12"/>
  <c r="AX48" i="12" s="1"/>
  <c r="AZ48" i="12" s="1"/>
  <c r="AV47" i="12"/>
  <c r="AX47" i="12" s="1"/>
  <c r="AZ47" i="12" s="1"/>
  <c r="BE43" i="12" s="1"/>
  <c r="BF43" i="12" s="1"/>
  <c r="AV46" i="12"/>
  <c r="AX46" i="12" s="1"/>
  <c r="AZ46" i="12" s="1"/>
  <c r="BE42" i="12" s="1"/>
  <c r="BF42" i="12" s="1"/>
  <c r="AV44" i="12"/>
  <c r="AX44" i="12" s="1"/>
  <c r="AZ44" i="12" s="1"/>
  <c r="BE40" i="12" s="1"/>
  <c r="BF40" i="12" s="1"/>
  <c r="AV45" i="12"/>
  <c r="AX45" i="12" s="1"/>
  <c r="AZ45" i="12" s="1"/>
  <c r="BE41" i="12" s="1"/>
  <c r="BF41" i="12" s="1"/>
  <c r="AV43" i="12"/>
  <c r="AX43" i="12" s="1"/>
  <c r="AZ43" i="12" s="1"/>
  <c r="BE39" i="12" s="1"/>
  <c r="BF39" i="12" s="1"/>
  <c r="AV42" i="12"/>
  <c r="AX42" i="12" s="1"/>
  <c r="AZ42" i="12" s="1"/>
  <c r="BE38" i="12" s="1"/>
  <c r="BF38" i="12" s="1"/>
  <c r="AV41" i="12"/>
  <c r="AX41" i="12" s="1"/>
  <c r="AZ41" i="12" s="1"/>
  <c r="BE37" i="12" s="1"/>
  <c r="BF37" i="12" s="1"/>
  <c r="AX39" i="12"/>
  <c r="AZ39" i="12" s="1"/>
  <c r="AV38" i="12"/>
  <c r="AX38" i="12" s="1"/>
  <c r="AZ38" i="12" s="1"/>
  <c r="BE36" i="12" s="1"/>
  <c r="AV39" i="12"/>
  <c r="O337" i="12"/>
  <c r="O336" i="12"/>
  <c r="O335" i="12"/>
  <c r="AV37" i="12"/>
  <c r="AX37" i="12" s="1"/>
  <c r="AZ37" i="12" s="1"/>
  <c r="BE35" i="12" s="1"/>
  <c r="AV36" i="12"/>
  <c r="AX36" i="12" s="1"/>
  <c r="AZ36" i="12" s="1"/>
  <c r="BE34" i="12" s="1"/>
  <c r="BF34" i="12" s="1"/>
  <c r="AV35" i="12"/>
  <c r="AX35" i="12" s="1"/>
  <c r="AZ35" i="12" s="1"/>
  <c r="BE33" i="12" s="1"/>
  <c r="BF33" i="12" s="1"/>
  <c r="AV34" i="12"/>
  <c r="AX34" i="12" s="1"/>
  <c r="AZ34" i="12" s="1"/>
  <c r="BE32" i="12" s="1"/>
  <c r="BF32" i="12" s="1"/>
  <c r="AV33" i="12"/>
  <c r="AX33" i="12" s="1"/>
  <c r="AZ33" i="12" s="1"/>
  <c r="BE31" i="12" s="1"/>
  <c r="BF31" i="12" s="1"/>
  <c r="AV32" i="12"/>
  <c r="AX32" i="12" s="1"/>
  <c r="AZ32" i="12" s="1"/>
  <c r="BE30" i="12" s="1"/>
  <c r="BF30" i="12" s="1"/>
  <c r="AV30" i="12"/>
  <c r="AX30" i="12" s="1"/>
  <c r="AZ30" i="12" s="1"/>
  <c r="BE28" i="12" s="1"/>
  <c r="AV29" i="12"/>
  <c r="AX29" i="12" s="1"/>
  <c r="AZ29" i="12" s="1"/>
  <c r="BE27" i="12" s="1"/>
  <c r="BF27" i="12" s="1"/>
  <c r="AV28" i="12"/>
  <c r="AX28" i="12" s="1"/>
  <c r="AZ28" i="12" s="1"/>
  <c r="BE26" i="12" s="1"/>
  <c r="BF26" i="12" s="1"/>
  <c r="AV27" i="12"/>
  <c r="AX27" i="12" s="1"/>
  <c r="AZ27" i="12" s="1"/>
  <c r="BE25" i="12" s="1"/>
  <c r="BF25" i="12" s="1"/>
  <c r="AV31" i="12"/>
  <c r="AX31" i="12" s="1"/>
  <c r="AZ31" i="12" s="1"/>
  <c r="BE29" i="12" s="1"/>
  <c r="AV21" i="12"/>
  <c r="AX21" i="12" s="1"/>
  <c r="AZ21" i="12" s="1"/>
  <c r="BE23" i="12" s="1"/>
  <c r="BF23" i="12" s="1"/>
  <c r="G26" i="28"/>
  <c r="AV19" i="12"/>
  <c r="AX19" i="12" s="1"/>
  <c r="AZ19" i="12" s="1"/>
  <c r="BE21" i="12" s="1"/>
  <c r="BF21" i="12" s="1"/>
  <c r="AV20" i="12"/>
  <c r="AX20" i="12" s="1"/>
  <c r="AZ20" i="12" s="1"/>
  <c r="BE22" i="12" s="1"/>
  <c r="BF22" i="12" s="1"/>
  <c r="AV22" i="12"/>
  <c r="AX22" i="12" s="1"/>
  <c r="AZ22" i="12" s="1"/>
  <c r="BE24" i="12" s="1"/>
  <c r="BF24" i="12" s="1"/>
  <c r="AV14" i="12"/>
  <c r="AX14" i="12" s="1"/>
  <c r="AZ14" i="12" s="1"/>
  <c r="BE20" i="12" s="1"/>
  <c r="BF20" i="12" s="1"/>
  <c r="AV13" i="12"/>
  <c r="AV12" i="12"/>
  <c r="AX12" i="12" s="1"/>
  <c r="AZ12" i="12" s="1"/>
  <c r="BE18" i="12" s="1"/>
  <c r="BF18" i="12" s="1"/>
  <c r="AV11" i="12"/>
  <c r="AX11" i="12" s="1"/>
  <c r="AZ11" i="12" s="1"/>
  <c r="BE17" i="12" s="1"/>
  <c r="BF17" i="12" s="1"/>
  <c r="AV9" i="12"/>
  <c r="AX9" i="12" s="1"/>
  <c r="AZ9" i="12" s="1"/>
  <c r="AV8" i="12"/>
  <c r="AX8" i="12" s="1"/>
  <c r="AZ8" i="12" s="1"/>
  <c r="AV7" i="12"/>
  <c r="AV6" i="12"/>
  <c r="AX6" i="12" s="1"/>
  <c r="AZ6" i="12" s="1"/>
  <c r="AV5" i="12"/>
  <c r="AX5" i="12" s="1"/>
  <c r="AZ5" i="12" s="1"/>
  <c r="AV4" i="12"/>
  <c r="AX4" i="12" s="1"/>
  <c r="AZ4" i="12" s="1"/>
  <c r="AV3" i="12"/>
  <c r="AX3" i="12" s="1"/>
  <c r="AZ3" i="12" s="1"/>
  <c r="O330" i="12"/>
  <c r="O331" i="12"/>
  <c r="O334" i="12"/>
  <c r="O333" i="12"/>
  <c r="O332" i="12"/>
  <c r="J126" i="12"/>
  <c r="J125" i="12"/>
  <c r="J124" i="12"/>
  <c r="O323" i="12"/>
  <c r="O324" i="12"/>
  <c r="O325" i="12"/>
  <c r="O326" i="12"/>
  <c r="O327" i="12"/>
  <c r="O328" i="12"/>
  <c r="O329" i="12"/>
  <c r="O322" i="12"/>
  <c r="O317" i="12"/>
  <c r="O318" i="12"/>
  <c r="O319" i="12"/>
  <c r="O320" i="12"/>
  <c r="O321" i="12"/>
  <c r="O316" i="12"/>
  <c r="O315" i="12"/>
  <c r="O314" i="12"/>
  <c r="O313" i="12"/>
  <c r="O312" i="12"/>
  <c r="O310" i="12"/>
  <c r="O311" i="12"/>
  <c r="O308" i="12"/>
  <c r="O309" i="12"/>
  <c r="O307" i="12"/>
  <c r="O306" i="12"/>
  <c r="O305" i="12"/>
  <c r="O304" i="12"/>
  <c r="O297" i="12"/>
  <c r="O298" i="12"/>
  <c r="O299" i="12"/>
  <c r="O300" i="12"/>
  <c r="O301" i="12"/>
  <c r="O302" i="12"/>
  <c r="O303" i="12"/>
  <c r="O8" i="10"/>
  <c r="N8" i="10"/>
  <c r="L8" i="10"/>
  <c r="O7" i="10"/>
  <c r="N7" i="10"/>
  <c r="L7" i="10"/>
  <c r="J5" i="27"/>
  <c r="J4" i="27"/>
  <c r="O46" i="12"/>
  <c r="BE9" i="12" l="1"/>
  <c r="BF9" i="12" s="1"/>
  <c r="BE10" i="12"/>
  <c r="BF10" i="12" s="1"/>
  <c r="BE4" i="12"/>
  <c r="BF4" i="12" s="1"/>
  <c r="BE3" i="12"/>
  <c r="BF3" i="12" s="1"/>
  <c r="BE14" i="12"/>
  <c r="BF14" i="12" s="1"/>
  <c r="BE13" i="12"/>
  <c r="BF13" i="12" s="1"/>
  <c r="BE16" i="12"/>
  <c r="BF16" i="12" s="1"/>
  <c r="BE15" i="12"/>
  <c r="BF15" i="12" s="1"/>
  <c r="BE6" i="12"/>
  <c r="BF6" i="12" s="1"/>
  <c r="BE5" i="12"/>
  <c r="BF5" i="12" s="1"/>
  <c r="BE8" i="12"/>
  <c r="BF8" i="12" s="1"/>
  <c r="BE7" i="12"/>
  <c r="BF7" i="12" s="1"/>
  <c r="BF35" i="12"/>
  <c r="BF36" i="12"/>
  <c r="AX7" i="12"/>
  <c r="AZ7" i="12" s="1"/>
  <c r="AX13" i="12"/>
  <c r="AZ13" i="12" s="1"/>
  <c r="BE19" i="12" s="1"/>
  <c r="BF19" i="12" s="1"/>
  <c r="AW40" i="12"/>
  <c r="AW18" i="12"/>
  <c r="AW10" i="12"/>
  <c r="AW2" i="12"/>
  <c r="H4" i="27"/>
  <c r="H5" i="27"/>
  <c r="C12" i="27"/>
  <c r="C11" i="27"/>
  <c r="C10" i="27"/>
  <c r="F4" i="27"/>
  <c r="F6" i="27"/>
  <c r="F8" i="27"/>
  <c r="H6" i="27"/>
  <c r="J8" i="27"/>
  <c r="H8" i="27"/>
  <c r="F14" i="27"/>
  <c r="F13" i="27"/>
  <c r="F12" i="27"/>
  <c r="F11" i="27"/>
  <c r="F9" i="27"/>
  <c r="H2" i="27" s="1"/>
  <c r="H12" i="27"/>
  <c r="F5" i="27"/>
  <c r="C9" i="27"/>
  <c r="C8" i="27"/>
  <c r="B7" i="27"/>
  <c r="C6" i="27"/>
  <c r="B5" i="27"/>
  <c r="D5" i="27"/>
  <c r="C4" i="27"/>
  <c r="C5" i="27"/>
  <c r="J3" i="12"/>
  <c r="C2" i="12"/>
  <c r="BE12" i="12" l="1"/>
  <c r="BF12" i="12" s="1"/>
  <c r="BE11" i="12"/>
  <c r="BF11" i="12" s="1"/>
  <c r="AU2" i="12"/>
  <c r="G2" i="27"/>
  <c r="I2" i="27"/>
  <c r="O296" i="12"/>
  <c r="O295" i="12"/>
  <c r="O294" i="12"/>
  <c r="O293" i="12"/>
  <c r="O292" i="12"/>
  <c r="O291" i="12"/>
  <c r="O290" i="12"/>
  <c r="O289" i="12"/>
  <c r="O288" i="12"/>
  <c r="O287" i="12"/>
  <c r="O286" i="12"/>
  <c r="O285" i="12"/>
  <c r="O6" i="10"/>
  <c r="N6" i="10"/>
  <c r="O283" i="12"/>
  <c r="O282" i="12"/>
  <c r="O284" i="12"/>
  <c r="O281" i="12"/>
  <c r="O280" i="12"/>
  <c r="O279" i="12"/>
  <c r="O278" i="12"/>
  <c r="O277" i="12"/>
  <c r="O276" i="12"/>
  <c r="O275" i="12"/>
  <c r="O274" i="12"/>
  <c r="O273" i="12"/>
  <c r="O272" i="12"/>
  <c r="O271" i="12"/>
  <c r="O270" i="12"/>
  <c r="J122" i="12"/>
  <c r="J123" i="12"/>
  <c r="C108" i="12"/>
  <c r="D108" i="12"/>
  <c r="C107" i="12"/>
  <c r="D107" i="12"/>
  <c r="C106" i="12"/>
  <c r="D106" i="12"/>
  <c r="C105" i="12"/>
  <c r="D105" i="12"/>
  <c r="J121" i="12"/>
  <c r="J120" i="12"/>
  <c r="O269" i="12"/>
  <c r="O268" i="12"/>
  <c r="O146" i="12"/>
  <c r="E106" i="12" l="1"/>
  <c r="E105" i="12"/>
  <c r="E107" i="12"/>
  <c r="E108" i="12"/>
  <c r="O267" i="12"/>
  <c r="O266" i="12"/>
  <c r="O265" i="12"/>
  <c r="O264" i="12"/>
  <c r="O263" i="12"/>
  <c r="O262" i="12"/>
  <c r="O261" i="12"/>
  <c r="O260" i="12"/>
  <c r="O259" i="12"/>
  <c r="O252" i="12"/>
  <c r="O253" i="12"/>
  <c r="O254" i="12"/>
  <c r="O255" i="12"/>
  <c r="O256" i="12"/>
  <c r="O257" i="12"/>
  <c r="O258" i="12"/>
  <c r="O251" i="12"/>
  <c r="O250" i="12"/>
  <c r="O249" i="12"/>
  <c r="O248" i="12"/>
  <c r="O245" i="12"/>
  <c r="O246" i="12"/>
  <c r="O247" i="12"/>
  <c r="O244" i="12"/>
  <c r="O243" i="12"/>
  <c r="O242" i="12"/>
  <c r="O241" i="12"/>
  <c r="O240" i="12"/>
  <c r="O239" i="12"/>
  <c r="O238" i="12"/>
  <c r="O237" i="12"/>
  <c r="O236" i="12"/>
  <c r="O235" i="12"/>
  <c r="O234" i="12"/>
  <c r="O233" i="12"/>
  <c r="O232" i="12"/>
  <c r="AW26" i="12" l="1"/>
  <c r="O231" i="12"/>
  <c r="O230" i="12"/>
  <c r="O229" i="12"/>
  <c r="O4" i="10"/>
  <c r="O5" i="10"/>
  <c r="N4" i="10"/>
  <c r="N5" i="10"/>
  <c r="L5" i="10"/>
  <c r="L6" i="10"/>
  <c r="H14" i="27" l="1"/>
  <c r="H13" i="27"/>
  <c r="H10" i="27"/>
  <c r="H9" i="27"/>
  <c r="J10" i="27"/>
  <c r="J9" i="27"/>
  <c r="O228" i="12"/>
  <c r="O227" i="12"/>
  <c r="O226" i="12"/>
  <c r="O225" i="12"/>
  <c r="O224" i="12"/>
  <c r="O223" i="12"/>
  <c r="O222" i="12"/>
  <c r="O221" i="12"/>
  <c r="O220" i="12"/>
  <c r="O219" i="12"/>
  <c r="O218" i="12"/>
  <c r="O217" i="12"/>
  <c r="O216" i="12"/>
  <c r="O215" i="12"/>
  <c r="O214" i="12"/>
  <c r="O213" i="12"/>
  <c r="O212" i="12"/>
  <c r="O211" i="12" l="1"/>
  <c r="O210" i="12"/>
  <c r="O209" i="12"/>
  <c r="O208" i="12"/>
  <c r="O207" i="12"/>
  <c r="O206" i="12"/>
  <c r="O205" i="12" l="1"/>
  <c r="O204" i="12"/>
  <c r="O203" i="12"/>
  <c r="O202" i="12"/>
  <c r="O201" i="12"/>
  <c r="O200" i="12"/>
  <c r="O199" i="12"/>
  <c r="O198" i="12"/>
  <c r="O197" i="12"/>
  <c r="O196" i="12"/>
  <c r="O195" i="12"/>
  <c r="O194" i="12"/>
  <c r="O193" i="12"/>
  <c r="O192" i="12"/>
  <c r="O191" i="12"/>
  <c r="O190" i="12"/>
  <c r="O189" i="12"/>
  <c r="O188" i="12"/>
  <c r="O187" i="12"/>
  <c r="O186" i="12"/>
  <c r="O185" i="12"/>
  <c r="O184" i="12" l="1"/>
  <c r="B40" i="10" l="1"/>
  <c r="L4" i="10"/>
  <c r="O3" i="10"/>
  <c r="N3" i="10"/>
  <c r="G8" i="10"/>
  <c r="F6" i="10"/>
  <c r="L3" i="10"/>
  <c r="D39" i="10"/>
  <c r="O182" i="12"/>
  <c r="O183" i="12"/>
  <c r="O181" i="12"/>
  <c r="O180" i="12"/>
  <c r="O179" i="12"/>
  <c r="O178" i="12"/>
  <c r="O177" i="12"/>
  <c r="L119" i="12"/>
  <c r="J119" i="12"/>
  <c r="L117" i="12"/>
  <c r="L118" i="12"/>
  <c r="J118" i="12"/>
  <c r="J117" i="12"/>
  <c r="O176" i="12"/>
  <c r="O175" i="12"/>
  <c r="O174" i="12"/>
  <c r="D5" i="10"/>
  <c r="F5" i="10"/>
  <c r="G5" i="10"/>
  <c r="O173" i="12"/>
  <c r="O172" i="12"/>
  <c r="O171" i="12"/>
  <c r="O170" i="12"/>
  <c r="O169" i="12"/>
  <c r="O168" i="12"/>
  <c r="O167" i="12"/>
  <c r="O166" i="12"/>
  <c r="O165" i="12"/>
  <c r="O164" i="12"/>
  <c r="D27" i="10" l="1"/>
  <c r="D3" i="10"/>
  <c r="F3" i="10"/>
  <c r="G3" i="10"/>
  <c r="O163" i="12"/>
  <c r="O162" i="12"/>
  <c r="O161" i="12"/>
  <c r="O160" i="12"/>
  <c r="O159" i="12"/>
  <c r="O158" i="12"/>
  <c r="O157" i="12"/>
  <c r="O156" i="12"/>
  <c r="O155" i="12"/>
  <c r="O154" i="12"/>
  <c r="O151" i="12"/>
  <c r="O152" i="12"/>
  <c r="O153" i="12"/>
  <c r="O150" i="12"/>
  <c r="J89" i="12"/>
  <c r="J90" i="12"/>
  <c r="J92" i="12"/>
  <c r="J109" i="12"/>
  <c r="J110" i="12"/>
  <c r="C104" i="12"/>
  <c r="D104" i="12"/>
  <c r="C103" i="12"/>
  <c r="D103" i="12"/>
  <c r="O149" i="12"/>
  <c r="O148" i="12"/>
  <c r="C102" i="12"/>
  <c r="D102" i="12"/>
  <c r="J17" i="12"/>
  <c r="J75" i="12"/>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7"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E40" i="10"/>
  <c r="L90" i="12"/>
  <c r="L91" i="12"/>
  <c r="L92" i="12"/>
  <c r="L93" i="12"/>
  <c r="L94" i="12"/>
  <c r="L95" i="12"/>
  <c r="L96" i="12"/>
  <c r="L97" i="12"/>
  <c r="L98" i="12"/>
  <c r="L99" i="12"/>
  <c r="L100" i="12"/>
  <c r="L101" i="12"/>
  <c r="L102" i="12"/>
  <c r="L103" i="12"/>
  <c r="L104" i="12"/>
  <c r="L105" i="12"/>
  <c r="L106" i="12"/>
  <c r="L107" i="12"/>
  <c r="L89" i="12"/>
  <c r="J93" i="12"/>
  <c r="J94" i="12"/>
  <c r="J95" i="12"/>
  <c r="J96" i="12"/>
  <c r="J97" i="12"/>
  <c r="J98" i="12"/>
  <c r="J99" i="12"/>
  <c r="J100" i="12"/>
  <c r="J101" i="12"/>
  <c r="J102" i="12"/>
  <c r="J103" i="12"/>
  <c r="J104" i="12"/>
  <c r="J105" i="12"/>
  <c r="J106" i="12"/>
  <c r="J107" i="12"/>
  <c r="D101" i="12"/>
  <c r="D100" i="12"/>
  <c r="J88" i="12"/>
  <c r="J87" i="12"/>
  <c r="J86" i="12"/>
  <c r="E104" i="12" l="1"/>
  <c r="E103" i="12"/>
  <c r="E102" i="12"/>
  <c r="E101" i="12"/>
  <c r="E100" i="12"/>
  <c r="D4" i="12"/>
  <c r="D2" i="12"/>
  <c r="D3"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E40" i="12" s="1"/>
  <c r="D41" i="12"/>
  <c r="E41" i="12" s="1"/>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E85" i="12" s="1"/>
  <c r="D86" i="12"/>
  <c r="D87" i="12"/>
  <c r="D88" i="12"/>
  <c r="D89" i="12"/>
  <c r="D90" i="12"/>
  <c r="D91" i="12"/>
  <c r="D92" i="12"/>
  <c r="D93" i="12"/>
  <c r="D94" i="12"/>
  <c r="D95" i="12"/>
  <c r="D96" i="12"/>
  <c r="D97" i="12"/>
  <c r="D98" i="12"/>
  <c r="D99" i="12"/>
  <c r="C3" i="12"/>
  <c r="C4" i="12"/>
  <c r="C5" i="12"/>
  <c r="C6" i="12"/>
  <c r="C7" i="12"/>
  <c r="C8" i="12"/>
  <c r="C9" i="12"/>
  <c r="C10" i="12"/>
  <c r="C11" i="12"/>
  <c r="C12" i="12"/>
  <c r="L116" i="12"/>
  <c r="L115" i="12"/>
  <c r="L114" i="12"/>
  <c r="L113" i="12"/>
  <c r="L112" i="12"/>
  <c r="L111" i="12"/>
  <c r="L110" i="12"/>
  <c r="L109" i="12"/>
  <c r="L108" i="12"/>
  <c r="L83" i="12"/>
  <c r="L81" i="12"/>
  <c r="L80" i="12"/>
  <c r="L79" i="12"/>
  <c r="L78" i="12"/>
  <c r="L77" i="12"/>
  <c r="L82" i="12"/>
  <c r="J4" i="12"/>
  <c r="J5" i="12"/>
  <c r="J6" i="12"/>
  <c r="J7" i="12"/>
  <c r="J8" i="12"/>
  <c r="J9" i="12"/>
  <c r="J10" i="12"/>
  <c r="J11" i="12"/>
  <c r="J12" i="12"/>
  <c r="J13" i="12"/>
  <c r="J14" i="12"/>
  <c r="J15" i="12"/>
  <c r="J16"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6" i="12"/>
  <c r="J77" i="12"/>
  <c r="J78" i="12"/>
  <c r="J79" i="12"/>
  <c r="J80" i="12"/>
  <c r="J81" i="12"/>
  <c r="J82" i="12"/>
  <c r="J83" i="12"/>
  <c r="J108" i="12"/>
  <c r="J111" i="12"/>
  <c r="J112" i="12"/>
  <c r="J113" i="12"/>
  <c r="J114" i="12"/>
  <c r="J115" i="12"/>
  <c r="J116" i="12"/>
  <c r="J84" i="12"/>
  <c r="J85"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F39" i="10"/>
  <c r="G39" i="10"/>
  <c r="G38" i="10"/>
  <c r="E98" i="12" l="1"/>
  <c r="E90" i="12"/>
  <c r="E89" i="12"/>
  <c r="E97" i="12"/>
  <c r="E83" i="12"/>
  <c r="E92" i="12"/>
  <c r="E84" i="12"/>
  <c r="E93" i="12"/>
  <c r="E91" i="12"/>
  <c r="E94" i="12"/>
  <c r="E86" i="12"/>
  <c r="E99" i="12"/>
  <c r="E96" i="12"/>
  <c r="E88" i="12"/>
  <c r="E95" i="12"/>
  <c r="E87" i="12"/>
  <c r="E64" i="12"/>
  <c r="E67" i="12"/>
  <c r="E68" i="12"/>
  <c r="E65" i="12"/>
  <c r="E82" i="12"/>
  <c r="E81" i="12"/>
  <c r="E80" i="12"/>
  <c r="E79" i="12"/>
  <c r="E78" i="12"/>
  <c r="E77" i="12"/>
  <c r="E76" i="12"/>
  <c r="E75" i="12"/>
  <c r="E74" i="12"/>
  <c r="E73" i="12"/>
  <c r="E72" i="12"/>
  <c r="E71" i="12"/>
  <c r="E70" i="12"/>
  <c r="E69" i="12"/>
  <c r="E63" i="12"/>
  <c r="E61" i="12"/>
  <c r="E60" i="12"/>
  <c r="E62" i="12"/>
  <c r="E59" i="12"/>
  <c r="E56" i="12"/>
  <c r="E58" i="12"/>
  <c r="E57" i="12"/>
  <c r="E55" i="12"/>
  <c r="E54" i="12"/>
  <c r="E44" i="12"/>
  <c r="E52" i="12"/>
  <c r="E51" i="12"/>
  <c r="E50" i="12"/>
  <c r="E53" i="12"/>
  <c r="E49" i="12"/>
  <c r="E46" i="12"/>
  <c r="E43" i="12"/>
  <c r="E45" i="12"/>
  <c r="E47" i="12"/>
  <c r="E48" i="12"/>
  <c r="F38" i="10"/>
  <c r="D38" i="10"/>
  <c r="D4" i="10"/>
  <c r="D6" i="10"/>
  <c r="D7" i="10"/>
  <c r="D8" i="10"/>
  <c r="D9" i="10"/>
  <c r="D10" i="10"/>
  <c r="D11" i="10"/>
  <c r="D12" i="10"/>
  <c r="D13" i="10"/>
  <c r="D14" i="10"/>
  <c r="D15" i="10"/>
  <c r="D16" i="10"/>
  <c r="D17" i="10"/>
  <c r="D18" i="10"/>
  <c r="D19" i="10"/>
  <c r="D20" i="10"/>
  <c r="D21" i="10"/>
  <c r="D22" i="10"/>
  <c r="D23" i="10"/>
  <c r="D24" i="10"/>
  <c r="D25" i="10"/>
  <c r="D26" i="10"/>
  <c r="D28" i="10"/>
  <c r="D29" i="10"/>
  <c r="D30" i="10"/>
  <c r="D31" i="10"/>
  <c r="D32" i="10"/>
  <c r="D33" i="10"/>
  <c r="D34" i="10"/>
  <c r="D35" i="10"/>
  <c r="D36" i="10"/>
  <c r="D37" i="10"/>
  <c r="E4" i="12"/>
  <c r="G37" i="10"/>
  <c r="G36" i="10"/>
  <c r="F37" i="10"/>
  <c r="G16" i="10"/>
  <c r="G4" i="10"/>
  <c r="G6" i="10"/>
  <c r="G7" i="10"/>
  <c r="G9" i="10"/>
  <c r="G10" i="10"/>
  <c r="G11" i="10"/>
  <c r="G12" i="10"/>
  <c r="G13" i="10"/>
  <c r="G14" i="10"/>
  <c r="G15" i="10"/>
  <c r="G17" i="10"/>
  <c r="G18" i="10"/>
  <c r="G19" i="10"/>
  <c r="G20" i="10"/>
  <c r="G21" i="10"/>
  <c r="G22" i="10"/>
  <c r="G23" i="10"/>
  <c r="G24" i="10"/>
  <c r="G25" i="10"/>
  <c r="G26" i="10"/>
  <c r="G27" i="10"/>
  <c r="G28" i="10"/>
  <c r="G29" i="10"/>
  <c r="G30" i="10"/>
  <c r="G31" i="10"/>
  <c r="G32" i="10"/>
  <c r="G33" i="10"/>
  <c r="G34" i="10"/>
  <c r="G35" i="10"/>
  <c r="F4"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D2" i="10"/>
  <c r="C39" i="4"/>
  <c r="C36" i="4"/>
  <c r="C33" i="4"/>
  <c r="C30" i="4"/>
  <c r="C27" i="4"/>
  <c r="C21" i="4"/>
  <c r="C18" i="4"/>
  <c r="C15" i="4"/>
  <c r="C12" i="4"/>
  <c r="C9" i="4"/>
  <c r="C6" i="4"/>
  <c r="C3" i="4"/>
  <c r="D40" i="10" l="1"/>
  <c r="E66" i="12"/>
  <c r="E42" i="12"/>
  <c r="E8" i="12"/>
  <c r="E35" i="12"/>
  <c r="G40" i="10"/>
  <c r="E7" i="12"/>
  <c r="E33" i="12"/>
  <c r="E34" i="12"/>
  <c r="E36" i="12"/>
  <c r="E37" i="12"/>
  <c r="E38" i="12"/>
  <c r="E39" i="12"/>
  <c r="E32" i="12"/>
  <c r="E25" i="12"/>
  <c r="E17" i="12"/>
  <c r="E9" i="12"/>
  <c r="E24" i="12"/>
  <c r="E16" i="12"/>
  <c r="E31" i="12"/>
  <c r="E23" i="12"/>
  <c r="E15" i="12"/>
  <c r="E30" i="12"/>
  <c r="E22" i="12"/>
  <c r="E14" i="12"/>
  <c r="E6" i="12"/>
  <c r="E29" i="12"/>
  <c r="E21" i="12"/>
  <c r="E13" i="12"/>
  <c r="E5" i="12"/>
  <c r="E28" i="12"/>
  <c r="E20" i="12"/>
  <c r="E12" i="12"/>
  <c r="E27" i="12"/>
  <c r="E19" i="12"/>
  <c r="E11" i="12"/>
  <c r="E3" i="12"/>
  <c r="E26" i="12"/>
  <c r="E18" i="12"/>
  <c r="E10" i="12"/>
  <c r="E2" i="12"/>
  <c r="L5" i="21"/>
  <c r="K5" i="21"/>
</calcChain>
</file>

<file path=xl/sharedStrings.xml><?xml version="1.0" encoding="utf-8"?>
<sst xmlns="http://schemas.openxmlformats.org/spreadsheetml/2006/main" count="5105" uniqueCount="1211">
  <si>
    <t xml:space="preserve">NOMBRE </t>
  </si>
  <si>
    <t>GENERO</t>
  </si>
  <si>
    <t>AREA</t>
  </si>
  <si>
    <t xml:space="preserve">DOCUMENTOS </t>
  </si>
  <si>
    <t>NOTA</t>
  </si>
  <si>
    <t xml:space="preserve">PERSONAL FEMENINO </t>
  </si>
  <si>
    <t>Etiquetas de fila</t>
  </si>
  <si>
    <t>Cuenta de GENERO</t>
  </si>
  <si>
    <t>F</t>
  </si>
  <si>
    <t>CANTIDAD</t>
  </si>
  <si>
    <t>M</t>
  </si>
  <si>
    <t xml:space="preserve">PERSONAL MASCULINO  </t>
  </si>
  <si>
    <t>Total general</t>
  </si>
  <si>
    <t>#</t>
  </si>
  <si>
    <t>TOTAL PERSONAL ISTHO</t>
  </si>
  <si>
    <t xml:space="preserve">PERSONAL CONDUCTORES </t>
  </si>
  <si>
    <t>CONDUCTOR</t>
  </si>
  <si>
    <t xml:space="preserve">PERSONAL MONTACARGAS </t>
  </si>
  <si>
    <t>MONTACARGA</t>
  </si>
  <si>
    <t xml:space="preserve">PERSONAL ADMINISTRACION </t>
  </si>
  <si>
    <t xml:space="preserve">ADMINISTRACION </t>
  </si>
  <si>
    <t>PERSONAL AUX.BDG</t>
  </si>
  <si>
    <t>AUXILIAR.BODEGA</t>
  </si>
  <si>
    <t>PRACTICANTES</t>
  </si>
  <si>
    <t xml:space="preserve">PRACTICANTE </t>
  </si>
  <si>
    <t>CENTRAL</t>
  </si>
  <si>
    <t xml:space="preserve">OPERACION </t>
  </si>
  <si>
    <t>BODEGA 130</t>
  </si>
  <si>
    <t>BODEGA 106</t>
  </si>
  <si>
    <t>BODEGA 107</t>
  </si>
  <si>
    <t>OP.BETANIA</t>
  </si>
  <si>
    <t>BARRANQUILLA</t>
  </si>
  <si>
    <t>FECHA</t>
  </si>
  <si>
    <t xml:space="preserve">Nombre </t>
  </si>
  <si>
    <t>Documento</t>
  </si>
  <si>
    <t>#DOC</t>
  </si>
  <si>
    <t xml:space="preserve">Programa de Formacion </t>
  </si>
  <si>
    <t>Contacto</t>
  </si>
  <si>
    <t xml:space="preserve">Hr.citacion </t>
  </si>
  <si>
    <t>IN.PRACTICAS</t>
  </si>
  <si>
    <t xml:space="preserve">OBSERVACION </t>
  </si>
  <si>
    <t>DANIEL RAMIREZ ARBOLEDA</t>
  </si>
  <si>
    <t>SGI</t>
  </si>
  <si>
    <t>ASISTE</t>
  </si>
  <si>
    <t>DEISY CAROLINA VELEZ HERNANDEZ</t>
  </si>
  <si>
    <t>NO ASISTE</t>
  </si>
  <si>
    <t>ANLLY VALENTINA TRUJILLO PORRAS</t>
  </si>
  <si>
    <t>CC</t>
  </si>
  <si>
    <t>TECNÓLOGO EN ANALISIS Y DESARROLLO DE SOFTWARE.</t>
  </si>
  <si>
    <t>311 3402329</t>
  </si>
  <si>
    <t>LINA MARCELA MOSQUERA</t>
  </si>
  <si>
    <t>DINA LUZ GARCIA</t>
  </si>
  <si>
    <t>YENIFER GARCIA MORENO</t>
  </si>
  <si>
    <t>MELANY GARCIA PARIAS</t>
  </si>
  <si>
    <t>324 5087696</t>
  </si>
  <si>
    <t xml:space="preserve">Viernes, 14 de febrero de 2025 </t>
  </si>
  <si>
    <t xml:space="preserve">HEIDOL DAVID LOAIZA </t>
  </si>
  <si>
    <t>TI</t>
  </si>
  <si>
    <t>311 3661189</t>
  </si>
  <si>
    <t>DANER ANTONIO MOSQUERA BEDOYA</t>
  </si>
  <si>
    <t>311 2762618</t>
  </si>
  <si>
    <t>YURELDI SIERRA ARRIETA</t>
  </si>
  <si>
    <t>300 2088659</t>
  </si>
  <si>
    <t>JAO ESTID ORTIZ CUELLO</t>
  </si>
  <si>
    <t>300 8239274</t>
  </si>
  <si>
    <t xml:space="preserve">03:00 p. m </t>
  </si>
  <si>
    <r>
      <t> </t>
    </r>
    <r>
      <rPr>
        <sz val="11"/>
        <color theme="1"/>
        <rFont val="Aptos Narrow"/>
        <family val="2"/>
        <scheme val="minor"/>
      </rPr>
      <t>JHEINER VELEZ GOMEZ</t>
    </r>
  </si>
  <si>
    <t>311 4667432</t>
  </si>
  <si>
    <t>2:00 p.m</t>
  </si>
  <si>
    <t>CANCELA</t>
  </si>
  <si>
    <t>XIMENA ALVAREZ MORALES</t>
  </si>
  <si>
    <t>TÉCNICO EN SISTEMAS TELEINFORMÁTICOS.</t>
  </si>
  <si>
    <t>314 7268913</t>
  </si>
  <si>
    <t>MARIA PAOLA HINESTROZA ROBLEDO</t>
  </si>
  <si>
    <t>320 5684034</t>
  </si>
  <si>
    <t>GARCIA ZAPATA NATALI</t>
  </si>
  <si>
    <t>323 4081496</t>
  </si>
  <si>
    <t>KEVIN FLOREZ VERGARA</t>
  </si>
  <si>
    <t>320 7554527</t>
  </si>
  <si>
    <t>DAVID ALEJANDRO MEJIA POSADA</t>
  </si>
  <si>
    <t>305 3278330</t>
  </si>
  <si>
    <t xml:space="preserve"> </t>
  </si>
  <si>
    <r>
      <t> </t>
    </r>
    <r>
      <rPr>
        <sz val="11"/>
        <color theme="1"/>
        <rFont val="Aptos Narrow"/>
        <family val="2"/>
        <scheme val="minor"/>
      </rPr>
      <t>JENIFER DANIELA VERGARA SERNA</t>
    </r>
  </si>
  <si>
    <t>324 2807261</t>
  </si>
  <si>
    <t>LUISA MARIA RAMIREZ RODRIGUEZ</t>
  </si>
  <si>
    <t>TECNOLOGO EN GESTION EMPRESARIAL.</t>
  </si>
  <si>
    <t>305 2146662 304 3413818</t>
  </si>
  <si>
    <t>ALEJANDRA GALLEGO FORONDA</t>
  </si>
  <si>
    <t>316 2251987</t>
  </si>
  <si>
    <t>ZULEIMA ENDREA VELASQUEZ SUAREZ</t>
  </si>
  <si>
    <t>312 8924023</t>
  </si>
  <si>
    <t>MARIA FERNANDA OSPINA CHICA</t>
  </si>
  <si>
    <t>TÉCNICO EN INTEGRACION DE OPERACIONES LOGISTICAS.</t>
  </si>
  <si>
    <t>315 3981911</t>
  </si>
  <si>
    <t>GEENE ALEXANDRA HENAO TEJADA</t>
  </si>
  <si>
    <t>TECNOLOGO EN GESTION ADMINISTRATIVA.</t>
  </si>
  <si>
    <t>320 9476128</t>
  </si>
  <si>
    <t>ALAN MATEO PEREZ DURANGO</t>
  </si>
  <si>
    <t>300 6505653</t>
  </si>
  <si>
    <t>9:00am</t>
  </si>
  <si>
    <t>EDISON ANDRES OROZCO PULGARIN</t>
  </si>
  <si>
    <t>302 6357194</t>
  </si>
  <si>
    <t>9:30am</t>
  </si>
  <si>
    <t>JAVIER DAVID RENTERIA BARRERO</t>
  </si>
  <si>
    <t>313 6392283</t>
  </si>
  <si>
    <t>10:00am</t>
  </si>
  <si>
    <t>MARIA CAMILA TORO BEDOYA</t>
  </si>
  <si>
    <t>311 3691931</t>
  </si>
  <si>
    <t xml:space="preserve">2:00pm </t>
  </si>
  <si>
    <t>VALENTINA SANCHEZ OROZCO</t>
  </si>
  <si>
    <t>304 4471792</t>
  </si>
  <si>
    <t>FARLEY PIEDRAHITA OROZCO</t>
  </si>
  <si>
    <t>302 2515116</t>
  </si>
  <si>
    <t>SOFIA NIEVES RUIZ</t>
  </si>
  <si>
    <t>T.I</t>
  </si>
  <si>
    <t>TECNICO EN INTEGRACION DE OPERACIONES LOGISTICAS.</t>
  </si>
  <si>
    <t>310 5155470</t>
  </si>
  <si>
    <t>3:00pm</t>
  </si>
  <si>
    <t>YERALDIN CASTRO SANCHEZ</t>
  </si>
  <si>
    <t>TECNICO EN COORDINACION DE PROCESOS LOGISTICOS.</t>
  </si>
  <si>
    <t>321 3569715</t>
  </si>
  <si>
    <t xml:space="preserve">3:30pm </t>
  </si>
  <si>
    <t>CRISTIAN ACEVEDO MARIN</t>
  </si>
  <si>
    <t>TECNOLOGO EN GESTION ADMINISTRATIVA</t>
  </si>
  <si>
    <t>310 4003261</t>
  </si>
  <si>
    <t>02:40pm</t>
  </si>
  <si>
    <t>JADER WUALDIR RAMIREZ ONZALE</t>
  </si>
  <si>
    <t>324 6622676</t>
  </si>
  <si>
    <t>03:00pm</t>
  </si>
  <si>
    <t>EDGARDO ROMAN TINAURE LOPEZ</t>
  </si>
  <si>
    <t>NUIP</t>
  </si>
  <si>
    <t>302 3699025</t>
  </si>
  <si>
    <t>03:30pm</t>
  </si>
  <si>
    <t>KAIRA RAMOS ESCOBAR</t>
  </si>
  <si>
    <t>TECNOLOGIA FINANCIERA Y CONTABLE</t>
  </si>
  <si>
    <t xml:space="preserve"> 305 2528819</t>
  </si>
  <si>
    <t xml:space="preserve">10:00am </t>
  </si>
  <si>
    <t>NICOLE ALEJANDRA ROLDAN DAVID</t>
  </si>
  <si>
    <t>301 6501748</t>
  </si>
  <si>
    <t>09:30am</t>
  </si>
  <si>
    <t xml:space="preserve">MIGUEL  ANGEL ARANGO PICHINA </t>
  </si>
  <si>
    <t>323 3293667</t>
  </si>
  <si>
    <t>09:00am</t>
  </si>
  <si>
    <t>ANA SAFIA GALEANO VALENCIA</t>
  </si>
  <si>
    <t xml:space="preserve">T.I </t>
  </si>
  <si>
    <t>3135796285 3137284909</t>
  </si>
  <si>
    <t>VALERY SALOME GOMEZ MESA</t>
  </si>
  <si>
    <t>CAMILA PRESIGA BETANCUR</t>
  </si>
  <si>
    <t xml:space="preserve">02:00pm </t>
  </si>
  <si>
    <t>DAYANA PAOLA PAMPLONA LEDESMA</t>
  </si>
  <si>
    <t>02:30pm</t>
  </si>
  <si>
    <t>LAURA VALENCIA FRANCO</t>
  </si>
  <si>
    <t xml:space="preserve">02:00PM </t>
  </si>
  <si>
    <t>MARIANA SERNA OSPINA</t>
  </si>
  <si>
    <t>MIGUEL ANGEL RODRIGUEZ ECHEVERRY</t>
  </si>
  <si>
    <t>LELGA TARDE</t>
  </si>
  <si>
    <t>MARIA ANGELA LEMUS BENITEZ</t>
  </si>
  <si>
    <t>SEGURIDAD LABORAL-CESDE</t>
  </si>
  <si>
    <t>SAMUEL AGUDELO BECERRA</t>
  </si>
  <si>
    <t>DIANY MELISA PABON QUIROS</t>
  </si>
  <si>
    <t>10:30am</t>
  </si>
  <si>
    <t>LINA MARCELA HERNANDEZ VARGAS</t>
  </si>
  <si>
    <t xml:space="preserve">TECNICO LABORAL EN ASISTENTE ADMINISTRATIVO </t>
  </si>
  <si>
    <t>11:00am</t>
  </si>
  <si>
    <t>ACTIVOS</t>
  </si>
  <si>
    <t>NOMBRE</t>
  </si>
  <si>
    <t>DOC</t>
  </si>
  <si>
    <t>ID</t>
  </si>
  <si>
    <t xml:space="preserve">NACIMIENTO </t>
  </si>
  <si>
    <t>CORREO</t>
  </si>
  <si>
    <t>CONTACTO</t>
  </si>
  <si>
    <t>N.ESTUDIOS</t>
  </si>
  <si>
    <t>PROFESION</t>
  </si>
  <si>
    <t>ARCHIVOS</t>
  </si>
  <si>
    <t xml:space="preserve">FECHA INDUCCION </t>
  </si>
  <si>
    <t>VENCE.INDUCCION</t>
  </si>
  <si>
    <t>VIGENCIA.INDUCCION</t>
  </si>
  <si>
    <t>CARGO</t>
  </si>
  <si>
    <t>T.Camisa</t>
  </si>
  <si>
    <t xml:space="preserve">T.Pantalon </t>
  </si>
  <si>
    <t>T.Botas</t>
  </si>
  <si>
    <t xml:space="preserve">TIPO.CONTRATO </t>
  </si>
  <si>
    <t>CONTRATO</t>
  </si>
  <si>
    <t>COBERTURA-ARL</t>
  </si>
  <si>
    <t>EPS</t>
  </si>
  <si>
    <t xml:space="preserve">PENSION </t>
  </si>
  <si>
    <t>CESANTIAS</t>
  </si>
  <si>
    <t>VENCE.MANI.ALIM</t>
  </si>
  <si>
    <t>PLAZO</t>
  </si>
  <si>
    <t xml:space="preserve">EXAMENES MEDICOS </t>
  </si>
  <si>
    <t>VENCIMIENTO.EX.MED</t>
  </si>
  <si>
    <t>VIGENCIA.EX.MED</t>
  </si>
  <si>
    <t>OPERACION</t>
  </si>
  <si>
    <t>INGRESO</t>
  </si>
  <si>
    <t>RETIRO</t>
  </si>
  <si>
    <t>TIEMPO DE SERVICIO</t>
  </si>
  <si>
    <t>OBSERVACION</t>
  </si>
  <si>
    <t xml:space="preserve">Masculino </t>
  </si>
  <si>
    <t>Albeiroagualimpia@hotmail.com</t>
  </si>
  <si>
    <t>BACHILLER</t>
  </si>
  <si>
    <t>OPERARIO DE MONTACARGA</t>
  </si>
  <si>
    <t>OPERACIONES</t>
  </si>
  <si>
    <t>XXL</t>
  </si>
  <si>
    <t xml:space="preserve">CONTR. A TERMINO INDEFINIDO </t>
  </si>
  <si>
    <t>Salud Total</t>
  </si>
  <si>
    <t>PORVENIR</t>
  </si>
  <si>
    <t>N/A</t>
  </si>
  <si>
    <t>B.130</t>
  </si>
  <si>
    <t>ADXEL JESÚS TORRES MELENDEZ</t>
  </si>
  <si>
    <t>MASCULINO</t>
  </si>
  <si>
    <t xml:space="preserve">RETIRADO </t>
  </si>
  <si>
    <t>ALEX FABIAN CORRALES DE HOYOS</t>
  </si>
  <si>
    <t>Masculino</t>
  </si>
  <si>
    <t xml:space="preserve">NO REGISTRA </t>
  </si>
  <si>
    <t>L</t>
  </si>
  <si>
    <t xml:space="preserve">INDEFINIDO-PERIODO DE PRUEBA </t>
  </si>
  <si>
    <t>Coosalud</t>
  </si>
  <si>
    <t>PROTECCION</t>
  </si>
  <si>
    <t>BETANIA</t>
  </si>
  <si>
    <t>ALEJANDRO ORTIZ PEREZ</t>
  </si>
  <si>
    <t>AUXILIAR DE BODEGA</t>
  </si>
  <si>
    <t xml:space="preserve">ANDERSON MANUEL CASTILLO TORRES </t>
  </si>
  <si>
    <t>PPT</t>
  </si>
  <si>
    <t>Andersoncastillo2010@gmil.com</t>
  </si>
  <si>
    <t>EPS Sura</t>
  </si>
  <si>
    <t>TURNO-NOCHE</t>
  </si>
  <si>
    <t>ALFREDO JOSE TORRES TORRES</t>
  </si>
  <si>
    <t xml:space="preserve">ANDERSON MONTESINO CARDONA </t>
  </si>
  <si>
    <t>anderxmontes@gmail.com</t>
  </si>
  <si>
    <t>KLAR</t>
  </si>
  <si>
    <t>ANDERSON MANUEL CASTILLO TORRES</t>
  </si>
  <si>
    <t>ANDERSON PARRA VASQUEZ</t>
  </si>
  <si>
    <t>anderparra386@gmail.com</t>
  </si>
  <si>
    <t>ACTIVO</t>
  </si>
  <si>
    <t>ANDRES ANIBAL VELEZ</t>
  </si>
  <si>
    <t>Av93687@gmail.com</t>
  </si>
  <si>
    <t>XL</t>
  </si>
  <si>
    <t>Savia Salud</t>
  </si>
  <si>
    <t>PENDIENTE</t>
  </si>
  <si>
    <t>ANDRES FELIPE AREIZA CHAVARRIA</t>
  </si>
  <si>
    <t>ANDRES ECHAVARRIA IBARRA</t>
  </si>
  <si>
    <t>Andresechavarriaibarra@gmail.com</t>
  </si>
  <si>
    <t>LACTALIS</t>
  </si>
  <si>
    <t>ANDRES FELIPE LONDOÑO RENDON</t>
  </si>
  <si>
    <t>LIDER DE OPERACIONES</t>
  </si>
  <si>
    <t xml:space="preserve">ANDRES FELIPE BOLIVAR GIRALDO </t>
  </si>
  <si>
    <t>Andrewphilip360@gmail.com</t>
  </si>
  <si>
    <t xml:space="preserve">TECNICO </t>
  </si>
  <si>
    <t>MANTENIMIENTO DE HARDWARE</t>
  </si>
  <si>
    <t>COORDINADOR T.I</t>
  </si>
  <si>
    <t>S</t>
  </si>
  <si>
    <t>LIDER T.I</t>
  </si>
  <si>
    <t>ANDRES MAURICIO HOYOS VELASQUEZ</t>
  </si>
  <si>
    <t xml:space="preserve">ANDRES FELIPE VELEZ TOBON </t>
  </si>
  <si>
    <t>Felipeveleztobon4540@gmail.com</t>
  </si>
  <si>
    <t>PRIMARIA</t>
  </si>
  <si>
    <t>INDEPENDIENTE</t>
  </si>
  <si>
    <t xml:space="preserve">ANDRES MAURICIO DURANGO MORENO </t>
  </si>
  <si>
    <t>Maurodurangon@hotmail.com</t>
  </si>
  <si>
    <t>PROFESIONAL</t>
  </si>
  <si>
    <t xml:space="preserve">ADM.EMPRESAS AGROPECUARIAS </t>
  </si>
  <si>
    <t>COORDINADOR TRANSPORTE</t>
  </si>
  <si>
    <t>COOR.TRANSPORTE</t>
  </si>
  <si>
    <t>ANGIELO STY OSORNO SANCHEZ</t>
  </si>
  <si>
    <t>Polo110s@hotmail.com</t>
  </si>
  <si>
    <t>BENERSON RAFAEL VILLADIEGO LUNA</t>
  </si>
  <si>
    <t>ANGIE PAOLA TRUJILLO RAMIREZ</t>
  </si>
  <si>
    <t xml:space="preserve">Femenino </t>
  </si>
  <si>
    <t>Angiepaola12ramirez@gmail.com</t>
  </si>
  <si>
    <t>RECURSOS HUMANOS</t>
  </si>
  <si>
    <t>PENDIENTE INGRESO</t>
  </si>
  <si>
    <t>PRACTICANTE2025</t>
  </si>
  <si>
    <t>PRACTICANTE</t>
  </si>
  <si>
    <t>BENJAMIN DE JESUS LONDOÑO URIBE</t>
  </si>
  <si>
    <t xml:space="preserve">BIBIANA SARMIENTO AMAYA </t>
  </si>
  <si>
    <t>Bibianasarmiento@istho.com.co</t>
  </si>
  <si>
    <t>INGENIERIA ELECTRICISTA</t>
  </si>
  <si>
    <t>GERENCIA.FINANCIERA</t>
  </si>
  <si>
    <t>GERENCIA</t>
  </si>
  <si>
    <t>BEYKER ALBERTO LANDINEZ OSORIO</t>
  </si>
  <si>
    <t>BRAYAN ALEJANDRO SOTELO LEON</t>
  </si>
  <si>
    <t>CAMILO ANDRES CANO HERNANDEZ</t>
  </si>
  <si>
    <t>Kamus071590@gmail.com</t>
  </si>
  <si>
    <t>BRAYAN ALVAREZ GUTIERREZ</t>
  </si>
  <si>
    <t xml:space="preserve">CARLOS DANIEL ESCARAY BLANCO </t>
  </si>
  <si>
    <t>Carlosdanielescaray@gmail.com</t>
  </si>
  <si>
    <t xml:space="preserve">SEXTO.BACHILLERATO </t>
  </si>
  <si>
    <t>Nueva EPS</t>
  </si>
  <si>
    <t>BRENDA CAROLINA SILGADO ORTIZ</t>
  </si>
  <si>
    <t>COORDINADORA DE TRANSPORTE</t>
  </si>
  <si>
    <t>FEMENINO</t>
  </si>
  <si>
    <t xml:space="preserve">CARLOS LUIS NOGUERA </t>
  </si>
  <si>
    <t>Carlitosnoguera79@gmail.com</t>
  </si>
  <si>
    <t>NO PRESENTA</t>
  </si>
  <si>
    <t>CARLOS LUIS NOGUERA</t>
  </si>
  <si>
    <t>CARLOS LUIS NOGUERA LANDINEZ</t>
  </si>
  <si>
    <t>Nogueracarlosluislandinez@gmail.com</t>
  </si>
  <si>
    <t xml:space="preserve">PENDIENTE INDUCCION </t>
  </si>
  <si>
    <t>CRISTIAN ESCOBAR OCHOA</t>
  </si>
  <si>
    <t>Thesalmondance25@gmail.com</t>
  </si>
  <si>
    <t xml:space="preserve">DANIELA TAMAYO RUIZ </t>
  </si>
  <si>
    <t>Danielatamayo016@gmail.com</t>
  </si>
  <si>
    <t xml:space="preserve">LIDER LOGISTICO </t>
  </si>
  <si>
    <t>CAROLINA LOPEZ GONZALEZ</t>
  </si>
  <si>
    <t>LIDER LOGISTICO II</t>
  </si>
  <si>
    <t xml:space="preserve">DAVID ESTIVEN GRAJALES MARIN </t>
  </si>
  <si>
    <t>Davidestivengrajalesmarin@gmail.com</t>
  </si>
  <si>
    <t>CESAR AUGUSTO GONZALEZ DIAZ</t>
  </si>
  <si>
    <t xml:space="preserve">COLPENSIONES </t>
  </si>
  <si>
    <t>CESAR AUGUSTO SANCHEZ</t>
  </si>
  <si>
    <t>DIEGO ECHEVERRI ECHEVERRI</t>
  </si>
  <si>
    <t>Diegoecheverri@ishto.com.co</t>
  </si>
  <si>
    <t xml:space="preserve">PROFESIONAL </t>
  </si>
  <si>
    <t xml:space="preserve">ADMINISTRADOR DE EMPRESAS </t>
  </si>
  <si>
    <t>GERENCIA.GENERAL</t>
  </si>
  <si>
    <t xml:space="preserve">EIDER ALEXANDER EUSSE OCHOA </t>
  </si>
  <si>
    <t>Alexander.eusse@gmail.com</t>
  </si>
  <si>
    <t>GESTION DE TALENTO HUMANO</t>
  </si>
  <si>
    <t>COORDINADOR T-H</t>
  </si>
  <si>
    <t>COOR.TALENTO HUMANO</t>
  </si>
  <si>
    <t>CRISTIAN DAVID PULGARIN BONILLA</t>
  </si>
  <si>
    <t xml:space="preserve">EMANUEL VASCO FRANCO </t>
  </si>
  <si>
    <t>emanuelvasco.ef37@gmail.com</t>
  </si>
  <si>
    <t xml:space="preserve">ESTELIO ENRIQUE CUENTAS APARICIO </t>
  </si>
  <si>
    <t>Enrique.cuentas@hotmail.com</t>
  </si>
  <si>
    <t xml:space="preserve">BACHILLER </t>
  </si>
  <si>
    <t>GISELA MAYERLY SEPULVEDA LEZCANO</t>
  </si>
  <si>
    <t>Giselmayerlys@gmail.com</t>
  </si>
  <si>
    <t xml:space="preserve">CONTRAT APRENDIZAJE </t>
  </si>
  <si>
    <t>TECNOLOGIAS</t>
  </si>
  <si>
    <t>DANIEL ANTONIO ALZATE CARDONA</t>
  </si>
  <si>
    <t>LIDER DE TRANSPORTE NACIONAL</t>
  </si>
  <si>
    <t>HENRY DE JESUS TORO SIERRA</t>
  </si>
  <si>
    <t>Henrytorosierra22@gmail.com</t>
  </si>
  <si>
    <t>DANIEL FELIPE BARRERA RAMIREZ</t>
  </si>
  <si>
    <t>IVAN DARIO MALAGON ORTIZ</t>
  </si>
  <si>
    <t>Ivan911416@gmail.com</t>
  </si>
  <si>
    <t>Famisanar</t>
  </si>
  <si>
    <t>LIDER.BOGOTA</t>
  </si>
  <si>
    <t>DANIEL ORLANDO MARTINEZ</t>
  </si>
  <si>
    <t xml:space="preserve">JAIR VILLADIEGO ORTEGA </t>
  </si>
  <si>
    <t>Jv082008@hotmail.com</t>
  </si>
  <si>
    <t>MERCADERISTA-BARRANQUILLA</t>
  </si>
  <si>
    <t xml:space="preserve">CONTR.A TERMINO 6 MESES </t>
  </si>
  <si>
    <t>JERLEY MAURICIO ARENAS CHAVERRA</t>
  </si>
  <si>
    <t>Jerleysuperahorro@gmail.com</t>
  </si>
  <si>
    <t>OPERACIÓN DE MONTACARGAS</t>
  </si>
  <si>
    <t>DANNY CRISTIAN AVENDAÑO GALEANO</t>
  </si>
  <si>
    <t>JESUS DAVID PALLARES PINEDA</t>
  </si>
  <si>
    <t>Jesuspallarespineda@gmail.com</t>
  </si>
  <si>
    <t>DAVID STEVEN VELEZ ESPINOSA</t>
  </si>
  <si>
    <t>LIDER LOGISTICO</t>
  </si>
  <si>
    <t xml:space="preserve">JESUS ESTEBAN GOMEZ QUIÑONEZ </t>
  </si>
  <si>
    <t>Chucho.v4@hotmail.com</t>
  </si>
  <si>
    <t>LOGISTICA EMPRESARIAL</t>
  </si>
  <si>
    <t>LIDER.ETERNIT-KLAR-EPIROC</t>
  </si>
  <si>
    <t>DEIVIS MANUEL LEAL PEREZ</t>
  </si>
  <si>
    <t xml:space="preserve">JOHN ANDRES JIMENEZ CATAÑO </t>
  </si>
  <si>
    <t>Andresjimenezandres.97@gmail.com</t>
  </si>
  <si>
    <t>DIEGO  FERNANDO GIRALDO MONTOYA</t>
  </si>
  <si>
    <t>MERCADERISTA</t>
  </si>
  <si>
    <t xml:space="preserve">JHON FREDY CORDOBA CUESTA </t>
  </si>
  <si>
    <t>Jfrechar115@yahoo.es</t>
  </si>
  <si>
    <t xml:space="preserve">LOGISTICA DE CENTRO DE DISTRIBUCION </t>
  </si>
  <si>
    <t>COLFONDOS</t>
  </si>
  <si>
    <t>DUBAN FELIPE ZARATE MERIÑO</t>
  </si>
  <si>
    <t>JHONNY QUINTERO PEREZ</t>
  </si>
  <si>
    <t>Jobyquinteroperez@gmail.com</t>
  </si>
  <si>
    <t>DUVAN ALEJANDRO MONTOYA ECHAVARRIA</t>
  </si>
  <si>
    <t xml:space="preserve">JOAQUIN EMILIO  BARRIENTOS LOPERA </t>
  </si>
  <si>
    <t>Joaquinbarrie123@gmail.com</t>
  </si>
  <si>
    <t>BACHILLER (NOVENO)</t>
  </si>
  <si>
    <t>DUVAN DE JESUS RODAS CORREA</t>
  </si>
  <si>
    <t>JOHAN SEBASTIAN CAÑAS MENESES</t>
  </si>
  <si>
    <t>Johanrojodim25@gmail.com</t>
  </si>
  <si>
    <t>FNA</t>
  </si>
  <si>
    <t>ETERNIT</t>
  </si>
  <si>
    <t>EDISON FERNANDO CALLE CALLE</t>
  </si>
  <si>
    <t>jhoan.-.08@hotmail.com</t>
  </si>
  <si>
    <t>LIDER.KLAR</t>
  </si>
  <si>
    <t>EDWIN ALBERTO MONSALVE RIOS</t>
  </si>
  <si>
    <t xml:space="preserve">JONATAN DAVID MADRIGAL FRANCO </t>
  </si>
  <si>
    <t>Jhonatanmadrigal52@gmail.com</t>
  </si>
  <si>
    <t>LIDER.EXITO</t>
  </si>
  <si>
    <t>ERIK ALFREDO GOMEZ CEPEDA</t>
  </si>
  <si>
    <t>JORGE ANIBAL CARDENAS CASTILLO</t>
  </si>
  <si>
    <t>Jacc_15_02@hotmail.com</t>
  </si>
  <si>
    <t xml:space="preserve">TECNOLOGO </t>
  </si>
  <si>
    <t>GESTION LOGISTICA</t>
  </si>
  <si>
    <t xml:space="preserve">COORDINADOR OPERACIONES </t>
  </si>
  <si>
    <t>COOR.OPERACIONES</t>
  </si>
  <si>
    <t xml:space="preserve">JORGE ENRIQUE MAYA SAAVEDRA </t>
  </si>
  <si>
    <t>Jorgemaya.s@live.com</t>
  </si>
  <si>
    <t>SUPERVISOR DE INVENTARIO</t>
  </si>
  <si>
    <t>ERNESTO ALEXANDER VILLA JIMENEZ</t>
  </si>
  <si>
    <t xml:space="preserve">JUAN ALBERTO MURILLO CUARTAS </t>
  </si>
  <si>
    <t>Jmurillocuartas@gmail.com</t>
  </si>
  <si>
    <t>EVER ENRIQUE AGAMEZ CORCHO</t>
  </si>
  <si>
    <t xml:space="preserve">JUAN CARLOS BASTIDAS RAMIREZ </t>
  </si>
  <si>
    <t>Bastidasramires520@gmail.com</t>
  </si>
  <si>
    <t>FRANCISCO JAVIER AULAR SANCHEZ</t>
  </si>
  <si>
    <t xml:space="preserve">JUAN CARLOS RODAS </t>
  </si>
  <si>
    <t>Juanka1553@gmail.com</t>
  </si>
  <si>
    <t>FRANCO ANDRES VELEZ CARVAJAL</t>
  </si>
  <si>
    <t xml:space="preserve">JUAN DAVID MORENO DIAS </t>
  </si>
  <si>
    <t>Morenodiazjuandavid254@gmail.com</t>
  </si>
  <si>
    <t>GLEINER ANTONIO VELASQUEZ ORTEGA</t>
  </si>
  <si>
    <t>JUAN FELIPE JIMENEZ CASTRILLON</t>
  </si>
  <si>
    <t>Juanfejimenez06@gmail.com</t>
  </si>
  <si>
    <t xml:space="preserve">CONDUCTOR </t>
  </si>
  <si>
    <t>GLORIA ELCY VELEZ OSORIO</t>
  </si>
  <si>
    <t>KENER OROZCO MARTINEZ</t>
  </si>
  <si>
    <t>Kenerorozcomartinez@gmail.com</t>
  </si>
  <si>
    <t>HENRY ALEJANDRO ARANGO DUQUE</t>
  </si>
  <si>
    <t xml:space="preserve">KEVIN ANDRES RODRIGUEZ LOPEZ </t>
  </si>
  <si>
    <t>Lopezkevin364rodriguez@gmail.com</t>
  </si>
  <si>
    <t>HENRY SMITH PINZON CALDERON</t>
  </si>
  <si>
    <t>LEIDY JOHANA PANIAGUA GOMEZ</t>
  </si>
  <si>
    <t>ljpaniagua@gmail.com</t>
  </si>
  <si>
    <t>GESTION EMPRESARIAL Y FINANCIERA</t>
  </si>
  <si>
    <t>SURA</t>
  </si>
  <si>
    <t>JAHN LUCAS ARROYAVE MORALES</t>
  </si>
  <si>
    <t>DESPACHADOR</t>
  </si>
  <si>
    <t>LENNY KATHERINE MONTAÑO BALLEN</t>
  </si>
  <si>
    <t>Katherineballen@hotmail.com</t>
  </si>
  <si>
    <t xml:space="preserve">SISTEMAS DE GESTION INTEGRADO </t>
  </si>
  <si>
    <t>COORDINADORA SGI</t>
  </si>
  <si>
    <t>COORD.SGI-SST</t>
  </si>
  <si>
    <t>JESUS ESTEBAN GOMEZ QUIÑONEZ</t>
  </si>
  <si>
    <t xml:space="preserve">LILIAN SEPULVEDA LEZCANO </t>
  </si>
  <si>
    <t>Sepulvedalilian872@gmail.com</t>
  </si>
  <si>
    <t>COORDINADORA.TRANSPORTE</t>
  </si>
  <si>
    <t>COOR.TRANSPORTE-FACTURACION</t>
  </si>
  <si>
    <t xml:space="preserve">LINA MARCELA PINEDA MACIAS </t>
  </si>
  <si>
    <t>Linapi1977@gmail.com</t>
  </si>
  <si>
    <t>CONTADORA PUBLICA</t>
  </si>
  <si>
    <t>LIDER FINANCIERA</t>
  </si>
  <si>
    <t>LIDER.FINANCIERA</t>
  </si>
  <si>
    <t>LINA MARIA LOPERA JARAMILLO</t>
  </si>
  <si>
    <t>Linitaloja@gmail.com</t>
  </si>
  <si>
    <t>COORDINADOR FINANCIERA</t>
  </si>
  <si>
    <t>COOR.FINANCIERA</t>
  </si>
  <si>
    <t>JHON STIVEN CARMONA</t>
  </si>
  <si>
    <t xml:space="preserve">LUIS MARIO DUQUE MUÑOZ </t>
  </si>
  <si>
    <t>Marioduquemunoz@gmail.com</t>
  </si>
  <si>
    <t>JHONATAN CATAÑO MESA</t>
  </si>
  <si>
    <t xml:space="preserve">LUISA FERNANDA JARAMILLO ALZATE </t>
  </si>
  <si>
    <t>Ljaramilloalzate@gmail.com</t>
  </si>
  <si>
    <t>AUX.FINANCIERA</t>
  </si>
  <si>
    <t>JOHN FREDY TEJADA</t>
  </si>
  <si>
    <t xml:space="preserve">MANUEL FERNANDO HINCAPIE GALEANO </t>
  </si>
  <si>
    <t>Manuelfernandohincapie56@gmail.com</t>
  </si>
  <si>
    <t>JONATTAN MUÑOZ ARCILA</t>
  </si>
  <si>
    <t xml:space="preserve">MARIA FERNANDA LOPEZ GOMEZ </t>
  </si>
  <si>
    <t>Mariafernandalopezgomez00@gmail.com</t>
  </si>
  <si>
    <t xml:space="preserve">AUX.FACTURACION </t>
  </si>
  <si>
    <t>FACTURACION TRANSPORTE</t>
  </si>
  <si>
    <t>JOSE ALI ZAMBRANO FERNANDEZ</t>
  </si>
  <si>
    <t xml:space="preserve">MARLO DAVID SIERRA CANO </t>
  </si>
  <si>
    <t>Marlonsierracano@gmail.com</t>
  </si>
  <si>
    <t>ACADEMICO</t>
  </si>
  <si>
    <t>LIDER.ETERNIT</t>
  </si>
  <si>
    <t>JOSE ESTIVEN ARIAS LOAIZA</t>
  </si>
  <si>
    <t>JOSE GABRIEL MEDINA NOGUERA</t>
  </si>
  <si>
    <t>NATALIO ANTONIO PAEZ MARTINEZ</t>
  </si>
  <si>
    <t>Napama2010@hotmail.com</t>
  </si>
  <si>
    <t>MANEJO AMBIENTAL</t>
  </si>
  <si>
    <t>SUPERVISOR DE BODEGA</t>
  </si>
  <si>
    <t>EPS Mutual Ser</t>
  </si>
  <si>
    <t>ORLANDO JOSE GAZCON SUAREZ</t>
  </si>
  <si>
    <t>Orlandogazcon01@gmail.com</t>
  </si>
  <si>
    <t>JUAN CARLOS GARCIA MARTINEZ</t>
  </si>
  <si>
    <t xml:space="preserve">OSWALDO MIGUEL ZUÑIGA MERCADO </t>
  </si>
  <si>
    <t>Ozunamercadonicolalexandra@gmail.com</t>
  </si>
  <si>
    <t>JUAN DAVID AGUDELO MEJIA</t>
  </si>
  <si>
    <t xml:space="preserve">PABLO RUIZ ECHEVERRY </t>
  </si>
  <si>
    <t>Ice.eche0097@gmail.com</t>
  </si>
  <si>
    <t>TECNOLOGO</t>
  </si>
  <si>
    <t>OBRAS CIVILES</t>
  </si>
  <si>
    <t>AUX.ADMINISTRATIVO</t>
  </si>
  <si>
    <t xml:space="preserve">TALENTO HUMANO </t>
  </si>
  <si>
    <t>JUAN DAVID SANCHEZ GUERRA</t>
  </si>
  <si>
    <t>RAFAEL EMIRO TIRADO MARTINEZ</t>
  </si>
  <si>
    <t>Tiradomarrinezrafaelemiro@gmail.com</t>
  </si>
  <si>
    <t>JUAN EDISON GIRALDO DUQUE</t>
  </si>
  <si>
    <t xml:space="preserve">RONNY GABRIEL FONSECA CONTRERAS </t>
  </si>
  <si>
    <t>ronny_101@outlook.es</t>
  </si>
  <si>
    <t>JUAN ESTEBAN ARROYAVE ARBELAEZ</t>
  </si>
  <si>
    <t xml:space="preserve">SANTIAGO GARCIA GRANADOS </t>
  </si>
  <si>
    <t>Santii1345g@gmail.com</t>
  </si>
  <si>
    <t>LIDER.LACTALIS</t>
  </si>
  <si>
    <t>JUAN ESTEBAN RAMIREZ OSPINA</t>
  </si>
  <si>
    <t xml:space="preserve">SANTIAGO GOMEZ OSPINA </t>
  </si>
  <si>
    <t>Gomezsanti441@mail.com</t>
  </si>
  <si>
    <t xml:space="preserve">BACHILLER TECNICO </t>
  </si>
  <si>
    <t>MECANICA INDUSTRIAL</t>
  </si>
  <si>
    <t xml:space="preserve">SANTIAGO MARIN PALACIO </t>
  </si>
  <si>
    <t>Smarinpalacio@gmail.com</t>
  </si>
  <si>
    <t>JUAN FELIPE OCAMPO RIOS</t>
  </si>
  <si>
    <t>LIDER DE LOGISTICA</t>
  </si>
  <si>
    <t>SEBASTIAN MORALES CORREA</t>
  </si>
  <si>
    <t>Sebastianmoralescorrea8@gmail.com</t>
  </si>
  <si>
    <t>JUAN FRANCISCO BENITEZ JARABA</t>
  </si>
  <si>
    <t>SERGIO ANDRES MONTES MENA</t>
  </si>
  <si>
    <t>Sergymena84@gmail.com</t>
  </si>
  <si>
    <t xml:space="preserve">ETERNIT </t>
  </si>
  <si>
    <t>JUAN MANUEL JIMENEZ MOLINA</t>
  </si>
  <si>
    <t xml:space="preserve">YISELA PATRICIA ZAPATA VARGAS </t>
  </si>
  <si>
    <t>Yiselazapata.04712@mail.com</t>
  </si>
  <si>
    <t>AUX.ADM.LOG</t>
  </si>
  <si>
    <t>JUAN SANTIAGO CORRALES SANTANA</t>
  </si>
  <si>
    <t xml:space="preserve">YOVANNY ALBEIRO VASQUEZ BEDOYA </t>
  </si>
  <si>
    <t>Yovanyalbeirovasquezbedoya@gmail.com</t>
  </si>
  <si>
    <t>LEIDER DAVID MEDRANO LOZANO</t>
  </si>
  <si>
    <t>LEIDY JOHANA URREGO ECHEVERRI</t>
  </si>
  <si>
    <t>COORDINADORA TALENTO HUMANO</t>
  </si>
  <si>
    <t>LEYDI TATIANA GIRALDO FRANCO</t>
  </si>
  <si>
    <t>DESPACHADORA</t>
  </si>
  <si>
    <t>LINA MARCELA PARRA MONTOYA</t>
  </si>
  <si>
    <t>LUIS ALBERTO AGUDELO GONZALEZ</t>
  </si>
  <si>
    <t>LUIS ALBERTO ARROYAVE OSSA</t>
  </si>
  <si>
    <t>LUIS DANIEL FERNANDEZ ROMERO</t>
  </si>
  <si>
    <t>LUIS FERNANDO HERRERA LOPEZ</t>
  </si>
  <si>
    <t>LUIS WBEIMAR MONSALVE PULGARIN</t>
  </si>
  <si>
    <t>MARCOS DANIEL ARAGON MONSALVE</t>
  </si>
  <si>
    <t>MARLON DAVID SIERRA CANO</t>
  </si>
  <si>
    <t>MARTIN STIVEN BOLIVAR PEREZ</t>
  </si>
  <si>
    <t>MATEO ARIAS VALENCIA</t>
  </si>
  <si>
    <t>MERVIN YAMER QUINTERO AGRIZONE</t>
  </si>
  <si>
    <t>MICHELL STEFANY HENAO PATERNINA</t>
  </si>
  <si>
    <t>MILTON ANDRES RODRIGUEZ JULIO</t>
  </si>
  <si>
    <t>NESTOR ANDRES MARTINEZ COSSIO</t>
  </si>
  <si>
    <t>OLVIS ALBERTO VEJEGA BERNARD</t>
  </si>
  <si>
    <t>ROBERTH ENRIQUE ARROYAVE ARROYAVE</t>
  </si>
  <si>
    <t>RONIER RICARDO BUELVAS TELLEZ</t>
  </si>
  <si>
    <t>SANTIAGO CANO HERNANDEZ</t>
  </si>
  <si>
    <t>SANTIAGO CARO SANCHEZ</t>
  </si>
  <si>
    <t>SANTIAGO GARCIA GRANADOS</t>
  </si>
  <si>
    <t>SANTIAGO MORALES SOSA</t>
  </si>
  <si>
    <t>SANTIAGO SUAZA VILLADA</t>
  </si>
  <si>
    <t>SEBASTIAN LOPEZ CARDONA</t>
  </si>
  <si>
    <t>SINDY TATIANA ZAPATA CASTAÑO</t>
  </si>
  <si>
    <t>LIDER DE SGI</t>
  </si>
  <si>
    <t>VICTOR ALFONSO MARTINES HENAO</t>
  </si>
  <si>
    <t>WILMER ALEXANDER PATIÑO MESA</t>
  </si>
  <si>
    <t>WILTON ALBERTO GRISALES FLOREZ</t>
  </si>
  <si>
    <t>YEFFERSON AGUALIMPIA AGUALIMPIA</t>
  </si>
  <si>
    <t>YEISON STIVEN OSORIO CORREA</t>
  </si>
  <si>
    <t>YESID ESNEIDER PEREZ GOMEZ</t>
  </si>
  <si>
    <t>YHOSTIN AGUSTIN ARAUJO MEJIA</t>
  </si>
  <si>
    <t>YIRA KATHERINE RUBIANO VILLALBA</t>
  </si>
  <si>
    <t>YONMARK YAIR GUERRA</t>
  </si>
  <si>
    <t>YONNIER ALFONSO MOSQUERA MOSQUERA</t>
  </si>
  <si>
    <t>YORMAN DARIO MAZO AREIZA</t>
  </si>
  <si>
    <t>Fecha</t>
  </si>
  <si>
    <t>PROCESADAS</t>
  </si>
  <si>
    <t>PQR</t>
  </si>
  <si>
    <t xml:space="preserve">EFECTIVIDAD </t>
  </si>
  <si>
    <t>NOMINA TOTAL</t>
  </si>
  <si>
    <t>DIFERENCIA NOMINAL</t>
  </si>
  <si>
    <t xml:space="preserve">VARIACION NOMINAL </t>
  </si>
  <si>
    <t xml:space="preserve">VAR.NOMINAL </t>
  </si>
  <si>
    <t>Total</t>
  </si>
  <si>
    <t>COD</t>
  </si>
  <si>
    <t>DETALLE</t>
  </si>
  <si>
    <t>ENTRADAS</t>
  </si>
  <si>
    <t>SALIDAS</t>
  </si>
  <si>
    <t>DISP</t>
  </si>
  <si>
    <t>OBSERVACIONES</t>
  </si>
  <si>
    <t>ENTRADA</t>
  </si>
  <si>
    <t>SALIDA</t>
  </si>
  <si>
    <t>Cargo</t>
  </si>
  <si>
    <t>Area</t>
  </si>
  <si>
    <t>Genero</t>
  </si>
  <si>
    <t>T.Pantalon</t>
  </si>
  <si>
    <t>D01</t>
  </si>
  <si>
    <t>POLO NEGRA  (8)</t>
  </si>
  <si>
    <t>ADM</t>
  </si>
  <si>
    <t xml:space="preserve">OBSERVACIONES </t>
  </si>
  <si>
    <t>CAMISA POLO</t>
  </si>
  <si>
    <t>CANT</t>
  </si>
  <si>
    <t>AJUSTE</t>
  </si>
  <si>
    <t>PEDIDO DOTACION ISTHO</t>
  </si>
  <si>
    <t>Cant.</t>
  </si>
  <si>
    <t>D02</t>
  </si>
  <si>
    <t>POLO NEGRA  (10)</t>
  </si>
  <si>
    <t>D10</t>
  </si>
  <si>
    <t>ANDRES FELIPE BOLIVAR GIRALDO</t>
  </si>
  <si>
    <t>T-S</t>
  </si>
  <si>
    <t>Camisa POLO ISTHO NEGRA TALLA  S</t>
  </si>
  <si>
    <t>D03</t>
  </si>
  <si>
    <t>POLO NEGRA  S</t>
  </si>
  <si>
    <t>D04</t>
  </si>
  <si>
    <t>JORGE ENRIQUE MAYA SAAVEDRA</t>
  </si>
  <si>
    <t>T-M</t>
  </si>
  <si>
    <t>Camisa POLO ISTHO BLANCA TALLA  S</t>
  </si>
  <si>
    <t>POLO NEGRA  M</t>
  </si>
  <si>
    <t>D09</t>
  </si>
  <si>
    <t>YISELA PATRICIA ZAPATA VARGAS</t>
  </si>
  <si>
    <t>T-L</t>
  </si>
  <si>
    <t>Camisa POLO ISTHO NEGRA TALLA  M</t>
  </si>
  <si>
    <t>D05</t>
  </si>
  <si>
    <t>POLO NEGRA  L</t>
  </si>
  <si>
    <t>JESUS ESTEBAN GOMEZ QUIÑONES</t>
  </si>
  <si>
    <t>T-XL</t>
  </si>
  <si>
    <t>Camisa POLO ISTHO BLANCA TALLA  M</t>
  </si>
  <si>
    <t>D06</t>
  </si>
  <si>
    <t>POLO NEGRA  XL</t>
  </si>
  <si>
    <t>D42</t>
  </si>
  <si>
    <t>T-XXL</t>
  </si>
  <si>
    <t>Camisa POLO ISTHO NEGRA TALLA  L</t>
  </si>
  <si>
    <t>D07</t>
  </si>
  <si>
    <t>POLO NEGRA  XXL</t>
  </si>
  <si>
    <t>MARIA FERNANDA LOPEZ GOMEZ</t>
  </si>
  <si>
    <t>T-8</t>
  </si>
  <si>
    <t>Camisa POLO ISTHO BLANCA TALLA  L</t>
  </si>
  <si>
    <t>D08</t>
  </si>
  <si>
    <t>POLO BLANCA  (8)</t>
  </si>
  <si>
    <t>D34</t>
  </si>
  <si>
    <t>T-10</t>
  </si>
  <si>
    <t>Camisa POLO ISTHO NEGRA TALLA  XL</t>
  </si>
  <si>
    <t>POLO BLANCA  (10)</t>
  </si>
  <si>
    <t>LILIAN SEPULVEDA LEZCANO</t>
  </si>
  <si>
    <t>BUSO ISTHO</t>
  </si>
  <si>
    <t>Camisa POLO ISTHO BLANCA TALLA  XL</t>
  </si>
  <si>
    <t>POLO BLANCA  S</t>
  </si>
  <si>
    <t>Camisa POLO ISTHO NEGRA TALLA  XXL</t>
  </si>
  <si>
    <t>D11</t>
  </si>
  <si>
    <t>POLO BLANCA  M</t>
  </si>
  <si>
    <t>YESSIC PAOLA FORTICH PINEDA</t>
  </si>
  <si>
    <t>Camisa POLO ISTHO BLANCA TALLA  XXL</t>
  </si>
  <si>
    <t>D12</t>
  </si>
  <si>
    <t>POLO BLANCA  L</t>
  </si>
  <si>
    <t>D36</t>
  </si>
  <si>
    <t>Camisa POLO ISTHO NEGRA TALLA  8</t>
  </si>
  <si>
    <t>D13</t>
  </si>
  <si>
    <t>POLO BLANCA  XL</t>
  </si>
  <si>
    <t>DIEGO ALEJANDRO CORREA SIERRA</t>
  </si>
  <si>
    <t>Camisa POLO ISTHO BLANCA TALLA  8</t>
  </si>
  <si>
    <t>D14</t>
  </si>
  <si>
    <t>POLO BLANCA  XXL</t>
  </si>
  <si>
    <t>D41</t>
  </si>
  <si>
    <t>Camisa POLO ISTHO NEGRA TALLA  10</t>
  </si>
  <si>
    <t>D15</t>
  </si>
  <si>
    <t>POLO ISTHO GRIS M</t>
  </si>
  <si>
    <t>CONDUCTORES</t>
  </si>
  <si>
    <t>Camisa POLO ISTHO BLANCA TALLA  10</t>
  </si>
  <si>
    <t>D16</t>
  </si>
  <si>
    <t xml:space="preserve">POLO ISTHO GRIS  L </t>
  </si>
  <si>
    <t>BUSO AUXILIAR LOGISTICO ISTHO TALLA  M</t>
  </si>
  <si>
    <t>D17</t>
  </si>
  <si>
    <t xml:space="preserve">POLO ISTHO GRIS  S </t>
  </si>
  <si>
    <t>JAIR VILLADIEGO ORTEGA</t>
  </si>
  <si>
    <t>BUSO AUXILIAR LOGISTICO ISTHO TALLA  L</t>
  </si>
  <si>
    <t>D18</t>
  </si>
  <si>
    <t>POLO ISTHO GRIS  XL</t>
  </si>
  <si>
    <t>D39</t>
  </si>
  <si>
    <t>BUSO AUXILIAR LOGISTICO ISTHO TALLA  XL</t>
  </si>
  <si>
    <t>D19</t>
  </si>
  <si>
    <t>POLO ISTHO GRIS  XXL</t>
  </si>
  <si>
    <t>PABLO RUIZ ECHEVERRY</t>
  </si>
  <si>
    <t>BUSO AUXILIAR LOGISTICO ISTHO TALLA  XXL</t>
  </si>
  <si>
    <t>D20</t>
  </si>
  <si>
    <t>CAMI.BUSO POLO  L</t>
  </si>
  <si>
    <t>Camisa POLO ISTHO GRIS TALLA  M</t>
  </si>
  <si>
    <t>D21</t>
  </si>
  <si>
    <t>POLO APOYO LOGISTICO  XXL</t>
  </si>
  <si>
    <t>AUXILIAR</t>
  </si>
  <si>
    <t>SANTIGO GOMEZ OSPINA</t>
  </si>
  <si>
    <t>Camisa POLO ISTHO GRIS TALLA  L</t>
  </si>
  <si>
    <t>D22</t>
  </si>
  <si>
    <t>BUSO APOYO LOGISTICO L</t>
  </si>
  <si>
    <t>Camisa POLO ISTHO GRIS TALLA  XL</t>
  </si>
  <si>
    <t>D23</t>
  </si>
  <si>
    <t>BUSO APOYO LOGISTICO M</t>
  </si>
  <si>
    <t>ANA MARIA BONILLA FORONDA</t>
  </si>
  <si>
    <t>Camisa POLO ISTHO GRIS TALLA  XXL</t>
  </si>
  <si>
    <t>D24</t>
  </si>
  <si>
    <t>BUSO APOYO LOGISTICO XL</t>
  </si>
  <si>
    <t>D35</t>
  </si>
  <si>
    <t>Pantalon TELA JEAN TALLA  8</t>
  </si>
  <si>
    <t>D25</t>
  </si>
  <si>
    <t>BUSO ISTHO  M</t>
  </si>
  <si>
    <t>ANDRES MAURICIO DURANGO MORENO</t>
  </si>
  <si>
    <t>PANTALONES</t>
  </si>
  <si>
    <t>Pantalon TELA JEAN TALLA  10</t>
  </si>
  <si>
    <t>D26</t>
  </si>
  <si>
    <t>BUSO ISTHO  L</t>
  </si>
  <si>
    <t>D43</t>
  </si>
  <si>
    <t>Pantalon TELA JEAN TALLA  12</t>
  </si>
  <si>
    <t>D27</t>
  </si>
  <si>
    <t>BUSO ISTHO  XL</t>
  </si>
  <si>
    <t>JONATAN DAVID MADRIGAL FRANCO</t>
  </si>
  <si>
    <t>Pantalon TELA JEAN TALLA  14</t>
  </si>
  <si>
    <t>D28</t>
  </si>
  <si>
    <t>BUSO ISTHO  XXL</t>
  </si>
  <si>
    <t>T-12</t>
  </si>
  <si>
    <t>Pantalon TELA JEAN TALLA  18</t>
  </si>
  <si>
    <t>D29</t>
  </si>
  <si>
    <t>BUSO SML  M</t>
  </si>
  <si>
    <t>ANA ISABEL JIMENEZ BEDOYA</t>
  </si>
  <si>
    <t>T-14</t>
  </si>
  <si>
    <t>Pantalon TELA JEAN TALLA  28</t>
  </si>
  <si>
    <t>D30</t>
  </si>
  <si>
    <t>BUSO SML  L</t>
  </si>
  <si>
    <t>T-18</t>
  </si>
  <si>
    <t>Pantalon TELA JEAN TALLA  30</t>
  </si>
  <si>
    <t>D31</t>
  </si>
  <si>
    <t xml:space="preserve">BUSO SML </t>
  </si>
  <si>
    <t>T-28</t>
  </si>
  <si>
    <t>Pantalon TELA JEAN TALLA  32</t>
  </si>
  <si>
    <t>D32</t>
  </si>
  <si>
    <t>BUSO GR.CLARO USADA</t>
  </si>
  <si>
    <t>D45</t>
  </si>
  <si>
    <t>T-30</t>
  </si>
  <si>
    <t>Pantalon TELA JEAN TALLA  34</t>
  </si>
  <si>
    <t>D33</t>
  </si>
  <si>
    <t>BUSO GR.OBSCURO USADA</t>
  </si>
  <si>
    <t>SANTIAGO MARIN PALACIO</t>
  </si>
  <si>
    <t>T-32</t>
  </si>
  <si>
    <t>Pantalon TELA JEAN TALLA  36</t>
  </si>
  <si>
    <t>PANTALON TALLA 8</t>
  </si>
  <si>
    <t xml:space="preserve">GENERAL ISTHO </t>
  </si>
  <si>
    <t>T-34</t>
  </si>
  <si>
    <t>Pantalon TELA JEAN TALLA  38</t>
  </si>
  <si>
    <t>PANTALON TALLA 10</t>
  </si>
  <si>
    <t>T-36</t>
  </si>
  <si>
    <t>Pantalon TELA JEAN TALLA  40</t>
  </si>
  <si>
    <t>PANTALON TALLA 12</t>
  </si>
  <si>
    <t>T-38</t>
  </si>
  <si>
    <t>D37</t>
  </si>
  <si>
    <t>PANTALON TALLA 14</t>
  </si>
  <si>
    <t>BIBIANA SARMIENTO AMAYA</t>
  </si>
  <si>
    <t>T-40</t>
  </si>
  <si>
    <t>D38</t>
  </si>
  <si>
    <t>PANTALON TALLA 18</t>
  </si>
  <si>
    <t>PANTALON TALLA 28</t>
  </si>
  <si>
    <t>D40</t>
  </si>
  <si>
    <t>PANTALON TALLA 30</t>
  </si>
  <si>
    <t>GISEL MAYERLY SEPULVEDA</t>
  </si>
  <si>
    <t>PANTALON TALLA 32</t>
  </si>
  <si>
    <t>PANTALON TALLA 34</t>
  </si>
  <si>
    <t>PANTALON TALLA 36</t>
  </si>
  <si>
    <t>D44</t>
  </si>
  <si>
    <t>PANTALON TALLA 38</t>
  </si>
  <si>
    <t>JOAN TIBERIO GRAJALES ECHEVERRI</t>
  </si>
  <si>
    <t>PANTALON TALLA 40</t>
  </si>
  <si>
    <t>D46</t>
  </si>
  <si>
    <t>BASCULANTE PARA VISOR SOSEGA</t>
  </si>
  <si>
    <t>TOMAS ECHEVERRI</t>
  </si>
  <si>
    <t>D47</t>
  </si>
  <si>
    <t>VISOR BORDE METALICO SOSEGA RPTO</t>
  </si>
  <si>
    <t>D48</t>
  </si>
  <si>
    <t xml:space="preserve">Casco rachet blanco INSAFE NUEVOS </t>
  </si>
  <si>
    <t>MANUEL FERNANDO HINCAPIE GALEANO</t>
  </si>
  <si>
    <t>D49</t>
  </si>
  <si>
    <t xml:space="preserve">Casco rachet blanco INSAFE VISITANTES </t>
  </si>
  <si>
    <t>D50</t>
  </si>
  <si>
    <t>SUSPENSOR PARA CASCO 406-R INSAFE</t>
  </si>
  <si>
    <t>JULIANA</t>
  </si>
  <si>
    <t>D51</t>
  </si>
  <si>
    <t>Barbuquejo 4 apoy os con gancho</t>
  </si>
  <si>
    <t>D52</t>
  </si>
  <si>
    <t>Barbuquejo 3 apoy os con gancho</t>
  </si>
  <si>
    <t>OSWALDO MIGUEL ZUÑIGA MERCADO</t>
  </si>
  <si>
    <t>D53</t>
  </si>
  <si>
    <t>GAFA MASTER SENCILLA CLEAR SOSEGA</t>
  </si>
  <si>
    <t>D54</t>
  </si>
  <si>
    <t>GAFA MASTER SENCILLA GREY SOSEGA</t>
  </si>
  <si>
    <t>JOHNY ALEXIS RUA SANCHEZ  SML</t>
  </si>
  <si>
    <t>D55</t>
  </si>
  <si>
    <t>GAFA SQUARE SENCILLA CLARA SOSEGA</t>
  </si>
  <si>
    <t>JUAN FELIPE JIIMENEZ CASTRILLON</t>
  </si>
  <si>
    <t>D56</t>
  </si>
  <si>
    <t>GAFA SPERIAN XV100 CLEAR LENS</t>
  </si>
  <si>
    <t>D57</t>
  </si>
  <si>
    <t xml:space="preserve">GAFA C3KIM CLARO ANTIEMPAÑANTE </t>
  </si>
  <si>
    <t>D58</t>
  </si>
  <si>
    <t xml:space="preserve">PROTECTOR AUDITIVO EN SILICONA TP BLUE </t>
  </si>
  <si>
    <t>SIN AUTORIZACION</t>
  </si>
  <si>
    <t>D59</t>
  </si>
  <si>
    <t>PROTECTOR AUDITIVO 3M AMARILLO</t>
  </si>
  <si>
    <t>D60</t>
  </si>
  <si>
    <t>PROTECTOR AUDITIVO 3M 1100</t>
  </si>
  <si>
    <t>D61</t>
  </si>
  <si>
    <t xml:space="preserve">PROTECTOR AUDITIVO RADIANS </t>
  </si>
  <si>
    <t>D62</t>
  </si>
  <si>
    <t xml:space="preserve">PROTECTOR AUDITIVO FIT HA EARPLUGS </t>
  </si>
  <si>
    <t>D63</t>
  </si>
  <si>
    <t>Manga en algodon azul</t>
  </si>
  <si>
    <t>D64</t>
  </si>
  <si>
    <t>Capucha monja algodon plus Kastako</t>
  </si>
  <si>
    <t>KLAR-ETERNIT</t>
  </si>
  <si>
    <t>ELIANA CORREA SIERRA</t>
  </si>
  <si>
    <t>D65</t>
  </si>
  <si>
    <t>suf ridor ambidiestra KASTAKO</t>
  </si>
  <si>
    <t>D66</t>
  </si>
  <si>
    <t>RIÑONERA NEGRA KASTAKO</t>
  </si>
  <si>
    <t>SANTIAGO CASTRILLO SML</t>
  </si>
  <si>
    <t>D67</t>
  </si>
  <si>
    <t>Rodillera par KASTAKO</t>
  </si>
  <si>
    <t>RUBEN ECHEVERRI</t>
  </si>
  <si>
    <t>D68</t>
  </si>
  <si>
    <t xml:space="preserve">PAVA NEGRA ISTHO </t>
  </si>
  <si>
    <t>ANDRES FELIPE VELEZ TOBON</t>
  </si>
  <si>
    <t>D69</t>
  </si>
  <si>
    <t>Gte en Jean Con Ref uerzo en Carnaza larg</t>
  </si>
  <si>
    <t>D70</t>
  </si>
  <si>
    <t>Gte carnaza ref orzado corto</t>
  </si>
  <si>
    <t>D71</t>
  </si>
  <si>
    <t>Gte crusher glove nitrile sosega</t>
  </si>
  <si>
    <t>D72</t>
  </si>
  <si>
    <t xml:space="preserve">GUANTE BEE SOSEGA </t>
  </si>
  <si>
    <t>D73</t>
  </si>
  <si>
    <t>GTE AURORA TALLA 9 KASTAKO</t>
  </si>
  <si>
    <t>D74</t>
  </si>
  <si>
    <t>GTE ANTICORTE NITRILO REF INDICE</t>
  </si>
  <si>
    <t>D75</t>
  </si>
  <si>
    <t>Gte carnaza AMARILLO CORTO</t>
  </si>
  <si>
    <t>D76</t>
  </si>
  <si>
    <t>BOTAS DE SEGURIDAD T.38</t>
  </si>
  <si>
    <t>D77</t>
  </si>
  <si>
    <t>BOTAS DE SEGURIDAD T.39</t>
  </si>
  <si>
    <t>D78</t>
  </si>
  <si>
    <t>BOTAS DE SEGURIDAD T.40</t>
  </si>
  <si>
    <t>D79</t>
  </si>
  <si>
    <t>BOTAS DE SEGURIDAD T.41</t>
  </si>
  <si>
    <t>D80</t>
  </si>
  <si>
    <t>BOTAS DE SEGURIDAD T.42</t>
  </si>
  <si>
    <t>D81</t>
  </si>
  <si>
    <t xml:space="preserve">BOLSO ROJO PRIMEROS AUXILIOS </t>
  </si>
  <si>
    <t>D82</t>
  </si>
  <si>
    <t>BOTAS DE SEGURIDAD T.43</t>
  </si>
  <si>
    <t>D83</t>
  </si>
  <si>
    <t>BOTAS DE SEGURIDAD T.44</t>
  </si>
  <si>
    <t xml:space="preserve">DEVOLUCION </t>
  </si>
  <si>
    <t>D84</t>
  </si>
  <si>
    <t>CHALECOS REFLECTIVOS</t>
  </si>
  <si>
    <t>D85</t>
  </si>
  <si>
    <t>SEÑALIZACION.EXTINT-ABC MULT PROPOS</t>
  </si>
  <si>
    <t>DIEGO CORREA</t>
  </si>
  <si>
    <t>D86</t>
  </si>
  <si>
    <t>SEÑALIZACION.EXTINT-SOLKAFLAM 123</t>
  </si>
  <si>
    <t>ALBEIRO COPETE AGUALIMPIA</t>
  </si>
  <si>
    <t>D87</t>
  </si>
  <si>
    <t>SEÑALIZACION.EXTINT-GAS CARBONICO CO2</t>
  </si>
  <si>
    <t>D88</t>
  </si>
  <si>
    <t xml:space="preserve">SEÑALIZACION-PELIG CUARTO ELECTRICO </t>
  </si>
  <si>
    <t>JHONATAN ESTIVEN BETANCUR SML</t>
  </si>
  <si>
    <t>D89</t>
  </si>
  <si>
    <t>SEÑALIZACION-RUTA DE EVACUACION GRANDE</t>
  </si>
  <si>
    <t>JHOAN SEBASTIAN CAÑAS MENESES</t>
  </si>
  <si>
    <t>D90</t>
  </si>
  <si>
    <t>SEÑALIZACION-RUTA DE EVACUACION PEQU</t>
  </si>
  <si>
    <t>D91</t>
  </si>
  <si>
    <t>SEÑALIZACION-BOTIQUIN</t>
  </si>
  <si>
    <t>CARLOS DANIEL ESCARAY BLANCO</t>
  </si>
  <si>
    <t>D92</t>
  </si>
  <si>
    <t>SEÑALIZACION-PELIG CAIDA OBJETO</t>
  </si>
  <si>
    <t>D93</t>
  </si>
  <si>
    <t>SEÑALIZACION-RESPIRE TRANQUILO</t>
  </si>
  <si>
    <t>D94</t>
  </si>
  <si>
    <t>SEÑALIZACION-ESCALERAS</t>
  </si>
  <si>
    <t>D95</t>
  </si>
  <si>
    <t>SEÑALIZACION-SALIDA EMERGENCIA</t>
  </si>
  <si>
    <t>ANDEROS MONTESINO CARDONA</t>
  </si>
  <si>
    <t>D96</t>
  </si>
  <si>
    <t>SEÑALIZACION-USAR ALCOHOL EN GEL</t>
  </si>
  <si>
    <t>D97</t>
  </si>
  <si>
    <t>SEÑALIZACION-PROHIB OBSTRU PUERTA</t>
  </si>
  <si>
    <t>D98</t>
  </si>
  <si>
    <t>SEÑALIZACION-PELIGRO MATERIAL INFLAMABLE</t>
  </si>
  <si>
    <t>D99</t>
  </si>
  <si>
    <t>SEÑALIZACION-LAVADO DE MANOS</t>
  </si>
  <si>
    <t>CARLOS DANIEL ESCARAY</t>
  </si>
  <si>
    <t>D100</t>
  </si>
  <si>
    <t>SEÑALIZACION- 2 METROS</t>
  </si>
  <si>
    <t>OSWALDO ZUÑIGA MERCADO</t>
  </si>
  <si>
    <t>D101</t>
  </si>
  <si>
    <t>SEÑALIZACION- USO MASCARILLA</t>
  </si>
  <si>
    <t>D102</t>
  </si>
  <si>
    <t>SEÑALIZACION- DESINFECCION</t>
  </si>
  <si>
    <t>ALEXIS CESPEDES ECHAVARRIA</t>
  </si>
  <si>
    <t>D103</t>
  </si>
  <si>
    <t>SEÑALIZACION- CONTROL TEMPÉRATURA</t>
  </si>
  <si>
    <t>D104</t>
  </si>
  <si>
    <t>BUSO ISTHO GRIS  XXL</t>
  </si>
  <si>
    <t>PEDIDO REGULAR</t>
  </si>
  <si>
    <t>D105</t>
  </si>
  <si>
    <t>BUSO ISTHO GRIS  XL-F</t>
  </si>
  <si>
    <t>D106</t>
  </si>
  <si>
    <t>BUSO ISTHO GRIS  L</t>
  </si>
  <si>
    <t>D107</t>
  </si>
  <si>
    <t>BUSO ISTHO GRIS  M</t>
  </si>
  <si>
    <t xml:space="preserve">  </t>
  </si>
  <si>
    <t>HAROL QUINTERO MUÑETON</t>
  </si>
  <si>
    <t>ERICK ALDREDO GOMEZ CEPEDA</t>
  </si>
  <si>
    <t>JUAN ESTEBAN GONZALES (SML)</t>
  </si>
  <si>
    <t>JUAN CARLOS RODAS</t>
  </si>
  <si>
    <t>YOVANY ALBEIRO BEDOYA VASQUEZ</t>
  </si>
  <si>
    <t>ANDRES MAURICIO DURANGO</t>
  </si>
  <si>
    <t>JUAN DAVID MORALES DIAS</t>
  </si>
  <si>
    <t>SANTA ROSA DE OSOS - BETANIA</t>
  </si>
  <si>
    <t>ORLANDO JOSE GAZCON</t>
  </si>
  <si>
    <t>ANDERSON MONTESINO CARDONA</t>
  </si>
  <si>
    <t>JUAN ALBERTO MURILLO CUARTAS</t>
  </si>
  <si>
    <t>JOHNY ALEXIS RUA  SML</t>
  </si>
  <si>
    <t>JORGE ENRIQUE MAYA</t>
  </si>
  <si>
    <t>NATILO ANTONIO PAEZ MARTINEZ</t>
  </si>
  <si>
    <t>JUAN GUILLERMO GOMEZ CATAÑO  SML</t>
  </si>
  <si>
    <t>JHON ANDRES JIMENEZ CATAÑO</t>
  </si>
  <si>
    <t>LENNY KATHERIE MONTAÑO BALLEN</t>
  </si>
  <si>
    <t>YOVANNY ALBEIRO BEDOYA</t>
  </si>
  <si>
    <t>ESTELIO ENRIQUE CUENTAS APARICIO</t>
  </si>
  <si>
    <t>JORGUE ENRIQUE MAYA SAAVEDRA</t>
  </si>
  <si>
    <t>20/022025</t>
  </si>
  <si>
    <t>YEISON JOSE ESPITIA CAMPO</t>
  </si>
  <si>
    <t>YEISON JOSE ESPITIA CAMPO  SML</t>
  </si>
  <si>
    <t>YEISON JOSE ESPITIA CAMPO   SML</t>
  </si>
  <si>
    <t>SANTIAGO GOMEZ OSPINA</t>
  </si>
  <si>
    <t>JHONATAN ESTIVEN BETANCUR RIVERA SML</t>
  </si>
  <si>
    <t>SANTIAGO CASTRILLON OSPINA SML</t>
  </si>
  <si>
    <t>LINA MARCELA PINEDA MACIAS</t>
  </si>
  <si>
    <t>LUISA FERNANDA JARAMILLO ALZATE</t>
  </si>
  <si>
    <t>Nombre</t>
  </si>
  <si>
    <t>Apellidos</t>
  </si>
  <si>
    <t>Numero</t>
  </si>
  <si>
    <t>Dpto</t>
  </si>
  <si>
    <t xml:space="preserve">Municipio </t>
  </si>
  <si>
    <t>EXP-CC</t>
  </si>
  <si>
    <t xml:space="preserve">Validacion de datos </t>
  </si>
  <si>
    <t>Evaluacion</t>
  </si>
  <si>
    <t xml:space="preserve">Procesos </t>
  </si>
  <si>
    <t xml:space="preserve">Atribucion </t>
  </si>
  <si>
    <t>Anotaciones</t>
  </si>
  <si>
    <t xml:space="preserve">Rafael Santo </t>
  </si>
  <si>
    <t xml:space="preserve">Martinez Fuentes </t>
  </si>
  <si>
    <t xml:space="preserve">Casanare </t>
  </si>
  <si>
    <t xml:space="preserve">Yopal </t>
  </si>
  <si>
    <t xml:space="preserve">No pasa proceso disciplinario de antecedentes </t>
  </si>
  <si>
    <r>
      <rPr>
        <b/>
        <sz val="11"/>
        <color theme="1"/>
        <rFont val="Aptos Narrow"/>
        <family val="2"/>
        <scheme val="minor"/>
      </rPr>
      <t>RADICADOS</t>
    </r>
    <r>
      <rPr>
        <sz val="11"/>
        <color theme="1"/>
        <rFont val="Aptos Narrow"/>
        <family val="2"/>
        <scheme val="minor"/>
      </rPr>
      <t xml:space="preserve"> 11001600001520170518600 - 11001310700120170518601. </t>
    </r>
    <r>
      <rPr>
        <b/>
        <sz val="11"/>
        <color theme="1"/>
        <rFont val="Aptos Narrow"/>
        <family val="2"/>
        <scheme val="minor"/>
      </rPr>
      <t>RNMC</t>
    </r>
    <r>
      <rPr>
        <sz val="11"/>
        <color theme="1"/>
        <rFont val="Aptos Narrow"/>
        <family val="2"/>
        <scheme val="minor"/>
      </rPr>
      <t>: 11-001-6-2023-4245</t>
    </r>
  </si>
  <si>
    <t>1.Porte y fabricacion ILegal de Armas (Captura)                                                       2.Consumo Porte Comercializacion de sustancias PsicoactivaS. (art,140 #13, ley 1801)</t>
  </si>
  <si>
    <t>A la fecha 25/04/2018 de notificacion del proceso judicial administrativo, no se a dado cumplimiento a la sentencia proferida el 12/03/2018 de 66 meses de prision.</t>
  </si>
  <si>
    <t xml:space="preserve">Yeison Jose </t>
  </si>
  <si>
    <t xml:space="preserve">Espitia Campo </t>
  </si>
  <si>
    <t>Cordoba</t>
  </si>
  <si>
    <t>La Apartada</t>
  </si>
  <si>
    <r>
      <rPr>
        <b/>
        <sz val="11"/>
        <color theme="1"/>
        <rFont val="Aptos Narrow"/>
        <family val="2"/>
        <scheme val="minor"/>
      </rPr>
      <t xml:space="preserve">RNMC: </t>
    </r>
    <r>
      <rPr>
        <sz val="11"/>
        <color theme="1"/>
        <rFont val="Aptos Narrow"/>
        <family val="2"/>
        <scheme val="minor"/>
      </rPr>
      <t>11-001-6-2023-10018938</t>
    </r>
  </si>
  <si>
    <t>2.Consumo Porte Comercializacion de sustancias Psicoactivas (art,140 #13, ley 1801)</t>
  </si>
  <si>
    <t>Multa tipo 4, Destruccion de elementos incautados.</t>
  </si>
  <si>
    <t xml:space="preserve">ENTIDAD </t>
  </si>
  <si>
    <t xml:space="preserve">Correo Electronico </t>
  </si>
  <si>
    <t xml:space="preserve">COTIZACION </t>
  </si>
  <si>
    <t>Columna1</t>
  </si>
  <si>
    <t xml:space="preserve">Vinculamos </t>
  </si>
  <si>
    <t>No contiene</t>
  </si>
  <si>
    <t>302 819 2231</t>
  </si>
  <si>
    <t xml:space="preserve">Proceso </t>
  </si>
  <si>
    <t xml:space="preserve">Por responder oferta </t>
  </si>
  <si>
    <t xml:space="preserve">Tiempos </t>
  </si>
  <si>
    <t>atencionalcliente@tiempos.com.co</t>
  </si>
  <si>
    <t>604 444 4995</t>
  </si>
  <si>
    <t>Futesa</t>
  </si>
  <si>
    <t>futesa@futesa.com</t>
  </si>
  <si>
    <t>604 604 2227</t>
  </si>
  <si>
    <t>Complementos Humanos</t>
  </si>
  <si>
    <t>servicioalcliente@complementoshumanos.com</t>
  </si>
  <si>
    <t>313 613 9506</t>
  </si>
  <si>
    <t>ACOSET</t>
  </si>
  <si>
    <t>mercadeo@acoset.org</t>
  </si>
  <si>
    <t>311 488 80 92</t>
  </si>
  <si>
    <t>GSH</t>
  </si>
  <si>
    <t xml:space="preserve">info@gsh.com.co / pqr@gsh.com.co  </t>
  </si>
  <si>
    <t>601 212 07 77</t>
  </si>
  <si>
    <t>ASAP</t>
  </si>
  <si>
    <t>info@asaptemporales.com</t>
  </si>
  <si>
    <t>+57 1 6107778</t>
  </si>
  <si>
    <t xml:space="preserve">SIN CONTACTO ACTUALIZADO </t>
  </si>
  <si>
    <t xml:space="preserve">Uno A </t>
  </si>
  <si>
    <t>recepcion@temporalesunoa.com.co</t>
  </si>
  <si>
    <t>318 4811300</t>
  </si>
  <si>
    <t>SERDAN</t>
  </si>
  <si>
    <t>reclamos@serdan.com.co</t>
  </si>
  <si>
    <t>(+57) (1) 348 7370</t>
  </si>
  <si>
    <t>Temporades</t>
  </si>
  <si>
    <t>ingrid@temporades.com/
ingrid@gce.hr</t>
  </si>
  <si>
    <t>313 815 7299</t>
  </si>
  <si>
    <t xml:space="preserve">INSTITUCION </t>
  </si>
  <si>
    <t xml:space="preserve">PROGRAMA DE FORMACION </t>
  </si>
  <si>
    <t>Correo Electronico</t>
  </si>
  <si>
    <t>Servicio Nacional de Aprendizaje</t>
  </si>
  <si>
    <t>Tecnologo en Analisis Y Desarrollo de Software</t>
  </si>
  <si>
    <t>lagarzon@sena.edu.co</t>
  </si>
  <si>
    <t xml:space="preserve">Sistemas de Gestion Integrado </t>
  </si>
  <si>
    <t>limdiazg@sena.edu.co</t>
  </si>
  <si>
    <t>Gestion Administrativa</t>
  </si>
  <si>
    <t>Gestion Empresarial</t>
  </si>
  <si>
    <t xml:space="preserve">Formamos </t>
  </si>
  <si>
    <t>info@formamos.edu.co</t>
  </si>
  <si>
    <t> 300 300 0439</t>
  </si>
  <si>
    <t xml:space="preserve">Seguridad y Salud en el Trabajo </t>
  </si>
  <si>
    <t>Gestion Administrativa (Enfasis Calidad)</t>
  </si>
  <si>
    <t>Gestion Integral de Talento Humano</t>
  </si>
  <si>
    <t>Gestion Financiera y Contable</t>
  </si>
  <si>
    <t>Instituto Tecnologico Metropolitano</t>
  </si>
  <si>
    <t xml:space="preserve">Tecnologia en Gestion Administrativa </t>
  </si>
  <si>
    <t xml:space="preserve">Tecnologia en Analisis de Costos y Presupuestos </t>
  </si>
  <si>
    <t>Administracion Tecnologica</t>
  </si>
  <si>
    <t>JUAN CARLOS BASTIDAS</t>
  </si>
  <si>
    <t>Bancolombia</t>
  </si>
  <si>
    <t>Ahorros</t>
  </si>
  <si>
    <t>42042905521</t>
  </si>
  <si>
    <t>25300013352</t>
  </si>
  <si>
    <t>64265639966</t>
  </si>
  <si>
    <t>91247103371</t>
  </si>
  <si>
    <t>10123041465</t>
  </si>
  <si>
    <t>31100018109</t>
  </si>
  <si>
    <t>10052743200</t>
  </si>
  <si>
    <t>91271277518</t>
  </si>
  <si>
    <t>37762516846</t>
  </si>
  <si>
    <t>25300005927</t>
  </si>
  <si>
    <t>25376438115</t>
  </si>
  <si>
    <t>26852463031</t>
  </si>
  <si>
    <t>50300004744</t>
  </si>
  <si>
    <t>64200000982</t>
  </si>
  <si>
    <t>00613951067</t>
  </si>
  <si>
    <t>24553875346</t>
  </si>
  <si>
    <t>61700004775</t>
  </si>
  <si>
    <t>25373990453</t>
  </si>
  <si>
    <t>51100012701</t>
  </si>
  <si>
    <t>15947856062</t>
  </si>
  <si>
    <t>78862446584</t>
  </si>
  <si>
    <t>60940245594</t>
  </si>
  <si>
    <t>55369096671</t>
  </si>
  <si>
    <t>51190494512</t>
  </si>
  <si>
    <t>64200003027</t>
  </si>
  <si>
    <t>39984518939</t>
  </si>
  <si>
    <t>39951405357</t>
  </si>
  <si>
    <t>31115733110</t>
  </si>
  <si>
    <t>25398679337</t>
  </si>
  <si>
    <t>39900002925</t>
  </si>
  <si>
    <t>03107416525</t>
  </si>
  <si>
    <t>52040310860</t>
  </si>
  <si>
    <t>31066660438</t>
  </si>
  <si>
    <t>39900013641</t>
  </si>
  <si>
    <t>39941501340</t>
  </si>
  <si>
    <t>36868645002</t>
  </si>
  <si>
    <t>91210592852</t>
  </si>
  <si>
    <t>64276310702</t>
  </si>
  <si>
    <t>64276349048</t>
  </si>
  <si>
    <t>39900004195</t>
  </si>
  <si>
    <t>Banco</t>
  </si>
  <si>
    <t>Clase</t>
  </si>
  <si>
    <t>F.Nacimiento</t>
  </si>
  <si>
    <t>F.Contrato</t>
  </si>
  <si>
    <t>Tp.Contr.</t>
  </si>
  <si>
    <t>COBER.ARL</t>
  </si>
  <si>
    <t>EX.MED</t>
  </si>
  <si>
    <t>MAN.ALI</t>
  </si>
  <si>
    <t xml:space="preserve">ADM.PENSION </t>
  </si>
  <si>
    <t>ADM.CESANTIAS</t>
  </si>
  <si>
    <t>VIG.EX.MED</t>
  </si>
  <si>
    <t>VIG.MAN.AL</t>
  </si>
  <si>
    <t>VEN.EX.MED</t>
  </si>
  <si>
    <t>VEN.MAN.AL</t>
  </si>
  <si>
    <t>VIG.IND</t>
  </si>
  <si>
    <t>Tp.Cuenta</t>
  </si>
  <si>
    <t>Numero de Cuenta</t>
  </si>
  <si>
    <t xml:space="preserve">ALBEIRO COPERE AGUALIMPIA </t>
  </si>
  <si>
    <t>Operación</t>
  </si>
  <si>
    <t xml:space="preserve">Banco </t>
  </si>
  <si>
    <t>IND/R.IND</t>
  </si>
  <si>
    <t>VEN.IND</t>
  </si>
  <si>
    <t>No.Cuenta</t>
  </si>
  <si>
    <t>JHOAN TIBERIO GRAJALES ECHEVERRY</t>
  </si>
  <si>
    <t>B.Caja Social</t>
  </si>
  <si>
    <t>CERT-MAN.ALIMENTOS</t>
  </si>
  <si>
    <t>JHON FREDY CORDOBA CUESTA  S.R.O</t>
  </si>
  <si>
    <t>SANTIAGO MARIN PALACIO  S.R.O</t>
  </si>
  <si>
    <t>ANDRES ANIBAL VELEZ HEANO  S.R.O</t>
  </si>
  <si>
    <t>ANDRES FELIPE VELEZ TOBON  S.R.O</t>
  </si>
  <si>
    <t>LUIS MARIO DUQUE MUÑOZ  S.R.O</t>
  </si>
  <si>
    <t>DEISON ANDRES VELASQUEZ  S.R.O</t>
  </si>
  <si>
    <t>JOAQUIN EMILIO BARRIENTOS  S.R.O</t>
  </si>
  <si>
    <t>KEVIN ANDRES RODRIGUEZ LOPEZ  S.R.O</t>
  </si>
  <si>
    <t>ALEJANDRO PEREZ RANGO  S.R.O</t>
  </si>
  <si>
    <t>JHONY QUINTERO PEREZ  S.R.O</t>
  </si>
  <si>
    <t>ANDERSON PARRA VASQUEZ  S.R.O</t>
  </si>
  <si>
    <t>RAFAEL EMIRO TIRADO MARTINEZ  S.R.O</t>
  </si>
  <si>
    <t>EMANUEL VASCO FRANCO  S.R.O</t>
  </si>
  <si>
    <t>DANIELA TAMAYO RUIZ  S.R.O</t>
  </si>
  <si>
    <t>SEBASTIAN MORALES CORREA  S.R.O</t>
  </si>
  <si>
    <t>BRAYAN STIVEN GOMEZ MOLINA  S.R.O</t>
  </si>
  <si>
    <t>DAVID ESTIVEN GRAJALES MARIN  S.R.O</t>
  </si>
  <si>
    <t>JHONNY QUINTERO PEREZ  S.R.O</t>
  </si>
  <si>
    <t>ANDRES ANIBAL VELEZ HENAO  S.R.O</t>
  </si>
  <si>
    <t>D.I</t>
  </si>
  <si>
    <t>05.03.1985</t>
  </si>
  <si>
    <t xml:space="preserve">F.NACIMIENTO </t>
  </si>
  <si>
    <t>(604)2436960-3003446112</t>
  </si>
  <si>
    <t>Davidcarmona3495@gmail.com</t>
  </si>
  <si>
    <t>Estado.Civil</t>
  </si>
  <si>
    <t>Soltero</t>
  </si>
  <si>
    <t>RESIDENCIA</t>
  </si>
  <si>
    <t>Girardota,ANT</t>
  </si>
  <si>
    <t>FOR.ACADEMICA</t>
  </si>
  <si>
    <t>Tiempo de Servicio (Dias)</t>
  </si>
  <si>
    <t>D</t>
  </si>
  <si>
    <t>A</t>
  </si>
  <si>
    <t xml:space="preserve">SIPLAFT </t>
  </si>
  <si>
    <t>Jesus David Carmona Correa</t>
  </si>
  <si>
    <t>NOVEDAD</t>
  </si>
  <si>
    <t xml:space="preserve">ANOTACION </t>
  </si>
  <si>
    <r>
      <rPr>
        <b/>
        <sz val="11"/>
        <color theme="1"/>
        <rFont val="Aptos Narrow"/>
        <family val="2"/>
        <scheme val="minor"/>
      </rPr>
      <t>*DISCIPLINARIOS PROCURADURIA (2012):</t>
    </r>
    <r>
      <rPr>
        <sz val="11"/>
        <color theme="1"/>
        <rFont val="Aptos Narrow"/>
        <family val="2"/>
        <scheme val="minor"/>
      </rPr>
      <t xml:space="preserve"> DESTITUCION -INHABILIDAD GENERAL COBRO                        *</t>
    </r>
    <r>
      <rPr>
        <b/>
        <sz val="11"/>
        <color theme="1"/>
        <rFont val="Aptos Narrow"/>
        <family val="2"/>
        <scheme val="minor"/>
      </rPr>
      <t xml:space="preserve">COACTIVO DE TRANSITO </t>
    </r>
  </si>
  <si>
    <t xml:space="preserve">Fecha de validacion </t>
  </si>
  <si>
    <t>31 de marzo., 2025</t>
  </si>
  <si>
    <t>Juan Carlos Ramirez</t>
  </si>
  <si>
    <t>04.05.1982</t>
  </si>
  <si>
    <t>Union Libre</t>
  </si>
  <si>
    <t>3001129353-3153206949</t>
  </si>
  <si>
    <t>Juancarlosramirez5621@gmail.com</t>
  </si>
  <si>
    <t>BACHILLER.CULMINADO</t>
  </si>
  <si>
    <t>BACHILLER.SIN CULMINAR</t>
  </si>
  <si>
    <t>SIN NOVEDAD</t>
  </si>
  <si>
    <t>VALIDACION.SIPLAFT</t>
  </si>
  <si>
    <t>V.SIPLAFT</t>
  </si>
  <si>
    <t xml:space="preserve">Registros </t>
  </si>
  <si>
    <t>FISICO-PDF</t>
  </si>
  <si>
    <t>FISICO</t>
  </si>
  <si>
    <t>Daniel Hernandez Alvarez</t>
  </si>
  <si>
    <t>28.08.1988</t>
  </si>
  <si>
    <t>danielhernanalvarez512@gmail.com</t>
  </si>
  <si>
    <t>01 de abril, 2025</t>
  </si>
  <si>
    <t>31 de marzo, 2025</t>
  </si>
  <si>
    <t>Yordan Alexis Gomez Herrera</t>
  </si>
  <si>
    <t>22.08.1994</t>
  </si>
  <si>
    <t>downhill2208@hotmail.com</t>
  </si>
  <si>
    <t xml:space="preserve">PERFIL </t>
  </si>
  <si>
    <t>AUXILIAR BODEGA</t>
  </si>
  <si>
    <t>Wilmar Eduardo Tobon Restrepo</t>
  </si>
  <si>
    <t>11.12.1981</t>
  </si>
  <si>
    <t>Copacabana,ANT</t>
  </si>
  <si>
    <t>Divorciado</t>
  </si>
  <si>
    <t>(604)5416105-3122224755</t>
  </si>
  <si>
    <t>No Registra</t>
  </si>
  <si>
    <t>02 de abril, 2025</t>
  </si>
  <si>
    <t>Anderson Montoya Velez</t>
  </si>
  <si>
    <t>15.04.2003</t>
  </si>
  <si>
    <t>Anori, ANT</t>
  </si>
  <si>
    <t>4217470@gmail.com</t>
  </si>
  <si>
    <t>Javier Horacio Hernandez Cardona</t>
  </si>
  <si>
    <t>14.11.1983</t>
  </si>
  <si>
    <t>caedonajavier@gmail.com</t>
  </si>
  <si>
    <t>03 de abril, 2025</t>
  </si>
  <si>
    <t>07 de Abril, 2025</t>
  </si>
  <si>
    <t xml:space="preserve">Jhon Fredy Molina Tamayo </t>
  </si>
  <si>
    <t>pataskuy95@gmail.com</t>
  </si>
  <si>
    <r>
      <rPr>
        <b/>
        <sz val="11"/>
        <color theme="1"/>
        <rFont val="Aptos Narrow"/>
        <family val="2"/>
        <scheme val="minor"/>
      </rPr>
      <t xml:space="preserve">*PROCESOS EJECUTIVOS (RCI COLOMBIA):                </t>
    </r>
    <r>
      <rPr>
        <sz val="11"/>
        <color theme="1"/>
        <rFont val="Aptos Narrow"/>
        <family val="2"/>
        <scheme val="minor"/>
      </rPr>
      <t xml:space="preserve">05308400300120230062400               </t>
    </r>
    <r>
      <rPr>
        <b/>
        <sz val="11"/>
        <color theme="1"/>
        <rFont val="Aptos Narrow"/>
        <family val="2"/>
        <scheme val="minor"/>
      </rPr>
      <t xml:space="preserve">*PROCESO EJECUTIVO (COOPERATIVA BELEN AHORRO Y CREDITO)         </t>
    </r>
    <r>
      <rPr>
        <sz val="11"/>
        <color theme="1"/>
        <rFont val="Aptos Narrow"/>
        <family val="2"/>
        <scheme val="minor"/>
      </rPr>
      <t>05308400300120230054600 (VALIDAR PINGNORADO DE CUENTA BANCARIA)</t>
    </r>
  </si>
  <si>
    <t>JOHN FREDDY MOLINA TAMAYO</t>
  </si>
  <si>
    <t>DANIEL HERNANDEZ ALVAREZ</t>
  </si>
  <si>
    <t>JHON FREDDY MOLINA TAMAYO</t>
  </si>
  <si>
    <t>Fecha PQR</t>
  </si>
  <si>
    <t>5 HED.DOMINGO</t>
  </si>
  <si>
    <t>8HR.Domingo</t>
  </si>
  <si>
    <t>Nombre/Apellido</t>
  </si>
  <si>
    <t>1</t>
  </si>
  <si>
    <t>2</t>
  </si>
  <si>
    <t>HERNAN SEGUNDO GOMEZ RUIZ</t>
  </si>
  <si>
    <t>blancataborda@gmail.com</t>
  </si>
  <si>
    <t>PDF</t>
  </si>
  <si>
    <t xml:space="preserve">HERNAN SEGUNDO GOMEZ RUIZ </t>
  </si>
  <si>
    <t>sarco8373@gmail.com</t>
  </si>
  <si>
    <t>DESARROLLO DE SOFTWARE</t>
  </si>
  <si>
    <t>Jorge Ivan</t>
  </si>
  <si>
    <t>Sanabria Mican</t>
  </si>
  <si>
    <t>Abejorral</t>
  </si>
  <si>
    <t>Antioquia</t>
  </si>
  <si>
    <t>-</t>
  </si>
  <si>
    <r>
      <rPr>
        <b/>
        <sz val="11"/>
        <color theme="1"/>
        <rFont val="Aptos Narrow"/>
        <family val="2"/>
        <scheme val="minor"/>
      </rPr>
      <t>RADICADOS</t>
    </r>
    <r>
      <rPr>
        <sz val="11"/>
        <color theme="1"/>
        <rFont val="Aptos Narrow"/>
        <family val="2"/>
        <scheme val="minor"/>
      </rPr>
      <t xml:space="preserve"> 50001600056520140003800 - 150001600056720180213200. </t>
    </r>
  </si>
  <si>
    <t>BOTAS DE SEGURIDAD TALLA  38</t>
  </si>
  <si>
    <t>BOTAS DE SEGURIDAD TALLA  39</t>
  </si>
  <si>
    <t>BOTAS DE SEGURIDAD TALLA  40</t>
  </si>
  <si>
    <t>BOTAS DE SEGURIDAD TALLA  41</t>
  </si>
  <si>
    <t>BOTAS DE SEGURIDAD TALLA  42</t>
  </si>
  <si>
    <t>BOTAS DE SEGURIDAD TALLA  43</t>
  </si>
  <si>
    <t>PRACT-NO APLICA</t>
  </si>
  <si>
    <t xml:space="preserve">Botas de Seguridad </t>
  </si>
  <si>
    <t>T-39</t>
  </si>
  <si>
    <t>T-41</t>
  </si>
  <si>
    <t>T-42</t>
  </si>
  <si>
    <t>T-43</t>
  </si>
  <si>
    <t>BOTAS DE SEGURIDAD TALLA  36</t>
  </si>
  <si>
    <t>Pedido</t>
  </si>
  <si>
    <t xml:space="preserve">Andres Fernando </t>
  </si>
  <si>
    <t>Tamayo Tejada</t>
  </si>
  <si>
    <t>Bello</t>
  </si>
  <si>
    <r>
      <rPr>
        <b/>
        <sz val="11"/>
        <color theme="1"/>
        <rFont val="Aptos Narrow"/>
        <family val="2"/>
        <scheme val="minor"/>
      </rPr>
      <t>RADICADOS</t>
    </r>
    <r>
      <rPr>
        <sz val="11"/>
        <color theme="1"/>
        <rFont val="Aptos Narrow"/>
        <family val="2"/>
        <scheme val="minor"/>
      </rPr>
      <t xml:space="preserve"> 05212600020120160226200</t>
    </r>
  </si>
  <si>
    <t>1.Trafico de estupefacientes y otras infracciones.</t>
  </si>
  <si>
    <t>1.Concierto para delinquir, terrorismo, amenaza, extorion y demas delitos contra la seguridad publica.</t>
  </si>
  <si>
    <t>BDGA 107</t>
  </si>
  <si>
    <t>VIG.INDUCCION</t>
  </si>
  <si>
    <t>Estimado(a) Aspirante, a continuación le solicitamos el envió del siguiente listado de documentos requisitos para vinculación directa con la empresa ISTHO S.A.S. 💚🧡💙
🚨*Nota*: La copia de la cedula, tarjeta profesional, libreta miliar debe ser ambos lados en una sola cara de la hoja.   
Todos los documentos adjuntos deben estar en formato *PDF* no fotos.
✅Copia de documento de identidad ampliado al 150% 
✅Anexar certificación bancaria de la entidad.
✅Fotocopia legible de Certificados de Estudio, diploma y acta de grado.
✅2 Certificados de experiencia laboral (No adjuntar copia de los contratos)
✅Fotocopia legible de tarjeta profesional o matricula profesional según sea el caso. (Solo profesionales)
✅Copia de la libreta militar legible o certificación provisional en línea que acredite que el trámite para definir su situación militar está en proceso (No excluyente)
✅Certificado de la EPS a la que se encuentra afiliado.
✅Certificado de fondo de pensiones al que se encuentra afiliado
✅Certificado de fondo de cesantías al que se encuentra afiliado
✅Copia de certificado de curso de montacargas (Solo operarios de montacargas)
✅Copia de licencia de conducción (Solo conductores)
✅Certificado Antecedentes Judiciales de la Policía 
✅Sistema Registro Nacional de Medidas Correctivas RNMC de La Policía (Ley 1801 De 2017) 
✅Certificado Antecedentes Fiscales Persona Natural de la Contraloría.
✅Certificado de antecedentes disciplinarios de la Procuraduría.
✅Certificado de SIMIT (Solo conductores)
✅Certificado de RUNT (Solo conductores)
Agradecemos hacer el envió de los documentos lo más pronto posible.🎊</t>
  </si>
  <si>
    <t>SOLICITUD DE DOCUMENTOS</t>
  </si>
  <si>
    <t>*¡Genial!* 🎉 Nos complace informarte que has superado con éxito la anterior fase del proceso y ahora pasarás al filtro de *exámenes médicos de ingreso*. 🩺✅ 
Te solicitamos presentarte en la siguiente dirección para realizar tus exámenes médicos: 
*COLMEDICOS IPS* | Dir. Calle 51 Sur #48-57 Etapa 1 CC Mayorca Of.7187 | *Sabaneta-Colombia* 
📍Ubicación
https://maps.app.goo.gl/pG9nb1wGfXxaWbW19
🚊Estación metro más cercana: *Sabaneta* 
💙 Si tienes alguna pregunta, no dudes en contactarnos. 💚📞 ¡Agradecemos tu interés y dedicación!</t>
  </si>
  <si>
    <t>*¡Genial!* 🎉 Nos complace informarte que has superado con éxito la anterior fase del proceso y ahora pasarás al filtro de *exámenes médicos de ingreso*. 🩺✅ 
Te solicitamos presentarte en la siguiente dirección para realizar tus exámenes médicos: 
*COLMEDICOS IPS* |Calle 50 No. 46-36, Edificio Furatena piso 14|*Medellín - Colombia*
📍Ubicación
https://maps.app.goo.gl/byddzLbmXxBhUNgx8
🚊Estación metro más cercana: *Parque Berrio*
💙 Si tienes alguna pregunta, no dudes en contactarnos. 💚📞 ¡Agradecemos tu interés y dedicación!</t>
  </si>
  <si>
    <t>RECOMENDACIONES EXAMEN COPROLOGICO</t>
  </si>
  <si>
    <t>💚🧡💙En preparación para sus próximos exámenes médicos, le proporcionamos las siguientes instrucciones importantes :
*Examen coprológico*:
👉🏼Adquiera un recipiente estéril en la farmacia para prueba coprológica.
Recolecte una muestra de heces.
Traiga la muestra consigo el día de la cita.
Es fundamental seguir estas instrucciones para garantizar la precisión de los resultados. Si tiene alguna pregunta o inquietud, no dude en contactarnos</t>
  </si>
  <si>
    <t>Estimado(a) Aspirante:
*¡Genial!* 🎉 Nos complace informarte que has superado con éxito la anterior fase del proceso y ahora pasarás al filtro de *exámenes médicos de ingreso+. 🩺✅
Te solicitamos presentarte en la siguiente dirección para realizar tus exámenes médicos:
*LABORUM IPS* | Dir. Calle 32 E # 63 A 64 | *Conquistadores*
📍Ubicación:
https://maps.app.goo.gl/1PJg19PXSMHoAqvN8
🚊Estación metro mas cernana: *Exposiciones*
💙 Si tienes alguna pregunta, no dudes en contactarnos. 💚📞
¡Agradecemos tu interés y dedicación!</t>
  </si>
  <si>
    <t>EXAMENES MEDICOS EN COLMENICOS MAYORCA, OFICINA 7187</t>
  </si>
  <si>
    <t>EXAMENES MEDICOS EN COLMEDICOS FURATENA</t>
  </si>
  <si>
    <t>EXAMENES MEDICOS EN LABORUM CONQUISTADORES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</si>
</sst>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 #,##0;[Red]\-&quot;$&quot;\ #,##0"/>
    <numFmt numFmtId="41" formatCode="_-* #,##0_-;\-* #,##0_-;_-* &quot;-&quot;_-;_-@_-"/>
    <numFmt numFmtId="44" formatCode="_-&quot;$&quot;\ * #,##0.00_-;\-&quot;$&quot;\ * #,##0.00_-;_-&quot;$&quot;\ * &quot;-&quot;??_-;_-@_-"/>
    <numFmt numFmtId="164" formatCode="_-&quot;$&quot;\ * #,##0_-;\-&quot;$&quot;\ * #,##0_-;_-&quot;$&quot;\ * &quot;-&quot;??_-;_-@_-"/>
    <numFmt numFmtId="165" formatCode="[$-F800]dddd\,\ mmmm\ dd\,\ yyyy"/>
  </numFmts>
  <fonts count="28" x14ac:knownFonts="1">
    <font>
      <sz val="11"/>
      <color theme="1"/>
      <name val="Aptos Narrow"/>
      <family val="2"/>
      <scheme val="minor"/>
    </font>
    <font>
      <sz val="11"/>
      <color theme="0"/>
      <name val="Aptos Narrow"/>
      <family val="2"/>
      <scheme val="minor"/>
    </font>
    <font>
      <b/>
      <sz val="11"/>
      <color theme="0"/>
      <name val="Aptos Narrow"/>
      <family val="2"/>
      <scheme val="minor"/>
    </font>
    <font>
      <sz val="11"/>
      <color theme="1"/>
      <name val="Aptos Narrow"/>
      <family val="2"/>
      <scheme val="minor"/>
    </font>
    <font>
      <sz val="11"/>
      <name val="Aptos Narrow"/>
      <family val="2"/>
      <scheme val="minor"/>
    </font>
    <font>
      <sz val="8"/>
      <name val="Aptos Narrow"/>
      <family val="2"/>
      <scheme val="minor"/>
    </font>
    <font>
      <sz val="11"/>
      <name val="ADLaM Display"/>
    </font>
    <font>
      <sz val="11"/>
      <color theme="0"/>
      <name val="ADLaM Display"/>
    </font>
    <font>
      <sz val="24"/>
      <color theme="1"/>
      <name val="Aptos Narrow"/>
      <family val="2"/>
      <scheme val="minor"/>
    </font>
    <font>
      <sz val="6"/>
      <color rgb="FF333333"/>
      <name val="Montserrat-Regular"/>
    </font>
    <font>
      <sz val="12"/>
      <color rgb="FF000000"/>
      <name val="Aptos"/>
      <family val="2"/>
    </font>
    <font>
      <b/>
      <sz val="11"/>
      <color theme="1"/>
      <name val="Aptos Narrow"/>
      <family val="2"/>
      <scheme val="minor"/>
    </font>
    <font>
      <u/>
      <sz val="11"/>
      <color theme="10"/>
      <name val="Aptos Narrow"/>
      <family val="2"/>
      <scheme val="minor"/>
    </font>
    <font>
      <sz val="6"/>
      <color rgb="FFABABAB"/>
      <name val="Roboto"/>
    </font>
    <font>
      <sz val="11"/>
      <color rgb="FF000000"/>
      <name val="Aptos Narrow"/>
      <family val="2"/>
      <scheme val="minor"/>
    </font>
    <font>
      <sz val="11"/>
      <color rgb="FF404040"/>
      <name val="Calibri"/>
      <family val="2"/>
    </font>
    <font>
      <sz val="12"/>
      <color theme="1"/>
      <name val="Aptos"/>
      <family val="2"/>
    </font>
    <font>
      <sz val="11"/>
      <color theme="1"/>
      <name val="Aptos"/>
      <family val="2"/>
    </font>
    <font>
      <b/>
      <sz val="11"/>
      <name val="ADLaM Display"/>
    </font>
    <font>
      <sz val="11"/>
      <name val="Arial"/>
      <family val="2"/>
    </font>
    <font>
      <b/>
      <sz val="16"/>
      <name val="Arial"/>
      <family val="2"/>
    </font>
    <font>
      <b/>
      <sz val="12"/>
      <color theme="0"/>
      <name val="Aptos Narrow"/>
      <family val="2"/>
      <scheme val="minor"/>
    </font>
    <font>
      <b/>
      <sz val="12"/>
      <color theme="4" tint="0.59999389629810485"/>
      <name val="Aptos Narrow"/>
      <family val="2"/>
      <scheme val="minor"/>
    </font>
    <font>
      <b/>
      <sz val="22"/>
      <color theme="0"/>
      <name val="Aptos Narrow"/>
      <family val="2"/>
      <scheme val="minor"/>
    </font>
    <font>
      <b/>
      <sz val="11"/>
      <name val="Arial"/>
      <family val="2"/>
    </font>
    <font>
      <sz val="10"/>
      <color rgb="FF0D0D0D"/>
      <name val="Calibri"/>
      <family val="2"/>
    </font>
    <font>
      <b/>
      <sz val="14"/>
      <color theme="1"/>
      <name val="Aptos Narrow"/>
      <family val="2"/>
      <scheme val="minor"/>
    </font>
    <font>
      <sz val="14"/>
      <color theme="1"/>
      <name val="Aptos Narrow"/>
      <family val="2"/>
      <scheme val="minor"/>
    </font>
  </fonts>
  <fills count="28">
    <fill>
      <patternFill patternType="none"/>
    </fill>
    <fill>
      <patternFill patternType="gray125"/>
    </fill>
    <fill>
      <patternFill patternType="solid">
        <fgColor theme="2"/>
        <bgColor indexed="64"/>
      </patternFill>
    </fill>
    <fill>
      <patternFill patternType="solid">
        <fgColor theme="1" tint="0.249977111117893"/>
        <bgColor theme="1" tint="0.249977111117893"/>
      </patternFill>
    </fill>
    <fill>
      <patternFill patternType="solid">
        <fgColor theme="3" tint="0.249977111117893"/>
        <bgColor indexed="64"/>
      </patternFill>
    </fill>
    <fill>
      <patternFill patternType="solid">
        <fgColor theme="0" tint="-0.14999847407452621"/>
        <bgColor indexed="64"/>
      </patternFill>
    </fill>
    <fill>
      <patternFill patternType="solid">
        <fgColor theme="2" tint="-0.749992370372631"/>
        <bgColor theme="1" tint="0.44999542222357858"/>
      </patternFill>
    </fill>
    <fill>
      <patternFill patternType="solid">
        <fgColor rgb="FF92D050"/>
        <bgColor indexed="64"/>
      </patternFill>
    </fill>
    <fill>
      <patternFill patternType="solid">
        <fgColor theme="9" tint="0.39997558519241921"/>
        <bgColor indexed="64"/>
      </patternFill>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2" tint="-9.9978637043366805E-2"/>
        <bgColor theme="0" tint="-0.14999847407452621"/>
      </patternFill>
    </fill>
    <fill>
      <patternFill patternType="solid">
        <fgColor theme="9"/>
        <bgColor indexed="64"/>
      </patternFill>
    </fill>
    <fill>
      <patternFill patternType="solid">
        <fgColor theme="9"/>
        <bgColor theme="0" tint="-0.14999847407452621"/>
      </patternFill>
    </fill>
    <fill>
      <patternFill patternType="solid">
        <fgColor theme="3" tint="0.89999084444715716"/>
        <bgColor indexed="64"/>
      </patternFill>
    </fill>
    <fill>
      <patternFill patternType="solid">
        <fgColor rgb="FFF2CEEF"/>
        <bgColor rgb="FF000000"/>
      </patternFill>
    </fill>
    <fill>
      <patternFill patternType="solid">
        <fgColor theme="6" tint="0.39997558519241921"/>
        <bgColor indexed="64"/>
      </patternFill>
    </fill>
    <fill>
      <patternFill patternType="solid">
        <fgColor theme="6" tint="0.59999389629810485"/>
        <bgColor indexed="64"/>
      </patternFill>
    </fill>
  </fills>
  <borders count="27">
    <border>
      <left/>
      <right/>
      <top/>
      <bottom/>
      <diagonal/>
    </border>
    <border>
      <left/>
      <right style="thin">
        <color indexed="64"/>
      </right>
      <top/>
      <bottom/>
      <diagonal/>
    </border>
    <border>
      <left/>
      <right/>
      <top/>
      <bottom style="medium">
        <color theme="0"/>
      </bottom>
      <diagonal/>
    </border>
    <border>
      <left/>
      <right/>
      <top/>
      <bottom style="thin">
        <color indexed="64"/>
      </bottom>
      <diagonal/>
    </border>
    <border>
      <left/>
      <right/>
      <top style="thin">
        <color indexed="64"/>
      </top>
      <bottom/>
      <diagonal/>
    </border>
    <border>
      <left style="thin">
        <color theme="1"/>
      </left>
      <right style="thin">
        <color theme="1"/>
      </right>
      <top/>
      <bottom style="medium">
        <color rgb="FF000000"/>
      </bottom>
      <diagonal/>
    </border>
    <border>
      <left/>
      <right style="thin">
        <color indexed="64"/>
      </right>
      <top style="thin">
        <color indexed="64"/>
      </top>
      <bottom/>
      <diagonal/>
    </border>
    <border>
      <left/>
      <right style="thin">
        <color indexed="64"/>
      </right>
      <top/>
      <bottom style="thin">
        <color indexed="64"/>
      </bottom>
      <diagonal/>
    </border>
    <border>
      <left/>
      <right/>
      <top style="thin">
        <color rgb="FF000000"/>
      </top>
      <bottom style="thin">
        <color theme="1"/>
      </bottom>
      <diagonal/>
    </border>
    <border>
      <left style="thin">
        <color theme="1"/>
      </left>
      <right style="thin">
        <color theme="1"/>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4" tint="0.39997558519241921"/>
      </left>
      <right/>
      <top style="thin">
        <color theme="4" tint="0.39997558519241921"/>
      </top>
      <bottom/>
      <diagonal/>
    </border>
    <border>
      <left/>
      <right/>
      <top/>
      <bottom style="thin">
        <color theme="1"/>
      </bottom>
      <diagonal/>
    </border>
    <border>
      <left/>
      <right/>
      <top/>
      <bottom style="medium">
        <color rgb="FF00000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9" fontId="3" fillId="0" borderId="0" applyFont="0" applyFill="0" applyBorder="0" applyAlignment="0" applyProtection="0"/>
    <xf numFmtId="41" fontId="3" fillId="0" borderId="0" applyFont="0" applyFill="0" applyBorder="0" applyAlignment="0" applyProtection="0"/>
    <xf numFmtId="44" fontId="3" fillId="0" borderId="0" applyFont="0" applyFill="0" applyBorder="0" applyAlignment="0" applyProtection="0"/>
    <xf numFmtId="0" fontId="12" fillId="0" borderId="0" applyNumberFormat="0" applyFill="0" applyBorder="0" applyAlignment="0" applyProtection="0"/>
  </cellStyleXfs>
  <cellXfs count="337">
    <xf numFmtId="0" fontId="0" fillId="0" borderId="0" xfId="0"/>
    <xf numFmtId="0" fontId="0" fillId="0" borderId="0" xfId="0" applyAlignment="1">
      <alignment horizontal="center"/>
    </xf>
    <xf numFmtId="0" fontId="0" fillId="0" borderId="0" xfId="0" applyAlignment="1">
      <alignment horizontal="center" vertical="center"/>
    </xf>
    <xf numFmtId="0" fontId="1" fillId="3" borderId="0" xfId="0" applyFont="1" applyFill="1"/>
    <xf numFmtId="0" fontId="0" fillId="4" borderId="0" xfId="0" applyFill="1" applyAlignment="1">
      <alignment horizontal="center" vertical="center"/>
    </xf>
    <xf numFmtId="0" fontId="0" fillId="0" borderId="0" xfId="0" applyAlignment="1">
      <alignment horizontal="left" vertical="center"/>
    </xf>
    <xf numFmtId="0" fontId="2" fillId="4" borderId="2" xfId="0" applyFont="1" applyFill="1" applyBorder="1" applyAlignment="1">
      <alignment horizontal="center" vertical="center"/>
    </xf>
    <xf numFmtId="0" fontId="1" fillId="3" borderId="0" xfId="0" applyFont="1" applyFill="1" applyAlignment="1">
      <alignment horizontal="center"/>
    </xf>
    <xf numFmtId="0" fontId="1" fillId="3" borderId="0" xfId="0" applyFont="1" applyFill="1" applyAlignment="1">
      <alignment horizontal="center" vertical="center"/>
    </xf>
    <xf numFmtId="0" fontId="0" fillId="5" borderId="0" xfId="0" applyFill="1" applyAlignment="1">
      <alignment horizontal="center" vertical="center"/>
    </xf>
    <xf numFmtId="0" fontId="0" fillId="5" borderId="0" xfId="0" applyFill="1"/>
    <xf numFmtId="0" fontId="1" fillId="6" borderId="0" xfId="0" applyFont="1" applyFill="1"/>
    <xf numFmtId="0" fontId="0" fillId="7" borderId="0" xfId="0" applyFill="1"/>
    <xf numFmtId="0" fontId="1" fillId="6" borderId="0" xfId="0" applyFont="1" applyFill="1" applyAlignment="1">
      <alignment vertical="center"/>
    </xf>
    <xf numFmtId="0" fontId="0" fillId="8" borderId="0" xfId="0" applyFill="1"/>
    <xf numFmtId="0" fontId="0" fillId="9" borderId="0" xfId="0" applyFill="1"/>
    <xf numFmtId="0" fontId="0" fillId="0" borderId="0" xfId="0" pivotButton="1"/>
    <xf numFmtId="0" fontId="0" fillId="0" borderId="0" xfId="0" applyAlignment="1">
      <alignment horizontal="left"/>
    </xf>
    <xf numFmtId="0" fontId="4" fillId="0" borderId="0" xfId="0" applyFont="1" applyAlignment="1">
      <alignment horizontal="center" vertical="center"/>
    </xf>
    <xf numFmtId="44" fontId="4" fillId="0" borderId="0" xfId="3" applyFont="1" applyFill="1" applyAlignment="1">
      <alignment horizontal="center" vertical="center"/>
    </xf>
    <xf numFmtId="0" fontId="2" fillId="10" borderId="0" xfId="0" applyFont="1" applyFill="1" applyAlignment="1">
      <alignment horizontal="center" vertical="center"/>
    </xf>
    <xf numFmtId="0" fontId="2" fillId="10" borderId="5" xfId="0" applyFont="1" applyFill="1" applyBorder="1" applyAlignment="1">
      <alignment horizontal="center" vertical="center"/>
    </xf>
    <xf numFmtId="0" fontId="2" fillId="10" borderId="0" xfId="0" applyFont="1" applyFill="1" applyAlignment="1">
      <alignment horizontal="left" vertical="center"/>
    </xf>
    <xf numFmtId="0" fontId="0" fillId="0" borderId="0" xfId="2" applyNumberFormat="1" applyFont="1" applyFill="1" applyAlignment="1">
      <alignment horizontal="center"/>
    </xf>
    <xf numFmtId="14" fontId="0" fillId="0" borderId="0" xfId="0" applyNumberFormat="1" applyAlignment="1">
      <alignment horizontal="left" vertical="center"/>
    </xf>
    <xf numFmtId="0" fontId="0" fillId="0" borderId="0" xfId="3" applyNumberFormat="1" applyFont="1" applyFill="1" applyAlignment="1">
      <alignment horizontal="center"/>
    </xf>
    <xf numFmtId="9" fontId="0" fillId="0" borderId="0" xfId="1" applyFont="1" applyFill="1" applyAlignment="1">
      <alignment horizontal="center"/>
    </xf>
    <xf numFmtId="44" fontId="0" fillId="0" borderId="0" xfId="0" applyNumberFormat="1"/>
    <xf numFmtId="44" fontId="0" fillId="0" borderId="0" xfId="0" applyNumberFormat="1" applyAlignment="1">
      <alignment horizontal="right"/>
    </xf>
    <xf numFmtId="9" fontId="0" fillId="0" borderId="0" xfId="1" applyFont="1" applyAlignment="1">
      <alignment horizontal="right" indent="2"/>
    </xf>
    <xf numFmtId="14" fontId="0" fillId="0" borderId="0" xfId="0" applyNumberFormat="1" applyAlignment="1">
      <alignment horizontal="center" vertical="center"/>
    </xf>
    <xf numFmtId="14" fontId="6" fillId="0" borderId="0" xfId="0" applyNumberFormat="1" applyFont="1"/>
    <xf numFmtId="0" fontId="6" fillId="0" borderId="0" xfId="0" applyFont="1"/>
    <xf numFmtId="1" fontId="6" fillId="0" borderId="0" xfId="0" applyNumberFormat="1" applyFont="1" applyAlignment="1">
      <alignment horizontal="center" vertical="center"/>
    </xf>
    <xf numFmtId="0" fontId="6" fillId="0" borderId="0" xfId="0" applyFont="1" applyAlignment="1">
      <alignment horizontal="center"/>
    </xf>
    <xf numFmtId="1" fontId="6" fillId="0" borderId="0" xfId="0" applyNumberFormat="1" applyFont="1" applyAlignment="1">
      <alignment horizontal="center"/>
    </xf>
    <xf numFmtId="0" fontId="6" fillId="0" borderId="0" xfId="0" applyFont="1" applyAlignment="1">
      <alignment horizontal="center" vertical="center"/>
    </xf>
    <xf numFmtId="14" fontId="6" fillId="0" borderId="0" xfId="0" applyNumberFormat="1" applyFont="1" applyAlignment="1">
      <alignment horizontal="center" vertical="center"/>
    </xf>
    <xf numFmtId="14" fontId="6" fillId="11" borderId="0" xfId="0" applyNumberFormat="1" applyFont="1" applyFill="1"/>
    <xf numFmtId="14" fontId="6" fillId="12" borderId="0" xfId="0" applyNumberFormat="1" applyFont="1" applyFill="1" applyAlignment="1">
      <alignment horizontal="center" vertical="center"/>
    </xf>
    <xf numFmtId="0" fontId="6" fillId="0" borderId="0" xfId="0" applyFont="1" applyAlignment="1">
      <alignment horizontal="left" vertical="center"/>
    </xf>
    <xf numFmtId="9" fontId="0" fillId="0" borderId="0" xfId="1" applyFont="1"/>
    <xf numFmtId="9" fontId="2" fillId="10" borderId="0" xfId="1" applyFont="1" applyFill="1" applyAlignment="1">
      <alignment horizontal="center" vertical="center"/>
    </xf>
    <xf numFmtId="2" fontId="0" fillId="0" borderId="0" xfId="1" applyNumberFormat="1" applyFont="1"/>
    <xf numFmtId="14" fontId="7" fillId="14" borderId="0" xfId="0" applyNumberFormat="1" applyFont="1" applyFill="1"/>
    <xf numFmtId="0" fontId="7" fillId="14" borderId="0" xfId="0" applyFont="1" applyFill="1" applyAlignment="1">
      <alignment horizontal="center"/>
    </xf>
    <xf numFmtId="1" fontId="7" fillId="14" borderId="0" xfId="0" applyNumberFormat="1" applyFont="1" applyFill="1" applyAlignment="1">
      <alignment horizontal="left" vertical="center"/>
    </xf>
    <xf numFmtId="1" fontId="7" fillId="13" borderId="0" xfId="0" applyNumberFormat="1" applyFont="1" applyFill="1" applyAlignment="1">
      <alignment horizontal="left" vertical="center"/>
    </xf>
    <xf numFmtId="14" fontId="7" fillId="13" borderId="0" xfId="0" applyNumberFormat="1" applyFont="1" applyFill="1" applyAlignment="1">
      <alignment horizontal="left" vertical="center"/>
    </xf>
    <xf numFmtId="14" fontId="6" fillId="0" borderId="0" xfId="0" applyNumberFormat="1" applyFont="1" applyAlignment="1">
      <alignment horizontal="left" vertical="center"/>
    </xf>
    <xf numFmtId="0" fontId="7" fillId="13" borderId="0" xfId="0" applyFont="1" applyFill="1" applyAlignment="1">
      <alignment horizontal="left"/>
    </xf>
    <xf numFmtId="0" fontId="6" fillId="2" borderId="0" xfId="0" applyFont="1" applyFill="1"/>
    <xf numFmtId="1" fontId="6" fillId="9" borderId="0" xfId="0" applyNumberFormat="1" applyFont="1" applyFill="1" applyAlignment="1">
      <alignment horizontal="left"/>
    </xf>
    <xf numFmtId="0" fontId="6" fillId="9" borderId="0" xfId="0" applyFont="1" applyFill="1" applyAlignment="1">
      <alignment horizontal="left"/>
    </xf>
    <xf numFmtId="6" fontId="0" fillId="0" borderId="0" xfId="1" applyNumberFormat="1" applyFont="1"/>
    <xf numFmtId="0" fontId="6" fillId="16" borderId="0" xfId="0" applyFont="1" applyFill="1"/>
    <xf numFmtId="1" fontId="6" fillId="16" borderId="0" xfId="0" applyNumberFormat="1" applyFont="1" applyFill="1" applyAlignment="1">
      <alignment horizontal="center"/>
    </xf>
    <xf numFmtId="0" fontId="6" fillId="16" borderId="0" xfId="0" applyFont="1" applyFill="1" applyAlignment="1">
      <alignment horizontal="center"/>
    </xf>
    <xf numFmtId="1" fontId="6" fillId="16" borderId="0" xfId="0" applyNumberFormat="1" applyFont="1" applyFill="1" applyAlignment="1">
      <alignment horizontal="center" vertical="center"/>
    </xf>
    <xf numFmtId="0" fontId="0" fillId="10" borderId="0" xfId="0" applyFill="1"/>
    <xf numFmtId="9" fontId="2" fillId="10" borderId="8" xfId="1" applyFont="1" applyFill="1" applyBorder="1" applyAlignment="1">
      <alignment horizontal="center" vertical="center"/>
    </xf>
    <xf numFmtId="0" fontId="1" fillId="10" borderId="0" xfId="0" applyFont="1" applyFill="1" applyAlignment="1">
      <alignment horizontal="left" vertical="center"/>
    </xf>
    <xf numFmtId="0" fontId="1" fillId="10" borderId="0" xfId="0" applyFont="1" applyFill="1"/>
    <xf numFmtId="164" fontId="1" fillId="10" borderId="0" xfId="0" applyNumberFormat="1" applyFont="1" applyFill="1" applyAlignment="1">
      <alignment horizontal="left" vertical="center"/>
    </xf>
    <xf numFmtId="44" fontId="1" fillId="10" borderId="0" xfId="0" applyNumberFormat="1" applyFont="1" applyFill="1"/>
    <xf numFmtId="9" fontId="1" fillId="10" borderId="0" xfId="0" applyNumberFormat="1" applyFont="1" applyFill="1" applyAlignment="1">
      <alignment horizontal="right"/>
    </xf>
    <xf numFmtId="9" fontId="2" fillId="10" borderId="0" xfId="1" applyFont="1" applyFill="1" applyBorder="1" applyAlignment="1">
      <alignment horizontal="center" vertical="center"/>
    </xf>
    <xf numFmtId="0" fontId="2" fillId="10" borderId="9" xfId="0" applyFont="1" applyFill="1" applyBorder="1" applyAlignment="1">
      <alignment horizontal="center" vertical="center"/>
    </xf>
    <xf numFmtId="0" fontId="0" fillId="0" borderId="0" xfId="3" applyNumberFormat="1" applyFont="1" applyFill="1" applyBorder="1" applyAlignment="1">
      <alignment horizontal="center"/>
    </xf>
    <xf numFmtId="9" fontId="0" fillId="0" borderId="0" xfId="1" applyFont="1" applyFill="1" applyBorder="1" applyAlignment="1">
      <alignment horizontal="center"/>
    </xf>
    <xf numFmtId="44" fontId="4" fillId="0" borderId="0" xfId="3" applyFont="1" applyFill="1" applyBorder="1" applyAlignment="1">
      <alignment horizontal="center" vertical="center"/>
    </xf>
    <xf numFmtId="9" fontId="0" fillId="0" borderId="0" xfId="1" applyFont="1" applyFill="1" applyBorder="1" applyAlignment="1">
      <alignment horizontal="right" indent="2"/>
    </xf>
    <xf numFmtId="9" fontId="0" fillId="0" borderId="0" xfId="0" applyNumberFormat="1" applyAlignment="1">
      <alignment horizontal="right" indent="2"/>
    </xf>
    <xf numFmtId="18" fontId="0" fillId="0" borderId="0" xfId="0" applyNumberFormat="1"/>
    <xf numFmtId="0" fontId="0" fillId="11" borderId="0" xfId="0" applyFill="1"/>
    <xf numFmtId="0" fontId="0" fillId="11" borderId="0" xfId="0" applyFill="1" applyAlignment="1">
      <alignment horizontal="center" vertical="center"/>
    </xf>
    <xf numFmtId="0" fontId="0" fillId="11" borderId="0" xfId="0" applyFill="1" applyAlignment="1">
      <alignment horizontal="center"/>
    </xf>
    <xf numFmtId="18" fontId="0" fillId="11" borderId="0" xfId="0" applyNumberFormat="1" applyFill="1"/>
    <xf numFmtId="0" fontId="0" fillId="9" borderId="1" xfId="0" applyFill="1" applyBorder="1"/>
    <xf numFmtId="0" fontId="0" fillId="9" borderId="3" xfId="0" applyFill="1" applyBorder="1"/>
    <xf numFmtId="0" fontId="0" fillId="9" borderId="7" xfId="0" applyFill="1" applyBorder="1"/>
    <xf numFmtId="0" fontId="0" fillId="9" borderId="0" xfId="0" applyFill="1" applyAlignment="1">
      <alignment horizontal="center" vertical="center"/>
    </xf>
    <xf numFmtId="165" fontId="0" fillId="0" borderId="0" xfId="0" applyNumberFormat="1" applyAlignment="1">
      <alignment horizontal="center" vertical="center"/>
    </xf>
    <xf numFmtId="0" fontId="0" fillId="11" borderId="0" xfId="0" applyFill="1" applyAlignment="1">
      <alignment horizontal="left"/>
    </xf>
    <xf numFmtId="18" fontId="0" fillId="11" borderId="0" xfId="0" applyNumberFormat="1" applyFill="1" applyAlignment="1">
      <alignment horizontal="center"/>
    </xf>
    <xf numFmtId="0" fontId="0" fillId="9" borderId="0" xfId="0" applyFill="1" applyAlignment="1">
      <alignment horizontal="center"/>
    </xf>
    <xf numFmtId="14" fontId="0" fillId="9" borderId="0" xfId="0" applyNumberFormat="1" applyFill="1" applyAlignment="1">
      <alignment horizontal="center" vertical="center"/>
    </xf>
    <xf numFmtId="165" fontId="0" fillId="18" borderId="0" xfId="0" applyNumberFormat="1" applyFill="1" applyAlignment="1">
      <alignment horizontal="center" vertical="center"/>
    </xf>
    <xf numFmtId="0" fontId="0" fillId="18" borderId="0" xfId="0" applyFill="1"/>
    <xf numFmtId="0" fontId="0" fillId="18" borderId="0" xfId="0" applyFill="1" applyAlignment="1">
      <alignment horizontal="center"/>
    </xf>
    <xf numFmtId="0" fontId="0" fillId="18" borderId="0" xfId="0" applyFill="1" applyAlignment="1">
      <alignment horizontal="center" vertical="center"/>
    </xf>
    <xf numFmtId="18" fontId="0" fillId="18" borderId="0" xfId="0" applyNumberFormat="1" applyFill="1"/>
    <xf numFmtId="165" fontId="0" fillId="11" borderId="0" xfId="0" applyNumberFormat="1" applyFill="1" applyAlignment="1">
      <alignment horizontal="center" vertical="center"/>
    </xf>
    <xf numFmtId="0" fontId="0" fillId="9" borderId="0" xfId="0" applyFill="1" applyAlignment="1">
      <alignment horizontal="left"/>
    </xf>
    <xf numFmtId="0" fontId="4" fillId="0" borderId="0" xfId="0" applyFont="1" applyAlignment="1">
      <alignment horizontal="center"/>
    </xf>
    <xf numFmtId="0" fontId="4" fillId="0" borderId="0" xfId="0" applyFont="1" applyAlignment="1">
      <alignment horizontal="left"/>
    </xf>
    <xf numFmtId="14" fontId="4" fillId="0" borderId="0" xfId="0" applyNumberFormat="1" applyFont="1" applyAlignment="1">
      <alignment horizontal="left"/>
    </xf>
    <xf numFmtId="14" fontId="4" fillId="0" borderId="0" xfId="0" applyNumberFormat="1" applyFont="1" applyAlignment="1">
      <alignment horizontal="center"/>
    </xf>
    <xf numFmtId="14" fontId="4" fillId="0" borderId="0" xfId="0" applyNumberFormat="1" applyFont="1" applyAlignment="1">
      <alignment horizontal="right"/>
    </xf>
    <xf numFmtId="0" fontId="4" fillId="0" borderId="0" xfId="0" applyFont="1"/>
    <xf numFmtId="0" fontId="4" fillId="0" borderId="11" xfId="0" applyFont="1" applyBorder="1" applyAlignment="1">
      <alignment horizontal="center"/>
    </xf>
    <xf numFmtId="165" fontId="0" fillId="9" borderId="0" xfId="0" applyNumberFormat="1" applyFill="1" applyAlignment="1">
      <alignment horizontal="center" vertical="center"/>
    </xf>
    <xf numFmtId="18" fontId="0" fillId="9" borderId="0" xfId="0" applyNumberFormat="1" applyFill="1"/>
    <xf numFmtId="14" fontId="0" fillId="17" borderId="0" xfId="0" applyNumberFormat="1" applyFill="1" applyAlignment="1">
      <alignment horizontal="center" vertical="center"/>
    </xf>
    <xf numFmtId="0" fontId="0" fillId="15" borderId="0" xfId="0" applyFill="1"/>
    <xf numFmtId="0" fontId="0" fillId="0" borderId="0" xfId="0" applyAlignment="1">
      <alignment horizontal="right"/>
    </xf>
    <xf numFmtId="14" fontId="0" fillId="11" borderId="0" xfId="0" applyNumberFormat="1" applyFill="1" applyAlignment="1">
      <alignment horizontal="center" vertical="center"/>
    </xf>
    <xf numFmtId="0" fontId="0" fillId="0" borderId="12" xfId="0" applyBorder="1" applyAlignment="1">
      <alignment horizontal="left"/>
    </xf>
    <xf numFmtId="0" fontId="0" fillId="0" borderId="13" xfId="0" applyBorder="1" applyAlignment="1">
      <alignment horizontal="left"/>
    </xf>
    <xf numFmtId="0" fontId="0" fillId="0" borderId="13" xfId="0" applyBorder="1" applyAlignment="1">
      <alignment horizontal="left" vertical="center"/>
    </xf>
    <xf numFmtId="14" fontId="0" fillId="0" borderId="13" xfId="0" applyNumberFormat="1" applyBorder="1" applyAlignment="1">
      <alignment horizontal="left" vertical="center"/>
    </xf>
    <xf numFmtId="18" fontId="0" fillId="11" borderId="0" xfId="0" applyNumberFormat="1" applyFill="1" applyAlignment="1">
      <alignment horizontal="right"/>
    </xf>
    <xf numFmtId="20" fontId="0" fillId="11" borderId="0" xfId="0" applyNumberFormat="1" applyFill="1" applyAlignment="1">
      <alignment horizontal="right"/>
    </xf>
    <xf numFmtId="0" fontId="1" fillId="10" borderId="0" xfId="0" applyFont="1" applyFill="1" applyAlignment="1">
      <alignment horizontal="center" vertical="center"/>
    </xf>
    <xf numFmtId="0" fontId="9" fillId="11" borderId="0" xfId="0" applyFont="1" applyFill="1"/>
    <xf numFmtId="0" fontId="0" fillId="11" borderId="0" xfId="0" applyFill="1" applyAlignment="1">
      <alignment horizontal="right"/>
    </xf>
    <xf numFmtId="0" fontId="0" fillId="0" borderId="0" xfId="0" applyAlignment="1">
      <alignment vertical="center"/>
    </xf>
    <xf numFmtId="0" fontId="0" fillId="9" borderId="1" xfId="0" applyFill="1" applyBorder="1" applyAlignment="1">
      <alignment vertical="center"/>
    </xf>
    <xf numFmtId="0" fontId="0" fillId="9" borderId="0" xfId="0" applyFill="1" applyAlignment="1">
      <alignment horizontal="right"/>
    </xf>
    <xf numFmtId="0" fontId="0" fillId="0" borderId="1" xfId="0" applyBorder="1"/>
    <xf numFmtId="0" fontId="0" fillId="11" borderId="0" xfId="0" applyFill="1" applyAlignment="1">
      <alignment horizontal="left" vertical="center"/>
    </xf>
    <xf numFmtId="0" fontId="0" fillId="18" borderId="0" xfId="0" applyFill="1" applyAlignment="1">
      <alignment horizontal="left" vertical="center"/>
    </xf>
    <xf numFmtId="0" fontId="0" fillId="9" borderId="0" xfId="0" applyFill="1" applyAlignment="1">
      <alignment horizontal="left" vertical="center"/>
    </xf>
    <xf numFmtId="0" fontId="10" fillId="0" borderId="0" xfId="0" applyFont="1" applyAlignment="1">
      <alignment horizontal="left" vertic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9" borderId="0" xfId="0" applyFill="1" applyAlignment="1">
      <alignment vertical="center"/>
    </xf>
    <xf numFmtId="165" fontId="0" fillId="20" borderId="0" xfId="0" applyNumberFormat="1" applyFill="1" applyAlignment="1">
      <alignment horizontal="center" vertical="center"/>
    </xf>
    <xf numFmtId="0" fontId="0" fillId="20" borderId="0" xfId="0" applyFill="1" applyAlignment="1">
      <alignment horizontal="left" vertical="center"/>
    </xf>
    <xf numFmtId="0" fontId="0" fillId="20" borderId="0" xfId="0" applyFill="1" applyAlignment="1">
      <alignment horizontal="center" vertical="center"/>
    </xf>
    <xf numFmtId="0" fontId="0" fillId="20" borderId="0" xfId="0" applyFill="1"/>
    <xf numFmtId="0" fontId="0" fillId="20" borderId="0" xfId="0" applyFill="1" applyAlignment="1">
      <alignment horizontal="right"/>
    </xf>
    <xf numFmtId="18" fontId="0" fillId="20" borderId="0" xfId="0" applyNumberFormat="1" applyFill="1" applyAlignment="1">
      <alignment horizontal="right"/>
    </xf>
    <xf numFmtId="14" fontId="0" fillId="20" borderId="0" xfId="0" applyNumberFormat="1" applyFill="1" applyAlignment="1">
      <alignment horizontal="center" vertical="center" wrapText="1"/>
    </xf>
    <xf numFmtId="0" fontId="0" fillId="21" borderId="1" xfId="0" applyFill="1" applyBorder="1" applyAlignment="1">
      <alignment horizontal="center" vertical="center"/>
    </xf>
    <xf numFmtId="0" fontId="0" fillId="20" borderId="0" xfId="0" applyFill="1" applyAlignment="1">
      <alignment horizontal="left"/>
    </xf>
    <xf numFmtId="18" fontId="0" fillId="20" borderId="0" xfId="0" applyNumberFormat="1" applyFill="1"/>
    <xf numFmtId="14" fontId="0" fillId="20" borderId="0" xfId="0" applyNumberFormat="1" applyFill="1" applyAlignment="1">
      <alignment horizontal="center" vertical="center"/>
    </xf>
    <xf numFmtId="0" fontId="0" fillId="20" borderId="0" xfId="0" applyFill="1" applyAlignment="1">
      <alignment vertical="center"/>
    </xf>
    <xf numFmtId="0" fontId="0" fillId="20" borderId="0" xfId="0" applyFill="1" applyAlignment="1">
      <alignment horizontal="right" vertical="center" wrapText="1"/>
    </xf>
    <xf numFmtId="18" fontId="0" fillId="20" borderId="0" xfId="0" applyNumberFormat="1" applyFill="1" applyAlignment="1">
      <alignment vertical="center"/>
    </xf>
    <xf numFmtId="18" fontId="0" fillId="20" borderId="0" xfId="0" applyNumberFormat="1" applyFill="1" applyAlignment="1">
      <alignment horizontal="right" vertical="center"/>
    </xf>
    <xf numFmtId="0" fontId="0" fillId="20" borderId="1" xfId="0" applyFill="1" applyBorder="1"/>
    <xf numFmtId="49" fontId="0" fillId="0" borderId="0" xfId="0" applyNumberFormat="1"/>
    <xf numFmtId="49" fontId="0" fillId="0" borderId="0" xfId="0" applyNumberFormat="1" applyAlignment="1">
      <alignment horizontal="left"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12" fillId="0" borderId="0" xfId="4"/>
    <xf numFmtId="0" fontId="13" fillId="0" borderId="0" xfId="0" applyFont="1"/>
    <xf numFmtId="14" fontId="0" fillId="0" borderId="0" xfId="0" applyNumberFormat="1"/>
    <xf numFmtId="18" fontId="0" fillId="0" borderId="0" xfId="0" applyNumberFormat="1" applyAlignment="1">
      <alignment horizontal="center" vertical="center"/>
    </xf>
    <xf numFmtId="0" fontId="0" fillId="20" borderId="1" xfId="0" applyFill="1" applyBorder="1" applyAlignment="1">
      <alignment horizontal="center" vertical="center"/>
    </xf>
    <xf numFmtId="0" fontId="0" fillId="16" borderId="0" xfId="0" applyFill="1"/>
    <xf numFmtId="0" fontId="0" fillId="16" borderId="0" xfId="0" applyFill="1" applyAlignment="1">
      <alignment horizontal="right"/>
    </xf>
    <xf numFmtId="14" fontId="6" fillId="16" borderId="0" xfId="0" applyNumberFormat="1" applyFont="1" applyFill="1" applyAlignment="1">
      <alignment horizontal="left" vertical="center"/>
    </xf>
    <xf numFmtId="14" fontId="0" fillId="21" borderId="0" xfId="0" applyNumberFormat="1" applyFill="1" applyAlignment="1">
      <alignment horizontal="center" vertical="center"/>
    </xf>
    <xf numFmtId="165" fontId="0" fillId="9" borderId="0" xfId="0" applyNumberFormat="1" applyFill="1" applyAlignment="1">
      <alignment vertical="center"/>
    </xf>
    <xf numFmtId="165" fontId="4" fillId="0" borderId="0" xfId="0" applyNumberFormat="1" applyFont="1" applyAlignment="1">
      <alignment horizontal="left"/>
    </xf>
    <xf numFmtId="165" fontId="4" fillId="0" borderId="0" xfId="0" applyNumberFormat="1" applyFont="1" applyAlignment="1">
      <alignment horizontal="right"/>
    </xf>
    <xf numFmtId="165" fontId="0" fillId="0" borderId="0" xfId="0" applyNumberFormat="1"/>
    <xf numFmtId="0" fontId="0" fillId="9" borderId="0" xfId="0" applyFill="1" applyAlignment="1">
      <alignment horizontal="right" vertical="center"/>
    </xf>
    <xf numFmtId="0" fontId="0" fillId="0" borderId="0" xfId="0" applyAlignment="1">
      <alignment horizontal="right" vertical="center"/>
    </xf>
    <xf numFmtId="0" fontId="0" fillId="11" borderId="0" xfId="0" applyFill="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xf>
    <xf numFmtId="0" fontId="6" fillId="0" borderId="0" xfId="0" applyFont="1" applyAlignment="1">
      <alignment horizontal="left"/>
    </xf>
    <xf numFmtId="9" fontId="1" fillId="10" borderId="0" xfId="0" applyNumberFormat="1" applyFont="1" applyFill="1" applyAlignment="1">
      <alignment horizontal="center"/>
    </xf>
    <xf numFmtId="1" fontId="0" fillId="0" borderId="0" xfId="0" applyNumberFormat="1"/>
    <xf numFmtId="0" fontId="15" fillId="0" borderId="0" xfId="0" applyFont="1"/>
    <xf numFmtId="165" fontId="0" fillId="22" borderId="0" xfId="0" applyNumberFormat="1" applyFill="1" applyAlignment="1">
      <alignment horizontal="center" vertical="center"/>
    </xf>
    <xf numFmtId="0" fontId="0" fillId="22" borderId="0" xfId="0" applyFill="1"/>
    <xf numFmtId="0" fontId="0" fillId="22" borderId="0" xfId="0" applyFill="1" applyAlignment="1">
      <alignment horizontal="center" vertical="center"/>
    </xf>
    <xf numFmtId="0" fontId="0" fillId="22" borderId="0" xfId="0" applyFill="1" applyAlignment="1">
      <alignment horizontal="left" vertical="center"/>
    </xf>
    <xf numFmtId="0" fontId="0" fillId="22" borderId="0" xfId="0" applyFill="1" applyAlignment="1">
      <alignment horizontal="right"/>
    </xf>
    <xf numFmtId="14" fontId="0" fillId="22" borderId="0" xfId="0" applyNumberFormat="1" applyFill="1" applyAlignment="1">
      <alignment horizontal="center" vertical="center"/>
    </xf>
    <xf numFmtId="0" fontId="0" fillId="23" borderId="1" xfId="0" applyFill="1" applyBorder="1" applyAlignment="1">
      <alignment horizontal="center" vertical="center"/>
    </xf>
    <xf numFmtId="0" fontId="0" fillId="22" borderId="1" xfId="0" applyFill="1" applyBorder="1" applyAlignment="1">
      <alignment horizontal="center" vertical="center"/>
    </xf>
    <xf numFmtId="0" fontId="0" fillId="20" borderId="0" xfId="0" applyFill="1" applyAlignment="1">
      <alignment horizontal="right" wrapText="1"/>
    </xf>
    <xf numFmtId="0" fontId="0" fillId="20" borderId="0" xfId="0" applyFill="1" applyAlignment="1">
      <alignment horizontal="right" vertical="center"/>
    </xf>
    <xf numFmtId="165" fontId="0" fillId="20" borderId="0" xfId="0" applyNumberFormat="1" applyFill="1" applyAlignment="1">
      <alignment horizontal="left" vertical="center"/>
    </xf>
    <xf numFmtId="165" fontId="0" fillId="0" borderId="0" xfId="0" applyNumberFormat="1" applyAlignment="1">
      <alignment horizontal="left" vertical="center"/>
    </xf>
    <xf numFmtId="18" fontId="0" fillId="0" borderId="0" xfId="0" applyNumberFormat="1" applyAlignment="1">
      <alignment horizontal="left"/>
    </xf>
    <xf numFmtId="18" fontId="0" fillId="0" borderId="0" xfId="0" applyNumberFormat="1" applyAlignment="1">
      <alignment horizontal="left" vertical="center"/>
    </xf>
    <xf numFmtId="0" fontId="0" fillId="0" borderId="1" xfId="0" applyBorder="1" applyAlignment="1">
      <alignment horizontal="left"/>
    </xf>
    <xf numFmtId="0" fontId="0" fillId="18" borderId="0" xfId="0" applyFill="1" applyAlignment="1">
      <alignment horizontal="right"/>
    </xf>
    <xf numFmtId="0" fontId="0" fillId="20" borderId="1" xfId="0" applyFill="1" applyBorder="1" applyAlignment="1">
      <alignment horizontal="center"/>
    </xf>
    <xf numFmtId="14" fontId="14" fillId="0" borderId="0" xfId="0" applyNumberFormat="1" applyFont="1" applyAlignment="1">
      <alignment horizontal="center" vertical="center"/>
    </xf>
    <xf numFmtId="0" fontId="17" fillId="20" borderId="0" xfId="0" applyFont="1" applyFill="1"/>
    <xf numFmtId="20" fontId="0" fillId="20" borderId="0" xfId="0" applyNumberFormat="1" applyFill="1" applyAlignment="1">
      <alignment horizontal="right"/>
    </xf>
    <xf numFmtId="0" fontId="16" fillId="20" borderId="0" xfId="0" applyFont="1" applyFill="1"/>
    <xf numFmtId="14" fontId="0" fillId="20" borderId="1" xfId="0" applyNumberFormat="1" applyFill="1" applyBorder="1" applyAlignment="1">
      <alignment horizontal="center" vertical="center"/>
    </xf>
    <xf numFmtId="1" fontId="6" fillId="0" borderId="0" xfId="0" applyNumberFormat="1" applyFont="1" applyAlignment="1">
      <alignment horizontal="right" indent="1"/>
    </xf>
    <xf numFmtId="0" fontId="6" fillId="24" borderId="0" xfId="0" applyFont="1" applyFill="1" applyAlignment="1">
      <alignment horizontal="center" vertical="center"/>
    </xf>
    <xf numFmtId="0" fontId="6" fillId="24" borderId="3" xfId="0" applyFont="1" applyFill="1" applyBorder="1" applyAlignment="1">
      <alignment horizontal="center" vertical="center"/>
    </xf>
    <xf numFmtId="0" fontId="6" fillId="24" borderId="0" xfId="0" applyFont="1" applyFill="1" applyAlignment="1">
      <alignment horizontal="left"/>
    </xf>
    <xf numFmtId="0" fontId="20" fillId="24" borderId="0" xfId="0" applyFont="1" applyFill="1" applyAlignment="1">
      <alignment horizontal="center" vertical="center"/>
    </xf>
    <xf numFmtId="0" fontId="6" fillId="12" borderId="0" xfId="0" applyFont="1" applyFill="1" applyAlignment="1">
      <alignment horizontal="center" vertical="center"/>
    </xf>
    <xf numFmtId="0" fontId="18" fillId="2" borderId="0" xfId="0" applyFont="1" applyFill="1" applyAlignment="1">
      <alignment horizontal="center" vertical="center"/>
    </xf>
    <xf numFmtId="0" fontId="6" fillId="9" borderId="0" xfId="0" applyFont="1" applyFill="1" applyAlignment="1">
      <alignment horizontal="center" vertical="center"/>
    </xf>
    <xf numFmtId="1" fontId="6" fillId="0" borderId="3" xfId="0" applyNumberFormat="1" applyFont="1" applyBorder="1" applyAlignment="1">
      <alignment horizontal="right" indent="1"/>
    </xf>
    <xf numFmtId="0" fontId="6" fillId="0" borderId="3" xfId="0" applyFont="1" applyBorder="1" applyAlignment="1">
      <alignment horizontal="left"/>
    </xf>
    <xf numFmtId="0" fontId="6" fillId="0" borderId="3" xfId="0" applyFont="1" applyBorder="1" applyAlignment="1">
      <alignment horizontal="center" vertical="center"/>
    </xf>
    <xf numFmtId="0" fontId="6" fillId="12" borderId="3" xfId="0" applyFont="1" applyFill="1" applyBorder="1" applyAlignment="1">
      <alignment horizontal="center" vertical="center"/>
    </xf>
    <xf numFmtId="0" fontId="6" fillId="24" borderId="3" xfId="0" applyFont="1" applyFill="1" applyBorder="1" applyAlignment="1">
      <alignment horizontal="left"/>
    </xf>
    <xf numFmtId="0" fontId="6" fillId="24" borderId="3" xfId="0" applyFont="1" applyFill="1" applyBorder="1" applyAlignment="1">
      <alignment horizontal="center"/>
    </xf>
    <xf numFmtId="0" fontId="18" fillId="2" borderId="1" xfId="0" applyFont="1" applyFill="1" applyBorder="1" applyAlignment="1">
      <alignment horizontal="center" vertical="center"/>
    </xf>
    <xf numFmtId="0" fontId="6" fillId="15" borderId="1" xfId="0" applyFont="1" applyFill="1" applyBorder="1" applyAlignment="1">
      <alignment horizontal="center" vertical="center"/>
    </xf>
    <xf numFmtId="0" fontId="6" fillId="15" borderId="7" xfId="0" applyFont="1" applyFill="1" applyBorder="1" applyAlignment="1">
      <alignment horizontal="center" vertical="center"/>
    </xf>
    <xf numFmtId="0" fontId="6" fillId="24" borderId="1" xfId="0" applyFont="1" applyFill="1" applyBorder="1" applyAlignment="1">
      <alignment horizontal="center" vertical="center"/>
    </xf>
    <xf numFmtId="0" fontId="6" fillId="24" borderId="7" xfId="0" applyFont="1" applyFill="1" applyBorder="1" applyAlignment="1">
      <alignment horizontal="center" vertical="center"/>
    </xf>
    <xf numFmtId="1" fontId="18" fillId="2" borderId="0" xfId="0" applyNumberFormat="1" applyFont="1" applyFill="1" applyAlignment="1">
      <alignment horizontal="center" vertical="center"/>
    </xf>
    <xf numFmtId="0" fontId="18" fillId="2" borderId="0" xfId="0" applyFont="1" applyFill="1"/>
    <xf numFmtId="0" fontId="7" fillId="9" borderId="0" xfId="0" applyFont="1" applyFill="1"/>
    <xf numFmtId="0" fontId="7" fillId="9" borderId="0" xfId="0" applyFont="1" applyFill="1" applyAlignment="1">
      <alignment horizontal="center"/>
    </xf>
    <xf numFmtId="0" fontId="6" fillId="9" borderId="0" xfId="0" applyFont="1" applyFill="1"/>
    <xf numFmtId="0" fontId="4" fillId="10" borderId="0" xfId="0" applyFont="1" applyFill="1"/>
    <xf numFmtId="0" fontId="2" fillId="10" borderId="0" xfId="0" applyFont="1" applyFill="1"/>
    <xf numFmtId="0" fontId="4" fillId="10" borderId="0" xfId="0" applyFont="1" applyFill="1" applyAlignment="1">
      <alignment horizontal="center" vertical="center" wrapText="1"/>
    </xf>
    <xf numFmtId="0" fontId="21" fillId="10" borderId="0" xfId="0" applyFont="1" applyFill="1" applyAlignment="1">
      <alignment horizontal="center" vertical="center"/>
    </xf>
    <xf numFmtId="0" fontId="2" fillId="10" borderId="0" xfId="0" applyFont="1" applyFill="1" applyAlignment="1">
      <alignment horizontal="center"/>
    </xf>
    <xf numFmtId="0" fontId="4" fillId="10" borderId="18" xfId="0" applyFont="1" applyFill="1" applyBorder="1"/>
    <xf numFmtId="0" fontId="22" fillId="10" borderId="0" xfId="0" applyFont="1" applyFill="1" applyAlignment="1">
      <alignment horizontal="center" vertical="center"/>
    </xf>
    <xf numFmtId="0" fontId="22" fillId="10" borderId="18" xfId="0" applyFont="1" applyFill="1" applyBorder="1" applyAlignment="1">
      <alignment horizontal="center" vertical="center"/>
    </xf>
    <xf numFmtId="0" fontId="22" fillId="10" borderId="0" xfId="0" applyFont="1" applyFill="1"/>
    <xf numFmtId="14" fontId="2" fillId="10" borderId="18" xfId="0" applyNumberFormat="1" applyFont="1" applyFill="1" applyBorder="1" applyAlignment="1">
      <alignment horizontal="center" vertical="center"/>
    </xf>
    <xf numFmtId="0" fontId="2" fillId="10" borderId="0" xfId="0" applyFont="1" applyFill="1" applyAlignment="1">
      <alignment horizontal="left"/>
    </xf>
    <xf numFmtId="0" fontId="22" fillId="10" borderId="17" xfId="0" applyFont="1" applyFill="1" applyBorder="1" applyAlignment="1">
      <alignment horizontal="center" vertical="center"/>
    </xf>
    <xf numFmtId="0" fontId="22" fillId="10" borderId="0" xfId="0" applyFont="1" applyFill="1" applyAlignment="1">
      <alignment horizontal="left" vertical="center"/>
    </xf>
    <xf numFmtId="14" fontId="2" fillId="10" borderId="0" xfId="0" applyNumberFormat="1" applyFont="1" applyFill="1" applyAlignment="1">
      <alignment horizontal="left" vertical="center" indent="1"/>
    </xf>
    <xf numFmtId="0" fontId="4" fillId="10" borderId="0" xfId="0" applyFont="1" applyFill="1" applyAlignment="1">
      <alignment horizontal="left" indent="1"/>
    </xf>
    <xf numFmtId="0" fontId="22" fillId="10" borderId="19" xfId="0" applyFont="1" applyFill="1" applyBorder="1" applyAlignment="1">
      <alignment horizontal="left" vertical="center"/>
    </xf>
    <xf numFmtId="0" fontId="21"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18" xfId="0" applyFont="1" applyFill="1" applyBorder="1" applyAlignment="1">
      <alignment horizontal="left" vertical="center"/>
    </xf>
    <xf numFmtId="0" fontId="2" fillId="10" borderId="18" xfId="0" applyFont="1" applyFill="1" applyBorder="1" applyAlignment="1">
      <alignment horizontal="left" wrapText="1"/>
    </xf>
    <xf numFmtId="0" fontId="2" fillId="10" borderId="18" xfId="0" applyFont="1" applyFill="1" applyBorder="1"/>
    <xf numFmtId="14" fontId="2" fillId="10" borderId="18" xfId="0" applyNumberFormat="1" applyFont="1" applyFill="1" applyBorder="1" applyAlignment="1">
      <alignment horizontal="left" vertical="center" indent="2"/>
    </xf>
    <xf numFmtId="0" fontId="2" fillId="10" borderId="18" xfId="0" applyFont="1" applyFill="1" applyBorder="1" applyAlignment="1">
      <alignment horizontal="left" vertical="center" indent="2"/>
    </xf>
    <xf numFmtId="49" fontId="0" fillId="0" borderId="0" xfId="0" applyNumberFormat="1" applyAlignment="1">
      <alignment horizontal="center" vertical="center"/>
    </xf>
    <xf numFmtId="49" fontId="0" fillId="0" borderId="13" xfId="0" applyNumberFormat="1" applyBorder="1" applyAlignment="1">
      <alignment horizontal="left" vertical="center"/>
    </xf>
    <xf numFmtId="0" fontId="11" fillId="11" borderId="0" xfId="0" applyFont="1" applyFill="1"/>
    <xf numFmtId="0" fontId="11" fillId="11" borderId="0" xfId="0" applyFont="1" applyFill="1" applyAlignment="1">
      <alignment wrapText="1"/>
    </xf>
    <xf numFmtId="0" fontId="0" fillId="0" borderId="0" xfId="0" applyAlignment="1">
      <alignment wrapText="1"/>
    </xf>
    <xf numFmtId="0" fontId="0" fillId="0" borderId="0" xfId="0" applyAlignment="1">
      <alignment vertical="top" wrapText="1"/>
    </xf>
    <xf numFmtId="3" fontId="0" fillId="0" borderId="0" xfId="0" applyNumberFormat="1" applyAlignment="1">
      <alignment vertical="center"/>
    </xf>
    <xf numFmtId="0" fontId="2" fillId="10" borderId="19" xfId="0" applyFont="1" applyFill="1" applyBorder="1" applyAlignment="1">
      <alignment horizontal="left" vertical="center" indent="1"/>
    </xf>
    <xf numFmtId="0" fontId="22" fillId="10" borderId="19" xfId="0" applyFont="1" applyFill="1" applyBorder="1" applyAlignment="1">
      <alignment horizontal="center" vertical="center" wrapText="1"/>
    </xf>
    <xf numFmtId="0" fontId="22" fillId="10" borderId="19" xfId="0" applyFont="1" applyFill="1" applyBorder="1" applyAlignment="1">
      <alignment horizontal="center" vertical="center"/>
    </xf>
    <xf numFmtId="14" fontId="2" fillId="10" borderId="19" xfId="0" applyNumberFormat="1" applyFont="1" applyFill="1" applyBorder="1" applyAlignment="1">
      <alignment horizontal="center" vertical="center"/>
    </xf>
    <xf numFmtId="0" fontId="4" fillId="10" borderId="0" xfId="0" applyFont="1" applyFill="1" applyAlignment="1">
      <alignment horizontal="center"/>
    </xf>
    <xf numFmtId="14" fontId="2" fillId="10" borderId="0" xfId="0" applyNumberFormat="1" applyFont="1" applyFill="1" applyAlignment="1">
      <alignment horizontal="left"/>
    </xf>
    <xf numFmtId="0" fontId="22" fillId="10" borderId="0" xfId="0" applyFont="1" applyFill="1" applyAlignment="1">
      <alignment horizontal="left" vertical="center" wrapText="1"/>
    </xf>
    <xf numFmtId="0" fontId="21" fillId="10" borderId="0" xfId="0" applyFont="1" applyFill="1" applyAlignment="1">
      <alignment horizontal="left"/>
    </xf>
    <xf numFmtId="3" fontId="0" fillId="0" borderId="0" xfId="0" applyNumberFormat="1"/>
    <xf numFmtId="14" fontId="6" fillId="0" borderId="20" xfId="0" applyNumberFormat="1" applyFont="1" applyBorder="1"/>
    <xf numFmtId="14" fontId="6" fillId="25" borderId="0" xfId="0" applyNumberFormat="1" applyFont="1" applyFill="1" applyAlignment="1">
      <alignment horizontal="center" vertical="center"/>
    </xf>
    <xf numFmtId="0" fontId="24" fillId="24" borderId="0" xfId="0" applyFont="1" applyFill="1" applyAlignment="1">
      <alignment horizontal="center" vertical="center"/>
    </xf>
    <xf numFmtId="1" fontId="21" fillId="10" borderId="0" xfId="0" applyNumberFormat="1" applyFont="1" applyFill="1" applyAlignment="1">
      <alignment horizontal="left"/>
    </xf>
    <xf numFmtId="17" fontId="0" fillId="0" borderId="0" xfId="0" applyNumberFormat="1" applyAlignment="1">
      <alignment horizontal="center" vertical="center"/>
    </xf>
    <xf numFmtId="0" fontId="0" fillId="24" borderId="0" xfId="0" applyFill="1" applyAlignment="1">
      <alignment horizontal="center"/>
    </xf>
    <xf numFmtId="0" fontId="0" fillId="24" borderId="0" xfId="0" applyFill="1"/>
    <xf numFmtId="0" fontId="0" fillId="24" borderId="0" xfId="0" applyFill="1" applyAlignment="1">
      <alignment horizontal="center" vertical="center"/>
    </xf>
    <xf numFmtId="14" fontId="0" fillId="24" borderId="0" xfId="0" applyNumberFormat="1" applyFill="1" applyAlignment="1">
      <alignment horizontal="center" vertical="center"/>
    </xf>
    <xf numFmtId="0" fontId="15" fillId="24" borderId="0" xfId="0" applyFont="1" applyFill="1"/>
    <xf numFmtId="14" fontId="0" fillId="24" borderId="0" xfId="0" applyNumberFormat="1" applyFill="1"/>
    <xf numFmtId="10" fontId="0" fillId="0" borderId="0" xfId="1" applyNumberFormat="1" applyFont="1" applyFill="1" applyBorder="1" applyAlignment="1">
      <alignment horizontal="right" indent="2"/>
    </xf>
    <xf numFmtId="14" fontId="0" fillId="26" borderId="0" xfId="0" applyNumberFormat="1" applyFill="1" applyAlignment="1">
      <alignment horizontal="center" vertical="center"/>
    </xf>
    <xf numFmtId="0" fontId="0" fillId="26" borderId="0" xfId="0" applyFill="1" applyAlignment="1">
      <alignment horizontal="center" vertical="center"/>
    </xf>
    <xf numFmtId="49" fontId="0" fillId="26" borderId="0" xfId="0" applyNumberFormat="1" applyFill="1" applyAlignment="1">
      <alignment horizontal="center" vertical="center"/>
    </xf>
    <xf numFmtId="14" fontId="6" fillId="26" borderId="0" xfId="0" applyNumberFormat="1" applyFont="1" applyFill="1" applyAlignment="1">
      <alignment horizontal="left" vertical="center"/>
    </xf>
    <xf numFmtId="0" fontId="0" fillId="27" borderId="0" xfId="0" applyFill="1"/>
    <xf numFmtId="0" fontId="0" fillId="27" borderId="0" xfId="0" applyFill="1" applyAlignment="1">
      <alignment horizontal="center"/>
    </xf>
    <xf numFmtId="0" fontId="0" fillId="27" borderId="0" xfId="0" applyFill="1" applyAlignment="1">
      <alignment horizontal="center" vertical="center"/>
    </xf>
    <xf numFmtId="14" fontId="0" fillId="27" borderId="0" xfId="0" applyNumberFormat="1" applyFill="1" applyAlignment="1">
      <alignment horizontal="center" vertical="center"/>
    </xf>
    <xf numFmtId="0" fontId="0" fillId="27" borderId="0" xfId="0" applyFill="1" applyAlignment="1">
      <alignment horizontal="right"/>
    </xf>
    <xf numFmtId="49" fontId="0" fillId="27" borderId="0" xfId="0" applyNumberFormat="1" applyFill="1" applyAlignment="1">
      <alignment horizontal="center" vertical="center"/>
    </xf>
    <xf numFmtId="0" fontId="25" fillId="24" borderId="0" xfId="0" applyFont="1" applyFill="1" applyAlignment="1">
      <alignment vertical="center"/>
    </xf>
    <xf numFmtId="0" fontId="0" fillId="0" borderId="22" xfId="0" applyBorder="1" applyAlignment="1">
      <alignment horizontal="right"/>
    </xf>
    <xf numFmtId="0" fontId="18" fillId="0" borderId="21" xfId="0" applyFont="1" applyBorder="1" applyAlignment="1">
      <alignment horizontal="left" vertical="center"/>
    </xf>
    <xf numFmtId="0" fontId="0" fillId="0" borderId="23" xfId="0" applyBorder="1" applyAlignment="1">
      <alignment horizontal="center"/>
    </xf>
    <xf numFmtId="0" fontId="0" fillId="0" borderId="23" xfId="0" applyBorder="1"/>
    <xf numFmtId="0" fontId="0" fillId="0" borderId="23" xfId="0" applyBorder="1" applyAlignment="1">
      <alignment horizontal="center" vertical="center"/>
    </xf>
    <xf numFmtId="14" fontId="0" fillId="0" borderId="23" xfId="0" applyNumberFormat="1" applyBorder="1" applyAlignment="1">
      <alignment horizontal="center" vertical="center"/>
    </xf>
    <xf numFmtId="0" fontId="25" fillId="0" borderId="23" xfId="0" applyFont="1" applyBorder="1" applyAlignment="1">
      <alignment vertical="center"/>
    </xf>
    <xf numFmtId="14" fontId="0" fillId="0" borderId="23" xfId="0" applyNumberFormat="1" applyBorder="1"/>
    <xf numFmtId="49" fontId="0" fillId="0" borderId="23" xfId="0" applyNumberFormat="1" applyBorder="1" applyAlignment="1">
      <alignment horizontal="center" vertical="center"/>
    </xf>
    <xf numFmtId="0" fontId="11" fillId="0" borderId="24" xfId="0" applyFont="1" applyBorder="1" applyAlignment="1">
      <alignment horizontal="left"/>
    </xf>
    <xf numFmtId="0" fontId="11" fillId="0" borderId="25" xfId="0" applyFont="1" applyBorder="1" applyAlignment="1">
      <alignment horizontal="left"/>
    </xf>
    <xf numFmtId="0" fontId="11" fillId="0" borderId="25" xfId="0" applyFont="1" applyBorder="1" applyAlignment="1">
      <alignment horizontal="left" vertical="center"/>
    </xf>
    <xf numFmtId="14" fontId="11" fillId="0" borderId="25" xfId="0" applyNumberFormat="1" applyFont="1" applyBorder="1" applyAlignment="1">
      <alignment horizontal="left" vertical="center"/>
    </xf>
    <xf numFmtId="49" fontId="11" fillId="0" borderId="25" xfId="0" applyNumberFormat="1" applyFont="1" applyBorder="1" applyAlignment="1">
      <alignment horizontal="left" vertical="center"/>
    </xf>
    <xf numFmtId="14" fontId="11" fillId="0" borderId="26" xfId="0" applyNumberFormat="1" applyFont="1" applyBorder="1" applyAlignment="1">
      <alignment horizontal="left" vertical="center"/>
    </xf>
    <xf numFmtId="1" fontId="6" fillId="24" borderId="3" xfId="0" applyNumberFormat="1" applyFont="1" applyFill="1" applyBorder="1" applyAlignment="1">
      <alignment horizontal="left"/>
    </xf>
    <xf numFmtId="0" fontId="6" fillId="2" borderId="4" xfId="0" applyFont="1" applyFill="1" applyBorder="1" applyAlignment="1">
      <alignment vertical="center"/>
    </xf>
    <xf numFmtId="0" fontId="6" fillId="2" borderId="6" xfId="0" applyFont="1" applyFill="1" applyBorder="1" applyAlignment="1">
      <alignment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24" borderId="0" xfId="0" applyFont="1" applyFill="1"/>
    <xf numFmtId="0" fontId="6" fillId="0" borderId="3" xfId="0" applyFont="1" applyBorder="1"/>
    <xf numFmtId="1" fontId="6" fillId="0" borderId="3" xfId="0" applyNumberFormat="1" applyFont="1" applyBorder="1" applyAlignment="1">
      <alignment horizontal="center" vertical="center"/>
    </xf>
    <xf numFmtId="1" fontId="6" fillId="9" borderId="0" xfId="0" applyNumberFormat="1" applyFont="1" applyFill="1" applyAlignment="1">
      <alignment horizontal="center" vertical="center"/>
    </xf>
    <xf numFmtId="0" fontId="6" fillId="9" borderId="0" xfId="0" applyFont="1" applyFill="1" applyAlignment="1">
      <alignment horizontal="center"/>
    </xf>
    <xf numFmtId="1" fontId="6" fillId="9" borderId="0" xfId="0" applyNumberFormat="1" applyFont="1" applyFill="1" applyAlignment="1">
      <alignment horizontal="center"/>
    </xf>
    <xf numFmtId="14" fontId="0" fillId="9" borderId="3" xfId="0" applyNumberFormat="1" applyFill="1" applyBorder="1"/>
    <xf numFmtId="0" fontId="0" fillId="0" borderId="0" xfId="0" applyAlignment="1">
      <alignment horizontal="left" vertical="center" wrapText="1"/>
    </xf>
    <xf numFmtId="0" fontId="26" fillId="0" borderId="0" xfId="0" applyFont="1"/>
    <xf numFmtId="0" fontId="27" fillId="0" borderId="0" xfId="0" applyFont="1"/>
    <xf numFmtId="0" fontId="0" fillId="9" borderId="0" xfId="0" applyFill="1" applyAlignment="1">
      <alignment horizontal="center" wrapText="1"/>
    </xf>
    <xf numFmtId="0" fontId="0" fillId="9" borderId="0" xfId="0" applyFill="1" applyAlignment="1">
      <alignment horizontal="center" vertical="center"/>
    </xf>
    <xf numFmtId="0" fontId="0" fillId="0" borderId="0" xfId="0" applyAlignment="1">
      <alignment horizontal="center" wrapText="1"/>
    </xf>
    <xf numFmtId="0" fontId="23" fillId="10" borderId="0" xfId="0" applyFont="1" applyFill="1" applyAlignment="1">
      <alignment horizontal="center" vertical="center" wrapText="1"/>
    </xf>
    <xf numFmtId="0" fontId="2" fillId="10" borderId="0" xfId="0" applyFont="1" applyFill="1" applyAlignment="1">
      <alignment horizontal="left"/>
    </xf>
    <xf numFmtId="0" fontId="2" fillId="10" borderId="18" xfId="0" applyFont="1" applyFill="1" applyBorder="1" applyAlignment="1">
      <alignment horizontal="left"/>
    </xf>
    <xf numFmtId="0" fontId="2" fillId="10" borderId="0" xfId="0" applyFont="1" applyFill="1" applyAlignment="1">
      <alignment horizontal="center"/>
    </xf>
    <xf numFmtId="0" fontId="2" fillId="10" borderId="18" xfId="0" applyFont="1" applyFill="1" applyBorder="1" applyAlignment="1">
      <alignment horizontal="center"/>
    </xf>
    <xf numFmtId="0" fontId="0" fillId="9" borderId="0" xfId="0" applyFill="1" applyAlignment="1">
      <alignment horizontal="center"/>
    </xf>
    <xf numFmtId="0" fontId="0" fillId="9" borderId="16" xfId="0" applyFill="1" applyBorder="1" applyAlignment="1">
      <alignment horizontal="center"/>
    </xf>
    <xf numFmtId="0" fontId="0" fillId="9" borderId="14" xfId="0" applyFill="1" applyBorder="1" applyAlignment="1">
      <alignment horizontal="center"/>
    </xf>
    <xf numFmtId="0" fontId="0" fillId="9" borderId="10" xfId="0" applyFill="1" applyBorder="1" applyAlignment="1">
      <alignment horizontal="center"/>
    </xf>
    <xf numFmtId="0" fontId="0" fillId="9" borderId="4" xfId="0" applyFill="1" applyBorder="1" applyAlignment="1">
      <alignment horizontal="center"/>
    </xf>
    <xf numFmtId="0" fontId="0" fillId="9" borderId="6" xfId="0" applyFill="1" applyBorder="1" applyAlignment="1">
      <alignment horizontal="center"/>
    </xf>
    <xf numFmtId="0" fontId="0" fillId="9" borderId="1" xfId="0" applyFill="1" applyBorder="1" applyAlignment="1">
      <alignment horizontal="center"/>
    </xf>
    <xf numFmtId="0" fontId="0" fillId="9" borderId="7" xfId="0" applyFill="1" applyBorder="1" applyAlignment="1">
      <alignment horizontal="center"/>
    </xf>
    <xf numFmtId="0" fontId="0" fillId="9" borderId="15" xfId="0" applyFill="1" applyBorder="1" applyAlignment="1">
      <alignment horizontal="center"/>
    </xf>
    <xf numFmtId="0" fontId="0" fillId="9" borderId="3" xfId="0" applyFill="1" applyBorder="1" applyAlignment="1">
      <alignment horizontal="center"/>
    </xf>
    <xf numFmtId="0" fontId="8" fillId="9" borderId="0" xfId="0" applyFont="1" applyFill="1" applyAlignment="1">
      <alignment horizontal="center" vertical="center"/>
    </xf>
    <xf numFmtId="0" fontId="19" fillId="24" borderId="10" xfId="0" applyFont="1" applyFill="1" applyBorder="1" applyAlignment="1">
      <alignment horizontal="center" vertical="center"/>
    </xf>
    <xf numFmtId="0" fontId="19" fillId="24" borderId="0" xfId="0" applyFont="1" applyFill="1" applyAlignment="1">
      <alignment horizontal="center" vertical="center"/>
    </xf>
    <xf numFmtId="0" fontId="20" fillId="24" borderId="10" xfId="0" applyFont="1" applyFill="1" applyBorder="1" applyAlignment="1">
      <alignment horizontal="center" vertical="center"/>
    </xf>
    <xf numFmtId="0" fontId="20" fillId="24" borderId="0" xfId="0" applyFont="1" applyFill="1" applyAlignment="1">
      <alignment horizontal="center" vertical="center"/>
    </xf>
    <xf numFmtId="0" fontId="6" fillId="11" borderId="0" xfId="0" applyFont="1" applyFill="1" applyAlignment="1">
      <alignment horizontal="center"/>
    </xf>
    <xf numFmtId="0" fontId="6" fillId="12" borderId="0" xfId="0" applyFont="1" applyFill="1" applyAlignment="1">
      <alignment horizontal="center"/>
    </xf>
    <xf numFmtId="1" fontId="6" fillId="24" borderId="0" xfId="0" applyNumberFormat="1" applyFont="1" applyFill="1" applyAlignment="1">
      <alignment horizontal="center" vertical="center"/>
    </xf>
    <xf numFmtId="0" fontId="6" fillId="24" borderId="0" xfId="0" applyFont="1" applyFill="1" applyAlignment="1">
      <alignment horizontal="center" vertical="center"/>
    </xf>
    <xf numFmtId="0" fontId="6" fillId="24" borderId="3" xfId="0" applyFont="1" applyFill="1" applyBorder="1" applyAlignment="1">
      <alignment horizontal="center" vertical="center"/>
    </xf>
  </cellXfs>
  <cellStyles count="5">
    <cellStyle name="Hipervínculo" xfId="4" builtinId="8"/>
    <cellStyle name="Millares [0]" xfId="2" builtinId="6"/>
    <cellStyle name="Moneda" xfId="3" builtinId="4"/>
    <cellStyle name="Normal" xfId="0" builtinId="0"/>
    <cellStyle name="Porcentaje" xfId="1" builtinId="5"/>
  </cellStyles>
  <dxfs count="16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79998168889431442"/>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7" tint="0.79998168889431442"/>
        </patternFill>
      </fill>
    </dxf>
    <dxf>
      <font>
        <color rgb="FF9C5700"/>
      </font>
      <fill>
        <patternFill>
          <bgColor rgb="FFFFEB9C"/>
        </patternFill>
      </fill>
    </dxf>
    <dxf>
      <font>
        <color rgb="FF006100"/>
      </font>
      <fill>
        <patternFill>
          <bgColor rgb="FFC6EFCE"/>
        </patternFill>
      </fill>
    </dxf>
    <dxf>
      <fill>
        <patternFill patternType="solid">
          <bgColor theme="7" tint="0.79998168889431442"/>
        </patternFill>
      </fill>
    </dxf>
    <dxf>
      <font>
        <color rgb="FF9C5700"/>
      </font>
      <fill>
        <patternFill>
          <bgColor rgb="FFFFEB9C"/>
        </patternFill>
      </fill>
    </dxf>
    <dxf>
      <font>
        <color rgb="FF006100"/>
      </font>
      <fill>
        <patternFill>
          <bgColor rgb="FFC6EFCE"/>
        </patternFill>
      </fill>
    </dxf>
    <dxf>
      <fill>
        <patternFill patternType="solid">
          <bgColor theme="7" tint="0.79998168889431442"/>
        </patternFill>
      </fill>
    </dxf>
    <dxf>
      <font>
        <color rgb="FF9C5700"/>
      </font>
      <fill>
        <patternFill>
          <bgColor rgb="FFFFEB9C"/>
        </patternFill>
      </fill>
    </dxf>
    <dxf>
      <font>
        <color rgb="FF006100"/>
      </font>
      <fill>
        <patternFill>
          <bgColor rgb="FFC6EFCE"/>
        </patternFill>
      </fill>
    </dxf>
    <dxf>
      <fill>
        <patternFill patternType="solid">
          <bgColor theme="7" tint="0.79998168889431442"/>
        </patternFill>
      </fill>
    </dxf>
    <dxf>
      <font>
        <color rgb="FF9C5700"/>
      </font>
      <fill>
        <patternFill>
          <bgColor rgb="FFFFEB9C"/>
        </patternFill>
      </fill>
    </dxf>
    <dxf>
      <font>
        <color rgb="FF006100"/>
      </font>
      <fill>
        <patternFill>
          <bgColor rgb="FFC6EFCE"/>
        </patternFill>
      </fill>
    </dxf>
    <dxf>
      <fill>
        <patternFill patternType="solid">
          <bgColor theme="7" tint="0.79998168889431442"/>
        </patternFill>
      </fill>
    </dxf>
    <dxf>
      <font>
        <color rgb="FF9C5700"/>
      </font>
      <fill>
        <patternFill>
          <bgColor rgb="FFFFEB9C"/>
        </patternFill>
      </fill>
    </dxf>
    <dxf>
      <font>
        <color rgb="FF006100"/>
      </font>
      <fill>
        <patternFill>
          <bgColor rgb="FFC6EFCE"/>
        </patternFill>
      </fill>
    </dxf>
    <dxf>
      <numFmt numFmtId="30" formatCode="@"/>
    </dxf>
    <dxf>
      <numFmt numFmtId="19" formatCode="d/mm/yyyy"/>
      <alignment horizontal="center" vertical="center" textRotation="0" wrapText="1" indent="0" justifyLastLine="0" shrinkToFit="0" readingOrder="0"/>
    </dxf>
    <dxf>
      <numFmt numFmtId="19" formatCode="d/mm/yyyy"/>
      <alignment horizontal="center" vertical="bottom" textRotation="0" wrapText="0" indent="0" justifyLastLine="0" shrinkToFit="0" readingOrder="0"/>
    </dxf>
    <dxf>
      <numFmt numFmtId="19" formatCode="d/mm/yyyy"/>
    </dxf>
    <dxf>
      <alignment horizontal="left"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8"/>
        <color rgb="FF424141"/>
        <name val="Arial"/>
        <family val="2"/>
        <scheme val="none"/>
      </font>
      <alignment horizontal="right" vertical="bottom" textRotation="0" wrapText="0" indent="0" justifyLastLine="0" shrinkToFit="0" readingOrder="0"/>
    </dxf>
    <dxf>
      <font>
        <strike val="0"/>
        <outline val="0"/>
        <shadow val="0"/>
        <u val="none"/>
        <vertAlign val="baseline"/>
        <sz val="11"/>
        <color auto="1"/>
        <name val="ADLaM Display"/>
        <scheme val="none"/>
      </font>
      <fill>
        <patternFill patternType="none">
          <fgColor indexed="64"/>
          <bgColor auto="1"/>
        </patternFill>
      </fill>
    </dxf>
    <dxf>
      <font>
        <strike val="0"/>
        <outline val="0"/>
        <shadow val="0"/>
        <u val="none"/>
        <vertAlign val="baseline"/>
        <sz val="11"/>
        <color auto="1"/>
        <name val="ADLaM Display"/>
        <scheme val="none"/>
      </font>
      <numFmt numFmtId="1" formatCode="0"/>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ADLaM Display"/>
        <scheme val="none"/>
      </font>
      <numFmt numFmtId="0" formatCode="General"/>
      <fill>
        <patternFill patternType="none">
          <fgColor indexed="64"/>
          <bgColor auto="1"/>
        </patternFill>
      </fill>
    </dxf>
    <dxf>
      <font>
        <strike val="0"/>
        <outline val="0"/>
        <shadow val="0"/>
        <u val="none"/>
        <vertAlign val="baseline"/>
        <sz val="11"/>
        <color auto="1"/>
        <name val="ADLaM Display"/>
        <scheme val="none"/>
      </font>
      <numFmt numFmtId="19" formatCode="d/mm/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1"/>
        <color auto="1"/>
        <name val="ADLaM Display"/>
        <scheme val="none"/>
      </font>
      <numFmt numFmtId="19" formatCode="d/mm/yyyy"/>
      <fill>
        <patternFill patternType="solid">
          <fgColor indexed="64"/>
          <bgColor theme="8" tint="0.79998168889431442"/>
        </patternFill>
      </fill>
      <alignment horizontal="center" vertical="center" textRotation="0" wrapText="0" indent="0" justifyLastLine="0" shrinkToFit="0" readingOrder="0"/>
    </dxf>
    <dxf>
      <font>
        <strike val="0"/>
        <outline val="0"/>
        <shadow val="0"/>
        <u val="none"/>
        <vertAlign val="baseline"/>
        <sz val="11"/>
        <color auto="1"/>
        <name val="ADLaM Display"/>
        <scheme val="none"/>
      </font>
      <fill>
        <patternFill patternType="none">
          <fgColor indexed="64"/>
          <bgColor auto="1"/>
        </patternFill>
      </fill>
    </dxf>
    <dxf>
      <font>
        <strike val="0"/>
        <outline val="0"/>
        <shadow val="0"/>
        <u val="none"/>
        <vertAlign val="baseline"/>
        <sz val="11"/>
        <color theme="0"/>
        <name val="ADLaM Display"/>
        <scheme val="none"/>
      </font>
      <fill>
        <patternFill patternType="solid">
          <fgColor indexed="64"/>
          <bgColor theme="8" tint="0.59999389629810485"/>
        </patternFill>
      </fill>
      <alignment horizontal="left" textRotation="0" wrapText="0" indent="0" justifyLastLine="0" shrinkToFit="0" readingOrder="0"/>
    </dxf>
    <dxf>
      <font>
        <strike val="0"/>
        <outline val="0"/>
        <shadow val="0"/>
        <u val="none"/>
        <vertAlign val="baseline"/>
        <sz val="11"/>
        <color auto="1"/>
        <name val="ADLaM Display"/>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ADLaM Display"/>
        <scheme val="none"/>
      </font>
      <numFmt numFmtId="1" formatCode="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ADLaM Display"/>
        <scheme val="none"/>
      </font>
      <numFmt numFmtId="0" formatCode="General"/>
      <fill>
        <patternFill patternType="none">
          <fgColor indexed="64"/>
          <bgColor auto="1"/>
        </patternFill>
      </fill>
    </dxf>
    <dxf>
      <font>
        <b val="0"/>
        <i val="0"/>
        <strike val="0"/>
        <condense val="0"/>
        <extend val="0"/>
        <outline val="0"/>
        <shadow val="0"/>
        <u val="none"/>
        <vertAlign val="baseline"/>
        <sz val="11"/>
        <color auto="1"/>
        <name val="ADLaM Display"/>
        <scheme val="none"/>
      </font>
      <fill>
        <patternFill patternType="none">
          <fgColor indexed="64"/>
          <bgColor auto="1"/>
        </patternFill>
      </fill>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sz val="11"/>
        <color auto="1"/>
        <name val="ADLaM Display"/>
        <scheme val="none"/>
      </font>
      <numFmt numFmtId="19" formatCode="d/mm/yyyy"/>
      <fill>
        <patternFill patternType="none">
          <fgColor indexed="64"/>
          <bgColor auto="1"/>
        </patternFill>
      </fill>
    </dxf>
    <dxf>
      <font>
        <strike val="0"/>
        <outline val="0"/>
        <shadow val="0"/>
        <u val="none"/>
        <vertAlign val="baseline"/>
        <sz val="11"/>
        <color auto="1"/>
        <name val="ADLaM Display"/>
        <scheme val="none"/>
      </font>
      <fill>
        <patternFill patternType="none">
          <fgColor indexed="64"/>
          <bgColor auto="1"/>
        </patternFill>
      </fill>
    </dxf>
    <dxf>
      <font>
        <strike val="0"/>
        <outline val="0"/>
        <shadow val="0"/>
        <u val="none"/>
        <vertAlign val="baseline"/>
        <sz val="11"/>
        <color theme="0"/>
        <name val="ADLaM Display"/>
        <scheme val="none"/>
      </font>
      <fill>
        <patternFill patternType="solid">
          <fgColor indexed="64"/>
          <bgColor theme="7" tint="0.59999389629810485"/>
        </patternFill>
      </fill>
    </dxf>
    <dxf>
      <font>
        <strike val="0"/>
        <outline val="0"/>
        <shadow val="0"/>
        <u val="none"/>
        <vertAlign val="baseline"/>
        <sz val="11"/>
        <color rgb="FF000000"/>
        <name val="ADLaM Display"/>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auto="1"/>
        <name val="ADLaM Display"/>
        <scheme val="none"/>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auto="1"/>
        <name val="ADLaM Display"/>
        <scheme val="none"/>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ADLaM Display"/>
        <scheme val="none"/>
      </font>
      <numFmt numFmtId="1" formatCode="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rgb="FF000000"/>
        <name val="ADLaM Display"/>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0000"/>
        <name val="ADLaM Display"/>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1"/>
        <color auto="1"/>
        <name val="ADLaM Display"/>
        <scheme val="none"/>
      </font>
      <fill>
        <patternFill patternType="none">
          <fgColor indexed="64"/>
          <bgColor auto="1"/>
        </patternFill>
      </fill>
    </dxf>
    <dxf>
      <font>
        <strike val="0"/>
        <outline val="0"/>
        <shadow val="0"/>
        <u val="none"/>
        <vertAlign val="baseline"/>
        <sz val="11"/>
        <color auto="1"/>
        <name val="ADLaM Display"/>
        <scheme val="none"/>
      </font>
      <fill>
        <patternFill patternType="solid">
          <fgColor indexed="64"/>
          <bgColor theme="0"/>
        </patternFill>
      </fill>
    </dxf>
    <dxf>
      <numFmt numFmtId="22" formatCode="mmm\-yy"/>
      <alignment horizontal="center" vertical="center" textRotation="0" wrapText="0" indent="0" justifyLastLine="0" shrinkToFit="0" readingOrder="0"/>
    </dxf>
    <dxf>
      <alignment horizontal="general" vertical="center" textRotation="0" wrapText="0" indent="0" justifyLastLine="0" shrinkToFit="0" readingOrder="0"/>
    </dxf>
    <dxf>
      <numFmt numFmtId="13" formatCode="0%"/>
      <alignment horizontal="right" vertical="bottom" textRotation="0" wrapText="0" indent="2" justifyLastLine="0" shrinkToFit="0" readingOrder="0"/>
    </dxf>
    <dxf>
      <font>
        <b val="0"/>
        <i val="0"/>
        <strike val="0"/>
        <condense val="0"/>
        <extend val="0"/>
        <outline val="0"/>
        <shadow val="0"/>
        <u val="none"/>
        <vertAlign val="baseline"/>
        <sz val="11"/>
        <color theme="1"/>
        <name val="Aptos Narrow"/>
        <family val="2"/>
        <scheme val="minor"/>
      </font>
      <numFmt numFmtId="13" formatCode="0%"/>
      <fill>
        <patternFill patternType="none">
          <fgColor indexed="64"/>
          <bgColor auto="1"/>
        </patternFill>
      </fill>
      <alignment horizontal="right" vertical="bottom" textRotation="0" wrapText="0" indent="2" justifyLastLine="0" shrinkToFit="0" readingOrder="0"/>
    </dxf>
    <dxf>
      <font>
        <b val="0"/>
        <i val="0"/>
        <strike val="0"/>
        <condense val="0"/>
        <extend val="0"/>
        <outline val="0"/>
        <shadow val="0"/>
        <u val="none"/>
        <vertAlign val="baseline"/>
        <sz val="11"/>
        <color theme="1"/>
        <name val="Aptos Narrow"/>
        <family val="2"/>
        <scheme val="minor"/>
      </font>
      <numFmt numFmtId="34" formatCode="_-&quot;$&quot;\ * #,##0.00_-;\-&quot;$&quot;\ * #,##0.00_-;_-&quot;$&quot;\ * &quot;-&quot;??_-;_-@_-"/>
      <fill>
        <patternFill patternType="none">
          <fgColor indexed="64"/>
          <bgColor auto="1"/>
        </patternFill>
      </fill>
    </dxf>
    <dxf>
      <font>
        <b val="0"/>
        <i val="0"/>
        <strike val="0"/>
        <condense val="0"/>
        <extend val="0"/>
        <outline val="0"/>
        <shadow val="0"/>
        <u val="none"/>
        <vertAlign val="baseline"/>
        <sz val="11"/>
        <color auto="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34" formatCode="_-&quot;$&quot;\ * #,##0.00_-;\-&quot;$&quot;\ * #,##0.00_-;_-&quot;$&quot;\ * &quot;-&quot;??_-;_-@_-"/>
      <fill>
        <patternFill patternType="none">
          <fgColor indexed="64"/>
          <bgColor auto="1"/>
        </patternFill>
      </fill>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dxf>
    <dxf>
      <numFmt numFmtId="19" formatCode="d/mm/yyyy"/>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9" formatCode="d/mm/yyyy"/>
      <fill>
        <patternFill patternType="none">
          <fgColor indexed="64"/>
          <bgColor auto="1"/>
        </patternFill>
      </fill>
      <alignment horizontal="left"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theme="0"/>
        <name val="Aptos Narrow"/>
        <family val="2"/>
        <scheme val="minor"/>
      </font>
      <numFmt numFmtId="13" formatCode="0%"/>
      <fill>
        <patternFill patternType="solid">
          <fgColor indexed="64"/>
          <bgColor theme="1"/>
        </patternFill>
      </fill>
      <alignment horizontal="right" vertical="bottom" textRotation="0" wrapText="0" indent="0" justifyLastLine="0" shrinkToFit="0" readingOrder="0"/>
    </dxf>
    <dxf>
      <alignment horizontal="right" vertical="bottom" textRotation="0" wrapText="0" relativeIndent="-1" justifyLastLine="0" shrinkToFit="0" readingOrder="0"/>
    </dxf>
    <dxf>
      <font>
        <b val="0"/>
        <i val="0"/>
        <strike val="0"/>
        <condense val="0"/>
        <extend val="0"/>
        <outline val="0"/>
        <shadow val="0"/>
        <u val="none"/>
        <vertAlign val="baseline"/>
        <sz val="11"/>
        <color theme="0"/>
        <name val="Aptos Narrow"/>
        <family val="2"/>
        <scheme val="minor"/>
      </font>
      <numFmt numFmtId="34" formatCode="_-&quot;$&quot;\ * #,##0.00_-;\-&quot;$&quot;\ * #,##0.00_-;_-&quot;$&quot;\ * &quot;-&quot;??_-;_-@_-"/>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numFmt numFmtId="164" formatCode="_-&quot;$&quot;\ * #,##0_-;\-&quot;$&quot;\ * #,##0_-;_-&quot;$&quot;\ * &quot;-&quot;??_-;_-@_-"/>
      <fill>
        <patternFill patternType="solid">
          <fgColor indexed="64"/>
          <bgColor theme="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ptos Narrow"/>
        <family val="2"/>
        <scheme val="minor"/>
      </font>
      <numFmt numFmtId="13" formatCode="0%"/>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numFmt numFmtId="0" formatCode="General"/>
      <fill>
        <patternFill patternType="none">
          <fgColor indexed="64"/>
          <bgColor auto="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center" textRotation="0" wrapText="0" indent="0" justifyLastLine="0" shrinkToFit="0" readingOrder="0"/>
    </dxf>
    <dxf>
      <numFmt numFmtId="0" formatCode="Genera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left" vertical="center" textRotation="0" wrapText="0" indent="0" justifyLastLine="0" shrinkToFit="0" readingOrder="0"/>
    </dxf>
    <dxf>
      <numFmt numFmtId="19" formatCode="d/mm/yyyy"/>
      <alignment horizontal="left" vertical="center" textRotation="0" wrapText="0" indent="0" justifyLastLine="0" shrinkToFit="0" readingOrder="0"/>
    </dxf>
    <dxf>
      <font>
        <strike val="0"/>
        <outline val="0"/>
        <shadow val="0"/>
        <u val="none"/>
        <vertAlign val="baseline"/>
        <sz val="11"/>
        <color theme="0"/>
        <name val="Aptos Narrow"/>
        <family val="2"/>
        <scheme val="minor"/>
      </font>
      <fill>
        <patternFill patternType="solid">
          <fgColor indexed="64"/>
          <bgColor theme="1"/>
        </patternFill>
      </fill>
    </dxf>
    <dxf>
      <border outline="0">
        <top style="thin">
          <color rgb="FF000000"/>
        </top>
      </border>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numFmt numFmtId="165" formatCode="[$-F800]dddd\,\ mmmm\ dd\,\ yyyy"/>
      <alignment horizontal="right" vertical="bottom" textRotation="0" wrapText="0" indent="0" justifyLastLine="0" shrinkToFit="0" readingOrder="0"/>
    </dxf>
    <dxf>
      <font>
        <strike val="0"/>
        <outline val="0"/>
        <shadow val="0"/>
        <u val="none"/>
        <vertAlign val="baseline"/>
        <sz val="11"/>
        <color auto="1"/>
        <name val="Aptos Narrow"/>
        <family val="2"/>
        <scheme val="minor"/>
      </font>
      <numFmt numFmtId="19" formatCode="d/mm/yyyy"/>
      <alignment horizontal="right" vertical="bottom" textRotation="0" wrapText="0" indent="0" justifyLastLine="0" shrinkToFit="0" readingOrder="0"/>
    </dxf>
    <dxf>
      <font>
        <strike val="0"/>
        <outline val="0"/>
        <shadow val="0"/>
        <u val="none"/>
        <vertAlign val="baseline"/>
        <sz val="11"/>
        <color auto="1"/>
        <name val="Aptos Narrow"/>
        <family val="2"/>
        <scheme val="minor"/>
      </font>
      <numFmt numFmtId="19" formatCode="d/mm/yyyy"/>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left" vertical="bottom" textRotation="0" wrapText="0" indent="0" justifyLastLine="0" shrinkToFit="0" readingOrder="0"/>
    </dxf>
    <dxf>
      <font>
        <strike val="0"/>
        <outline val="0"/>
        <shadow val="0"/>
        <u val="none"/>
        <vertAlign val="baseline"/>
        <sz val="11"/>
        <color auto="1"/>
        <name val="Aptos Narrow"/>
        <family val="2"/>
        <scheme val="minor"/>
      </font>
      <alignment horizontal="left" vertical="bottom" textRotation="0" wrapText="0" indent="0" justifyLastLine="0" shrinkToFit="0" readingOrder="0"/>
    </dxf>
    <dxf>
      <font>
        <strike val="0"/>
        <outline val="0"/>
        <shadow val="0"/>
        <u val="none"/>
        <vertAlign val="baseline"/>
        <sz val="11"/>
        <color auto="1"/>
        <name val="Aptos Narrow"/>
        <family val="2"/>
        <scheme val="minor"/>
      </font>
      <alignment horizont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numFmt numFmtId="19" formatCode="d/mm/yyyy"/>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medium">
          <color indexed="64"/>
        </bottom>
      </border>
    </dxf>
    <dxf>
      <numFmt numFmtId="19" formatCode="d/mm/yyyy"/>
      <alignment horizontal="left" vertical="center" textRotation="0" wrapText="0" indent="0" justifyLastLine="0" shrinkToFit="0" readingOrder="0"/>
      <border diagonalUp="0" diagonalDown="0">
        <left/>
        <right/>
        <top/>
        <bottom/>
        <vertical/>
        <horizontal/>
      </border>
    </dxf>
    <dxf>
      <alignment horizontal="center" vertical="center" textRotation="0" wrapText="0" indent="0" justifyLastLine="0" shrinkToFit="0" readingOrder="0"/>
    </dxf>
    <dxf>
      <alignment horizontal="general"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theme="4" tint="0.79998168889431442"/>
        </patternFill>
      </fill>
    </dxf>
    <dxf>
      <alignment horizontal="center" vertical="center" textRotation="0" wrapText="0" indent="0" justifyLastLine="0" shrinkToFit="0" readingOrder="0"/>
      <border diagonalUp="0" diagonalDown="0" outline="0">
        <left/>
        <right style="thin">
          <color indexed="64"/>
        </right>
        <top/>
        <bottom/>
      </border>
    </dxf>
    <dxf>
      <fill>
        <patternFill patternType="none">
          <fgColor indexed="64"/>
          <bgColor auto="1"/>
        </patternFill>
      </fill>
      <alignment horizontal="center" vertical="center" textRotation="0" indent="0" justifyLastLine="0" shrinkToFit="0" readingOrder="0"/>
    </dxf>
    <dxf>
      <numFmt numFmtId="166" formatCode="h:mm\ AM/PM"/>
    </dxf>
    <dxf>
      <alignment horizontal="center" vertical="center" textRotation="0" wrapText="0" indent="0" justifyLastLine="0" shrinkToFit="0" readingOrder="0"/>
    </dxf>
    <dxf>
      <alignment horizontal="left" vertical="center" textRotation="0" wrapText="0" indent="0" justifyLastLine="0" shrinkToFit="0" readingOrder="0"/>
    </dxf>
    <dxf>
      <alignment horizontal="right" vertical="center" textRotation="0" wrapText="0" indent="0" justifyLastLine="0" shrinkToFit="0" readingOrder="0"/>
    </dxf>
    <dxf>
      <alignment horizontal="center" vertical="center" textRotation="0" wrapText="0" indent="0" justifyLastLine="0" shrinkToFit="0" readingOrder="0"/>
    </dxf>
    <dxf>
      <numFmt numFmtId="165" formatCode="[$-F800]dddd\,\ mmmm\ dd\,\ yyyy"/>
      <alignment horizontal="center" vertical="center"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fill>
        <patternFill>
          <bgColor theme="8" tint="0.79998168889431442"/>
        </patternFill>
      </fill>
    </dxf>
  </dxfs>
  <tableStyles count="2" defaultTableStyle="TableStyleMedium2" defaultPivotStyle="PivotStyleLight16">
    <tableStyle name="Estilo de segmentación de datos 1" pivot="0" table="0" count="9" xr9:uid="{D1983FA1-6D29-45DF-B7E8-569F2BCB3781}">
      <tableStyleElement type="headerRow" dxfId="168"/>
    </tableStyle>
    <tableStyle name="PQR-SEGMENTADOR" pivot="0" table="0" count="0" xr9:uid="{EEDDE20A-F329-4C96-BD60-3FEE40AD94E4}"/>
  </tableStyles>
  <colors>
    <mruColors>
      <color rgb="FFFED2F9"/>
      <color rgb="FF175E81"/>
      <color rgb="FFE47B12"/>
      <color rgb="FF1F80B1"/>
      <color rgb="FFFF66FF"/>
      <color rgb="FFFF5050"/>
      <color rgb="FFCC99FF"/>
      <color rgb="FFDA2E9D"/>
      <color rgb="FFFF6699"/>
      <color rgb="FF000099"/>
    </mruColors>
  </colors>
  <extLst>
    <ext xmlns:x14="http://schemas.microsoft.com/office/spreadsheetml/2009/9/main" uri="{46F421CA-312F-682f-3DD2-61675219B42D}">
      <x14:dxfs count="8">
        <dxf>
          <fill>
            <patternFill>
              <bgColor theme="8" tint="0.79998168889431442"/>
            </patternFill>
          </fill>
        </dxf>
        <dxf>
          <fill>
            <patternFill>
              <bgColor theme="8" tint="0.79998168889431442"/>
            </patternFill>
          </fill>
        </dxf>
        <dxf>
          <fill>
            <gradientFill degree="90">
              <stop position="0">
                <color theme="8" tint="0.80001220740379042"/>
              </stop>
              <stop position="1">
                <color theme="8" tint="0.59999389629810485"/>
              </stop>
            </gradientFill>
          </fill>
        </dxf>
        <dxf>
          <fill>
            <gradientFill degree="90">
              <stop position="0">
                <color theme="8" tint="0.80001220740379042"/>
              </stop>
              <stop position="1">
                <color rgb="FFCC99FF"/>
              </stop>
            </gradientFill>
          </fill>
        </dxf>
        <dxf>
          <fill>
            <gradientFill degree="90">
              <stop position="0">
                <color theme="0"/>
              </stop>
              <stop position="1">
                <color theme="8" tint="0.80001220740379042"/>
              </stop>
            </gradientFill>
          </fill>
        </dxf>
        <dxf>
          <fill>
            <gradientFill degree="90">
              <stop position="0">
                <color rgb="FFCC99FF"/>
              </stop>
              <stop position="1">
                <color rgb="FFFF66FF"/>
              </stop>
            </gradientFill>
          </fill>
        </dxf>
        <dxf>
          <fill>
            <gradientFill degree="90">
              <stop position="0">
                <color theme="0"/>
              </stop>
              <stop position="1">
                <color theme="8" tint="0.80001220740379042"/>
              </stop>
            </gradientFill>
          </fill>
        </dxf>
        <dxf>
          <fill>
            <gradientFill degree="90">
              <stop position="0">
                <color theme="0"/>
              </stop>
              <stop position="1">
                <color rgb="FFCC99FF"/>
              </stop>
            </gradientFill>
          </fill>
        </dxf>
      </x14:dxfs>
    </ext>
    <ext xmlns:x14="http://schemas.microsoft.com/office/spreadsheetml/2009/9/main" uri="{EB79DEF2-80B8-43e5-95BD-54CBDDF9020C}">
      <x14:slicerStyles defaultSlicerStyle="Estilo de segmentación de datos 1">
        <x14:slicerStyle name="Estilo de segmentación de datos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PQR-SEGMENTADO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[TH-CONSOLIDADO ISTHO.xlsx]TABLAS!TablaDinámica3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s-CO"/>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hade val="76000"/>
            </a:schemeClr>
          </a:solidFill>
          <a:ln>
            <a:noFill/>
          </a:ln>
          <a:effectLst/>
        </c:spPr>
      </c:pivotFmt>
      <c:pivotFmt>
        <c:idx val="3"/>
        <c:spPr>
          <a:solidFill>
            <a:schemeClr val="accent3">
              <a:tint val="77000"/>
            </a:schemeClr>
          </a:solidFill>
          <a:ln>
            <a:noFill/>
          </a:ln>
          <a:effectLst/>
        </c:spPr>
      </c:pivotFmt>
    </c:pivotFmts>
    <c:plotArea>
      <c:layout/>
      <c:doughnutChart>
        <c:varyColors val="1"/>
        <c:ser>
          <c:idx val="0"/>
          <c:order val="0"/>
          <c:tx>
            <c:strRef>
              <c:f>TABLAS!$K$1</c:f>
              <c:strCache>
                <c:ptCount val="1"/>
                <c:pt idx="0">
                  <c:v>Total</c:v>
                </c:pt>
              </c:strCache>
            </c:strRef>
          </c:tx>
          <c:dPt>
            <c:idx val="0"/>
            <c:bubble3D val="0"/>
            <c:spPr>
              <a:solidFill>
                <a:schemeClr val="accent3">
                  <a:shade val="76000"/>
                </a:schemeClr>
              </a:solidFill>
              <a:ln>
                <a:noFill/>
              </a:ln>
              <a:effectLst/>
            </c:spPr>
            <c:extLst>
              <c:ext xmlns:c16="http://schemas.microsoft.com/office/drawing/2014/chart" uri="{C3380CC4-5D6E-409C-BE32-E72D297353CC}">
                <c16:uniqueId val="{00000001-649A-40DD-96F2-C195320D17BB}"/>
              </c:ext>
            </c:extLst>
          </c:dPt>
          <c:dPt>
            <c:idx val="1"/>
            <c:bubble3D val="0"/>
            <c:spPr>
              <a:solidFill>
                <a:schemeClr val="accent3">
                  <a:tint val="77000"/>
                </a:schemeClr>
              </a:solidFill>
              <a:ln>
                <a:noFill/>
              </a:ln>
              <a:effectLst/>
            </c:spPr>
            <c:extLst>
              <c:ext xmlns:c16="http://schemas.microsoft.com/office/drawing/2014/chart" uri="{C3380CC4-5D6E-409C-BE32-E72D297353CC}">
                <c16:uniqueId val="{00000003-649A-40DD-96F2-C195320D17BB}"/>
              </c:ext>
            </c:extLst>
          </c:dPt>
          <c:cat>
            <c:strRef>
              <c:f>TABLAS!$J$2:$J$4</c:f>
              <c:strCache>
                <c:ptCount val="2"/>
                <c:pt idx="0">
                  <c:v>F</c:v>
                </c:pt>
                <c:pt idx="1">
                  <c:v>M</c:v>
                </c:pt>
              </c:strCache>
            </c:strRef>
          </c:cat>
          <c:val>
            <c:numRef>
              <c:f>TABLAS!$K$2:$K$4</c:f>
              <c:numCache>
                <c:formatCode>General</c:formatCode>
                <c:ptCount val="2"/>
                <c:pt idx="0">
                  <c:v>10</c:v>
                </c:pt>
                <c:pt idx="1">
                  <c:v>67</c:v>
                </c:pt>
              </c:numCache>
            </c:numRef>
          </c:val>
          <c:extLst>
            <c:ext xmlns:c16="http://schemas.microsoft.com/office/drawing/2014/chart" uri="{C3380CC4-5D6E-409C-BE32-E72D297353CC}">
              <c16:uniqueId val="{00000002-D40F-43C6-8B29-04FDD378C9F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noFill/>
          </a:ln>
          <a:solidFill>
            <a:schemeClr val="tx1"/>
          </a:solidFill>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28577</xdr:colOff>
      <xdr:row>4</xdr:row>
      <xdr:rowOff>15875</xdr:rowOff>
    </xdr:from>
    <xdr:to>
      <xdr:col>10</xdr:col>
      <xdr:colOff>685801</xdr:colOff>
      <xdr:row>8</xdr:row>
      <xdr:rowOff>57150</xdr:rowOff>
    </xdr:to>
    <xdr:graphicFrame macro="">
      <xdr:nvGraphicFramePr>
        <xdr:cNvPr id="2" name="GENERO ">
          <a:extLst>
            <a:ext uri="{FF2B5EF4-FFF2-40B4-BE49-F238E27FC236}">
              <a16:creationId xmlns:a16="http://schemas.microsoft.com/office/drawing/2014/main" id="{BD1232CD-D4EA-126E-3B23-147F8F0E7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Ruiz" refreshedDate="45644.728916435182" createdVersion="8" refreshedVersion="8" minRefreshableVersion="3" recordCount="77" xr:uid="{A8D29411-B754-4583-B5BF-386734C9048E}">
  <cacheSource type="worksheet">
    <worksheetSource name="ACTIVOS_ISTHO"/>
  </cacheSource>
  <cacheFields count="16">
    <cacheField name="NOMBRE" numFmtId="0">
      <sharedItems/>
    </cacheField>
    <cacheField name="DOC" numFmtId="0">
      <sharedItems/>
    </cacheField>
    <cacheField name="ID" numFmtId="0">
      <sharedItems containsSemiMixedTypes="0" containsString="0" containsNumber="1" containsInteger="1" minValue="1816408" maxValue="3104925507"/>
    </cacheField>
    <cacheField name="GENERO" numFmtId="0">
      <sharedItems count="2">
        <s v="M"/>
        <s v="F"/>
      </sharedItems>
    </cacheField>
    <cacheField name="CARGO" numFmtId="0">
      <sharedItems/>
    </cacheField>
    <cacheField name="TIPO.CONTRATO " numFmtId="0">
      <sharedItems containsBlank="1"/>
    </cacheField>
    <cacheField name="FECHA.CONTRATO" numFmtId="14">
      <sharedItems containsSemiMixedTypes="0" containsNonDate="0" containsDate="1" containsString="0" minDate="1899-12-30T00:00:00" maxDate="1899-12-31T00:00:00"/>
    </cacheField>
    <cacheField name="CORREO" numFmtId="0">
      <sharedItems containsBlank="1"/>
    </cacheField>
    <cacheField name="TELEFONO" numFmtId="0">
      <sharedItems containsString="0" containsBlank="1" containsNumber="1" containsInteger="1" minValue="3003047014" maxValue="3504092723"/>
    </cacheField>
    <cacheField name="N.ESTUDIOS" numFmtId="0">
      <sharedItems/>
    </cacheField>
    <cacheField name="PROFESION" numFmtId="0">
      <sharedItems/>
    </cacheField>
    <cacheField name="ARCHIVOS" numFmtId="0">
      <sharedItems containsBlank="1"/>
    </cacheField>
    <cacheField name="EXAMENES MEDICOS " numFmtId="0">
      <sharedItems containsDate="1" containsBlank="1" containsMixedTypes="1" minDate="2022-10-03T00:00:00" maxDate="2024-12-06T00:00:00"/>
    </cacheField>
    <cacheField name="NOTA" numFmtId="0">
      <sharedItems/>
    </cacheField>
    <cacheField name="CENTRAL" numFmtId="0">
      <sharedItems containsBlank="1" containsMixedTypes="1" containsNumber="1" containsInteger="1" minValue="2025" maxValue="2025"/>
    </cacheField>
    <cacheField name="AREA" numFmtId="0">
      <sharedItems containsBlank="1" containsMixedTypes="1" containsNumber="1" containsInteger="1" minValue="2025" maxValue="20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ALBEIRO COPERE AGUA LIMPIA "/>
    <s v="CC"/>
    <n v="82362087"/>
    <x v="0"/>
    <s v="OPERARIO DE MONTACARGA"/>
    <s v="CONTR. A TERMINO INDEFINIDO "/>
    <d v="1899-12-30T00:00:00"/>
    <s v="ALBEIROAGUALIMPIA@HOTMAIL.COM"/>
    <n v="3218856534"/>
    <s v="BACHILLER"/>
    <s v="BACHILLER"/>
    <s v="COMPLETOS "/>
    <d v="2024-12-05T00:00:00"/>
    <s v="COMPLETOS "/>
    <s v="GR-130"/>
    <s v="OP"/>
  </r>
  <r>
    <s v="ALEJANDRO PEREZ ARANGO"/>
    <s v="CC"/>
    <n v="1001813448"/>
    <x v="0"/>
    <s v="OPERARIO DE MONTACARGA"/>
    <s v="CONTR. A TERMINO INDEFINIDO "/>
    <d v="1899-12-30T00:00:00"/>
    <s v="alejandroperezarango40@gmail.com"/>
    <n v="3243442662"/>
    <s v="NO REGISTRA "/>
    <s v="NO REGISTRA "/>
    <s v="CERT-MONTACARGA ACTUALIZADO "/>
    <s v="_x0009_2024/10/09"/>
    <s v="CERT.ACT"/>
    <s v="SRO-BTN"/>
    <s v="OP"/>
  </r>
  <r>
    <s v="ANA ISABEL JIMENEZ BEDOYA "/>
    <s v="CC"/>
    <n v="1021804918"/>
    <x v="1"/>
    <s v="FINANCIERA"/>
    <s v="CONTR. A TERMINO INDEFINIDO "/>
    <d v="1899-12-30T00:00:00"/>
    <s v="jimenezana2610@gmail.com"/>
    <n v="3125121807"/>
    <s v="NO REGISTRA "/>
    <s v="NO REGISTRA "/>
    <s v="CERTIFICACION DE ESTUDIOS "/>
    <d v="2024-10-26T00:00:00"/>
    <s v="COMPLETOS "/>
    <s v="GR-130"/>
    <s v="ADM"/>
  </r>
  <r>
    <s v="ANA MARIA BONILLA FORONDA"/>
    <s v="CC"/>
    <n v="3104925507"/>
    <x v="1"/>
    <s v="FINANCIERA"/>
    <s v="CONTR. A TERMINO INDEFINIDO "/>
    <d v="1899-12-30T00:00:00"/>
    <s v="ANAMARIABONILLA82@GMAIL.COM"/>
    <n v="3104925507"/>
    <s v="TECNOLOGO"/>
    <s v="GESTION ADMINISTRATIVA"/>
    <s v="COMPLETOS "/>
    <d v="2022-10-03T00:00:00"/>
    <s v="PROGR.EXAMENES MEDICOS - REINDUCCION"/>
    <s v="GR-130"/>
    <s v="ADM"/>
  </r>
  <r>
    <s v="ANDERSON MANUEL CASTILLO TORRES "/>
    <s v="PPT"/>
    <n v="7186891"/>
    <x v="0"/>
    <s v="OPERARIO DE MONTACARGA"/>
    <s v="CONTR. A TERMINO INDEFINIDO "/>
    <d v="1899-12-30T00:00:00"/>
    <s v="ANDERSONCASTILLO2010@GMAIL.COM"/>
    <n v="3046034182"/>
    <s v="NO PRESENTA"/>
    <s v="NO PRESENTA"/>
    <s v="CERT-MONTACARGA ACTUALIZADO"/>
    <d v="2024-12-02T00:00:00"/>
    <s v="COMPLETOS "/>
    <s v="GR-130"/>
    <s v="OP"/>
  </r>
  <r>
    <s v="ANDERSON MONTESINO CARDONA"/>
    <s v="CC"/>
    <n v="1000886332"/>
    <x v="0"/>
    <s v="AUXILIAR.BODEGA"/>
    <s v="CONTR. A TERMINO INDEFINIDO "/>
    <d v="1899-12-30T00:00:00"/>
    <s v="anderxmontes@gmail.com"/>
    <n v="3003793896"/>
    <s v="NO REGISTRA "/>
    <s v="NO REGISTRA "/>
    <s v="COMPLETOS "/>
    <d v="2024-08-21T00:00:00"/>
    <s v="COMPLETOS "/>
    <s v="GR-130"/>
    <s v="OP"/>
  </r>
  <r>
    <s v="ANDERSON PARRA VASQUEZ"/>
    <s v="CC"/>
    <n v="1044505787"/>
    <x v="0"/>
    <s v="AUXILIAR.BODEGA"/>
    <s v="CONTR. A TERMINO INDEFINIDO "/>
    <d v="1899-12-30T00:00:00"/>
    <s v="anderparra386@gmail.com"/>
    <n v="3193938993"/>
    <s v="NO REGISTRA "/>
    <s v="NO REGISTRA "/>
    <s v="COMPLETOS "/>
    <d v="2024-09-13T00:00:00"/>
    <s v="POR FIRMAR"/>
    <s v="SRO-BTN"/>
    <s v="OP"/>
  </r>
  <r>
    <s v="ANDRES ANIBAL VELEZ"/>
    <s v="CC"/>
    <n v="1037548559"/>
    <x v="0"/>
    <s v="AUXILIAR.BODEGA"/>
    <s v="CONTR. A TERMINO INDEFINIDO "/>
    <d v="1899-12-30T00:00:00"/>
    <m/>
    <m/>
    <s v="NO REGISTRA "/>
    <s v="NO REGISTRA "/>
    <s v="COMPLETOS "/>
    <m/>
    <s v="COMPLETOS "/>
    <s v="SRO-BTN"/>
    <s v="OP"/>
  </r>
  <r>
    <s v="ANDRES FELIPE BOLIVAR GIRALDO "/>
    <s v="CC"/>
    <n v="1037612837"/>
    <x v="0"/>
    <s v="LIDER T.I"/>
    <s v="CONTR. A TERMINO INDEFINIDO "/>
    <d v="1899-12-30T00:00:00"/>
    <s v="ANDREWPHILIP360@GMAIL.COM"/>
    <n v="3136283267"/>
    <s v="TECNICO "/>
    <s v="MANTENIMIENTO DE HARDWARE"/>
    <s v="COMPLETOS "/>
    <d v="2024-03-05T00:00:00"/>
    <s v="COMPLETOS "/>
    <s v="GR-130"/>
    <s v="ADM"/>
  </r>
  <r>
    <s v="ANDRES FELIPE VELEZ TOBON "/>
    <s v="CC"/>
    <n v="1042150722"/>
    <x v="0"/>
    <s v="AUXILIAR.BODEGA"/>
    <s v="CONTR. A TERMINO INDEFINIDO "/>
    <d v="1899-12-30T00:00:00"/>
    <s v="FELIPEVELEZTOBON4540@GMAIL.COM"/>
    <n v="3046005348"/>
    <s v="PRIMARIA"/>
    <s v="PRIMARIA"/>
    <s v="COMPLETOS "/>
    <m/>
    <s v="POR FIRMAR"/>
    <s v="SRO-BTN"/>
    <s v="OP"/>
  </r>
  <r>
    <s v="ANDRES MAURICIO DURANGO MORENO "/>
    <s v="CC"/>
    <n v="1000900983"/>
    <x v="0"/>
    <s v="LIDER LOGISTICO "/>
    <s v="CONTR. A TERMINO INDEFINIDO "/>
    <d v="1899-12-30T00:00:00"/>
    <s v="MAURODURANGON@HOTMAIL.COM"/>
    <n v="3194886863"/>
    <s v="PROFESIONAL"/>
    <s v="ADM.EMPRESAS AGROPECUARIAS "/>
    <s v="COMPLETOS "/>
    <d v="2024-03-27T00:00:00"/>
    <s v="POR FIRMAR"/>
    <s v="SRO-BTN"/>
    <s v="ADM"/>
  </r>
  <r>
    <s v="ANDRES MAURICIO HOYOS VELASQUEZ"/>
    <s v="CC"/>
    <n v="1020396183"/>
    <x v="0"/>
    <s v="CONDUCTOR"/>
    <s v="CONTR. A TERMINO INDEFINIDO "/>
    <d v="1899-12-30T00:00:00"/>
    <s v="POLO110S@HOTMAIL.COM"/>
    <n v="3108296658"/>
    <s v="CONDUCTOR"/>
    <s v="BACHILLER"/>
    <s v="PENSION POR ARL"/>
    <d v="2024-06-11T00:00:00"/>
    <s v="COMPLETOS "/>
    <s v="GR-130"/>
    <s v="OP"/>
  </r>
  <r>
    <s v="ANGIE PAOLA TRUJILLO RAMIREZ"/>
    <s v="CC"/>
    <n v="1000569920"/>
    <x v="1"/>
    <s v="PRACTICANTE2025"/>
    <s v="PRACTICANTE2025"/>
    <d v="1899-12-30T00:00:00"/>
    <s v="ANGIEPAOLA12RAMIREZ@GMAIL.COM"/>
    <n v="3246277646"/>
    <s v="TECNICO "/>
    <s v="RECURSOS HUMANOS"/>
    <s v="PRACTICANTE2025"/>
    <s v="PRACTICANTE2025"/>
    <s v="PRACTICANTE2025"/>
    <n v="2025"/>
    <n v="2025"/>
  </r>
  <r>
    <s v="BIBIANA SARMIENTO AMAYA "/>
    <s v="CC"/>
    <n v="32295383"/>
    <x v="1"/>
    <s v="GERENCIA.FINANCIERA"/>
    <s v="CONTR. A TERMINO INDEFINIDO "/>
    <d v="1899-12-30T00:00:00"/>
    <s v="BIBIANASARMIENTO@ISTHO.COM.CO"/>
    <n v="3043374208"/>
    <s v="PROFESIONAL"/>
    <s v="INGENIERIA ELECTRICISTA"/>
    <s v="COMPLETOS "/>
    <d v="2024-04-06T00:00:00"/>
    <s v="CERT.BANC-DIPLOMA"/>
    <s v="GR-130"/>
    <s v="G.F"/>
  </r>
  <r>
    <s v="CAMILO ANDRES CANO HERNANDEZ"/>
    <s v="CC"/>
    <n v="1035857498"/>
    <x v="0"/>
    <s v="OPERARIO DE MONTACARGAS"/>
    <s v="CONTR. A TERMINO INDEFINIDO "/>
    <d v="1899-12-30T00:00:00"/>
    <s v="kamus071590@gmail.com"/>
    <n v="3107416525"/>
    <s v="NO REGISTRA "/>
    <s v="NO REGISTRA "/>
    <s v="DOCUEMNTOS SGI"/>
    <s v="DOCUEMNTOS SGI"/>
    <s v="DOCUEMNTOS SGI"/>
    <s v="GR-106"/>
    <s v="OP"/>
  </r>
  <r>
    <s v="CARLOS ANDRES RESTREPO BECERRA"/>
    <s v="CC"/>
    <n v="1035971383"/>
    <x v="0"/>
    <s v="CONDUCTOR"/>
    <s v="CONTR. A TERMINO INDEFINIDO "/>
    <d v="1899-12-30T00:00:00"/>
    <s v="Carlos Andres Restrepo Becerra"/>
    <n v="3225932430"/>
    <s v="NO REGISTRA "/>
    <s v="NO REGISTRA "/>
    <s v="DOCUEMNTOS SGI"/>
    <s v="DOCUEMNTOS SGI"/>
    <s v="DOCUEMNTOS SGI"/>
    <s v="GR-130"/>
    <s v="OP"/>
  </r>
  <r>
    <s v="CARLOS DANIEL ESCARAY BLANCO "/>
    <s v="PPT"/>
    <n v="5362520"/>
    <x v="0"/>
    <s v="AUXILIAR.BODEGA"/>
    <s v="CONTR. A TERMINO INDEFINIDO "/>
    <d v="1899-12-30T00:00:00"/>
    <s v="CARLOSDANIELESCARAY@GMAIL.COM"/>
    <n v="3128877693"/>
    <s v="SEXTO.BACHILLERATO "/>
    <s v="SEXTO.BACHILLERATO "/>
    <s v="COMPLETOS "/>
    <s v="_x0009_2024-07-25"/>
    <s v="COMPLETOS "/>
    <s v="GR-130"/>
    <s v="OP"/>
  </r>
  <r>
    <s v="CARLOS LUIS NOGUERA "/>
    <s v="PPT"/>
    <n v="4932458"/>
    <x v="0"/>
    <s v="AUXILIAR.BODEGA"/>
    <s v="RENUNCIA "/>
    <d v="1899-12-30T00:00:00"/>
    <s v="CARLITOSNOGUERA79@GMAIL.COM"/>
    <n v="3218250532"/>
    <s v="NO PRESENTA"/>
    <s v="NO PRESENTA"/>
    <s v="DOCUMENTO PT-CERTIFICADO BANCARIO "/>
    <d v="2024-01-06T00:00:00"/>
    <s v="COMPLETOS "/>
    <s v="GR-130"/>
    <s v="OP"/>
  </r>
  <r>
    <s v="CRISTIAN ESCOBAR OCHOA"/>
    <s v="CC"/>
    <n v="1035855897"/>
    <x v="0"/>
    <s v="OPERARIO DE MONTACARGA"/>
    <s v="CONTR. A TERMINO INDEFINIDO "/>
    <d v="1899-12-30T00:00:00"/>
    <s v="THESALMONDANCE25@GMAIL.COM"/>
    <n v="3203495504"/>
    <s v="BACHILLER"/>
    <s v="BACHILLER"/>
    <s v="PENDIENTE CERTIFICADO MONTACARGA ACTUALIZADO -EPP"/>
    <d v="2024-04-27T00:00:00"/>
    <s v="FIRMA INDUCCION"/>
    <s v="GR-106"/>
    <s v="OP"/>
  </r>
  <r>
    <s v="DEISON ANDRES VELASQUEZ RODRIGUEZ "/>
    <s v="CC"/>
    <n v="1042768462"/>
    <x v="0"/>
    <s v="AUXILIAR.BODEGA"/>
    <s v="CONTR. A TERMINO INDEFINIDO "/>
    <d v="1899-12-30T00:00:00"/>
    <s v="DEISONVELASQUEZ66@GMAIL.COM"/>
    <n v="3016774462"/>
    <s v="BACHILLER"/>
    <s v="BACHILLER"/>
    <s v="COMPLETOS "/>
    <s v="VERIFICAR"/>
    <s v="COMPLETOS "/>
    <s v="SRO-BTN"/>
    <s v="OP"/>
  </r>
  <r>
    <s v="DIEGO ALEJANDRO CORREA SIERRA "/>
    <s v="CC"/>
    <n v="15517118"/>
    <x v="0"/>
    <s v="JEFE DE TRANSPORTE"/>
    <s v="CONTR. A TERMINO INDEFINIDO "/>
    <d v="1899-12-30T00:00:00"/>
    <s v="DIEGOA1683@GMAIL.COM"/>
    <n v="3113664500"/>
    <s v="BACHILLER"/>
    <s v="BACHILLER"/>
    <s v="CERTIFICADO ESTUDIOS"/>
    <d v="2024-07-25T00:00:00"/>
    <s v="FIRMA INDUCCION"/>
    <s v="GR-130"/>
    <s v="ADM"/>
  </r>
  <r>
    <s v="DIEGO ECHEVERRY"/>
    <s v="CC"/>
    <n v="8432901"/>
    <x v="0"/>
    <s v="GERENCIA.GENERAL"/>
    <s v="CONTR. A TERMINO INDEFINIDO "/>
    <d v="1899-12-30T00:00:00"/>
    <s v="DIEGOECHEVERRI@ISTHO.COM.CO"/>
    <n v="3218823762"/>
    <s v="PROFESIONAL "/>
    <s v="ADMINISTRADOR DE EMPRESAS "/>
    <s v="COMPLETOS "/>
    <d v="2024-04-06T00:00:00"/>
    <s v="CERT.BANCARIO-DIPLOMA"/>
    <s v="GR-130"/>
    <s v="GERENCIA"/>
  </r>
  <r>
    <s v="DIEGO LEON CARMONA MOLINA"/>
    <s v="CC"/>
    <n v="1035233921"/>
    <x v="0"/>
    <s v="AUXILIAR.BODEGA"/>
    <s v="CONTR. A TERMINO INDEFINIDO "/>
    <d v="1899-12-30T00:00:00"/>
    <s v="leoncarmonamolina@gmail.com"/>
    <n v="3115033446"/>
    <s v="BACHILLER"/>
    <s v="BACHILLER"/>
    <s v="COMPLETOS "/>
    <d v="2024-09-03T00:00:00"/>
    <s v="COMPLETOS "/>
    <s v="GR-106"/>
    <s v="OP"/>
  </r>
  <r>
    <s v="EIDER ALEXANDER EUSSE OCHOA "/>
    <s v="CC"/>
    <n v="1035874444"/>
    <x v="0"/>
    <s v="LIDER T.H "/>
    <s v="CONTR. A TERMINO INDEFINIDO "/>
    <d v="1899-12-30T00:00:00"/>
    <s v="ALEXANDER.EUSSE@GMAIL.COM"/>
    <n v="3043556239"/>
    <s v="TECNOLOGICO"/>
    <s v="GESTION DE TALENTO HUMANO"/>
    <s v="COMPLETOS "/>
    <d v="2023-06-08T00:00:00"/>
    <s v="COMPLETOS "/>
    <s v="GR-130"/>
    <s v="ADM"/>
  </r>
  <r>
    <s v="ELIANA CORREA SIERRA"/>
    <s v="CC"/>
    <n v="1035853952"/>
    <x v="0"/>
    <s v="LIDER SGI"/>
    <s v="CONTR. A TERMINO INDEFINIDO "/>
    <d v="1899-12-30T00:00:00"/>
    <s v="elianitacs@hotmail.com"/>
    <n v="3225338498"/>
    <s v="BACHILLER"/>
    <s v="BACHILLER"/>
    <m/>
    <m/>
    <s v="PENDIENTE "/>
    <m/>
    <m/>
  </r>
  <r>
    <s v="ERICK ALFREDO GOMEZ CEPEDA "/>
    <s v="PPT"/>
    <n v="5185056"/>
    <x v="0"/>
    <s v="AUXILIAR.BODEGA"/>
    <s v="CONTR. A TERMINO INDEFINIDO "/>
    <d v="1899-12-30T00:00:00"/>
    <s v="ERI1234ALFREDO@GMAIL.COM"/>
    <n v="3003047014"/>
    <s v="BACHILLER "/>
    <s v="BACHILLER "/>
    <s v="DOCUMENTO PT"/>
    <d v="2024-07-27T00:00:00"/>
    <s v="DOCUMENTO PT"/>
    <s v="GR-130"/>
    <s v="OP"/>
  </r>
  <r>
    <s v="ESTELIO ENRIQUE CUENTAS APARICIO "/>
    <s v="CC"/>
    <n v="73574711"/>
    <x v="0"/>
    <s v="AUXILIAR.BODEGA"/>
    <s v="CONTR. A TERMINO INDEFINIDO "/>
    <d v="1899-12-30T00:00:00"/>
    <s v="ENRIQUE.CUENTAS@HOTMAIL.COM"/>
    <n v="3114097273"/>
    <s v="BACHILLER "/>
    <s v="BACHILLER "/>
    <s v="PROCESO ARL "/>
    <d v="2024-01-13T00:00:00"/>
    <s v="PENDIENTE "/>
    <s v="GR-106"/>
    <s v="OP"/>
  </r>
  <r>
    <s v="GISELA MAYERLY SEPULVEDA LEZCANO"/>
    <s v="CC"/>
    <n v="1000771682"/>
    <x v="1"/>
    <s v="CONTRAT APRENDIZAJE "/>
    <s v="CONTRAT APRENDIZAJE "/>
    <d v="1899-12-30T00:00:00"/>
    <s v="giselmayerlys@gmail.com"/>
    <n v="3105448404"/>
    <s v="NO REGISTRA "/>
    <s v="NO REGISTRA "/>
    <s v="CONTRAT APRENDIJAZE "/>
    <d v="2024-10-29T00:00:00"/>
    <s v="CONTRAT APRENDIJAZE "/>
    <s v="GR-130"/>
    <s v="PRACT"/>
  </r>
  <r>
    <s v="HENRY DE JESUS TORO SIERRA"/>
    <s v="CC"/>
    <n v="1035414488"/>
    <x v="0"/>
    <s v="CONDUCTOR"/>
    <s v="CONTR. A TERMINO INDEFINIDO "/>
    <d v="1899-12-30T00:00:00"/>
    <s v="HENRYTOROSIERRA22@GMAIL.COM"/>
    <n v="3205618526"/>
    <s v="NO REGISTRA "/>
    <s v="NO REGISTRA "/>
    <s v="CERTIFICADO BANCARIO-CERTIFICADO MONTACARAGA"/>
    <d v="2024-08-26T00:00:00"/>
    <s v="PENDIENTE "/>
    <s v="GR-130"/>
    <s v="OP"/>
  </r>
  <r>
    <s v="IVAN DARIO MALAGON ORTIZ"/>
    <s v="CC"/>
    <n v="1016038591"/>
    <x v="0"/>
    <s v="LIDER LOGISTICA"/>
    <s v="CONTR. A TERMINO INDEFINIDO "/>
    <d v="1899-12-30T00:00:00"/>
    <s v="ivan911416@gmail.com"/>
    <n v="3219513487"/>
    <s v="NO REGISTRA "/>
    <s v="NO REGISTRA "/>
    <s v="DOCUEMNTOS SGI"/>
    <d v="2024-10-15T00:00:00"/>
    <s v="DOCUEMNTOS SGI"/>
    <s v="BGT-137"/>
    <s v="ADM"/>
  </r>
  <r>
    <s v="JAIR VILLADIEGO ORTEGA "/>
    <s v="CC"/>
    <n v="73165217"/>
    <x v="0"/>
    <s v="MERCADERISTA-BARRANQUILLA"/>
    <s v="CONTR.A TERMINO 6 MESES "/>
    <d v="1899-12-30T00:00:00"/>
    <s v="jv082008@hotmail.com"/>
    <n v="3053176744"/>
    <s v="NO REGISTRA "/>
    <s v="NO REGISTRA "/>
    <s v="CERTIFICADO ESTUDIOS PROFESIONALES"/>
    <d v="2024-02-02T00:00:00"/>
    <s v="PENDIENTE "/>
    <s v="BRR"/>
    <s v="ADM"/>
  </r>
  <r>
    <s v="JEAN FRAN CHAVEZ PUCHE"/>
    <s v="PPT"/>
    <n v="5383970"/>
    <x v="0"/>
    <s v="AUXILIAR.BODEGA"/>
    <s v="CONTR. A TERMINO INDEFINIDO "/>
    <d v="1899-12-30T00:00:00"/>
    <s v="talentohumano@istho.com.co"/>
    <n v="3026090629"/>
    <s v="NO REGISTRA "/>
    <s v="NO REGISTRA "/>
    <s v="VALIDADO "/>
    <m/>
    <s v="VALIDADO "/>
    <s v="GR-130"/>
    <s v="OP"/>
  </r>
  <r>
    <s v="JERLEY MAURICIO ARENAS CHAVERRA"/>
    <s v="CC"/>
    <n v="98707551"/>
    <x v="0"/>
    <s v="OPERARIO DE MONTACARGA"/>
    <s v="CONTR. A TERMINO INDEFINIDO "/>
    <d v="1899-12-30T00:00:00"/>
    <s v="jerleysuperahorro@gmail.com"/>
    <n v="3045446139"/>
    <s v="NO REGISTRA "/>
    <s v="NO REGISTRA "/>
    <s v="FIRMAS "/>
    <m/>
    <s v="FIRMAS "/>
    <s v="GR-130"/>
    <s v="OP"/>
  </r>
  <r>
    <s v="JESUS ESTEBAN GOMEZ QUIÑONEZ "/>
    <s v="CC"/>
    <n v="1035431374"/>
    <x v="0"/>
    <s v="LIDER LOGISTICO "/>
    <s v="CONTR. A TERMINO INDEFINIDO "/>
    <d v="1899-12-30T00:00:00"/>
    <s v="chucho.v4@hotmail.com"/>
    <n v="3226139960"/>
    <s v="NO REGISTRA "/>
    <s v="NO REGISTRA "/>
    <s v="CERT-BANCARIO"/>
    <d v="2024-07-31T00:00:00"/>
    <s v="CERT-BANCARIO"/>
    <s v="GR-130"/>
    <s v="ADM"/>
  </r>
  <r>
    <s v="JHON ANDRES JIMENEZ CATAÑO "/>
    <s v="CC"/>
    <n v="1035876713"/>
    <x v="0"/>
    <s v="AUXILIAR.BODEGA"/>
    <s v="CONTR. A TERMINO INDEFINIDO "/>
    <d v="1899-12-30T00:00:00"/>
    <s v="andresjimenezandres.97@gmail.com"/>
    <n v="3147366221"/>
    <s v="NO REGISTRA "/>
    <s v="NO REGISTRA "/>
    <s v="VALIDADO "/>
    <d v="2024-09-24T00:00:00"/>
    <s v="VALIDADO "/>
    <s v="GR-106"/>
    <s v="OP"/>
  </r>
  <r>
    <s v="JHON FREDY CORDOBA CUESTA "/>
    <s v="CC"/>
    <n v="8101312"/>
    <x v="0"/>
    <s v="LIDER LOGISTICO "/>
    <m/>
    <d v="1899-12-30T00:00:00"/>
    <s v="jfrechar115@yahoo.es"/>
    <n v="3046127108"/>
    <s v="NO REGISTRA "/>
    <s v="NO REGISTRA "/>
    <s v="PENDIENTE CERTIFICADO MONTACARGA ACTUALIZADO "/>
    <d v="2024-07-27T00:00:00"/>
    <s v="ACTUALIZAR"/>
    <s v="SRO-BTN"/>
    <s v="ADM"/>
  </r>
  <r>
    <s v="JHONNY QUINTERO PEREZ"/>
    <s v="CC"/>
    <n v="1090397486"/>
    <x v="0"/>
    <s v="AUXILIAR.BODEGA"/>
    <s v="CONTR. A TERMINO INDEFINIDO "/>
    <d v="1899-12-30T00:00:00"/>
    <s v="jobyquinteroperez@gmail.com"/>
    <n v="3142336116"/>
    <s v="NO REGISTRA "/>
    <s v="NO REGISTRA "/>
    <s v="NO REGISTRA CESANTIAS "/>
    <d v="2024-08-24T00:00:00"/>
    <s v="PENDIENTE "/>
    <s v="GR-130"/>
    <s v="OP"/>
  </r>
  <r>
    <s v="JOAQUIN EMILIO  BARRIENTOS LOPERA "/>
    <s v="CC"/>
    <n v="70979196"/>
    <x v="0"/>
    <s v="AUXILIAR.BODEGA"/>
    <s v="CONTR. A TERMINO INDEFINIDO "/>
    <d v="1899-12-30T00:00:00"/>
    <s v="joaquinbarrie123@gmail.com"/>
    <n v="3193796649"/>
    <s v="NO REGISTRA "/>
    <s v="NO REGISTRA "/>
    <s v="VALIDADO "/>
    <m/>
    <s v="VALIDADO "/>
    <s v="SRO-BTN"/>
    <s v="OP"/>
  </r>
  <r>
    <s v="JOHAN SEBASTIAN CAÑAS MENESES"/>
    <s v="CC"/>
    <n v="1035859311"/>
    <x v="0"/>
    <s v="OPERARIO DE MONTACARGA"/>
    <s v="CONTR. A TERMINO INDEFINIDO "/>
    <d v="1899-12-30T00:00:00"/>
    <s v="johanrojodim25@gmail.com"/>
    <n v="3142779844"/>
    <s v="NO REGISTRA "/>
    <s v="NO REGISTRA "/>
    <s v="CERTIFICADO CESANTIAS "/>
    <d v="2024-06-26T00:00:00"/>
    <s v="PENDIENTE "/>
    <s v="GR-130"/>
    <s v="OP"/>
  </r>
  <r>
    <s v="JOHAN STIVEN RESTREPO TABAREZ "/>
    <s v="CC"/>
    <n v="1044501984"/>
    <x v="0"/>
    <s v="AUXILIAR.BODEGA"/>
    <s v="CONTR. A TERMINO INDEFINIDO "/>
    <d v="1899-12-30T00:00:00"/>
    <s v="jrestrepotabarez@gmail.com"/>
    <n v="3006749536"/>
    <s v="NO REGISTRA "/>
    <s v="NO REGISTRA "/>
    <s v="CERTIFICADO ESTUDIOS"/>
    <s v="2024-05-02 "/>
    <s v="PENDIENTE "/>
    <s v="SRO-BTN"/>
    <s v="OP"/>
  </r>
  <r>
    <s v="JOHAN TIBERIO GRAJALES ECHEVERRY"/>
    <s v="CC"/>
    <n v="1042062872"/>
    <x v="0"/>
    <s v="LIDER LOGISTICO "/>
    <s v="CONTR. A TERMINO INDEFINIDO "/>
    <d v="1899-12-30T00:00:00"/>
    <s v="jhoan.-.08@hotmail.com"/>
    <n v="3145900531"/>
    <s v="NO REGISTRA "/>
    <s v="NO REGISTRA "/>
    <s v="COMPLETOS "/>
    <d v="2024-09-13T00:00:00"/>
    <s v="COMPLETOS "/>
    <s v="GR-130"/>
    <s v="ADM"/>
  </r>
  <r>
    <s v="JONATAN DAVID MADRIGAL FRANCO "/>
    <s v="CC"/>
    <n v="1000660391"/>
    <x v="0"/>
    <s v="LIDER LOGISTICO "/>
    <s v="CONTR. A TERMINO INDEFINIDO "/>
    <d v="1899-12-30T00:00:00"/>
    <s v="jhonatanmadrigal52@gmail.com"/>
    <n v="3011962659"/>
    <s v="NO REGISTRA "/>
    <s v="NO REGISTRA "/>
    <s v="VALIDADO "/>
    <d v="2024-08-03T00:00:00"/>
    <s v="VALIDADO "/>
    <s v="GR-106"/>
    <s v="ADM"/>
  </r>
  <r>
    <s v="JONATHA MESA MEJIA "/>
    <s v="CC"/>
    <n v="1026161271"/>
    <x v="0"/>
    <s v="AUXILIAR.BODEGA"/>
    <s v="RENUNCIA "/>
    <d v="1899-12-30T00:00:00"/>
    <s v="mesamejia20@gmail.com"/>
    <n v="3007226170"/>
    <s v="NO REGISTRA "/>
    <s v="NO REGISTRA "/>
    <s v="CERTIFICADO BANCARIO-ESTUDIOS"/>
    <d v="2024-07-03T00:00:00"/>
    <s v="PENDIENTE "/>
    <s v="GR-130"/>
    <s v="OP"/>
  </r>
  <r>
    <s v="JORGE ANIBAL CARDENAS CASTILLO"/>
    <s v="CC"/>
    <n v="1214727932"/>
    <x v="0"/>
    <s v="COORDINADOR OPERACIONES "/>
    <s v="CONTR. A TERMINO INDEFINIDO "/>
    <d v="1899-12-30T00:00:00"/>
    <s v="jacc_15_02@hotmail.com"/>
    <n v="3017386128"/>
    <s v="NO REGISTRA "/>
    <s v="NO REGISTRA "/>
    <s v="VALIDADO "/>
    <d v="2024-07-24T00:00:00"/>
    <s v="VALIDADO "/>
    <s v="GR-106"/>
    <s v="ADM"/>
  </r>
  <r>
    <s v="JORGE ENRIQUE MAYA SAAVEDRA "/>
    <s v="CC"/>
    <n v="71732024"/>
    <x v="0"/>
    <s v="SUPERVISOR DE INVENTARIOS "/>
    <s v="CONTR. A TERMINO INDEFINIDO "/>
    <d v="1899-12-30T00:00:00"/>
    <s v="jorgemaya.s@live.com"/>
    <n v="3046404919"/>
    <s v="NO REGISTRA "/>
    <s v="NO REGISTRA "/>
    <s v="CERTIFICADO BANCARIO"/>
    <d v="2023-08-12T00:00:00"/>
    <s v="PENDIENTE "/>
    <s v="GR-130"/>
    <s v="ADM"/>
  </r>
  <r>
    <s v="JOSE MANUEL  GONZALES CORREA"/>
    <s v="CC"/>
    <n v="1007446877"/>
    <x v="0"/>
    <s v="AUXILIAR.BODEGA"/>
    <s v="RENUNCIA "/>
    <d v="1899-12-30T00:00:00"/>
    <s v="josemanuelgonzalezcorrea@gmail.com"/>
    <m/>
    <s v="NO REGISTRA "/>
    <s v="NO REGISTRA "/>
    <s v="CERTIFICADO ESTUDIOS"/>
    <m/>
    <s v="PENDIENTE "/>
    <s v="SRO-BTN"/>
    <s v="OP"/>
  </r>
  <r>
    <s v="JUAN ALBERTO MURILLO CUARTAS "/>
    <s v="CC"/>
    <n v="1001244690"/>
    <x v="0"/>
    <s v="CONDUCTOR"/>
    <s v="CONTR. A TERMINO INDEFINIDO "/>
    <d v="1899-12-30T00:00:00"/>
    <s v="jmurillocuartas@gmail.com"/>
    <n v="3504092723"/>
    <s v="NO REGISTRA "/>
    <s v="NO REGISTRA "/>
    <s v="VALIDADO "/>
    <d v="2024-08-01T00:00:00"/>
    <s v="VALIDADO "/>
    <s v="GR-130"/>
    <s v="OP"/>
  </r>
  <r>
    <s v="JUAN CARLOS BASTIDAS RAMIREZ "/>
    <s v="CC"/>
    <n v="1090440254"/>
    <x v="0"/>
    <s v="AUXILIAR.BODEGA"/>
    <s v="CONTR. A TERMINO INDEFINIDO "/>
    <d v="1899-12-30T00:00:00"/>
    <s v="bastidasramires520@gmail.com"/>
    <n v="3043500751"/>
    <s v="NO REGISTRA "/>
    <s v="NO REGISTRA "/>
    <s v="ENTREVISTA"/>
    <d v="2024-08-21T00:00:00"/>
    <s v="PENDIENTE "/>
    <s v="GR-106"/>
    <s v="OP"/>
  </r>
  <r>
    <s v="JUAN CARLOS RODAS "/>
    <s v="CC"/>
    <n v="1046668857"/>
    <x v="0"/>
    <s v="CONDUCTOR"/>
    <s v="CONTR. A TERMINO INDEFINIDO "/>
    <d v="1899-12-30T00:00:00"/>
    <s v="juanka1553@gmail.com"/>
    <n v="3008589412"/>
    <s v="NO REGISTRA "/>
    <s v="NO REGISTRA "/>
    <s v="CERTIFICADO BANCARIO"/>
    <d v="2024-08-01T00:00:00"/>
    <s v="PENDIENTE "/>
    <s v="GR-130"/>
    <s v="OP"/>
  </r>
  <r>
    <s v="JUAN FELIPE JIMENEZ CASTRILLON"/>
    <s v="CC"/>
    <n v="70328070"/>
    <x v="0"/>
    <s v="CONDUCTOR "/>
    <s v="CONTR. A TERMINO INDEFINIDO "/>
    <d v="1899-12-30T00:00:00"/>
    <s v="juanfejimenez06@gmail.com"/>
    <n v="3202786611"/>
    <s v="NO REGISTRA "/>
    <s v="NO REGISTRA "/>
    <s v="CERTIFICADO BANCARIO"/>
    <d v="2024-08-01T00:00:00"/>
    <s v="PENDIENTE "/>
    <s v="GR-130"/>
    <s v="OP"/>
  </r>
  <r>
    <s v="JUAN MANUEL MORA ROLDAN "/>
    <s v="CC"/>
    <n v="1044986021"/>
    <x v="0"/>
    <s v="AUXILIAR.BODEGA"/>
    <s v="RENUNCIA "/>
    <d v="1899-12-30T00:00:00"/>
    <s v="juanmanuelmora58@gmail.com"/>
    <n v="3243167380"/>
    <s v="NO REGISTRA "/>
    <s v="NO REGISTRA "/>
    <s v="CERTIFICADO DE ESTUDIOS"/>
    <m/>
    <s v="PENDIENTE "/>
    <s v="SRO-BTN"/>
    <s v="OP"/>
  </r>
  <r>
    <s v="JULIAN LOPERA PATIÑO"/>
    <s v="CC"/>
    <n v="1025881772"/>
    <x v="0"/>
    <s v="AUXILIAR.BODEGA"/>
    <s v="RENUNCIA "/>
    <d v="1899-12-30T00:00:00"/>
    <s v="julianlpofficial@gmail.com"/>
    <n v="3232953695"/>
    <s v="NO REGISTRA "/>
    <s v="NO REGISTRA "/>
    <s v="VALIDADO "/>
    <s v="2024-08"/>
    <s v="VALIDADO "/>
    <s v="SRO-BTN"/>
    <s v="OP"/>
  </r>
  <r>
    <s v="KENER OROZCO MARTINEZ"/>
    <s v="CC"/>
    <n v="1005746027"/>
    <x v="0"/>
    <s v="AUXILIAR.BODEGA"/>
    <s v="CONTR. A TERMINO INDEFINIDO "/>
    <d v="1899-12-30T00:00:00"/>
    <s v="kenerorozcomartinez@gmail.com"/>
    <n v="3115084767"/>
    <s v="NO REGISTRA "/>
    <s v="NO REGISTRA "/>
    <s v="ENTREVISTA"/>
    <d v="2024-08-21T00:00:00"/>
    <s v="PENDIENTE "/>
    <s v="GR-130"/>
    <s v="OP"/>
  </r>
  <r>
    <s v="KEVIN ANDRES RODRIGUEZ LOPEZ "/>
    <s v="CC"/>
    <n v="1041630200"/>
    <x v="0"/>
    <s v="AUXILIAR.BODEGA"/>
    <s v="CONTR. A TERMINO INDEFINIDO "/>
    <d v="1899-12-30T00:00:00"/>
    <s v="lopezkevin364rodriguez@gmail.com"/>
    <n v="3128118225"/>
    <s v="NO REGISTRA "/>
    <s v="NO REGISTRA "/>
    <s v="CERTIFICADO ESTUDIOS "/>
    <m/>
    <s v="PENDIENTE "/>
    <s v="SRO-BTN"/>
    <s v="OP"/>
  </r>
  <r>
    <s v="LILIAN SEPULVEDA LEZCANO "/>
    <s v="CC"/>
    <n v="1000770870"/>
    <x v="1"/>
    <s v="FACTURACION TRANSPORTES "/>
    <s v="CONTR. A TERMINO INDEFINIDO "/>
    <d v="1899-12-30T00:00:00"/>
    <s v="sepulvedalilian872@gmail.com"/>
    <n v="3217827388"/>
    <s v="NO REGISTRA "/>
    <s v="NO REGISTRA "/>
    <s v="CERTIFICADO BANCARIO"/>
    <d v="2024-10-29T00:00:00"/>
    <s v="PENDIENTE "/>
    <s v="GR-130"/>
    <s v="ADM"/>
  </r>
  <r>
    <s v="LINA MARIA LOPERA JARAMILLO"/>
    <s v="CC"/>
    <n v="44008176"/>
    <x v="1"/>
    <s v="Coordinadora Financiera"/>
    <s v="CONTR. A TERMINO INDEFINIDO "/>
    <d v="1899-12-30T00:00:00"/>
    <s v="linitaloja@gmail.com"/>
    <n v="3148557881"/>
    <s v="NO REGISTRA "/>
    <s v="NO REGISTRA "/>
    <s v="DOCUEMNTOS SGI"/>
    <s v="DOCUEMNTOS SGI"/>
    <s v="DOCUEMNTOS SGI"/>
    <s v="GR-130"/>
    <s v="ADM"/>
  </r>
  <r>
    <s v="LUIS MARIO DUQUE MUÑOZ "/>
    <s v="CC"/>
    <n v="1037044047"/>
    <x v="0"/>
    <s v="AUXILIAR.BODEGA"/>
    <s v="CONTR. A TERMINO INDEFINIDO "/>
    <d v="1899-12-30T00:00:00"/>
    <s v="marioduquemunoz@gmail.com"/>
    <n v="3123941953"/>
    <s v="NO REGISTRA "/>
    <s v="NO REGISTRA "/>
    <s v="EXPERIENCIA LABORAL "/>
    <d v="2024-07-26T00:00:00"/>
    <s v="PENDIENTE "/>
    <s v="SRO-BTN"/>
    <s v="OP"/>
  </r>
  <r>
    <s v="LUISA FERNANDA JARAMILLO ALZATE "/>
    <s v="CC"/>
    <n v="1035854637"/>
    <x v="1"/>
    <s v="FINANCIERA"/>
    <s v="CONTR. A TERMINO INDEFINIDO "/>
    <d v="1899-12-30T00:00:00"/>
    <s v="ljaramilloalzate@gmail.com"/>
    <n v="3045908583"/>
    <s v="NO REGISTRA "/>
    <s v="NO REGISTRA "/>
    <s v="ANTECEDENTES"/>
    <d v="2024-09-04T00:00:00"/>
    <s v="ANTECEDENTES"/>
    <s v="GR-130"/>
    <s v="ADM"/>
  </r>
  <r>
    <s v="MANUEL FERNANDO HINCAPIE GALEANO "/>
    <s v="CC"/>
    <n v="1035415330"/>
    <x v="0"/>
    <s v="CONDUCTOR"/>
    <s v="CONTR. A TERMINO INDEFINIDO "/>
    <d v="1899-12-30T00:00:00"/>
    <s v="manuelfernandohincapie56@gmail.com"/>
    <n v="3218759605"/>
    <s v="NO REGISTRA "/>
    <s v="NO REGISTRA "/>
    <s v="CESANTIAS"/>
    <m/>
    <s v="PENDIENTE "/>
    <s v="GR-130"/>
    <s v="OP"/>
  </r>
  <r>
    <s v="MARIA FERNANDA LOPEZ GOMEZ "/>
    <s v="CC"/>
    <n v="1000661224"/>
    <x v="0"/>
    <s v="AUX.FACTURACION "/>
    <s v="CONTR. A TERMINO INDEFINIDO "/>
    <d v="1899-12-30T00:00:00"/>
    <s v="mariafernandalopezgomez00@gmail.com"/>
    <n v="3113719568"/>
    <s v="NO REGISTRA "/>
    <s v="NO REGISTRA "/>
    <s v="VALIDADO "/>
    <m/>
    <s v="VALIDADO "/>
    <s v="GR-130"/>
    <s v="ADM"/>
  </r>
  <r>
    <s v="MARLO DAVID SIERRA CANO "/>
    <s v="CC"/>
    <n v="1003288700"/>
    <x v="0"/>
    <s v="LIDER LOGISTICO "/>
    <s v="CONTR. A TERMINO INDEFINIDO "/>
    <d v="1899-12-30T00:00:00"/>
    <s v="marlonsierracano@gmail.com"/>
    <n v="3045619138"/>
    <s v="NO REGISTRA "/>
    <s v="NO REGISTRA "/>
    <s v="CERTIFICADO ESTUDIOS"/>
    <m/>
    <s v="PENDIENTE "/>
    <s v="GR-130"/>
    <s v="ADM"/>
  </r>
  <r>
    <s v="MILTON ANDRES RODRIGUEZ JULIO "/>
    <s v="CC"/>
    <n v="1094351125"/>
    <x v="0"/>
    <s v="CONDUCTOR"/>
    <s v="CONTR. A TERMINO INDEFINIDO "/>
    <d v="1899-12-30T00:00:00"/>
    <s v="andresro0913@gmail.com"/>
    <n v="3118248406"/>
    <s v="NO REGISTRA "/>
    <s v="NO REGISTRA "/>
    <s v="PENSIO Y CESANTIAS "/>
    <m/>
    <s v="PENDIENTE "/>
    <s v="GR-130"/>
    <s v="OP"/>
  </r>
  <r>
    <s v="NATALIO ANTONIO PAEZ MARTINEZ"/>
    <s v="CC"/>
    <n v="1070819271"/>
    <x v="0"/>
    <s v="AUXILIAR.BODEGA"/>
    <s v="CONTR. A TERMINO INDEFINIDO "/>
    <d v="1899-12-30T00:00:00"/>
    <s v="napama2010@hotmail.com"/>
    <n v="3217069483"/>
    <s v="NO REGISTRA "/>
    <s v="NO REGISTRA "/>
    <s v="CERTIFICADO BANCARIO-EPS-PENSION-CESANTIAS"/>
    <m/>
    <s v="PENDIENTE "/>
    <s v="GR-130"/>
    <s v="OP"/>
  </r>
  <r>
    <s v="ORLANDO JOSE GAZCON SUAREZ"/>
    <s v="PPT"/>
    <n v="1816408"/>
    <x v="0"/>
    <s v="AUXILIAR.BODEGA"/>
    <s v="CONTR. A TERMINO INDEFINIDO "/>
    <d v="1899-12-30T00:00:00"/>
    <s v="orlandogazcon01@gmail.com"/>
    <n v="3118902456"/>
    <s v="NO REGISTRA "/>
    <s v="NO REGISTRA "/>
    <s v="VALIDADO "/>
    <m/>
    <s v="VALIDADO "/>
    <s v="GR-106"/>
    <s v="OP"/>
  </r>
  <r>
    <s v="OSWALDO MIGUEL ZUÑIGA MERCADO "/>
    <s v="CC"/>
    <n v="1002500449"/>
    <x v="0"/>
    <s v="AUXILIAR.BODEGA"/>
    <s v="CONTR. A TERMINO INDEFINIDO "/>
    <d v="1899-12-30T00:00:00"/>
    <s v="ozunamercadonicolalexandra@gmail.com"/>
    <n v="3008888110"/>
    <s v="NO REGISTRA "/>
    <s v="NO REGISTRA "/>
    <s v="ESTUDIOS-PENSION-CESANTIAS"/>
    <m/>
    <s v="CEDULA EN TRAMITE "/>
    <s v="GR-130"/>
    <s v="OP"/>
  </r>
  <r>
    <s v="PABLO RUIZ ECHEVERRY "/>
    <s v="CC"/>
    <n v="1152218818"/>
    <x v="0"/>
    <s v="AUX.ADM "/>
    <s v="CONTR. A TERMINO INDEFINIDO "/>
    <d v="1899-12-30T00:00:00"/>
    <s v="ice.ech0097@gmail.com"/>
    <n v="3044229410"/>
    <s v="NO REGISTRA "/>
    <s v="NO REGISTRA "/>
    <s v="CERTIFICADO PENSION"/>
    <m/>
    <s v="PENDIENTE "/>
    <s v="GR-130"/>
    <s v="ADM"/>
  </r>
  <r>
    <s v="PATRICIO RENTERIA RENTERIA "/>
    <s v="CC"/>
    <n v="1078920729"/>
    <x v="0"/>
    <s v="AUXILIAR.BODEGA"/>
    <s v="RENUNCIA "/>
    <d v="1899-12-30T00:00:00"/>
    <m/>
    <m/>
    <s v="NO REGISTRA "/>
    <s v="NO REGISTRA "/>
    <s v="VALIDADO "/>
    <m/>
    <s v="VALIDADO "/>
    <s v="GR-106"/>
    <s v="OP"/>
  </r>
  <r>
    <s v="RAFAEL EMIRO TIRADO MARTINEZ"/>
    <s v="CC"/>
    <n v="1068582558"/>
    <x v="0"/>
    <s v="OPERARIO DE MONTACARGA"/>
    <s v="CONTR. A TERMINO INDEFINIDO "/>
    <d v="1899-12-30T00:00:00"/>
    <s v="tiradomarrinezrafaelemiro@gmail.com"/>
    <n v="3107155411"/>
    <s v="NO REGISTRA "/>
    <s v="NO REGISTRA "/>
    <s v="CEDULA-CERTIFICADO PENSION Y CESANTIAS"/>
    <m/>
    <s v="PENDIENTE "/>
    <s v="SRO-BTN"/>
    <s v="OP"/>
  </r>
  <r>
    <s v="RONNY GABRIEL FONSECA CONTRERAS "/>
    <s v="PPT"/>
    <n v="4873131"/>
    <x v="0"/>
    <s v="AUXILIAR.BODEGA"/>
    <s v="CONTR. A TERMINO INDEFINIDO "/>
    <d v="1899-12-30T00:00:00"/>
    <s v="ronny_101@outlook.es"/>
    <n v="3147286836"/>
    <s v="NO REGISTRA "/>
    <s v="NO REGISTRA "/>
    <s v="CERTIFICADO CESANTIAS"/>
    <m/>
    <s v="PENDIENTE "/>
    <s v="GR-106"/>
    <s v="OP"/>
  </r>
  <r>
    <s v="SANTIAGO GARCIA GRANADOS "/>
    <s v="CC"/>
    <n v="1214745859"/>
    <x v="0"/>
    <s v="LIDER LOGISTICO "/>
    <s v="CONTR. A TERMINO INDEFINIDO "/>
    <d v="1899-12-30T00:00:00"/>
    <s v="santii1345g@gmail.com"/>
    <n v="3128406437"/>
    <s v="NO REGISTRA "/>
    <s v="NO REGISTRA "/>
    <s v="PENDIENTE CERTIFICADO MONTACARGA ACTUALIZADO "/>
    <m/>
    <s v="ACTUALIZAR"/>
    <s v="GR-106"/>
    <s v="ADM"/>
  </r>
  <r>
    <s v="SANTIAGO GOMEZ OSPINA "/>
    <s v="CC"/>
    <n v="1020493876"/>
    <x v="0"/>
    <s v="LIDER LOGISTICO "/>
    <s v="CONTR. A TERMINO INDEFINIDO "/>
    <d v="1899-12-30T00:00:00"/>
    <s v="gomezsanti441@gmail.com"/>
    <n v="3215661877"/>
    <s v="NO REGISTRA "/>
    <s v="NO REGISTRA "/>
    <s v="CESANTIAS"/>
    <m/>
    <s v="PENDIENTE "/>
    <s v="GR-106"/>
    <s v="ADM"/>
  </r>
  <r>
    <s v="SANTIAGO MARIN PALACIO "/>
    <s v="CC"/>
    <n v="1214744112"/>
    <x v="0"/>
    <s v="LIDER LOGISTICO "/>
    <s v="CONTR. A TERMINO INDEFINIDO "/>
    <d v="1899-12-30T00:00:00"/>
    <s v="smarinpalacio@gmail.com"/>
    <n v="3128495478"/>
    <s v="NO REGISTRA "/>
    <s v="NO REGISTRA "/>
    <s v="VALIDADO "/>
    <m/>
    <s v="VALIDADO "/>
    <s v="SRO-BTN"/>
    <s v="ADM"/>
  </r>
  <r>
    <s v="VICTOR HUGO LOPEZ GOMEZ "/>
    <s v="CC"/>
    <n v="15515255"/>
    <x v="0"/>
    <s v="LIDER LOGISTICO "/>
    <s v="CONTR. A TERMINO INDEFINIDO "/>
    <d v="1899-12-30T00:00:00"/>
    <s v="victorlg1980@gmail.com"/>
    <n v="3178860007"/>
    <s v="NO REGISTRA "/>
    <s v="NO REGISTRA "/>
    <s v="VALIDADO "/>
    <m/>
    <s v="VALIDADO "/>
    <s v="GR-130"/>
    <s v="ADM"/>
  </r>
  <r>
    <s v="YESSICA PAOLA FORTICH PINEDA "/>
    <s v="CC"/>
    <n v="1063290750"/>
    <x v="1"/>
    <s v="LIDER SGI"/>
    <s v="CONTR. A TERMINO INDEFINIDO "/>
    <d v="1899-12-30T00:00:00"/>
    <s v="yessyca.fortich@uniminuto.edu.co"/>
    <n v="3043290557"/>
    <s v="NO REGISTRA "/>
    <s v="NO REGISTRA "/>
    <s v="CERTIFICADO BANCARIO "/>
    <m/>
    <s v="PENDIENTE "/>
    <s v="GR-130"/>
    <s v="ADM"/>
  </r>
  <r>
    <s v="YIMMY ALEJANDRO BETANCUR CORTES "/>
    <s v="CC"/>
    <n v="1128446297"/>
    <x v="0"/>
    <s v="AUXILIAR.BODEGA"/>
    <s v="CONTR. A TERMINO INDEFINIDO "/>
    <d v="1899-12-30T00:00:00"/>
    <s v="olgac9143051@gmail.com"/>
    <n v="3104322747"/>
    <s v="NO REGISTRA "/>
    <s v="NO REGISTRA "/>
    <s v="VALIDADO "/>
    <m/>
    <s v="VALIDADO "/>
    <s v="GR-106"/>
    <s v="OP"/>
  </r>
  <r>
    <s v="YISELA PATRICIA ZAPATA VARGAS "/>
    <s v="CC"/>
    <n v="1001503289"/>
    <x v="1"/>
    <s v="AUX.ADM "/>
    <s v="CONTR. A TERMINO INDEFINIDO "/>
    <d v="1899-12-30T00:00:00"/>
    <s v="yiselazapata.04712@gmail.com"/>
    <n v="3006905790"/>
    <s v="NO REGISTRA "/>
    <s v="NO REGISTRA "/>
    <s v="CERTIFICACION "/>
    <m/>
    <s v="PENDIENTE "/>
    <s v="GR-106"/>
    <s v="ADM"/>
  </r>
  <r>
    <s v="YOVANNY ALBEIRO VASQUEZ BEDOYA "/>
    <s v="CC"/>
    <n v="70140657"/>
    <x v="0"/>
    <s v="AUXILIAR.BODEGA"/>
    <s v="CONTR. A TERMINO INDEFINIDO "/>
    <d v="1899-12-30T00:00:00"/>
    <s v="yovanyalbeirovasquezbedoya@gmail.com"/>
    <n v="3126282385"/>
    <s v="NO REGISTRA "/>
    <s v="NO REGISTRA "/>
    <s v="CERTIFICADO BANCARIO-ESTUDIOS"/>
    <m/>
    <s v="PENDIENTE "/>
    <s v="GR-106"/>
    <s v="O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B9B9D6-E9D5-4133-A005-C8B0E3A7A8C9}"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1">
  <location ref="J1:K4" firstHeaderRow="1" firstDataRow="1" firstDataCol="1"/>
  <pivotFields count="16">
    <pivotField showAll="0"/>
    <pivotField showAll="0"/>
    <pivotField showAll="0"/>
    <pivotField axis="axisRow" dataField="1" showAll="0">
      <items count="3">
        <item x="1"/>
        <item x="0"/>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uenta de GENERO" fld="3" subtotal="count" baseField="0" baseItem="0"/>
  </dataFields>
  <chartFormats count="6">
    <chartFormat chart="0"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3" count="1" selected="0">
            <x v="0"/>
          </reference>
        </references>
      </pivotArea>
    </chartFormat>
    <chartFormat chart="14" format="7">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0FF30C-E327-45C0-B67E-F542FE79BFB8}" name="Tabla5" displayName="Tabla5" ref="A1:I10" totalsRowShown="0" headerRowDxfId="167" dataDxfId="166">
  <autoFilter ref="A1:I10" xr:uid="{6F0FF30C-E327-45C0-B67E-F542FE79BFB8}"/>
  <tableColumns count="9">
    <tableColumn id="1" xr3:uid="{EC9E1770-DC20-44AB-BFD3-67891173BDF8}" name="FECHA" dataDxfId="165"/>
    <tableColumn id="2" xr3:uid="{754A8135-8CC3-43C0-9395-CD4A58AAE944}" name="Nombre "/>
    <tableColumn id="3" xr3:uid="{13A52843-F949-4992-AD1B-7A521CF38DDC}" name="Documento" dataDxfId="164"/>
    <tableColumn id="4" xr3:uid="{13A19332-6B9C-4C10-B3ED-E744CB127E41}" name="#DOC" dataDxfId="163"/>
    <tableColumn id="5" xr3:uid="{4499B597-C2B7-4464-A41D-CBE9E0BB57E8}" name="Programa de Formacion " dataDxfId="162"/>
    <tableColumn id="6" xr3:uid="{9202B0FF-4C2B-45DC-A8C4-E0A0D0CA0E3A}" name="Contacto" dataDxfId="161"/>
    <tableColumn id="7" xr3:uid="{004E34F2-7C63-48D2-B935-858C236D7952}" name="Hr.citacion " dataDxfId="160"/>
    <tableColumn id="10" xr3:uid="{08EF3731-7FA5-44D9-B444-D480F0F8FBCE}" name="IN.PRACTICAS" dataDxfId="159"/>
    <tableColumn id="8" xr3:uid="{2688D5D9-14B1-4161-B095-FEC9609C4AA5}" name="OBSERVACION " dataDxfId="158"/>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3EAC36E-084D-4219-89AE-1C54BEF6B435}" name="SALIDA" displayName="SALIDA" ref="M2:Q339" totalsRowShown="0" headerRowDxfId="48" dataDxfId="47">
  <autoFilter ref="M2:Q339" xr:uid="{43EAC36E-084D-4219-89AE-1C54BEF6B435}"/>
  <tableColumns count="5">
    <tableColumn id="1" xr3:uid="{2ACF66E6-EB08-49C4-924D-4201C495D332}" name="FECHA" dataDxfId="46"/>
    <tableColumn id="2" xr3:uid="{5BF1B0B0-5DFB-49A5-B038-5B6D3365A833}" name="COD" dataDxfId="45"/>
    <tableColumn id="3" xr3:uid="{7DB9A68F-39E0-4E40-9DFC-621F5F134D48}" name="DETALLE" dataDxfId="44">
      <calculatedColumnFormula>_xlfn.XLOOKUP(SALIDA[[#This Row],[COD]],INVENTARIO[COD],INVENTARIO[DETALLE],"DETALLAR")</calculatedColumnFormula>
    </tableColumn>
    <tableColumn id="4" xr3:uid="{9B6FC381-E3BC-4DF0-9509-38EA492B8897}" name="CANTIDAD" dataDxfId="43"/>
    <tableColumn id="5" xr3:uid="{558AD040-E241-4BEF-B1B9-329F50C19A61}" name="OBSERVACIONES " dataDxfId="42"/>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D47B01-C7F8-4AAD-B377-B158DAB20381}" name="Tabla1" displayName="Tabla1" ref="A1:F11" totalsRowShown="0">
  <autoFilter ref="A1:F11" xr:uid="{35D47B01-C7F8-4AAD-B377-B158DAB20381}"/>
  <tableColumns count="6">
    <tableColumn id="1" xr3:uid="{AAF1BFC6-3490-474F-A228-56D0858DC236}" name="ENTIDAD "/>
    <tableColumn id="2" xr3:uid="{9865C965-519D-41E9-8C4D-7B5483CFAF89}" name="Correo Electronico "/>
    <tableColumn id="3" xr3:uid="{0FF2B5AF-DB4A-4003-9E94-10504D27F189}" name="CONTACTO" dataDxfId="41"/>
    <tableColumn id="4" xr3:uid="{6D28552F-FFD8-49A1-B21F-79E0D5C285F4}" name="COTIZACION "/>
    <tableColumn id="5" xr3:uid="{E00459E7-D5CF-4556-8F71-0EA5BECAF4F7}" name="OBSERVACIONES"/>
    <tableColumn id="6" xr3:uid="{A29E7DE5-3E77-4DCC-AE0C-F37DB88E4BE7}" name="Columna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44B190-3DCB-41D0-9829-73D1E9CDF708}" name="Tabla10" displayName="Tabla10" ref="A1:L5" totalsRowShown="0" headerRowDxfId="40">
  <autoFilter ref="A1:L5" xr:uid="{DF44B190-3DCB-41D0-9829-73D1E9CDF708}"/>
  <tableColumns count="12">
    <tableColumn id="1" xr3:uid="{42ADFD83-A022-4850-BE52-42B23F9F0767}" name="Nombre"/>
    <tableColumn id="2" xr3:uid="{2F4DC1A4-B582-4327-BB42-B10E3334325B}" name="Apellidos"/>
    <tableColumn id="3" xr3:uid="{1000169D-3437-419C-ACF7-94B8529A33A3}" name="ID" dataDxfId="39"/>
    <tableColumn id="4" xr3:uid="{939FE342-DAB2-4148-B701-D861A6493033}" name="Numero"/>
    <tableColumn id="5" xr3:uid="{19C4A0BE-CEA6-48A3-B409-82C688B751D2}" name="Dpto"/>
    <tableColumn id="6" xr3:uid="{44C2DCCB-2F32-4F7C-95FA-23362374875E}" name="Municipio "/>
    <tableColumn id="13" xr3:uid="{89F41CE7-A25F-4977-B732-54358D112460}" name="EXP-CC" dataDxfId="38"/>
    <tableColumn id="12" xr3:uid="{5E9795AA-E422-4551-8D85-72B6BB18CF7D}" name="Validacion de datos " dataDxfId="37"/>
    <tableColumn id="14" xr3:uid="{FFDBF130-3457-44FE-9805-2E016EA2B8BF}" name="Evaluacion" dataDxfId="36"/>
    <tableColumn id="7" xr3:uid="{9ECEB16E-01DB-49E1-A1A3-5E86D5C8F882}" name="Procesos " dataDxfId="35"/>
    <tableColumn id="8" xr3:uid="{79F039A6-674A-4B27-926B-013720F59FC4}" name="Atribucion "/>
    <tableColumn id="9" xr3:uid="{D52B394E-9193-4971-8EA5-F4CF9E69C757}" name="Anotacion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0F9E8AE-5290-4D3C-81AE-2AF6CA0BF255}" name="Tabla12" displayName="Tabla12" ref="A1:M9" totalsRowShown="0" headerRowDxfId="157">
  <autoFilter ref="A1:M9" xr:uid="{30F9E8AE-5290-4D3C-81AE-2AF6CA0BF255}"/>
  <tableColumns count="13">
    <tableColumn id="1" xr3:uid="{27786937-CB3D-4D91-805F-07C30BA158B2}" name="DOC" dataDxfId="156"/>
    <tableColumn id="2" xr3:uid="{6E8F330A-DF0B-41BB-94B7-8ABA9B775B6D}" name="D.I" dataDxfId="155"/>
    <tableColumn id="3" xr3:uid="{1E6A5326-C40D-4FBA-A932-89FEF0DCF0B6}" name="NOMBRE" dataDxfId="154"/>
    <tableColumn id="4" xr3:uid="{3E879CAB-4B3E-4000-AA36-868FC31E16E3}" name="F.NACIMIENTO " dataDxfId="153"/>
    <tableColumn id="5" xr3:uid="{A8D7F53B-C624-4247-9790-CB83BF678D64}" name="RESIDENCIA" dataDxfId="152"/>
    <tableColumn id="6" xr3:uid="{9F3CA458-E56A-4449-AE9B-776B188CEDF9}" name="Estado.Civil" dataDxfId="151"/>
    <tableColumn id="7" xr3:uid="{D3AC9B27-B2C6-4530-9BE0-545869824268}" name="CONTACTO" dataDxfId="150"/>
    <tableColumn id="8" xr3:uid="{A6C30452-5434-4209-BC40-84EEBE9B6CD4}" name="CORREO" dataDxfId="149"/>
    <tableColumn id="9" xr3:uid="{E1D1CDA5-0A9A-47B6-8827-15BEF30FCB7D}" name="FOR.ACADEMICA" dataDxfId="148"/>
    <tableColumn id="13" xr3:uid="{6B6546D7-4D92-47F3-8C71-F42C877B08E8}" name="PERFIL " dataDxfId="147"/>
    <tableColumn id="10" xr3:uid="{918EB7E4-91DE-4B5F-B78D-280B294B50EA}" name="SIPLAFT " dataDxfId="146"/>
    <tableColumn id="11" xr3:uid="{472DBB9E-09A3-4582-ABE3-CF4D63E39EBC}" name="ANOTACION " dataDxfId="145"/>
    <tableColumn id="12" xr3:uid="{B226E37F-61A6-441E-AF6D-8FBE83B72BF1}" name="Fecha de validacion " dataDxfId="14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3DA366-DFFE-4502-BC09-316F02580813}" name="Activos" displayName="Activos" ref="B3:AK76" totalsRowShown="0" headerRowDxfId="143" dataDxfId="141" headerRowBorderDxfId="142" tableBorderDxfId="140">
  <autoFilter ref="B3:AK76" xr:uid="{003DA366-DFFE-4502-BC09-316F02580813}"/>
  <sortState xmlns:xlrd2="http://schemas.microsoft.com/office/spreadsheetml/2017/richdata2" ref="B4:AK76">
    <sortCondition ref="C3:C76"/>
  </sortState>
  <tableColumns count="36">
    <tableColumn id="1" xr3:uid="{C7ECB7D8-9A81-401B-96C0-023F50E4A0CA}" name="#" dataDxfId="139"/>
    <tableColumn id="2" xr3:uid="{FA710CA1-85F1-45A7-A083-C6DAF0AB6036}" name="NOMBRE"/>
    <tableColumn id="3" xr3:uid="{34E512DA-F1B1-4EE0-A102-3E7A65A7E4D0}" name="DOC" dataDxfId="138"/>
    <tableColumn id="4" xr3:uid="{A8E9ED8A-16AF-41A1-AD22-C735F894BF3C}" name="ID" dataDxfId="137"/>
    <tableColumn id="40" xr3:uid="{324AD307-389C-4717-944E-780D496D094A}" name="NACIMIENTO " dataDxfId="136"/>
    <tableColumn id="20" xr3:uid="{FB449751-DB2A-497D-BD82-E92AC1FD06E7}" name="FECHA INDUCCION " dataDxfId="135"/>
    <tableColumn id="19" xr3:uid="{25E00ECC-7A0F-4B1F-BEEA-6149B413147B}" name="VENCE.INDUCCION" dataDxfId="134">
      <calculatedColumnFormula>EDATE(Activos[[#This Row],[FECHA INDUCCION ]],12)-1</calculatedColumnFormula>
    </tableColumn>
    <tableColumn id="18" xr3:uid="{B5527300-83C4-437F-88C7-714E8E2D859E}" name="VIG.INDUCCION" dataDxfId="133">
      <calculatedColumnFormula>Activos[[#This Row],[VENCE.INDUCCION]]-TODAY()</calculatedColumnFormula>
    </tableColumn>
    <tableColumn id="39" xr3:uid="{625D6461-C9C2-49E8-9F7A-E7D2FDADEBA3}" name="CERT-MAN.ALIMENTOS" dataDxfId="132"/>
    <tableColumn id="41" xr3:uid="{1046A3ED-85F6-4B97-A924-CA20544D6570}" name="VENCE.MANI.ALIM" dataDxfId="131">
      <calculatedColumnFormula>EDATE(J4,12)-1</calculatedColumnFormula>
    </tableColumn>
    <tableColumn id="42" xr3:uid="{8F1F7526-5976-4C4B-898D-3054F835C99E}" name="PLAZO" dataDxfId="130">
      <calculatedColumnFormula>Activos[[#This Row],[VENCE.MANI.ALIM]]-TODAY()</calculatedColumnFormula>
    </tableColumn>
    <tableColumn id="43" xr3:uid="{93E6C761-4B76-4D01-BA1D-3E86E4583B57}" name="EXAMENES MEDICOS " dataDxfId="129"/>
    <tableColumn id="25" xr3:uid="{6EA2DE0F-148D-4BD4-A836-3F54F35237F6}" name="VENCIMIENTO.EX.MED" dataDxfId="128">
      <calculatedColumnFormula>EDATE(M4,12)-1</calculatedColumnFormula>
    </tableColumn>
    <tableColumn id="24" xr3:uid="{30B09057-BCB8-4FA4-92BB-260C01AA38E5}" name="VIGENCIA.EX.MED" dataDxfId="127">
      <calculatedColumnFormula>Activos[[#This Row],[VENCIMIENTO.EX.MED]]-TODAY()</calculatedColumnFormula>
    </tableColumn>
    <tableColumn id="5" xr3:uid="{FA590393-0D6A-4F06-BCF1-0A3F2AEB4406}" name="GENERO" dataDxfId="126"/>
    <tableColumn id="38" xr3:uid="{4B0C5A1A-85C4-4543-83A2-1C3E85344FCD}" name="CORREO" dataDxfId="125"/>
    <tableColumn id="35" xr3:uid="{9EADE92D-C699-473B-8664-8F2F407462A3}" name="CONTACTO" dataDxfId="124"/>
    <tableColumn id="37" xr3:uid="{67D6D70A-C68E-42E3-A5E6-0B8C8E18B07C}" name="N.ESTUDIOS" dataDxfId="123"/>
    <tableColumn id="36" xr3:uid="{2E1F41FB-228B-4ACC-9054-00BB517FD859}" name="PROFESION" dataDxfId="122"/>
    <tableColumn id="34" xr3:uid="{02DF45B9-B5DC-4B76-891F-2FF4136D5109}" name="ARCHIVOS" dataDxfId="121"/>
    <tableColumn id="8" xr3:uid="{9054A764-8683-4063-81DF-D0526622088E}" name="CARGO" dataDxfId="120"/>
    <tableColumn id="9" xr3:uid="{423E5BA9-2DF2-4D90-92E6-1C68FB63F5A0}" name="AREA" dataDxfId="119"/>
    <tableColumn id="31" xr3:uid="{E48767A1-EBEB-4BAB-951F-09968CC1190B}" name="T.Camisa" dataDxfId="118"/>
    <tableColumn id="32" xr3:uid="{D38B61F1-D634-4C6C-872B-D1B64672EF39}" name="T.Pantalon " dataDxfId="117"/>
    <tableColumn id="33" xr3:uid="{C2461E72-FFA8-4412-9E59-4597A6F1E7EF}" name="T.Botas" dataDxfId="116"/>
    <tableColumn id="10" xr3:uid="{76D2974F-50D5-4B86-9B37-581A1AABD88C}" name="TIPO.CONTRATO "/>
    <tableColumn id="28" xr3:uid="{757CE963-AA2C-4764-A614-A00D2F09422A}" name="CONTRATO"/>
    <tableColumn id="11" xr3:uid="{8833D799-64A6-4E0F-8CAB-6F5896C419B7}" name="COBERTURA-ARL" dataDxfId="115"/>
    <tableColumn id="12" xr3:uid="{98592404-4DB1-472A-87BA-2F665C6DF322}" name="EPS" dataDxfId="114"/>
    <tableColumn id="13" xr3:uid="{8A8B8B34-14B6-4558-BBB4-91768D7AB084}" name="PENSION " dataDxfId="113"/>
    <tableColumn id="14" xr3:uid="{DEFA7328-A065-4041-9ECE-EF7B74E70A48}" name="CESANTIAS" dataDxfId="112"/>
    <tableColumn id="6" xr3:uid="{61AD486A-5276-41E5-963E-D1C4D5325A38}" name="Banco " dataDxfId="111"/>
    <tableColumn id="15" xr3:uid="{7B207852-C52B-4B10-9B9B-237B2ED5241D}" name="Clase" dataDxfId="110"/>
    <tableColumn id="16" xr3:uid="{71A577B7-2276-4DB3-8E48-37878F39677E}" name="Numero de Cuenta" dataDxfId="109"/>
    <tableColumn id="17" xr3:uid="{0D0ED715-6067-490D-89A8-7B9BA6EAC389}" name="VALIDACION.SIPLAFT" dataDxfId="108"/>
    <tableColumn id="23" xr3:uid="{E58584EB-3EDB-4631-ACCE-9EFBE7FD98BD}" name="OPERACION" dataDxfId="10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C05BC81-F387-44DC-B42D-F514928DC162}" name="RETIRADOSISTHO" displayName="RETIRADOSISTHO" ref="AN3:AU123" totalsRowShown="0" headerRowDxfId="106" dataDxfId="105" tableBorderDxfId="104">
  <autoFilter ref="AN3:AU123" xr:uid="{DC05BC81-F387-44DC-B42D-F514928DC162}"/>
  <sortState xmlns:xlrd2="http://schemas.microsoft.com/office/spreadsheetml/2017/richdata2" ref="AN4:AU123">
    <sortCondition ref="AO3:AO123"/>
  </sortState>
  <tableColumns count="8">
    <tableColumn id="1" xr3:uid="{24CB343F-8316-40D1-9F6E-5CD964670278}" name="CC" dataDxfId="103"/>
    <tableColumn id="2" xr3:uid="{C25A226F-45EA-4870-9D50-7B4C7686F380}" name="NOMBRE" dataDxfId="102"/>
    <tableColumn id="3" xr3:uid="{F4229C0E-F56E-4B2A-B5DD-8842009FFEF6}" name="CARGO" dataDxfId="101"/>
    <tableColumn id="4" xr3:uid="{F2921B47-5414-4428-95C0-0DB8953E2FF7}" name="GENERO" dataDxfId="100"/>
    <tableColumn id="5" xr3:uid="{ECB06252-8EDF-4F7A-B638-DED7BF672558}" name="INGRESO" dataDxfId="99"/>
    <tableColumn id="6" xr3:uid="{1E6D909D-0B0A-4D85-8189-80E88ADD0C1D}" name="RETIRO" dataDxfId="98"/>
    <tableColumn id="8" xr3:uid="{488C277A-DF2A-4AE2-9116-93B647649781}" name="TIEMPO DE SERVICIO" dataDxfId="97"/>
    <tableColumn id="7" xr3:uid="{66E4C734-7177-44E9-837C-4A6CEEEDC66D}" name="OBSERVACION" dataDxfId="9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3BD0B01-4194-44BE-87F6-45EEDBD1EBDB}" name="PQR_2024" displayName="PQR_2024" ref="A1:G40" totalsRowCount="1" headerRowDxfId="95" totalsRowDxfId="93" tableBorderDxfId="94">
  <autoFilter ref="A1:G39" xr:uid="{43BD0B01-4194-44BE-87F6-45EEDBD1EBDB}">
    <filterColumn colId="0">
      <customFilters>
        <customFilter operator="notEqual" val=" "/>
      </customFilters>
    </filterColumn>
  </autoFilter>
  <sortState xmlns:xlrd2="http://schemas.microsoft.com/office/spreadsheetml/2017/richdata2" ref="A2:G38">
    <sortCondition ref="A1:A38"/>
  </sortState>
  <tableColumns count="7">
    <tableColumn id="8" xr3:uid="{4DD1A94D-73E0-4F72-AE80-19DF58BA041E}" name="Fecha" totalsRowLabel="Total" dataDxfId="92" totalsRowDxfId="91"/>
    <tableColumn id="3" xr3:uid="{0540629D-D1BA-42F9-A172-90F26F7324E6}" name="PROCESADAS" totalsRowFunction="count" dataDxfId="90" totalsRowDxfId="89"/>
    <tableColumn id="4" xr3:uid="{77503706-6C7B-4D74-982C-FEC987DB8ED2}" name="PQR" dataDxfId="88" totalsRowDxfId="87"/>
    <tableColumn id="2" xr3:uid="{C843791A-BCD9-4E58-95D7-D796AC089E00}" name="EFECTIVIDAD " totalsRowFunction="average" dataDxfId="86" totalsRowDxfId="85" dataCellStyle="Porcentaje">
      <calculatedColumnFormula>(B2-C2)/PQR_2024[[#This Row],[PROCESADAS]]</calculatedColumnFormula>
    </tableColumn>
    <tableColumn id="5" xr3:uid="{4AD3D56F-00DD-419E-9DDB-504C52BD6399}" name="NOMINA TOTAL" totalsRowFunction="sum" dataDxfId="84" totalsRowDxfId="83" dataCellStyle="Moneda"/>
    <tableColumn id="1" xr3:uid="{C10A0E09-10D7-4AE4-91E6-01AB826A0D7F}" name="DIFERENCIA NOMINAL" totalsRowDxfId="82"/>
    <tableColumn id="6" xr3:uid="{F18718F6-9B8D-44CA-A6DB-E0DA2AAD37E7}" name="VARIACION NOMINAL " totalsRowFunction="custom" dataDxfId="81" totalsRowDxfId="80" dataCellStyle="Porcentaje">
      <totalsRowFormula>AVERAGE(G16:G38)</totalsRow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DA78B0-F81B-465F-A808-F90EC2CDE529}" name="PQR_2025" displayName="PQR_2025" ref="I1:O9" totalsRowCount="1" tableBorderDxfId="79">
  <autoFilter ref="I1:O8" xr:uid="{F9DA78B0-F81B-465F-A808-F90EC2CDE529}"/>
  <tableColumns count="7">
    <tableColumn id="1" xr3:uid="{8CF449B0-CD35-4E45-8727-313940C6AA0A}" name="Fecha" dataDxfId="78" totalsRowDxfId="77"/>
    <tableColumn id="2" xr3:uid="{38E5C488-DF50-4A57-B4A7-4320DAA73859}" name="PROCESADAS" dataDxfId="76" totalsRowDxfId="75"/>
    <tableColumn id="3" xr3:uid="{46BE5761-DF7B-4DB7-BB1E-88B8C3E5E728}" name="PQR" dataDxfId="74" totalsRowDxfId="73" dataCellStyle="Moneda"/>
    <tableColumn id="4" xr3:uid="{1FFAB759-6A23-4643-AE49-2A1B64B27983}" name="EFECTIVIDAD " dataDxfId="72" totalsRowDxfId="71" dataCellStyle="Porcentaje"/>
    <tableColumn id="5" xr3:uid="{81DDF747-DEA0-406A-97A8-3D6C26842994}" name="NOMINA TOTAL" dataDxfId="70" totalsRowDxfId="69" dataCellStyle="Moneda"/>
    <tableColumn id="6" xr3:uid="{99CDFFE2-F4DA-4106-A0BC-5773A9D3B725}" name="DIFERENCIA NOMINAL" dataDxfId="68"/>
    <tableColumn id="7" xr3:uid="{A4844F68-1365-4C5D-94C5-9B11E0672E99}" name="VAR.NOMINAL " dataDxfId="67" totalsRowDxfId="66" dataCellStyle="Porcentaj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CE507B1-10DA-46A2-B4E4-F91D70713E5D}" name="Tabla14" displayName="Tabla14" ref="S5:V7" totalsRowShown="0" headerRowDxfId="65">
  <autoFilter ref="S5:V7" xr:uid="{DCE507B1-10DA-46A2-B4E4-F91D70713E5D}"/>
  <tableColumns count="4">
    <tableColumn id="1" xr3:uid="{72A3AECC-0A62-441C-96C3-81ADE0B3406C}" name="Fecha PQR" dataDxfId="64"/>
    <tableColumn id="2" xr3:uid="{4C0EDB5C-23AF-4BC6-8818-C04FB23DDCE5}" name="Nombre/Apellido"/>
    <tableColumn id="3" xr3:uid="{7843044B-9D4F-49D7-98DB-974B8528CF5A}" name="1"/>
    <tableColumn id="4" xr3:uid="{EAC1C331-DAE5-4830-8B15-FEA551C082A7}" name="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398BE5-424E-496E-8B31-32DD6AB41338}" name="INVENTARIO" displayName="INVENTARIO" ref="A1:F108" totalsRowShown="0" headerRowDxfId="63" dataDxfId="62">
  <autoFilter ref="A1:F108" xr:uid="{14398BE5-424E-496E-8B31-32DD6AB41338}"/>
  <tableColumns count="6">
    <tableColumn id="1" xr3:uid="{DD1CA44A-CD8F-475A-AEF2-21E57495B17B}" name="COD" dataDxfId="61"/>
    <tableColumn id="2" xr3:uid="{39F72F22-DFB0-43DF-B6B5-5FB3E2C4D19E}" name="DETALLE" dataDxfId="60"/>
    <tableColumn id="6" xr3:uid="{B665C8E2-2447-4D4B-9014-33458127A565}" name="ENTRADAS" dataDxfId="59">
      <calculatedColumnFormula>SUMIFS(ENTRADA[CANTIDAD],ENTRADA[COD],INVENTARIO[[#This Row],[COD]])</calculatedColumnFormula>
    </tableColumn>
    <tableColumn id="5" xr3:uid="{D7E549F2-BD7B-4D41-A004-9A48D8ED9B67}" name="SALIDAS" dataDxfId="58">
      <calculatedColumnFormula>SUMIFS(SALIDA[CANTIDAD],SALIDA[COD],INVENTARIO[[#This Row],[COD]])</calculatedColumnFormula>
    </tableColumn>
    <tableColumn id="3" xr3:uid="{42AFFA81-D672-4EDA-BBC7-4C3CF54DCA45}" name="DISP" dataDxfId="57">
      <calculatedColumnFormula>INVENTARIO[[#This Row],[ENTRADAS]]-INVENTARIO[[#This Row],[SALIDAS]]</calculatedColumnFormula>
    </tableColumn>
    <tableColumn id="4" xr3:uid="{97A42CF7-26A6-488C-9511-627AA6791462}" name="OBSERVACIONES" dataDxfId="5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C37BB7-21BA-44F9-92DC-45D301047D75}" name="ENTRADA" displayName="ENTRADA" ref="H2:L126" totalsRowShown="0" headerRowDxfId="55" dataDxfId="54">
  <autoFilter ref="H2:L126" xr:uid="{98C37BB7-21BA-44F9-92DC-45D301047D75}"/>
  <tableColumns count="5">
    <tableColumn id="1" xr3:uid="{9032B0F3-1B1B-4D62-A747-04CDA7888F1A}" name="FECHA" dataDxfId="53"/>
    <tableColumn id="2" xr3:uid="{3324A2ED-CEC2-47EB-A8F1-8730F9A55EBA}" name="COD" dataDxfId="52"/>
    <tableColumn id="3" xr3:uid="{D7EA02AC-2063-4186-A5A0-9CEE3D8DFCA1}" name="DETALLE" dataDxfId="51">
      <calculatedColumnFormula>_xlfn.XLOOKUP(ENTRADA[[#This Row],[COD]],INVENTARIO[COD],INVENTARIO[DETALLE],"DETALLAR")</calculatedColumnFormula>
    </tableColumn>
    <tableColumn id="4" xr3:uid="{77D6A66E-6898-47F0-97B0-67A3320C535B}" name="CANTIDAD" dataDxfId="50"/>
    <tableColumn id="5" xr3:uid="{8205E964-7908-4306-86E6-E828BE373A13}" name="OBSERVACIONES " dataDxfId="49"/>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tel:300%20300%200439" TargetMode="External"/><Relationship Id="rId1" Type="http://schemas.openxmlformats.org/officeDocument/2006/relationships/hyperlink" Target="mailto:info@formamos.edu.co"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mailto:downhill2208@hotmail.com" TargetMode="External"/><Relationship Id="rId7" Type="http://schemas.openxmlformats.org/officeDocument/2006/relationships/hyperlink" Target="mailto:pataskuy95@gmail.com" TargetMode="External"/><Relationship Id="rId2" Type="http://schemas.openxmlformats.org/officeDocument/2006/relationships/hyperlink" Target="mailto:Juancarlosramirez5621@gmail.com" TargetMode="External"/><Relationship Id="rId1" Type="http://schemas.openxmlformats.org/officeDocument/2006/relationships/hyperlink" Target="mailto:Davidcarmona3495@gmail.com" TargetMode="External"/><Relationship Id="rId6" Type="http://schemas.openxmlformats.org/officeDocument/2006/relationships/hyperlink" Target="mailto:danielhernanalvarez512@gmail.com" TargetMode="External"/><Relationship Id="rId5" Type="http://schemas.openxmlformats.org/officeDocument/2006/relationships/hyperlink" Target="mailto:caedonajavier@gmail.com" TargetMode="External"/><Relationship Id="rId4" Type="http://schemas.openxmlformats.org/officeDocument/2006/relationships/hyperlink" Target="mailto:4217470@gmail.co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mailto:Ivan911416@gmail.com" TargetMode="External"/><Relationship Id="rId21" Type="http://schemas.openxmlformats.org/officeDocument/2006/relationships/hyperlink" Target="mailto:Alexander.eusse@gmail.com" TargetMode="External"/><Relationship Id="rId42" Type="http://schemas.openxmlformats.org/officeDocument/2006/relationships/hyperlink" Target="mailto:Morenodiazjuandavid254@gmail.com" TargetMode="External"/><Relationship Id="rId47" Type="http://schemas.openxmlformats.org/officeDocument/2006/relationships/hyperlink" Target="mailto:Sepulvedalilian872@gmail.com" TargetMode="External"/><Relationship Id="rId63" Type="http://schemas.openxmlformats.org/officeDocument/2006/relationships/hyperlink" Target="mailto:Sebastianmoralescorrea8@gmail.com" TargetMode="External"/><Relationship Id="rId68" Type="http://schemas.openxmlformats.org/officeDocument/2006/relationships/hyperlink" Target="mailto:Jesuspallarespineda@gmail.com" TargetMode="External"/><Relationship Id="rId2" Type="http://schemas.openxmlformats.org/officeDocument/2006/relationships/hyperlink" Target="mailto:Andersoncastillo2010@gmil.com" TargetMode="External"/><Relationship Id="rId16" Type="http://schemas.openxmlformats.org/officeDocument/2006/relationships/hyperlink" Target="mailto:Nogueracarlosluislandinez@gmail.com" TargetMode="External"/><Relationship Id="rId29" Type="http://schemas.openxmlformats.org/officeDocument/2006/relationships/hyperlink" Target="mailto:Chucho.v4@hotmail.com" TargetMode="External"/><Relationship Id="rId11" Type="http://schemas.openxmlformats.org/officeDocument/2006/relationships/hyperlink" Target="mailto:Angiepaola12ramirez@gmail.com" TargetMode="External"/><Relationship Id="rId24" Type="http://schemas.openxmlformats.org/officeDocument/2006/relationships/hyperlink" Target="mailto:Giselmayerlys@gmail.com" TargetMode="External"/><Relationship Id="rId32" Type="http://schemas.openxmlformats.org/officeDocument/2006/relationships/hyperlink" Target="mailto:Jobyquinteroperez@gmail.com" TargetMode="External"/><Relationship Id="rId37" Type="http://schemas.openxmlformats.org/officeDocument/2006/relationships/hyperlink" Target="mailto:Jacc_15_02@hotmail.com" TargetMode="External"/><Relationship Id="rId40" Type="http://schemas.openxmlformats.org/officeDocument/2006/relationships/hyperlink" Target="mailto:Bastidasramires520@gmail.com" TargetMode="External"/><Relationship Id="rId45" Type="http://schemas.openxmlformats.org/officeDocument/2006/relationships/hyperlink" Target="mailto:Lopezkevin364rodriguez@gmail.com" TargetMode="External"/><Relationship Id="rId53" Type="http://schemas.openxmlformats.org/officeDocument/2006/relationships/hyperlink" Target="mailto:Marlonsierracano@gmail.com" TargetMode="External"/><Relationship Id="rId58" Type="http://schemas.openxmlformats.org/officeDocument/2006/relationships/hyperlink" Target="mailto:Tiradomarrinezrafaelemiro@gmail.com" TargetMode="External"/><Relationship Id="rId66" Type="http://schemas.openxmlformats.org/officeDocument/2006/relationships/hyperlink" Target="mailto:Linapi1977@gmail.com" TargetMode="External"/><Relationship Id="rId74" Type="http://schemas.openxmlformats.org/officeDocument/2006/relationships/printerSettings" Target="../printerSettings/printerSettings2.bin"/><Relationship Id="rId5" Type="http://schemas.openxmlformats.org/officeDocument/2006/relationships/hyperlink" Target="mailto:Av93687@gmail.com" TargetMode="External"/><Relationship Id="rId61" Type="http://schemas.openxmlformats.org/officeDocument/2006/relationships/hyperlink" Target="mailto:Gomezsanti441@mail.com" TargetMode="External"/><Relationship Id="rId19" Type="http://schemas.openxmlformats.org/officeDocument/2006/relationships/hyperlink" Target="mailto:Davidestivengrajalesmarin@gmail.com" TargetMode="External"/><Relationship Id="rId14" Type="http://schemas.openxmlformats.org/officeDocument/2006/relationships/hyperlink" Target="mailto:Carlosdanielescaray@gmail.com" TargetMode="External"/><Relationship Id="rId22" Type="http://schemas.openxmlformats.org/officeDocument/2006/relationships/hyperlink" Target="mailto:emanuelvasco.ef37@gmail.com" TargetMode="External"/><Relationship Id="rId27" Type="http://schemas.openxmlformats.org/officeDocument/2006/relationships/hyperlink" Target="mailto:Jv082008@hotmail.com" TargetMode="External"/><Relationship Id="rId30" Type="http://schemas.openxmlformats.org/officeDocument/2006/relationships/hyperlink" Target="mailto:Andresjimenezandres.97@gmail.com" TargetMode="External"/><Relationship Id="rId35" Type="http://schemas.openxmlformats.org/officeDocument/2006/relationships/hyperlink" Target="mailto:jhoan.-.08@hotmail.com" TargetMode="External"/><Relationship Id="rId43" Type="http://schemas.openxmlformats.org/officeDocument/2006/relationships/hyperlink" Target="mailto:Juanfejimenez06@gmail.com" TargetMode="External"/><Relationship Id="rId48" Type="http://schemas.openxmlformats.org/officeDocument/2006/relationships/hyperlink" Target="mailto:Linitaloja@gmail.com" TargetMode="External"/><Relationship Id="rId56" Type="http://schemas.openxmlformats.org/officeDocument/2006/relationships/hyperlink" Target="mailto:Ozunamercadonicolalexandra@gmail.com" TargetMode="External"/><Relationship Id="rId64" Type="http://schemas.openxmlformats.org/officeDocument/2006/relationships/hyperlink" Target="mailto:Yiselazapata.04712@mail.com" TargetMode="External"/><Relationship Id="rId69" Type="http://schemas.openxmlformats.org/officeDocument/2006/relationships/hyperlink" Target="mailto:ljpaniagua@gmail.com" TargetMode="External"/><Relationship Id="rId8" Type="http://schemas.openxmlformats.org/officeDocument/2006/relationships/hyperlink" Target="mailto:Felipeveleztobon4540@gmail.com" TargetMode="External"/><Relationship Id="rId51" Type="http://schemas.openxmlformats.org/officeDocument/2006/relationships/hyperlink" Target="mailto:Manuelfernandohincapie56@gmail.com" TargetMode="External"/><Relationship Id="rId72" Type="http://schemas.openxmlformats.org/officeDocument/2006/relationships/hyperlink" Target="mailto:blancataborda@gmail.com" TargetMode="External"/><Relationship Id="rId3" Type="http://schemas.openxmlformats.org/officeDocument/2006/relationships/hyperlink" Target="mailto:anderxmontes@gmail.com" TargetMode="External"/><Relationship Id="rId12" Type="http://schemas.openxmlformats.org/officeDocument/2006/relationships/hyperlink" Target="mailto:Bibianasarmiento@istho.com.co" TargetMode="External"/><Relationship Id="rId17" Type="http://schemas.openxmlformats.org/officeDocument/2006/relationships/hyperlink" Target="mailto:Thesalmondance25@gmail.com" TargetMode="External"/><Relationship Id="rId25" Type="http://schemas.openxmlformats.org/officeDocument/2006/relationships/hyperlink" Target="mailto:Henrytorosierra22@gmail.com" TargetMode="External"/><Relationship Id="rId33" Type="http://schemas.openxmlformats.org/officeDocument/2006/relationships/hyperlink" Target="mailto:Joaquinbarrie123@gmail.com" TargetMode="External"/><Relationship Id="rId38" Type="http://schemas.openxmlformats.org/officeDocument/2006/relationships/hyperlink" Target="mailto:Jorgemaya.s@live.com" TargetMode="External"/><Relationship Id="rId46" Type="http://schemas.openxmlformats.org/officeDocument/2006/relationships/hyperlink" Target="mailto:Katherineballen@hotmail.com" TargetMode="External"/><Relationship Id="rId59" Type="http://schemas.openxmlformats.org/officeDocument/2006/relationships/hyperlink" Target="mailto:ronny_101@outlook.es" TargetMode="External"/><Relationship Id="rId67" Type="http://schemas.openxmlformats.org/officeDocument/2006/relationships/hyperlink" Target="mailto:Sergymena84@gmail.com" TargetMode="External"/><Relationship Id="rId20" Type="http://schemas.openxmlformats.org/officeDocument/2006/relationships/hyperlink" Target="mailto:Diegoecheverri@ishto.com.co" TargetMode="External"/><Relationship Id="rId41" Type="http://schemas.openxmlformats.org/officeDocument/2006/relationships/hyperlink" Target="mailto:Juanka1553@gmail.com" TargetMode="External"/><Relationship Id="rId54" Type="http://schemas.openxmlformats.org/officeDocument/2006/relationships/hyperlink" Target="mailto:Napama2010@hotmail.com" TargetMode="External"/><Relationship Id="rId62" Type="http://schemas.openxmlformats.org/officeDocument/2006/relationships/hyperlink" Target="mailto:Smarinpalacio@gmail.com" TargetMode="External"/><Relationship Id="rId70" Type="http://schemas.openxmlformats.org/officeDocument/2006/relationships/hyperlink" Target="mailto:pataskuy95@gmail.com" TargetMode="External"/><Relationship Id="rId75" Type="http://schemas.openxmlformats.org/officeDocument/2006/relationships/table" Target="../tables/table3.xml"/><Relationship Id="rId1" Type="http://schemas.openxmlformats.org/officeDocument/2006/relationships/hyperlink" Target="mailto:Albeiroagualimpia@hotmail.com" TargetMode="External"/><Relationship Id="rId6" Type="http://schemas.openxmlformats.org/officeDocument/2006/relationships/hyperlink" Target="mailto:Andresechavarriaibarra@gmail.com" TargetMode="External"/><Relationship Id="rId15" Type="http://schemas.openxmlformats.org/officeDocument/2006/relationships/hyperlink" Target="mailto:Carlitosnoguera79@gmail.com" TargetMode="External"/><Relationship Id="rId23" Type="http://schemas.openxmlformats.org/officeDocument/2006/relationships/hyperlink" Target="mailto:Enrique.cuentas@hotmail.com" TargetMode="External"/><Relationship Id="rId28" Type="http://schemas.openxmlformats.org/officeDocument/2006/relationships/hyperlink" Target="mailto:Jerleysuperahorro@gmail.com" TargetMode="External"/><Relationship Id="rId36" Type="http://schemas.openxmlformats.org/officeDocument/2006/relationships/hyperlink" Target="mailto:Jhonatanmadrigal52@gmail.com" TargetMode="External"/><Relationship Id="rId49" Type="http://schemas.openxmlformats.org/officeDocument/2006/relationships/hyperlink" Target="mailto:Marioduquemunoz@gmail.com" TargetMode="External"/><Relationship Id="rId57" Type="http://schemas.openxmlformats.org/officeDocument/2006/relationships/hyperlink" Target="mailto:Ice.eche0097@gmail.com" TargetMode="External"/><Relationship Id="rId10" Type="http://schemas.openxmlformats.org/officeDocument/2006/relationships/hyperlink" Target="mailto:Polo110s@hotmail.com" TargetMode="External"/><Relationship Id="rId31" Type="http://schemas.openxmlformats.org/officeDocument/2006/relationships/hyperlink" Target="mailto:Jfrechar115@yahoo.es" TargetMode="External"/><Relationship Id="rId44" Type="http://schemas.openxmlformats.org/officeDocument/2006/relationships/hyperlink" Target="mailto:Kenerorozcomartinez@gmail.com" TargetMode="External"/><Relationship Id="rId52" Type="http://schemas.openxmlformats.org/officeDocument/2006/relationships/hyperlink" Target="mailto:Mariafernandalopezgomez00@gmail.com" TargetMode="External"/><Relationship Id="rId60" Type="http://schemas.openxmlformats.org/officeDocument/2006/relationships/hyperlink" Target="mailto:Santii1345g@gmail.com" TargetMode="External"/><Relationship Id="rId65" Type="http://schemas.openxmlformats.org/officeDocument/2006/relationships/hyperlink" Target="mailto:Yovanyalbeirovasquezbedoya@gmail.com" TargetMode="External"/><Relationship Id="rId73" Type="http://schemas.openxmlformats.org/officeDocument/2006/relationships/hyperlink" Target="mailto:sarco8373@gmail.com" TargetMode="External"/><Relationship Id="rId4" Type="http://schemas.openxmlformats.org/officeDocument/2006/relationships/hyperlink" Target="mailto:anderparra386@gmail.com" TargetMode="External"/><Relationship Id="rId9" Type="http://schemas.openxmlformats.org/officeDocument/2006/relationships/hyperlink" Target="mailto:Maurodurangon@hotmail.com" TargetMode="External"/><Relationship Id="rId13" Type="http://schemas.openxmlformats.org/officeDocument/2006/relationships/hyperlink" Target="mailto:Kamus071590@gmail.com" TargetMode="External"/><Relationship Id="rId18" Type="http://schemas.openxmlformats.org/officeDocument/2006/relationships/hyperlink" Target="mailto:Danielatamayo016@gmail.com" TargetMode="External"/><Relationship Id="rId39" Type="http://schemas.openxmlformats.org/officeDocument/2006/relationships/hyperlink" Target="mailto:Jmurillocuartas@gmail.com" TargetMode="External"/><Relationship Id="rId34" Type="http://schemas.openxmlformats.org/officeDocument/2006/relationships/hyperlink" Target="mailto:Johanrojodim25@gmail.com" TargetMode="External"/><Relationship Id="rId50" Type="http://schemas.openxmlformats.org/officeDocument/2006/relationships/hyperlink" Target="mailto:Ljaramilloalzate@gmail.com" TargetMode="External"/><Relationship Id="rId55" Type="http://schemas.openxmlformats.org/officeDocument/2006/relationships/hyperlink" Target="mailto:Orlandogazcon01@gmail.com" TargetMode="External"/><Relationship Id="rId76" Type="http://schemas.openxmlformats.org/officeDocument/2006/relationships/table" Target="../tables/table4.xml"/><Relationship Id="rId7" Type="http://schemas.openxmlformats.org/officeDocument/2006/relationships/hyperlink" Target="mailto:Andrewphilip360@gmail.com" TargetMode="External"/><Relationship Id="rId71" Type="http://schemas.openxmlformats.org/officeDocument/2006/relationships/hyperlink" Target="mailto:danielhernanalvarez51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3.bin"/><Relationship Id="rId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hyperlink" Target="mailto:servicioalcliente@complementoshumanos.com" TargetMode="External"/><Relationship Id="rId7" Type="http://schemas.openxmlformats.org/officeDocument/2006/relationships/printerSettings" Target="../printerSettings/printerSettings4.bin"/><Relationship Id="rId2" Type="http://schemas.openxmlformats.org/officeDocument/2006/relationships/hyperlink" Target="mailto:futesa@futesa.com" TargetMode="External"/><Relationship Id="rId1" Type="http://schemas.openxmlformats.org/officeDocument/2006/relationships/hyperlink" Target="mailto:atencionalcliente@tiempos.com.co" TargetMode="External"/><Relationship Id="rId6" Type="http://schemas.openxmlformats.org/officeDocument/2006/relationships/hyperlink" Target="mailto:reclamos@serdan.com.co" TargetMode="External"/><Relationship Id="rId5" Type="http://schemas.openxmlformats.org/officeDocument/2006/relationships/hyperlink" Target="mailto:recepcion@temporalesunoa.com.co" TargetMode="External"/><Relationship Id="rId4" Type="http://schemas.openxmlformats.org/officeDocument/2006/relationships/hyperlink" Target="tel:+5760121207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9CFBA-82C5-41F9-AF54-A551F503A4FD}">
  <sheetPr codeName="Hoja1">
    <tabColor theme="8" tint="0.79998168889431442"/>
  </sheetPr>
  <dimension ref="A1:K39"/>
  <sheetViews>
    <sheetView topLeftCell="A8" workbookViewId="0">
      <selection activeCell="E48" sqref="E48"/>
    </sheetView>
  </sheetViews>
  <sheetFormatPr baseColWidth="10" defaultColWidth="11.453125" defaultRowHeight="14.5" x14ac:dyDescent="0.35"/>
  <cols>
    <col min="1" max="1" width="2.54296875" customWidth="1"/>
    <col min="8" max="8" width="25.81640625" customWidth="1"/>
    <col min="9" max="9" width="16.81640625" customWidth="1"/>
    <col min="10" max="10" width="17.1796875" bestFit="1" customWidth="1"/>
    <col min="11" max="11" width="17.81640625" bestFit="1" customWidth="1"/>
  </cols>
  <sheetData>
    <row r="1" spans="1:11" ht="15" thickBot="1" x14ac:dyDescent="0.4">
      <c r="A1" s="12"/>
      <c r="B1" s="6" t="s">
        <v>0</v>
      </c>
      <c r="C1" s="6" t="s">
        <v>1</v>
      </c>
      <c r="D1" s="6" t="s">
        <v>2</v>
      </c>
      <c r="E1" s="6" t="s">
        <v>3</v>
      </c>
      <c r="F1" s="6" t="s">
        <v>4</v>
      </c>
      <c r="G1" s="311" t="s">
        <v>5</v>
      </c>
      <c r="H1" s="15"/>
      <c r="I1" s="15"/>
      <c r="J1" s="16" t="s">
        <v>6</v>
      </c>
      <c r="K1" t="s">
        <v>7</v>
      </c>
    </row>
    <row r="2" spans="1:11" x14ac:dyDescent="0.35">
      <c r="A2" s="15"/>
      <c r="B2" s="3"/>
      <c r="C2" s="3" t="s">
        <v>8</v>
      </c>
      <c r="D2" s="3"/>
      <c r="E2" s="7"/>
      <c r="F2" s="8"/>
      <c r="G2" s="311"/>
      <c r="H2" s="15"/>
      <c r="I2" s="15"/>
      <c r="J2" s="17" t="s">
        <v>8</v>
      </c>
      <c r="K2">
        <v>10</v>
      </c>
    </row>
    <row r="3" spans="1:11" x14ac:dyDescent="0.35">
      <c r="A3" s="15"/>
      <c r="B3" s="15" t="s">
        <v>9</v>
      </c>
      <c r="C3" s="15" t="e">
        <f>DCOUNTA(#REF!,#REF!,TABLAS!B1:F2)</f>
        <v>#REF!</v>
      </c>
      <c r="D3" s="15"/>
      <c r="E3" s="15"/>
      <c r="F3" s="15"/>
      <c r="G3" s="15"/>
      <c r="H3" s="15"/>
      <c r="I3" s="15"/>
      <c r="J3" s="17" t="s">
        <v>10</v>
      </c>
      <c r="K3">
        <v>67</v>
      </c>
    </row>
    <row r="4" spans="1:11" ht="15" thickBot="1" x14ac:dyDescent="0.4">
      <c r="A4" s="12"/>
      <c r="B4" s="6" t="s">
        <v>0</v>
      </c>
      <c r="C4" s="6" t="s">
        <v>1</v>
      </c>
      <c r="D4" s="6" t="s">
        <v>2</v>
      </c>
      <c r="E4" s="6" t="s">
        <v>3</v>
      </c>
      <c r="F4" s="6" t="s">
        <v>4</v>
      </c>
      <c r="G4" s="311" t="s">
        <v>11</v>
      </c>
      <c r="H4" s="15"/>
      <c r="I4" s="15"/>
      <c r="J4" s="17" t="s">
        <v>12</v>
      </c>
      <c r="K4">
        <v>77</v>
      </c>
    </row>
    <row r="5" spans="1:11" x14ac:dyDescent="0.35">
      <c r="A5" s="15"/>
      <c r="B5" s="3"/>
      <c r="C5" s="3" t="s">
        <v>10</v>
      </c>
      <c r="D5" s="3"/>
      <c r="E5" s="7"/>
      <c r="F5" s="8"/>
      <c r="G5" s="311"/>
      <c r="H5" s="15"/>
      <c r="I5" s="15"/>
    </row>
    <row r="6" spans="1:11" x14ac:dyDescent="0.35">
      <c r="A6" s="15"/>
      <c r="B6" s="15" t="s">
        <v>9</v>
      </c>
      <c r="C6" s="15" t="e">
        <f>DCOUNTA(#REF!,#REF!,TABLAS!B4:F5)</f>
        <v>#REF!</v>
      </c>
      <c r="D6" s="15"/>
      <c r="E6" s="15"/>
      <c r="F6" s="15"/>
      <c r="G6" s="15"/>
      <c r="H6" s="15"/>
      <c r="I6" s="15"/>
    </row>
    <row r="7" spans="1:11" ht="22" customHeight="1" thickBot="1" x14ac:dyDescent="0.4">
      <c r="A7" s="12"/>
      <c r="B7" s="9" t="s">
        <v>13</v>
      </c>
      <c r="C7" s="6" t="s">
        <v>0</v>
      </c>
      <c r="D7" s="6" t="s">
        <v>1</v>
      </c>
      <c r="E7" s="6" t="s">
        <v>2</v>
      </c>
      <c r="F7" s="6" t="s">
        <v>3</v>
      </c>
      <c r="G7" s="6" t="s">
        <v>4</v>
      </c>
      <c r="H7" s="309" t="s">
        <v>14</v>
      </c>
      <c r="I7" s="15"/>
    </row>
    <row r="8" spans="1:11" ht="22" customHeight="1" x14ac:dyDescent="0.35">
      <c r="A8" s="15"/>
      <c r="B8" s="10"/>
      <c r="C8" s="3"/>
      <c r="D8" s="3"/>
      <c r="E8" s="3"/>
      <c r="F8" s="7"/>
      <c r="G8" s="8"/>
      <c r="H8" s="309"/>
      <c r="I8" s="15"/>
    </row>
    <row r="9" spans="1:11" x14ac:dyDescent="0.35">
      <c r="A9" s="15"/>
      <c r="B9" s="15" t="s">
        <v>9</v>
      </c>
      <c r="C9" s="15" t="e">
        <f>DCOUNT(#REF!,#REF!,TABLAS!B7:G8)</f>
        <v>#REF!</v>
      </c>
      <c r="D9" s="15"/>
      <c r="E9" s="15"/>
      <c r="F9" s="15"/>
      <c r="G9" s="15"/>
      <c r="H9" s="15"/>
      <c r="I9" s="15"/>
    </row>
    <row r="10" spans="1:11" ht="15" thickBot="1" x14ac:dyDescent="0.4">
      <c r="A10" s="12"/>
      <c r="B10" s="9" t="s">
        <v>13</v>
      </c>
      <c r="C10" s="6" t="s">
        <v>0</v>
      </c>
      <c r="D10" s="6" t="s">
        <v>1</v>
      </c>
      <c r="E10" s="6" t="s">
        <v>2</v>
      </c>
      <c r="F10" s="6" t="s">
        <v>3</v>
      </c>
      <c r="G10" s="6" t="s">
        <v>4</v>
      </c>
      <c r="H10" s="309" t="s">
        <v>15</v>
      </c>
      <c r="I10" s="15"/>
    </row>
    <row r="11" spans="1:11" x14ac:dyDescent="0.35">
      <c r="A11" s="15"/>
      <c r="B11" s="10"/>
      <c r="C11" s="3"/>
      <c r="D11" s="3"/>
      <c r="E11" s="11" t="s">
        <v>16</v>
      </c>
      <c r="F11" s="7"/>
      <c r="G11" s="8"/>
      <c r="H11" s="309"/>
      <c r="I11" s="15"/>
    </row>
    <row r="12" spans="1:11" x14ac:dyDescent="0.35">
      <c r="A12" s="15"/>
      <c r="B12" s="15" t="s">
        <v>9</v>
      </c>
      <c r="C12" s="15" t="e">
        <f>DCOUNTA(#REF!,#REF!,TABLAS!B10:G11)</f>
        <v>#REF!</v>
      </c>
      <c r="D12" s="15"/>
      <c r="E12" s="15"/>
      <c r="F12" s="15"/>
      <c r="G12" s="15"/>
      <c r="H12" s="15"/>
      <c r="I12" s="15"/>
    </row>
    <row r="13" spans="1:11" ht="15" thickBot="1" x14ac:dyDescent="0.4">
      <c r="A13" s="12"/>
      <c r="B13" s="9" t="s">
        <v>13</v>
      </c>
      <c r="C13" s="6" t="s">
        <v>0</v>
      </c>
      <c r="D13" s="6" t="s">
        <v>1</v>
      </c>
      <c r="E13" s="6" t="s">
        <v>2</v>
      </c>
      <c r="F13" s="6" t="s">
        <v>3</v>
      </c>
      <c r="G13" s="6" t="s">
        <v>4</v>
      </c>
      <c r="H13" s="309" t="s">
        <v>17</v>
      </c>
      <c r="I13" s="15"/>
    </row>
    <row r="14" spans="1:11" x14ac:dyDescent="0.35">
      <c r="A14" s="15"/>
      <c r="B14" s="10"/>
      <c r="C14" s="3"/>
      <c r="D14" s="3"/>
      <c r="E14" s="3" t="s">
        <v>18</v>
      </c>
      <c r="F14" s="7"/>
      <c r="G14" s="8"/>
      <c r="H14" s="309"/>
      <c r="I14" s="15"/>
    </row>
    <row r="15" spans="1:11" x14ac:dyDescent="0.35">
      <c r="A15" s="15"/>
      <c r="B15" s="15" t="s">
        <v>9</v>
      </c>
      <c r="C15" s="15" t="e">
        <f>DCOUNTA(#REF!,#REF!,TABLAS!B13:G14)</f>
        <v>#REF!</v>
      </c>
      <c r="D15" s="15"/>
      <c r="E15" s="15"/>
      <c r="F15" s="15"/>
      <c r="G15" s="15"/>
      <c r="H15" s="15"/>
      <c r="I15" s="15"/>
    </row>
    <row r="16" spans="1:11" ht="15" thickBot="1" x14ac:dyDescent="0.4">
      <c r="A16" s="12"/>
      <c r="B16" s="9" t="s">
        <v>13</v>
      </c>
      <c r="C16" s="6" t="s">
        <v>0</v>
      </c>
      <c r="D16" s="6" t="s">
        <v>1</v>
      </c>
      <c r="E16" s="6" t="s">
        <v>2</v>
      </c>
      <c r="F16" s="6" t="s">
        <v>3</v>
      </c>
      <c r="G16" s="6" t="s">
        <v>4</v>
      </c>
      <c r="H16" s="309" t="s">
        <v>19</v>
      </c>
      <c r="I16" s="15"/>
    </row>
    <row r="17" spans="1:9" x14ac:dyDescent="0.35">
      <c r="A17" s="15"/>
      <c r="B17" s="10"/>
      <c r="C17" s="3"/>
      <c r="D17" s="3"/>
      <c r="E17" s="3" t="s">
        <v>20</v>
      </c>
      <c r="F17" s="7"/>
      <c r="G17" s="8"/>
      <c r="H17" s="309"/>
      <c r="I17" s="15"/>
    </row>
    <row r="18" spans="1:9" x14ac:dyDescent="0.35">
      <c r="A18" s="15"/>
      <c r="B18" s="15" t="s">
        <v>9</v>
      </c>
      <c r="C18" s="15" t="e">
        <f>DCOUNTA(#REF!,#REF!,TABLAS!B16:G17)</f>
        <v>#REF!</v>
      </c>
      <c r="D18" s="15"/>
      <c r="E18" s="15"/>
      <c r="F18" s="15"/>
      <c r="G18" s="15"/>
      <c r="H18" s="15"/>
      <c r="I18" s="15"/>
    </row>
    <row r="19" spans="1:9" ht="15" thickBot="1" x14ac:dyDescent="0.4">
      <c r="A19" s="14"/>
      <c r="B19" s="9" t="s">
        <v>13</v>
      </c>
      <c r="C19" s="6" t="s">
        <v>0</v>
      </c>
      <c r="D19" s="6" t="s">
        <v>1</v>
      </c>
      <c r="E19" s="6" t="s">
        <v>2</v>
      </c>
      <c r="F19" s="6" t="s">
        <v>3</v>
      </c>
      <c r="G19" s="6" t="s">
        <v>4</v>
      </c>
      <c r="H19" s="309" t="s">
        <v>21</v>
      </c>
      <c r="I19" s="15"/>
    </row>
    <row r="20" spans="1:9" x14ac:dyDescent="0.35">
      <c r="A20" s="15"/>
      <c r="B20" s="10"/>
      <c r="C20" s="3"/>
      <c r="D20" s="3"/>
      <c r="E20" s="13" t="s">
        <v>22</v>
      </c>
      <c r="F20" s="7"/>
      <c r="G20" s="8"/>
      <c r="H20" s="309"/>
      <c r="I20" s="15"/>
    </row>
    <row r="21" spans="1:9" x14ac:dyDescent="0.35">
      <c r="A21" s="15"/>
      <c r="B21" s="15" t="s">
        <v>9</v>
      </c>
      <c r="C21" s="15" t="e">
        <f>DCOUNTA(#REF!,#REF!,TABLAS!B19:G20)</f>
        <v>#REF!</v>
      </c>
      <c r="D21" s="15"/>
      <c r="E21" s="15"/>
      <c r="F21" s="15"/>
      <c r="G21" s="15"/>
      <c r="H21" s="15"/>
      <c r="I21" s="15"/>
    </row>
    <row r="22" spans="1:9" ht="15" thickBot="1" x14ac:dyDescent="0.4">
      <c r="A22" s="14"/>
      <c r="B22" s="9" t="s">
        <v>13</v>
      </c>
      <c r="C22" s="6" t="s">
        <v>0</v>
      </c>
      <c r="D22" s="6" t="s">
        <v>1</v>
      </c>
      <c r="E22" s="6" t="s">
        <v>2</v>
      </c>
      <c r="F22" s="6" t="s">
        <v>3</v>
      </c>
      <c r="G22" s="6" t="s">
        <v>4</v>
      </c>
      <c r="H22" s="310" t="s">
        <v>23</v>
      </c>
      <c r="I22" s="15"/>
    </row>
    <row r="23" spans="1:9" x14ac:dyDescent="0.35">
      <c r="A23" s="15"/>
      <c r="B23" s="10"/>
      <c r="C23" s="3"/>
      <c r="D23" s="3"/>
      <c r="E23" s="3" t="s">
        <v>24</v>
      </c>
      <c r="F23" s="7"/>
      <c r="G23" s="8"/>
      <c r="H23" s="310"/>
      <c r="I23" s="15"/>
    </row>
    <row r="24" spans="1:9" x14ac:dyDescent="0.35">
      <c r="A24" s="15"/>
      <c r="B24" s="15" t="s">
        <v>9</v>
      </c>
      <c r="C24" s="15"/>
      <c r="D24" s="15"/>
      <c r="E24" s="15"/>
      <c r="F24" s="15"/>
      <c r="G24" s="15"/>
      <c r="H24" s="15"/>
      <c r="I24" s="15"/>
    </row>
    <row r="25" spans="1:9" x14ac:dyDescent="0.35">
      <c r="B25" s="9" t="s">
        <v>13</v>
      </c>
      <c r="C25" s="4" t="s">
        <v>0</v>
      </c>
      <c r="D25" s="4" t="s">
        <v>1</v>
      </c>
      <c r="E25" s="4" t="s">
        <v>2</v>
      </c>
      <c r="F25" s="4" t="s">
        <v>3</v>
      </c>
      <c r="G25" s="4" t="s">
        <v>4</v>
      </c>
      <c r="H25" s="4" t="s">
        <v>25</v>
      </c>
      <c r="I25" s="4" t="s">
        <v>26</v>
      </c>
    </row>
    <row r="26" spans="1:9" x14ac:dyDescent="0.35">
      <c r="B26" s="9"/>
      <c r="D26" s="1"/>
      <c r="E26" s="2"/>
      <c r="F26" s="1"/>
      <c r="G26" s="1"/>
      <c r="H26" s="2" t="s">
        <v>27</v>
      </c>
      <c r="I26" s="2"/>
    </row>
    <row r="27" spans="1:9" x14ac:dyDescent="0.35">
      <c r="B27" s="15" t="s">
        <v>9</v>
      </c>
      <c r="C27" t="e">
        <f>DCOUNTA(#REF!,#REF!,TABLAS!B25:I26)</f>
        <v>#REF!</v>
      </c>
    </row>
    <row r="28" spans="1:9" x14ac:dyDescent="0.35">
      <c r="B28" s="9" t="s">
        <v>13</v>
      </c>
      <c r="C28" s="4" t="s">
        <v>0</v>
      </c>
      <c r="D28" s="4" t="s">
        <v>1</v>
      </c>
      <c r="E28" s="4" t="s">
        <v>2</v>
      </c>
      <c r="F28" s="4" t="s">
        <v>3</v>
      </c>
      <c r="G28" s="4" t="s">
        <v>4</v>
      </c>
      <c r="H28" s="4" t="s">
        <v>25</v>
      </c>
      <c r="I28" s="4" t="s">
        <v>26</v>
      </c>
    </row>
    <row r="29" spans="1:9" x14ac:dyDescent="0.35">
      <c r="B29" s="9"/>
      <c r="D29" s="1"/>
      <c r="E29" s="2"/>
      <c r="F29" s="1"/>
      <c r="G29" s="1"/>
      <c r="H29" s="2" t="s">
        <v>28</v>
      </c>
      <c r="I29" s="2"/>
    </row>
    <row r="30" spans="1:9" x14ac:dyDescent="0.35">
      <c r="B30" s="15" t="s">
        <v>9</v>
      </c>
      <c r="C30" t="e">
        <f>DCOUNTA(#REF!,#REF!,TABLAS!B28:I29)</f>
        <v>#REF!</v>
      </c>
    </row>
    <row r="31" spans="1:9" x14ac:dyDescent="0.35">
      <c r="B31" s="9" t="s">
        <v>13</v>
      </c>
      <c r="C31" s="4" t="s">
        <v>0</v>
      </c>
      <c r="D31" s="4" t="s">
        <v>1</v>
      </c>
      <c r="E31" s="4" t="s">
        <v>2</v>
      </c>
      <c r="F31" s="4" t="s">
        <v>3</v>
      </c>
      <c r="G31" s="4" t="s">
        <v>4</v>
      </c>
      <c r="H31" s="4" t="s">
        <v>25</v>
      </c>
      <c r="I31" s="4" t="s">
        <v>26</v>
      </c>
    </row>
    <row r="32" spans="1:9" x14ac:dyDescent="0.35">
      <c r="B32" s="9"/>
      <c r="D32" s="1"/>
      <c r="E32" s="2"/>
      <c r="F32" s="1"/>
      <c r="G32" s="1"/>
      <c r="H32" s="2" t="s">
        <v>29</v>
      </c>
      <c r="I32" s="2"/>
    </row>
    <row r="33" spans="2:9" x14ac:dyDescent="0.35">
      <c r="B33" s="15" t="s">
        <v>9</v>
      </c>
      <c r="C33" t="e">
        <f>DCOUNTA(#REF!,#REF!,TABLAS!B31:I32)</f>
        <v>#REF!</v>
      </c>
    </row>
    <row r="34" spans="2:9" x14ac:dyDescent="0.35">
      <c r="B34" s="9" t="s">
        <v>13</v>
      </c>
      <c r="C34" s="4" t="s">
        <v>0</v>
      </c>
      <c r="D34" s="4" t="s">
        <v>1</v>
      </c>
      <c r="E34" s="4" t="s">
        <v>2</v>
      </c>
      <c r="F34" s="4" t="s">
        <v>3</v>
      </c>
      <c r="G34" s="4" t="s">
        <v>4</v>
      </c>
      <c r="H34" s="4" t="s">
        <v>25</v>
      </c>
      <c r="I34" s="4" t="s">
        <v>26</v>
      </c>
    </row>
    <row r="35" spans="2:9" x14ac:dyDescent="0.35">
      <c r="B35" s="9"/>
      <c r="D35" s="1"/>
      <c r="E35" s="2"/>
      <c r="F35" s="1"/>
      <c r="G35" s="1"/>
      <c r="H35" s="2" t="s">
        <v>30</v>
      </c>
      <c r="I35" s="2"/>
    </row>
    <row r="36" spans="2:9" x14ac:dyDescent="0.35">
      <c r="B36" s="15" t="s">
        <v>9</v>
      </c>
      <c r="C36" t="e">
        <f>DCOUNTA(#REF!,#REF!,TABLAS!B34:I35)</f>
        <v>#REF!</v>
      </c>
    </row>
    <row r="37" spans="2:9" x14ac:dyDescent="0.35">
      <c r="B37" s="9" t="s">
        <v>13</v>
      </c>
      <c r="C37" s="4" t="s">
        <v>0</v>
      </c>
      <c r="D37" s="4" t="s">
        <v>1</v>
      </c>
      <c r="E37" s="4" t="s">
        <v>2</v>
      </c>
      <c r="F37" s="4" t="s">
        <v>3</v>
      </c>
      <c r="G37" s="4" t="s">
        <v>4</v>
      </c>
      <c r="H37" s="4" t="s">
        <v>25</v>
      </c>
      <c r="I37" s="4" t="s">
        <v>26</v>
      </c>
    </row>
    <row r="38" spans="2:9" x14ac:dyDescent="0.35">
      <c r="B38" s="9"/>
      <c r="D38" s="1"/>
      <c r="E38" s="2"/>
      <c r="F38" s="1"/>
      <c r="G38" s="1"/>
      <c r="H38" s="18" t="s">
        <v>31</v>
      </c>
      <c r="I38" s="2"/>
    </row>
    <row r="39" spans="2:9" x14ac:dyDescent="0.35">
      <c r="B39" s="15" t="s">
        <v>9</v>
      </c>
      <c r="C39" t="e">
        <f>DCOUNTA(#REF!,#REF!,TABLAS!B37:I38)</f>
        <v>#REF!</v>
      </c>
    </row>
  </sheetData>
  <mergeCells count="8">
    <mergeCell ref="H16:H17"/>
    <mergeCell ref="H19:H20"/>
    <mergeCell ref="H22:H23"/>
    <mergeCell ref="G1:G2"/>
    <mergeCell ref="G4:G5"/>
    <mergeCell ref="H7:H8"/>
    <mergeCell ref="H10:H11"/>
    <mergeCell ref="H13:H14"/>
  </mergeCells>
  <conditionalFormatting sqref="D25:D26">
    <cfRule type="containsText" dxfId="34" priority="23" operator="containsText" text="M">
      <formula>NOT(ISERROR(SEARCH("M",D25)))</formula>
    </cfRule>
    <cfRule type="containsText" dxfId="33" priority="24" operator="containsText" text="F">
      <formula>NOT(ISERROR(SEARCH("F",D25)))</formula>
    </cfRule>
  </conditionalFormatting>
  <conditionalFormatting sqref="D28:D29">
    <cfRule type="containsText" dxfId="31" priority="18" operator="containsText" text="M">
      <formula>NOT(ISERROR(SEARCH("M",D28)))</formula>
    </cfRule>
    <cfRule type="containsText" dxfId="30" priority="19" operator="containsText" text="F">
      <formula>NOT(ISERROR(SEARCH("F",D28)))</formula>
    </cfRule>
  </conditionalFormatting>
  <conditionalFormatting sqref="D31:D32">
    <cfRule type="containsText" dxfId="28" priority="13" operator="containsText" text="M">
      <formula>NOT(ISERROR(SEARCH("M",D31)))</formula>
    </cfRule>
    <cfRule type="containsText" dxfId="27" priority="14" operator="containsText" text="F">
      <formula>NOT(ISERROR(SEARCH("F",D31)))</formula>
    </cfRule>
  </conditionalFormatting>
  <conditionalFormatting sqref="D34:D35">
    <cfRule type="containsText" dxfId="25" priority="8" operator="containsText" text="M">
      <formula>NOT(ISERROR(SEARCH("M",D34)))</formula>
    </cfRule>
    <cfRule type="containsText" dxfId="24" priority="9" operator="containsText" text="F">
      <formula>NOT(ISERROR(SEARCH("F",D34)))</formula>
    </cfRule>
  </conditionalFormatting>
  <conditionalFormatting sqref="D37:D38">
    <cfRule type="containsText" dxfId="22" priority="3" operator="containsText" text="M">
      <formula>NOT(ISERROR(SEARCH("M",D37)))</formula>
    </cfRule>
    <cfRule type="containsText" dxfId="21" priority="4" operator="containsText" text="F">
      <formula>NOT(ISERROR(SEARCH("F",D37)))</formula>
    </cfRule>
  </conditionalFormatting>
  <conditionalFormatting sqref="G25">
    <cfRule type="containsText" dxfId="19" priority="21" operator="containsText" text="PENDIENTE">
      <formula>NOT(ISERROR(SEARCH("PENDIENTE",G25)))</formula>
    </cfRule>
    <cfRule type="containsText" dxfId="18" priority="22" operator="containsText" text="POR VALIDAR ">
      <formula>NOT(ISERROR(SEARCH("POR VALIDAR ",G25)))</formula>
    </cfRule>
  </conditionalFormatting>
  <conditionalFormatting sqref="G28">
    <cfRule type="containsText" dxfId="17" priority="16" operator="containsText" text="PENDIENTE">
      <formula>NOT(ISERROR(SEARCH("PENDIENTE",G28)))</formula>
    </cfRule>
    <cfRule type="containsText" dxfId="16" priority="17" operator="containsText" text="POR VALIDAR ">
      <formula>NOT(ISERROR(SEARCH("POR VALIDAR ",G28)))</formula>
    </cfRule>
  </conditionalFormatting>
  <conditionalFormatting sqref="G31">
    <cfRule type="containsText" dxfId="15" priority="11" operator="containsText" text="PENDIENTE">
      <formula>NOT(ISERROR(SEARCH("PENDIENTE",G31)))</formula>
    </cfRule>
    <cfRule type="containsText" dxfId="14" priority="12" operator="containsText" text="POR VALIDAR ">
      <formula>NOT(ISERROR(SEARCH("POR VALIDAR ",G31)))</formula>
    </cfRule>
  </conditionalFormatting>
  <conditionalFormatting sqref="G34">
    <cfRule type="containsText" dxfId="13" priority="6" operator="containsText" text="PENDIENTE">
      <formula>NOT(ISERROR(SEARCH("PENDIENTE",G34)))</formula>
    </cfRule>
    <cfRule type="containsText" dxfId="12" priority="7" operator="containsText" text="POR VALIDAR ">
      <formula>NOT(ISERROR(SEARCH("POR VALIDAR ",G34)))</formula>
    </cfRule>
  </conditionalFormatting>
  <conditionalFormatting sqref="G37">
    <cfRule type="containsText" dxfId="11" priority="1" operator="containsText" text="PENDIENTE">
      <formula>NOT(ISERROR(SEARCH("PENDIENTE",G37)))</formula>
    </cfRule>
    <cfRule type="containsText" dxfId="10" priority="2" operator="containsText" text="POR VALIDAR ">
      <formula>NOT(ISERROR(SEARCH("POR VALIDAR ",G37)))</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containsText" priority="25" operator="containsText" id="{1D401431-0B19-4BEE-BB00-9E14BA8EFDF9}">
            <xm:f>NOT(ISERROR(SEARCH($C$2,D25)))</xm:f>
            <xm:f>$C$2</xm:f>
            <x14:dxf>
              <fill>
                <patternFill patternType="solid">
                  <bgColor theme="7" tint="0.79998168889431442"/>
                </patternFill>
              </fill>
            </x14:dxf>
          </x14:cfRule>
          <xm:sqref>D25:D26</xm:sqref>
        </x14:conditionalFormatting>
        <x14:conditionalFormatting xmlns:xm="http://schemas.microsoft.com/office/excel/2006/main">
          <x14:cfRule type="containsText" priority="20" operator="containsText" id="{B06FDF22-6F4C-42AE-AABF-6814D3905924}">
            <xm:f>NOT(ISERROR(SEARCH($C$2,D28)))</xm:f>
            <xm:f>$C$2</xm:f>
            <x14:dxf>
              <fill>
                <patternFill patternType="solid">
                  <bgColor theme="7" tint="0.79998168889431442"/>
                </patternFill>
              </fill>
            </x14:dxf>
          </x14:cfRule>
          <xm:sqref>D28:D29</xm:sqref>
        </x14:conditionalFormatting>
        <x14:conditionalFormatting xmlns:xm="http://schemas.microsoft.com/office/excel/2006/main">
          <x14:cfRule type="containsText" priority="15" operator="containsText" id="{F5E6356B-320C-443E-832C-1D6212CD95B2}">
            <xm:f>NOT(ISERROR(SEARCH($C$2,D31)))</xm:f>
            <xm:f>$C$2</xm:f>
            <x14:dxf>
              <fill>
                <patternFill patternType="solid">
                  <bgColor theme="7" tint="0.79998168889431442"/>
                </patternFill>
              </fill>
            </x14:dxf>
          </x14:cfRule>
          <xm:sqref>D31:D32</xm:sqref>
        </x14:conditionalFormatting>
        <x14:conditionalFormatting xmlns:xm="http://schemas.microsoft.com/office/excel/2006/main">
          <x14:cfRule type="containsText" priority="10" operator="containsText" id="{47153F15-A49D-4553-AEF8-886877DEDF1E}">
            <xm:f>NOT(ISERROR(SEARCH($C$2,D34)))</xm:f>
            <xm:f>$C$2</xm:f>
            <x14:dxf>
              <fill>
                <patternFill patternType="solid">
                  <bgColor theme="7" tint="0.79998168889431442"/>
                </patternFill>
              </fill>
            </x14:dxf>
          </x14:cfRule>
          <xm:sqref>D34:D35</xm:sqref>
        </x14:conditionalFormatting>
        <x14:conditionalFormatting xmlns:xm="http://schemas.microsoft.com/office/excel/2006/main">
          <x14:cfRule type="containsText" priority="5" operator="containsText" id="{1CD9B5A0-C4BE-474A-97A6-8AA64A8DBFC2}">
            <xm:f>NOT(ISERROR(SEARCH($C$2,D37)))</xm:f>
            <xm:f>$C$2</xm:f>
            <x14:dxf>
              <fill>
                <patternFill patternType="solid">
                  <bgColor theme="7" tint="0.79998168889431442"/>
                </patternFill>
              </fill>
            </x14:dxf>
          </x14:cfRule>
          <xm:sqref>D37:D38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1138F-E0C6-4AB2-AF76-395B857708EE}">
  <dimension ref="A1:D13"/>
  <sheetViews>
    <sheetView workbookViewId="0">
      <selection activeCell="C11" sqref="C11"/>
    </sheetView>
  </sheetViews>
  <sheetFormatPr baseColWidth="10" defaultColWidth="11.453125" defaultRowHeight="14.5" x14ac:dyDescent="0.35"/>
  <cols>
    <col min="1" max="1" width="31.453125" bestFit="1" customWidth="1"/>
    <col min="2" max="2" width="48" bestFit="1" customWidth="1"/>
    <col min="3" max="3" width="21.1796875" bestFit="1" customWidth="1"/>
    <col min="4" max="4" width="11.81640625" bestFit="1" customWidth="1"/>
  </cols>
  <sheetData>
    <row r="1" spans="1:4" x14ac:dyDescent="0.35">
      <c r="A1" t="s">
        <v>987</v>
      </c>
      <c r="B1" t="s">
        <v>988</v>
      </c>
      <c r="C1" t="s">
        <v>989</v>
      </c>
      <c r="D1" t="s">
        <v>37</v>
      </c>
    </row>
    <row r="2" spans="1:4" x14ac:dyDescent="0.35">
      <c r="A2" t="s">
        <v>990</v>
      </c>
      <c r="B2" t="s">
        <v>991</v>
      </c>
      <c r="C2" t="s">
        <v>992</v>
      </c>
    </row>
    <row r="3" spans="1:4" x14ac:dyDescent="0.35">
      <c r="B3" t="s">
        <v>993</v>
      </c>
      <c r="C3" t="s">
        <v>994</v>
      </c>
    </row>
    <row r="4" spans="1:4" x14ac:dyDescent="0.35">
      <c r="B4" t="s">
        <v>995</v>
      </c>
    </row>
    <row r="5" spans="1:4" x14ac:dyDescent="0.35">
      <c r="B5" t="s">
        <v>996</v>
      </c>
    </row>
    <row r="6" spans="1:4" x14ac:dyDescent="0.35">
      <c r="A6" t="s">
        <v>997</v>
      </c>
      <c r="B6" t="s">
        <v>991</v>
      </c>
      <c r="C6" t="s">
        <v>998</v>
      </c>
      <c r="D6" t="s">
        <v>999</v>
      </c>
    </row>
    <row r="7" spans="1:4" x14ac:dyDescent="0.35">
      <c r="B7" t="s">
        <v>1000</v>
      </c>
      <c r="D7" s="150"/>
    </row>
    <row r="8" spans="1:4" x14ac:dyDescent="0.35">
      <c r="B8" t="s">
        <v>1001</v>
      </c>
    </row>
    <row r="9" spans="1:4" x14ac:dyDescent="0.35">
      <c r="B9" t="s">
        <v>1002</v>
      </c>
    </row>
    <row r="10" spans="1:4" x14ac:dyDescent="0.35">
      <c r="B10" t="s">
        <v>1003</v>
      </c>
    </row>
    <row r="11" spans="1:4" x14ac:dyDescent="0.35">
      <c r="A11" t="s">
        <v>1004</v>
      </c>
      <c r="B11" t="s">
        <v>1005</v>
      </c>
    </row>
    <row r="12" spans="1:4" x14ac:dyDescent="0.35">
      <c r="B12" t="s">
        <v>1006</v>
      </c>
    </row>
    <row r="13" spans="1:4" x14ac:dyDescent="0.35">
      <c r="B13" t="s">
        <v>1007</v>
      </c>
    </row>
  </sheetData>
  <hyperlinks>
    <hyperlink ref="C6" r:id="rId1" xr:uid="{CE0AC4AE-B4AB-460C-9EA4-F42C09F98013}"/>
    <hyperlink ref="D6" r:id="rId2" display="tel:300 300 0439" xr:uid="{56A58CB4-944D-4AF8-8854-635BBD944C7A}"/>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D71D2-45FC-4A45-B2C8-4BF0D4E0F76A}">
  <sheetPr>
    <tabColor theme="0"/>
  </sheetPr>
  <dimension ref="A1:L8"/>
  <sheetViews>
    <sheetView workbookViewId="0">
      <selection activeCell="A7" sqref="A7"/>
    </sheetView>
  </sheetViews>
  <sheetFormatPr baseColWidth="10" defaultColWidth="11.453125" defaultRowHeight="14.5" x14ac:dyDescent="0.35"/>
  <cols>
    <col min="1" max="1" width="17.7265625" bestFit="1" customWidth="1"/>
    <col min="2" max="2" width="15.54296875" customWidth="1"/>
    <col min="3" max="3" width="5.1796875" style="17" bestFit="1" customWidth="1"/>
    <col min="4" max="4" width="10.81640625" bestFit="1" customWidth="1"/>
    <col min="5" max="5" width="9.453125" bestFit="1" customWidth="1"/>
    <col min="6" max="6" width="12.1796875" bestFit="1" customWidth="1"/>
    <col min="7" max="7" width="12.1796875" customWidth="1"/>
    <col min="8" max="8" width="20.453125" bestFit="1" customWidth="1"/>
    <col min="9" max="9" width="15" customWidth="1"/>
    <col min="10" max="10" width="25.54296875" style="144" bestFit="1" customWidth="1"/>
    <col min="11" max="11" width="32.26953125" bestFit="1" customWidth="1"/>
    <col min="12" max="12" width="25.54296875" bestFit="1" customWidth="1"/>
  </cols>
  <sheetData>
    <row r="1" spans="1:12" s="5" customFormat="1" x14ac:dyDescent="0.35">
      <c r="A1" s="5" t="s">
        <v>924</v>
      </c>
      <c r="B1" s="5" t="s">
        <v>925</v>
      </c>
      <c r="C1" s="5" t="s">
        <v>167</v>
      </c>
      <c r="D1" s="5" t="s">
        <v>926</v>
      </c>
      <c r="E1" s="5" t="s">
        <v>927</v>
      </c>
      <c r="F1" s="5" t="s">
        <v>928</v>
      </c>
      <c r="G1" s="5" t="s">
        <v>929</v>
      </c>
      <c r="H1" s="5" t="s">
        <v>930</v>
      </c>
      <c r="I1" s="5" t="s">
        <v>931</v>
      </c>
      <c r="J1" s="145" t="s">
        <v>932</v>
      </c>
      <c r="K1" s="5" t="s">
        <v>933</v>
      </c>
      <c r="L1" s="5" t="s">
        <v>934</v>
      </c>
    </row>
    <row r="2" spans="1:12" s="2" customFormat="1" ht="101.5" x14ac:dyDescent="0.35">
      <c r="A2" s="2" t="s">
        <v>935</v>
      </c>
      <c r="B2" s="2" t="s">
        <v>936</v>
      </c>
      <c r="C2" s="2" t="s">
        <v>47</v>
      </c>
      <c r="D2" s="2">
        <v>1027401387</v>
      </c>
      <c r="E2" s="2" t="s">
        <v>937</v>
      </c>
      <c r="F2" s="2" t="s">
        <v>938</v>
      </c>
      <c r="G2" s="30">
        <v>42251</v>
      </c>
      <c r="H2" s="30">
        <v>45706</v>
      </c>
      <c r="I2" s="148" t="s">
        <v>939</v>
      </c>
      <c r="J2" s="146" t="s">
        <v>940</v>
      </c>
      <c r="K2" s="147" t="s">
        <v>941</v>
      </c>
      <c r="L2" s="147" t="s">
        <v>942</v>
      </c>
    </row>
    <row r="3" spans="1:12" s="116" customFormat="1" ht="43.5" x14ac:dyDescent="0.35">
      <c r="A3" s="116" t="s">
        <v>943</v>
      </c>
      <c r="B3" s="116" t="s">
        <v>944</v>
      </c>
      <c r="C3" s="2" t="s">
        <v>47</v>
      </c>
      <c r="D3" s="2">
        <v>1066568728</v>
      </c>
      <c r="E3" s="116" t="s">
        <v>945</v>
      </c>
      <c r="F3" s="116" t="s">
        <v>946</v>
      </c>
      <c r="G3" s="30">
        <v>44084</v>
      </c>
      <c r="H3" s="30">
        <v>45698</v>
      </c>
      <c r="I3" s="148" t="s">
        <v>939</v>
      </c>
      <c r="J3" s="146" t="s">
        <v>947</v>
      </c>
      <c r="K3" s="147" t="s">
        <v>948</v>
      </c>
      <c r="L3" s="147" t="s">
        <v>949</v>
      </c>
    </row>
    <row r="4" spans="1:12" ht="58" customHeight="1" x14ac:dyDescent="0.35">
      <c r="A4" s="2" t="s">
        <v>1173</v>
      </c>
      <c r="B4" s="2" t="s">
        <v>1174</v>
      </c>
      <c r="C4" s="2" t="s">
        <v>47</v>
      </c>
      <c r="D4" s="2">
        <v>17358027</v>
      </c>
      <c r="E4" s="116" t="s">
        <v>1175</v>
      </c>
      <c r="F4" s="116" t="s">
        <v>1176</v>
      </c>
      <c r="G4" s="30" t="s">
        <v>1177</v>
      </c>
      <c r="H4" s="30">
        <v>45770</v>
      </c>
      <c r="I4" s="148" t="s">
        <v>939</v>
      </c>
      <c r="J4" s="146" t="s">
        <v>1178</v>
      </c>
      <c r="K4" s="147" t="s">
        <v>1198</v>
      </c>
      <c r="L4" s="148" t="s">
        <v>939</v>
      </c>
    </row>
    <row r="5" spans="1:12" ht="43.5" x14ac:dyDescent="0.35">
      <c r="A5" s="2" t="s">
        <v>1193</v>
      </c>
      <c r="B5" s="2" t="s">
        <v>1194</v>
      </c>
      <c r="C5" s="2" t="s">
        <v>47</v>
      </c>
      <c r="D5" s="2">
        <v>1035865082</v>
      </c>
      <c r="E5" s="116" t="s">
        <v>1195</v>
      </c>
      <c r="F5" s="116" t="s">
        <v>1176</v>
      </c>
      <c r="G5" s="30" t="s">
        <v>1177</v>
      </c>
      <c r="H5" s="30">
        <v>45772</v>
      </c>
      <c r="I5" s="148" t="s">
        <v>939</v>
      </c>
      <c r="J5" s="146" t="s">
        <v>1196</v>
      </c>
      <c r="K5" s="147" t="s">
        <v>1197</v>
      </c>
      <c r="L5" s="148" t="s">
        <v>939</v>
      </c>
    </row>
    <row r="7" spans="1:12" x14ac:dyDescent="0.35">
      <c r="H7" t="s">
        <v>81</v>
      </c>
    </row>
    <row r="8" spans="1:12" x14ac:dyDescent="0.35">
      <c r="B8" s="17"/>
      <c r="D8" s="17"/>
    </row>
  </sheetData>
  <pageMargins left="0.25" right="0.25" top="0.75" bottom="0.75" header="0.3" footer="0.3"/>
  <pageSetup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DFE31-8C3D-4ECC-8BC8-4D9CD251F4B9}">
  <sheetPr>
    <tabColor theme="0"/>
  </sheetPr>
  <dimension ref="B1:E5"/>
  <sheetViews>
    <sheetView topLeftCell="D1" zoomScale="80" zoomScaleNormal="80" workbookViewId="0">
      <selection activeCell="B3" sqref="B3"/>
    </sheetView>
  </sheetViews>
  <sheetFormatPr baseColWidth="10" defaultRowHeight="14.5" x14ac:dyDescent="0.35"/>
  <cols>
    <col min="2" max="2" width="105.6328125" customWidth="1"/>
    <col min="3" max="4" width="70.453125" customWidth="1"/>
    <col min="5" max="5" width="69.36328125" customWidth="1"/>
  </cols>
  <sheetData>
    <row r="1" spans="2:5" s="308" customFormat="1" ht="18.5" x14ac:dyDescent="0.45">
      <c r="B1" s="307" t="s">
        <v>1202</v>
      </c>
      <c r="C1" s="307" t="s">
        <v>1208</v>
      </c>
      <c r="D1" s="307" t="s">
        <v>1209</v>
      </c>
      <c r="E1" s="307" t="s">
        <v>1210</v>
      </c>
    </row>
    <row r="2" spans="2:5" ht="391.5" x14ac:dyDescent="0.35">
      <c r="B2" s="244" t="s">
        <v>1201</v>
      </c>
      <c r="C2" s="306" t="s">
        <v>1203</v>
      </c>
      <c r="D2" s="306" t="s">
        <v>1204</v>
      </c>
      <c r="E2" s="306" t="s">
        <v>1207</v>
      </c>
    </row>
    <row r="4" spans="2:5" ht="18.5" x14ac:dyDescent="0.45">
      <c r="B4" s="307" t="s">
        <v>1205</v>
      </c>
    </row>
    <row r="5" spans="2:5" ht="145" x14ac:dyDescent="0.35">
      <c r="B5" s="244" t="s">
        <v>1206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711C-B554-45B8-AF33-84E5FFB46B6A}">
  <sheetPr>
    <tabColor theme="0"/>
  </sheetPr>
  <dimension ref="B1:J26"/>
  <sheetViews>
    <sheetView zoomScale="110" zoomScaleNormal="110" workbookViewId="0">
      <selection activeCell="E22" sqref="E22"/>
    </sheetView>
  </sheetViews>
  <sheetFormatPr baseColWidth="10" defaultRowHeight="14.5" x14ac:dyDescent="0.35"/>
  <cols>
    <col min="1" max="1" width="2.26953125" style="217" customWidth="1"/>
    <col min="2" max="2" width="13.7265625" style="217" customWidth="1"/>
    <col min="3" max="3" width="14.90625" style="217" customWidth="1"/>
    <col min="4" max="4" width="14.36328125" style="217" customWidth="1"/>
    <col min="5" max="5" width="15.90625" style="219" bestFit="1" customWidth="1"/>
    <col min="6" max="6" width="27.26953125" style="217" customWidth="1"/>
    <col min="7" max="7" width="13.08984375" style="217" bestFit="1" customWidth="1"/>
    <col min="8" max="8" width="12.6328125" style="217" bestFit="1" customWidth="1"/>
    <col min="9" max="9" width="13.08984375" style="217" customWidth="1"/>
    <col min="10" max="10" width="12.6328125" style="217" customWidth="1"/>
    <col min="11" max="11" width="17.54296875" style="217" customWidth="1"/>
    <col min="12" max="12" width="8.7265625" style="217" bestFit="1" customWidth="1"/>
    <col min="13" max="16384" width="10.90625" style="217"/>
  </cols>
  <sheetData>
    <row r="1" spans="2:10" ht="13.5" customHeight="1" x14ac:dyDescent="0.35">
      <c r="G1" s="253" t="s">
        <v>10</v>
      </c>
      <c r="H1" s="253" t="s">
        <v>1107</v>
      </c>
      <c r="I1" s="253" t="s">
        <v>1108</v>
      </c>
    </row>
    <row r="2" spans="2:10" ht="16" x14ac:dyDescent="0.4">
      <c r="B2" s="312" t="s">
        <v>450</v>
      </c>
      <c r="C2" s="312"/>
      <c r="D2" s="312"/>
      <c r="E2" s="312"/>
      <c r="F2" s="234" t="s">
        <v>1106</v>
      </c>
      <c r="G2" s="254">
        <f ca="1">DATEDIF(F9,TODAY(),"m")</f>
        <v>14</v>
      </c>
      <c r="H2" s="259">
        <f ca="1">DATEDIF(F9,TODAY(),"d")</f>
        <v>452</v>
      </c>
      <c r="I2" s="254">
        <f ca="1">DATEDIF(F9,TODAY(),"y")</f>
        <v>1</v>
      </c>
    </row>
    <row r="3" spans="2:10" ht="42.5" customHeight="1" x14ac:dyDescent="0.35">
      <c r="B3" s="312"/>
      <c r="C3" s="312"/>
      <c r="D3" s="312"/>
      <c r="E3" s="312"/>
    </row>
    <row r="4" spans="2:10" ht="16" x14ac:dyDescent="0.35">
      <c r="B4" s="223" t="s">
        <v>573</v>
      </c>
      <c r="C4" s="223" t="str">
        <f>_xlfn.XLOOKUP(B2,Activos[NOMBRE],Activos[DOC])</f>
        <v>CC</v>
      </c>
      <c r="D4" s="224" t="s">
        <v>1053</v>
      </c>
      <c r="E4" s="223" t="s">
        <v>571</v>
      </c>
      <c r="F4" s="236" t="str">
        <f>_xlfn.XLOOKUP(B2,Activos[NOMBRE],Activos[CARGO])</f>
        <v>CONDUCTOR</v>
      </c>
      <c r="G4" s="235" t="s">
        <v>178</v>
      </c>
      <c r="H4" s="247" t="str">
        <f>_xlfn.XLOOKUP(B2,Activos[NOMBRE],Activos[T.Camisa])</f>
        <v>L</v>
      </c>
      <c r="I4" s="235" t="s">
        <v>1125</v>
      </c>
      <c r="J4" s="252">
        <f>_xlfn.XLOOKUP(B2,Activos[NOMBRE],Activos[VALIDACION.SIPLAFT])</f>
        <v>45322</v>
      </c>
    </row>
    <row r="5" spans="2:10" ht="16" x14ac:dyDescent="0.35">
      <c r="B5" s="20" t="str">
        <f>_xlfn.XLOOKUP(B2,Activos[NOMBRE],Activos[GENERO])</f>
        <v>Masculino</v>
      </c>
      <c r="C5" s="220">
        <f>_xlfn.XLOOKUP(B2,Activos[NOMBRE],Activos[ID])</f>
        <v>1035415330</v>
      </c>
      <c r="D5" s="226">
        <f>_xlfn.XLOOKUP(B2,Activos[NOMBRE],Activos[[NACIMIENTO ]])</f>
        <v>31265</v>
      </c>
      <c r="E5" s="223" t="s">
        <v>572</v>
      </c>
      <c r="F5" s="237" t="str">
        <f>_xlfn.XLOOKUP(B2,Activos[NOMBRE],Activos[AREA])</f>
        <v>OPERACIONES</v>
      </c>
      <c r="G5" s="232" t="s">
        <v>574</v>
      </c>
      <c r="H5" s="247">
        <f>_xlfn.XLOOKUP(B2,Activos[NOMBRE],Activos[T.Pantalon ])</f>
        <v>32</v>
      </c>
      <c r="I5" s="235" t="s">
        <v>1126</v>
      </c>
      <c r="J5" s="252" t="str">
        <f>_xlfn.XLOOKUP(B2,Activos[NOMBRE],Activos[ARCHIVOS])</f>
        <v>FISICO-PDF</v>
      </c>
    </row>
    <row r="6" spans="2:10" ht="16" x14ac:dyDescent="0.4">
      <c r="B6" s="225" t="s">
        <v>170</v>
      </c>
      <c r="C6" s="221">
        <f>_xlfn.XLOOKUP(B2,Activos[NOMBRE],Activos[CONTACTO])</f>
        <v>3218759605</v>
      </c>
      <c r="D6" s="222"/>
      <c r="E6" s="223" t="s">
        <v>1069</v>
      </c>
      <c r="F6" s="237" t="str">
        <f>_xlfn.XLOOKUP(B2,Activos[NOMBRE],Activos[OPERACION])</f>
        <v>CONDUCTOR</v>
      </c>
      <c r="G6" s="229" t="s">
        <v>180</v>
      </c>
      <c r="H6" s="247">
        <f>_xlfn.XLOOKUP(B2,Activos[NOMBRE],Activos[T.Botas])</f>
        <v>40</v>
      </c>
    </row>
    <row r="7" spans="2:10" x14ac:dyDescent="0.35">
      <c r="B7" s="315" t="str">
        <f>_xlfn.XLOOKUP(B2,Activos[NOMBRE],Activos[CORREO])</f>
        <v>Manuelfernandohincapie56@gmail.com</v>
      </c>
      <c r="C7" s="315"/>
      <c r="D7" s="316"/>
      <c r="F7" s="222"/>
    </row>
    <row r="8" spans="2:10" ht="16" x14ac:dyDescent="0.4">
      <c r="B8" s="225" t="s">
        <v>171</v>
      </c>
      <c r="C8" s="218" t="str">
        <f>_xlfn.XLOOKUP(B2,Activos[NOMBRE],Activos[N.ESTUDIOS])</f>
        <v xml:space="preserve">NO REGISTRA </v>
      </c>
      <c r="D8" s="222"/>
      <c r="E8" s="223" t="s">
        <v>1055</v>
      </c>
      <c r="F8" s="22" t="str">
        <f>_xlfn.XLOOKUP(B2,Activos[NOMBRE],Activos[TIPO.CONTRATO ])</f>
        <v xml:space="preserve">CONTR. A TERMINO INDEFINIDO </v>
      </c>
      <c r="G8" s="248" t="s">
        <v>1057</v>
      </c>
      <c r="H8" s="250" t="e">
        <f>_xlfn.XLOOKUP(B2,Activos[NOMBRE],#REF!)</f>
        <v>#REF!</v>
      </c>
      <c r="I8" s="248" t="s">
        <v>1058</v>
      </c>
      <c r="J8" s="250" t="e">
        <f>_xlfn.XLOOKUP(B2,Activos[NOMBRE],#REF!)</f>
        <v>#REF!</v>
      </c>
    </row>
    <row r="9" spans="2:10" ht="16" x14ac:dyDescent="0.4">
      <c r="B9" s="225" t="s">
        <v>172</v>
      </c>
      <c r="C9" s="313" t="str">
        <f>_xlfn.XLOOKUP(B2,Activos[NOMBRE],Activos[PROFESION])</f>
        <v>INDEPENDIENTE</v>
      </c>
      <c r="D9" s="314"/>
      <c r="E9" s="223" t="s">
        <v>1054</v>
      </c>
      <c r="F9" s="230">
        <f>_xlfn.XLOOKUP(B2,Activos[NOMBRE],Activos[CONTRATO])</f>
        <v>45323</v>
      </c>
      <c r="G9" s="249" t="s">
        <v>1063</v>
      </c>
      <c r="H9" s="250" t="e">
        <f>_xlfn.XLOOKUP(B2,Activos[NOMBRE],#REF!)</f>
        <v>#REF!</v>
      </c>
      <c r="I9" s="249" t="s">
        <v>1064</v>
      </c>
      <c r="J9" s="250" t="e">
        <f>_xlfn.XLOOKUP(B2,Activos[NOMBRE],#REF!)</f>
        <v>#REF!</v>
      </c>
    </row>
    <row r="10" spans="2:10" ht="16" x14ac:dyDescent="0.4">
      <c r="B10" s="225" t="s">
        <v>1051</v>
      </c>
      <c r="C10" s="227" t="str">
        <f>_xlfn.XLOOKUP(B2,Activos[NOMBRE],Activos[[Banco ]])</f>
        <v>Bancolombia</v>
      </c>
      <c r="D10" s="222"/>
      <c r="G10" s="223" t="s">
        <v>1061</v>
      </c>
      <c r="H10" s="20" t="e">
        <f>_xlfn.XLOOKUP(B2,Activos[NOMBRE],#REF!)</f>
        <v>#REF!</v>
      </c>
      <c r="I10" s="223" t="s">
        <v>1062</v>
      </c>
      <c r="J10" s="20" t="e">
        <f>_xlfn.XLOOKUP(B2,Activos[NOMBRE],#REF!)</f>
        <v>#REF!</v>
      </c>
    </row>
    <row r="11" spans="2:10" ht="16" x14ac:dyDescent="0.4">
      <c r="B11" s="225" t="s">
        <v>1066</v>
      </c>
      <c r="C11" s="227" t="str">
        <f>_xlfn.XLOOKUP(B2,Activos[NOMBRE],Activos[Clase])</f>
        <v>Ahorros</v>
      </c>
      <c r="D11" s="222"/>
      <c r="E11" s="228" t="s">
        <v>1056</v>
      </c>
      <c r="F11" s="238">
        <f>_xlfn.XLOOKUP(B2,Activos[NOMBRE],Activos[COBERTURA-ARL])</f>
        <v>45323</v>
      </c>
      <c r="H11" s="251"/>
    </row>
    <row r="12" spans="2:10" ht="16" x14ac:dyDescent="0.4">
      <c r="B12" s="225" t="s">
        <v>1073</v>
      </c>
      <c r="C12" s="227">
        <f>_xlfn.XLOOKUP(B2,Activos[NOMBRE],Activos[Numero de Cuenta])</f>
        <v>25345366167</v>
      </c>
      <c r="D12" s="222"/>
      <c r="E12" s="223" t="s">
        <v>184</v>
      </c>
      <c r="F12" s="239" t="str">
        <f>_xlfn.XLOOKUP(B2,Activos[NOMBRE],Activos[EPS])</f>
        <v>EPS Sura</v>
      </c>
      <c r="G12" s="248" t="s">
        <v>1071</v>
      </c>
      <c r="H12" s="250" t="e">
        <f>_xlfn.XLOOKUP(B2,Activos[NOMBRE],#REF!)</f>
        <v>#REF!</v>
      </c>
    </row>
    <row r="13" spans="2:10" ht="16" x14ac:dyDescent="0.35">
      <c r="D13" s="222"/>
      <c r="E13" s="223" t="s">
        <v>1059</v>
      </c>
      <c r="F13" s="239" t="str">
        <f>_xlfn.XLOOKUP(B2,Activos[NOMBRE],Activos[[PENSION ]])</f>
        <v xml:space="preserve">COLPENSIONES </v>
      </c>
      <c r="G13" s="249" t="s">
        <v>1072</v>
      </c>
      <c r="H13" s="250" t="e">
        <f>_xlfn.XLOOKUP(B2,Activos[NOMBRE],#REF!)</f>
        <v>#REF!</v>
      </c>
    </row>
    <row r="14" spans="2:10" ht="16" x14ac:dyDescent="0.35">
      <c r="D14" s="222"/>
      <c r="E14" s="223" t="s">
        <v>1060</v>
      </c>
      <c r="F14" s="239" t="str">
        <f>_xlfn.XLOOKUP(B2,Activos[NOMBRE],Activos[CESANTIAS])</f>
        <v>PROTECCION</v>
      </c>
      <c r="G14" s="223" t="s">
        <v>1065</v>
      </c>
      <c r="H14" s="20" t="e">
        <f>_xlfn.XLOOKUP(B2,Activos[NOMBRE],#REF!)</f>
        <v>#REF!</v>
      </c>
    </row>
    <row r="15" spans="2:10" x14ac:dyDescent="0.35">
      <c r="F15" s="219"/>
      <c r="H15" s="219"/>
      <c r="I15" s="219"/>
      <c r="J15" s="219"/>
    </row>
    <row r="18" spans="5:10" x14ac:dyDescent="0.35">
      <c r="J18" s="231"/>
    </row>
    <row r="19" spans="5:10" x14ac:dyDescent="0.35">
      <c r="F19" s="62"/>
    </row>
    <row r="20" spans="5:10" x14ac:dyDescent="0.35">
      <c r="F20" s="62"/>
    </row>
    <row r="24" spans="5:10" x14ac:dyDescent="0.35">
      <c r="E24" s="62"/>
      <c r="F24" s="62"/>
    </row>
    <row r="25" spans="5:10" ht="16" x14ac:dyDescent="0.35">
      <c r="E25" s="233"/>
      <c r="F25" s="233"/>
    </row>
    <row r="26" spans="5:10" ht="16" x14ac:dyDescent="0.35">
      <c r="E26" s="234"/>
      <c r="F26" s="234"/>
    </row>
  </sheetData>
  <mergeCells count="3">
    <mergeCell ref="B2:E3"/>
    <mergeCell ref="C9:D9"/>
    <mergeCell ref="B7:D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05DD01-E8DD-4DFE-977F-98476F340E9A}">
          <x14:formula1>
            <xm:f>PERSONAL!$C$4:$C$72</xm:f>
          </x14:formula1>
          <xm:sqref>B2:E3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337D-9D9E-4CA5-A0A3-0594024BFC9F}">
  <sheetPr>
    <tabColor theme="0"/>
  </sheetPr>
  <dimension ref="A1:I64"/>
  <sheetViews>
    <sheetView zoomScale="80" zoomScaleNormal="80" workbookViewId="0">
      <pane ySplit="1" topLeftCell="A42" activePane="bottomLeft" state="frozen"/>
      <selection activeCell="B1" sqref="B1"/>
      <selection pane="bottomLeft" activeCell="F76" sqref="F76"/>
    </sheetView>
  </sheetViews>
  <sheetFormatPr baseColWidth="10" defaultColWidth="11.453125" defaultRowHeight="14.5" x14ac:dyDescent="0.35"/>
  <cols>
    <col min="1" max="1" width="28.1796875" style="82" bestFit="1" customWidth="1"/>
    <col min="2" max="2" width="35.453125" bestFit="1" customWidth="1"/>
    <col min="3" max="3" width="13.81640625" style="2" customWidth="1"/>
    <col min="4" max="4" width="11.453125" style="105" bestFit="1" customWidth="1"/>
    <col min="5" max="5" width="52.7265625" style="17" bestFit="1" customWidth="1"/>
    <col min="6" max="6" width="14.1796875" bestFit="1" customWidth="1"/>
    <col min="7" max="7" width="13.7265625" bestFit="1" customWidth="1"/>
    <col min="8" max="8" width="16.453125" style="2" bestFit="1" customWidth="1"/>
    <col min="9" max="9" width="17.1796875" style="78" bestFit="1" customWidth="1"/>
  </cols>
  <sheetData>
    <row r="1" spans="1:9" s="17" customFormat="1" x14ac:dyDescent="0.35">
      <c r="A1" s="182" t="s">
        <v>32</v>
      </c>
      <c r="B1" s="17" t="s">
        <v>33</v>
      </c>
      <c r="C1" s="17" t="s">
        <v>34</v>
      </c>
      <c r="D1" s="5" t="s">
        <v>35</v>
      </c>
      <c r="E1" s="5" t="s">
        <v>36</v>
      </c>
      <c r="F1" s="5" t="s">
        <v>37</v>
      </c>
      <c r="G1" s="183" t="s">
        <v>38</v>
      </c>
      <c r="H1" s="184" t="s">
        <v>39</v>
      </c>
      <c r="I1" s="185" t="s">
        <v>40</v>
      </c>
    </row>
    <row r="2" spans="1:9" x14ac:dyDescent="0.35">
      <c r="A2" s="92">
        <v>45698</v>
      </c>
      <c r="B2" s="83" t="s">
        <v>41</v>
      </c>
      <c r="C2" s="76">
        <v>0</v>
      </c>
      <c r="D2" s="115">
        <v>0</v>
      </c>
      <c r="E2" s="120" t="s">
        <v>42</v>
      </c>
      <c r="F2" s="75">
        <v>0</v>
      </c>
      <c r="G2" s="84">
        <v>0.375</v>
      </c>
      <c r="H2" s="152"/>
      <c r="I2" s="124" t="s">
        <v>43</v>
      </c>
    </row>
    <row r="3" spans="1:9" x14ac:dyDescent="0.35">
      <c r="A3" s="87">
        <v>45698</v>
      </c>
      <c r="B3" s="88" t="s">
        <v>44</v>
      </c>
      <c r="C3" s="89">
        <v>0</v>
      </c>
      <c r="D3" s="186">
        <v>0</v>
      </c>
      <c r="E3" s="121" t="s">
        <v>42</v>
      </c>
      <c r="F3" s="90">
        <v>0</v>
      </c>
      <c r="G3" s="91">
        <v>0.39583333333333331</v>
      </c>
      <c r="H3" s="152"/>
      <c r="I3" s="124" t="s">
        <v>45</v>
      </c>
    </row>
    <row r="4" spans="1:9" x14ac:dyDescent="0.35">
      <c r="A4" s="92">
        <v>45698</v>
      </c>
      <c r="B4" s="74" t="s">
        <v>46</v>
      </c>
      <c r="C4" s="2" t="s">
        <v>47</v>
      </c>
      <c r="D4" s="164">
        <v>1042763750</v>
      </c>
      <c r="E4" s="120" t="s">
        <v>48</v>
      </c>
      <c r="F4" s="164" t="s">
        <v>49</v>
      </c>
      <c r="G4" s="77">
        <v>0.58333333333333337</v>
      </c>
      <c r="H4" s="152"/>
      <c r="I4" s="124" t="s">
        <v>43</v>
      </c>
    </row>
    <row r="5" spans="1:9" s="15" customFormat="1" x14ac:dyDescent="0.35">
      <c r="A5" s="101"/>
      <c r="C5" s="81"/>
      <c r="D5" s="162"/>
      <c r="E5" s="122"/>
      <c r="F5" s="81"/>
      <c r="G5" s="102"/>
      <c r="H5" s="152"/>
      <c r="I5" s="125"/>
    </row>
    <row r="6" spans="1:9" x14ac:dyDescent="0.35">
      <c r="A6" s="87">
        <v>45699</v>
      </c>
      <c r="B6" s="88" t="s">
        <v>50</v>
      </c>
      <c r="C6" s="89">
        <v>0</v>
      </c>
      <c r="D6" s="186">
        <v>0</v>
      </c>
      <c r="E6" s="121" t="s">
        <v>48</v>
      </c>
      <c r="F6" s="90">
        <v>0</v>
      </c>
      <c r="G6" s="91">
        <v>0.41666666666666669</v>
      </c>
      <c r="H6" s="152"/>
      <c r="I6" s="124" t="s">
        <v>45</v>
      </c>
    </row>
    <row r="7" spans="1:9" x14ac:dyDescent="0.35">
      <c r="A7" s="87">
        <v>45699</v>
      </c>
      <c r="B7" s="88" t="s">
        <v>51</v>
      </c>
      <c r="C7" s="89">
        <v>0</v>
      </c>
      <c r="D7" s="186">
        <v>0</v>
      </c>
      <c r="E7" s="121" t="s">
        <v>48</v>
      </c>
      <c r="F7" s="90">
        <v>0</v>
      </c>
      <c r="G7" s="91">
        <v>0.45833333333333331</v>
      </c>
      <c r="H7" s="152"/>
      <c r="I7" s="124" t="s">
        <v>45</v>
      </c>
    </row>
    <row r="8" spans="1:9" x14ac:dyDescent="0.35">
      <c r="A8" s="92">
        <v>45699</v>
      </c>
      <c r="B8" s="74" t="s">
        <v>52</v>
      </c>
      <c r="C8" s="75">
        <v>0</v>
      </c>
      <c r="D8" s="164">
        <v>0</v>
      </c>
      <c r="E8" s="120" t="s">
        <v>48</v>
      </c>
      <c r="F8" s="75">
        <v>0</v>
      </c>
      <c r="G8" s="77">
        <v>0.58333333333333337</v>
      </c>
      <c r="H8" s="152"/>
      <c r="I8" s="124" t="s">
        <v>43</v>
      </c>
    </row>
    <row r="9" spans="1:9" s="15" customFormat="1" x14ac:dyDescent="0.35">
      <c r="A9" s="101"/>
      <c r="C9" s="81"/>
      <c r="D9" s="162"/>
      <c r="E9" s="122"/>
      <c r="F9" s="81"/>
      <c r="G9" s="102"/>
      <c r="H9" s="152"/>
      <c r="I9" s="125"/>
    </row>
    <row r="10" spans="1:9" x14ac:dyDescent="0.35">
      <c r="A10" s="82">
        <v>45700</v>
      </c>
      <c r="B10" t="s">
        <v>53</v>
      </c>
      <c r="C10" s="2" t="s">
        <v>47</v>
      </c>
      <c r="D10" s="105">
        <v>1021923424</v>
      </c>
      <c r="E10" s="5" t="s">
        <v>42</v>
      </c>
      <c r="F10" s="163" t="s">
        <v>54</v>
      </c>
      <c r="G10" s="73">
        <v>0.375</v>
      </c>
      <c r="H10" s="152"/>
      <c r="I10" s="124" t="s">
        <v>45</v>
      </c>
    </row>
    <row r="11" spans="1:9" s="15" customFormat="1" x14ac:dyDescent="0.35">
      <c r="A11" s="101"/>
      <c r="C11" s="81"/>
      <c r="D11" s="118"/>
      <c r="E11" s="93"/>
      <c r="H11" s="2"/>
      <c r="I11" s="78"/>
    </row>
    <row r="12" spans="1:9" x14ac:dyDescent="0.35">
      <c r="A12" s="92" t="s">
        <v>55</v>
      </c>
      <c r="B12" s="74" t="s">
        <v>56</v>
      </c>
      <c r="C12" s="75" t="s">
        <v>57</v>
      </c>
      <c r="D12" s="115">
        <v>1137977443</v>
      </c>
      <c r="E12" s="120" t="s">
        <v>48</v>
      </c>
      <c r="F12" s="115" t="s">
        <v>58</v>
      </c>
      <c r="G12" s="111">
        <v>0.39583333333333331</v>
      </c>
      <c r="I12" s="126" t="s">
        <v>43</v>
      </c>
    </row>
    <row r="13" spans="1:9" x14ac:dyDescent="0.35">
      <c r="A13" s="92" t="s">
        <v>55</v>
      </c>
      <c r="B13" s="74" t="s">
        <v>59</v>
      </c>
      <c r="C13" s="75" t="s">
        <v>47</v>
      </c>
      <c r="D13" s="115">
        <v>8363208</v>
      </c>
      <c r="E13" s="120" t="s">
        <v>48</v>
      </c>
      <c r="F13" s="115" t="s">
        <v>60</v>
      </c>
      <c r="G13" s="111">
        <v>0.58333333333333337</v>
      </c>
      <c r="I13" s="126" t="s">
        <v>43</v>
      </c>
    </row>
    <row r="14" spans="1:9" s="15" customFormat="1" x14ac:dyDescent="0.35">
      <c r="A14" s="92" t="s">
        <v>55</v>
      </c>
      <c r="B14" s="74" t="s">
        <v>61</v>
      </c>
      <c r="C14" s="75" t="s">
        <v>47</v>
      </c>
      <c r="D14" s="115">
        <v>1101391359</v>
      </c>
      <c r="E14" s="120" t="s">
        <v>48</v>
      </c>
      <c r="F14" s="115" t="s">
        <v>62</v>
      </c>
      <c r="G14" s="111">
        <v>0.45833333333333331</v>
      </c>
      <c r="H14" s="2"/>
      <c r="I14" s="126" t="s">
        <v>43</v>
      </c>
    </row>
    <row r="15" spans="1:9" x14ac:dyDescent="0.35">
      <c r="A15" s="92" t="s">
        <v>55</v>
      </c>
      <c r="B15" s="74" t="s">
        <v>63</v>
      </c>
      <c r="C15" s="75" t="s">
        <v>47</v>
      </c>
      <c r="D15" s="115">
        <v>1021406280</v>
      </c>
      <c r="E15" s="120" t="s">
        <v>48</v>
      </c>
      <c r="F15" s="115" t="s">
        <v>64</v>
      </c>
      <c r="G15" s="112" t="s">
        <v>65</v>
      </c>
      <c r="I15" s="126" t="s">
        <v>43</v>
      </c>
    </row>
    <row r="16" spans="1:9" x14ac:dyDescent="0.35">
      <c r="A16" s="101"/>
      <c r="B16" s="15"/>
      <c r="C16" s="81"/>
      <c r="D16" s="118"/>
      <c r="E16" s="93"/>
      <c r="F16" s="15"/>
      <c r="G16" s="15"/>
      <c r="H16" s="81"/>
    </row>
    <row r="17" spans="1:9" x14ac:dyDescent="0.35">
      <c r="A17" s="92">
        <v>45705</v>
      </c>
      <c r="B17" s="114" t="s">
        <v>66</v>
      </c>
      <c r="C17" s="75" t="s">
        <v>47</v>
      </c>
      <c r="D17" s="115">
        <v>1007496626</v>
      </c>
      <c r="E17" s="120" t="s">
        <v>48</v>
      </c>
      <c r="F17" s="115" t="s">
        <v>67</v>
      </c>
      <c r="G17" s="115" t="s">
        <v>68</v>
      </c>
      <c r="I17" s="126" t="s">
        <v>69</v>
      </c>
    </row>
    <row r="18" spans="1:9" x14ac:dyDescent="0.35">
      <c r="A18" s="92">
        <v>45705</v>
      </c>
      <c r="B18" s="74" t="s">
        <v>70</v>
      </c>
      <c r="C18" s="75" t="s">
        <v>57</v>
      </c>
      <c r="D18" s="115">
        <v>1033427114</v>
      </c>
      <c r="E18" s="120" t="s">
        <v>71</v>
      </c>
      <c r="F18" s="115" t="s">
        <v>72</v>
      </c>
      <c r="G18" s="77">
        <v>0.375</v>
      </c>
      <c r="I18" s="126" t="s">
        <v>45</v>
      </c>
    </row>
    <row r="19" spans="1:9" x14ac:dyDescent="0.35">
      <c r="A19" s="92">
        <v>45705</v>
      </c>
      <c r="B19" s="74" t="s">
        <v>73</v>
      </c>
      <c r="C19" s="75" t="s">
        <v>47</v>
      </c>
      <c r="D19" s="115">
        <v>1017250892</v>
      </c>
      <c r="E19" s="120" t="s">
        <v>48</v>
      </c>
      <c r="F19" s="115" t="s">
        <v>74</v>
      </c>
      <c r="G19" s="77">
        <v>0.41666666666666669</v>
      </c>
      <c r="I19" s="126" t="s">
        <v>45</v>
      </c>
    </row>
    <row r="20" spans="1:9" x14ac:dyDescent="0.35">
      <c r="A20" s="92">
        <v>45705</v>
      </c>
      <c r="B20" s="74" t="s">
        <v>75</v>
      </c>
      <c r="C20" s="75" t="s">
        <v>47</v>
      </c>
      <c r="D20" s="115">
        <v>1040571079</v>
      </c>
      <c r="E20" s="120" t="s">
        <v>48</v>
      </c>
      <c r="F20" s="115" t="s">
        <v>76</v>
      </c>
      <c r="G20" s="77">
        <v>0.45833333333333331</v>
      </c>
      <c r="I20" s="126" t="s">
        <v>45</v>
      </c>
    </row>
    <row r="21" spans="1:9" x14ac:dyDescent="0.35">
      <c r="A21" s="92">
        <v>45705</v>
      </c>
      <c r="B21" s="74" t="s">
        <v>77</v>
      </c>
      <c r="C21" s="75" t="s">
        <v>47</v>
      </c>
      <c r="D21" s="115">
        <v>1033426917</v>
      </c>
      <c r="E21" s="120" t="s">
        <v>48</v>
      </c>
      <c r="F21" s="115" t="s">
        <v>78</v>
      </c>
      <c r="G21" s="77">
        <v>0.625</v>
      </c>
      <c r="I21" s="126" t="s">
        <v>45</v>
      </c>
    </row>
    <row r="22" spans="1:9" x14ac:dyDescent="0.35">
      <c r="A22" s="101"/>
      <c r="B22" s="15"/>
      <c r="C22" s="81"/>
      <c r="D22" s="118"/>
      <c r="E22" s="93"/>
      <c r="F22" s="15"/>
      <c r="G22" s="15"/>
      <c r="H22" s="81"/>
    </row>
    <row r="23" spans="1:9" x14ac:dyDescent="0.35">
      <c r="A23" s="128">
        <v>45706</v>
      </c>
      <c r="B23" s="136" t="s">
        <v>79</v>
      </c>
      <c r="C23" s="130" t="s">
        <v>47</v>
      </c>
      <c r="D23" s="132">
        <v>1000445808</v>
      </c>
      <c r="E23" s="129" t="s">
        <v>48</v>
      </c>
      <c r="F23" s="132" t="s">
        <v>80</v>
      </c>
      <c r="G23" s="137">
        <v>0.375</v>
      </c>
      <c r="H23" s="138">
        <v>45168</v>
      </c>
      <c r="I23" s="135" t="s">
        <v>43</v>
      </c>
    </row>
    <row r="24" spans="1:9" x14ac:dyDescent="0.35">
      <c r="A24" s="128" t="s">
        <v>81</v>
      </c>
      <c r="B24" s="136" t="s">
        <v>82</v>
      </c>
      <c r="C24" s="130" t="s">
        <v>47</v>
      </c>
      <c r="D24" s="132">
        <v>1020410318</v>
      </c>
      <c r="E24" s="129" t="s">
        <v>48</v>
      </c>
      <c r="F24" s="132" t="s">
        <v>83</v>
      </c>
      <c r="G24" s="141">
        <v>0.41666666666666669</v>
      </c>
      <c r="H24" s="134">
        <v>46038</v>
      </c>
      <c r="I24" s="135" t="s">
        <v>43</v>
      </c>
    </row>
    <row r="25" spans="1:9" ht="29" x14ac:dyDescent="0.35">
      <c r="A25" s="128">
        <v>45706</v>
      </c>
      <c r="B25" s="129" t="s">
        <v>84</v>
      </c>
      <c r="C25" s="130" t="s">
        <v>47</v>
      </c>
      <c r="D25" s="180">
        <v>1025762421</v>
      </c>
      <c r="E25" s="129" t="s">
        <v>85</v>
      </c>
      <c r="F25" s="140" t="s">
        <v>86</v>
      </c>
      <c r="G25" s="141">
        <v>0.375</v>
      </c>
      <c r="H25" s="134">
        <v>46128</v>
      </c>
      <c r="I25" s="135" t="s">
        <v>43</v>
      </c>
    </row>
    <row r="26" spans="1:9" x14ac:dyDescent="0.35">
      <c r="A26" s="128">
        <v>45706</v>
      </c>
      <c r="B26" s="136" t="s">
        <v>87</v>
      </c>
      <c r="C26" s="130" t="s">
        <v>47</v>
      </c>
      <c r="D26" s="132">
        <v>1022002445</v>
      </c>
      <c r="E26" s="129" t="s">
        <v>85</v>
      </c>
      <c r="F26" s="132" t="s">
        <v>88</v>
      </c>
      <c r="G26" s="141">
        <v>0.58333333333333337</v>
      </c>
      <c r="H26" s="134">
        <v>45708</v>
      </c>
      <c r="I26" s="126" t="s">
        <v>45</v>
      </c>
    </row>
    <row r="27" spans="1:9" x14ac:dyDescent="0.35">
      <c r="A27" s="128">
        <v>45706</v>
      </c>
      <c r="B27" s="136" t="s">
        <v>89</v>
      </c>
      <c r="C27" s="130" t="s">
        <v>47</v>
      </c>
      <c r="D27" s="132">
        <v>1193228224</v>
      </c>
      <c r="E27" s="129" t="s">
        <v>85</v>
      </c>
      <c r="F27" s="132" t="s">
        <v>90</v>
      </c>
      <c r="G27" s="133">
        <v>0.625</v>
      </c>
      <c r="H27" s="134">
        <v>46031</v>
      </c>
      <c r="I27" s="126" t="s">
        <v>69</v>
      </c>
    </row>
    <row r="28" spans="1:9" s="116" customFormat="1" x14ac:dyDescent="0.35">
      <c r="A28" s="158"/>
      <c r="B28" s="127"/>
      <c r="C28" s="127"/>
      <c r="D28" s="162"/>
      <c r="E28" s="127"/>
      <c r="F28" s="162"/>
      <c r="G28" s="127"/>
      <c r="H28" s="81"/>
      <c r="I28" s="117"/>
    </row>
    <row r="29" spans="1:9" x14ac:dyDescent="0.35">
      <c r="A29" s="128">
        <v>45707</v>
      </c>
      <c r="B29" s="129" t="s">
        <v>91</v>
      </c>
      <c r="C29" s="130" t="s">
        <v>47</v>
      </c>
      <c r="D29" s="132">
        <v>1035416995</v>
      </c>
      <c r="E29" s="136" t="s">
        <v>92</v>
      </c>
      <c r="F29" s="140" t="s">
        <v>93</v>
      </c>
      <c r="G29" s="142">
        <v>0.375</v>
      </c>
      <c r="H29" s="134">
        <v>45868</v>
      </c>
      <c r="I29" s="143"/>
    </row>
    <row r="30" spans="1:9" s="1" customFormat="1" x14ac:dyDescent="0.35">
      <c r="A30" s="128">
        <v>45707</v>
      </c>
      <c r="B30" s="129" t="s">
        <v>94</v>
      </c>
      <c r="C30" s="130" t="s">
        <v>57</v>
      </c>
      <c r="D30" s="132">
        <v>1036451884</v>
      </c>
      <c r="E30" s="129" t="s">
        <v>95</v>
      </c>
      <c r="F30" s="132" t="s">
        <v>96</v>
      </c>
      <c r="G30" s="133">
        <v>0.58333333333333337</v>
      </c>
      <c r="H30" s="134">
        <v>46015</v>
      </c>
      <c r="I30" s="135" t="s">
        <v>69</v>
      </c>
    </row>
    <row r="31" spans="1:9" ht="16" x14ac:dyDescent="0.35">
      <c r="E31" s="123"/>
      <c r="F31" s="105"/>
    </row>
    <row r="32" spans="1:9" x14ac:dyDescent="0.35">
      <c r="A32" s="171">
        <v>45712</v>
      </c>
      <c r="B32" s="172" t="s">
        <v>97</v>
      </c>
      <c r="C32" s="173" t="s">
        <v>47</v>
      </c>
      <c r="D32" s="175">
        <v>1033177451</v>
      </c>
      <c r="E32" s="174" t="s">
        <v>48</v>
      </c>
      <c r="F32" s="175" t="s">
        <v>98</v>
      </c>
      <c r="G32" s="175" t="s">
        <v>99</v>
      </c>
      <c r="H32" s="176">
        <v>45769</v>
      </c>
      <c r="I32" s="177" t="s">
        <v>43</v>
      </c>
    </row>
    <row r="33" spans="1:9" x14ac:dyDescent="0.35">
      <c r="A33" s="128">
        <v>45712</v>
      </c>
      <c r="B33" s="131" t="s">
        <v>100</v>
      </c>
      <c r="C33" s="130" t="s">
        <v>47</v>
      </c>
      <c r="D33" s="132">
        <v>1033259287</v>
      </c>
      <c r="E33" s="129" t="s">
        <v>48</v>
      </c>
      <c r="F33" s="132" t="s">
        <v>101</v>
      </c>
      <c r="G33" s="132" t="s">
        <v>102</v>
      </c>
      <c r="H33" s="138">
        <v>45769</v>
      </c>
      <c r="I33" s="135" t="s">
        <v>69</v>
      </c>
    </row>
    <row r="34" spans="1:9" x14ac:dyDescent="0.35">
      <c r="A34" s="128">
        <v>45712</v>
      </c>
      <c r="B34" s="131" t="s">
        <v>103</v>
      </c>
      <c r="C34" s="130" t="s">
        <v>47</v>
      </c>
      <c r="D34" s="132">
        <v>1050603181</v>
      </c>
      <c r="E34" s="129" t="s">
        <v>48</v>
      </c>
      <c r="F34" s="132" t="s">
        <v>104</v>
      </c>
      <c r="G34" s="132" t="s">
        <v>105</v>
      </c>
      <c r="H34" s="138">
        <v>45769</v>
      </c>
      <c r="I34" s="135" t="s">
        <v>69</v>
      </c>
    </row>
    <row r="35" spans="1:9" x14ac:dyDescent="0.35">
      <c r="A35" s="128">
        <v>45712</v>
      </c>
      <c r="B35" s="131" t="s">
        <v>106</v>
      </c>
      <c r="C35" s="130" t="s">
        <v>47</v>
      </c>
      <c r="D35" s="132">
        <v>1133426961</v>
      </c>
      <c r="E35" s="129" t="s">
        <v>48</v>
      </c>
      <c r="F35" s="132" t="s">
        <v>107</v>
      </c>
      <c r="G35" s="132" t="s">
        <v>108</v>
      </c>
      <c r="H35" s="138">
        <v>45953</v>
      </c>
      <c r="I35" s="135" t="s">
        <v>69</v>
      </c>
    </row>
    <row r="37" spans="1:9" x14ac:dyDescent="0.35">
      <c r="A37" s="128">
        <v>45713</v>
      </c>
      <c r="B37" s="131" t="s">
        <v>109</v>
      </c>
      <c r="C37" s="130" t="s">
        <v>47</v>
      </c>
      <c r="D37" s="132">
        <v>1032010627</v>
      </c>
      <c r="E37" s="131" t="s">
        <v>95</v>
      </c>
      <c r="F37" s="132" t="s">
        <v>110</v>
      </c>
      <c r="G37" s="132" t="s">
        <v>99</v>
      </c>
      <c r="H37" s="138">
        <v>46137</v>
      </c>
      <c r="I37" s="153" t="s">
        <v>43</v>
      </c>
    </row>
    <row r="39" spans="1:9" x14ac:dyDescent="0.35">
      <c r="A39" s="128">
        <v>45716</v>
      </c>
      <c r="B39" s="131" t="s">
        <v>111</v>
      </c>
      <c r="C39" s="130" t="s">
        <v>47</v>
      </c>
      <c r="D39" s="132">
        <v>1000534117</v>
      </c>
      <c r="E39" s="131" t="s">
        <v>48</v>
      </c>
      <c r="F39" s="132" t="s">
        <v>112</v>
      </c>
      <c r="G39" s="132" t="s">
        <v>102</v>
      </c>
      <c r="H39" s="138">
        <v>45704</v>
      </c>
      <c r="I39" s="153" t="s">
        <v>43</v>
      </c>
    </row>
    <row r="40" spans="1:9" x14ac:dyDescent="0.35">
      <c r="B40" t="s">
        <v>81</v>
      </c>
    </row>
    <row r="41" spans="1:9" x14ac:dyDescent="0.35">
      <c r="A41" s="128">
        <v>45719</v>
      </c>
      <c r="B41" s="131" t="s">
        <v>113</v>
      </c>
      <c r="C41" s="130" t="s">
        <v>114</v>
      </c>
      <c r="D41" s="132">
        <v>1021807911</v>
      </c>
      <c r="E41" s="136" t="s">
        <v>115</v>
      </c>
      <c r="F41" s="132" t="s">
        <v>116</v>
      </c>
      <c r="G41" s="132" t="s">
        <v>117</v>
      </c>
      <c r="H41" s="138">
        <v>45824</v>
      </c>
      <c r="I41" s="153" t="s">
        <v>43</v>
      </c>
    </row>
    <row r="42" spans="1:9" x14ac:dyDescent="0.35">
      <c r="A42" s="128">
        <v>45719</v>
      </c>
      <c r="B42" s="131" t="s">
        <v>118</v>
      </c>
      <c r="C42" s="130" t="s">
        <v>114</v>
      </c>
      <c r="D42" s="132">
        <v>1026139402</v>
      </c>
      <c r="E42" s="136" t="s">
        <v>119</v>
      </c>
      <c r="F42" s="132" t="s">
        <v>120</v>
      </c>
      <c r="G42" s="132" t="s">
        <v>121</v>
      </c>
      <c r="H42" s="157">
        <v>46158</v>
      </c>
      <c r="I42" s="135" t="s">
        <v>69</v>
      </c>
    </row>
    <row r="43" spans="1:9" x14ac:dyDescent="0.35">
      <c r="B43" s="149"/>
    </row>
    <row r="44" spans="1:9" x14ac:dyDescent="0.35">
      <c r="A44" s="128">
        <v>45722</v>
      </c>
      <c r="B44" s="131" t="s">
        <v>122</v>
      </c>
      <c r="C44" s="130" t="s">
        <v>114</v>
      </c>
      <c r="D44" s="132">
        <v>1041326283</v>
      </c>
      <c r="E44" s="136" t="s">
        <v>123</v>
      </c>
      <c r="F44" s="132" t="s">
        <v>124</v>
      </c>
      <c r="G44" s="132" t="s">
        <v>125</v>
      </c>
      <c r="H44" s="138">
        <v>46004</v>
      </c>
      <c r="I44" s="153" t="s">
        <v>43</v>
      </c>
    </row>
    <row r="45" spans="1:9" x14ac:dyDescent="0.35">
      <c r="A45" s="128">
        <v>45722</v>
      </c>
      <c r="B45" s="131" t="s">
        <v>126</v>
      </c>
      <c r="C45" s="130" t="s">
        <v>114</v>
      </c>
      <c r="D45" s="132">
        <v>1018237951</v>
      </c>
      <c r="E45" s="136" t="s">
        <v>123</v>
      </c>
      <c r="F45" s="132" t="s">
        <v>127</v>
      </c>
      <c r="G45" s="132" t="s">
        <v>128</v>
      </c>
      <c r="H45" s="138">
        <v>46004</v>
      </c>
      <c r="I45" s="153" t="s">
        <v>43</v>
      </c>
    </row>
    <row r="46" spans="1:9" x14ac:dyDescent="0.35">
      <c r="A46" s="128">
        <v>45722</v>
      </c>
      <c r="B46" s="131" t="s">
        <v>129</v>
      </c>
      <c r="C46" s="130" t="s">
        <v>130</v>
      </c>
      <c r="D46" s="132">
        <v>4145723</v>
      </c>
      <c r="E46" s="136" t="s">
        <v>123</v>
      </c>
      <c r="F46" s="132" t="s">
        <v>131</v>
      </c>
      <c r="G46" s="132" t="s">
        <v>132</v>
      </c>
      <c r="H46" s="138">
        <v>46004</v>
      </c>
      <c r="I46" s="153" t="s">
        <v>43</v>
      </c>
    </row>
    <row r="48" spans="1:9" x14ac:dyDescent="0.35">
      <c r="A48" s="171">
        <v>45723</v>
      </c>
      <c r="B48" s="172" t="s">
        <v>133</v>
      </c>
      <c r="C48" s="173" t="s">
        <v>47</v>
      </c>
      <c r="D48" s="175">
        <v>1003927623</v>
      </c>
      <c r="E48" s="172" t="s">
        <v>134</v>
      </c>
      <c r="F48" s="175" t="s">
        <v>135</v>
      </c>
      <c r="G48" s="175" t="s">
        <v>136</v>
      </c>
      <c r="H48" s="176">
        <v>45717</v>
      </c>
      <c r="I48" s="178" t="s">
        <v>43</v>
      </c>
    </row>
    <row r="49" spans="1:9" x14ac:dyDescent="0.35">
      <c r="A49" s="128">
        <v>45723</v>
      </c>
      <c r="B49" s="131" t="s">
        <v>137</v>
      </c>
      <c r="C49" s="130" t="s">
        <v>47</v>
      </c>
      <c r="D49" s="132">
        <v>1013341718</v>
      </c>
      <c r="E49" s="136" t="s">
        <v>123</v>
      </c>
      <c r="F49" s="132" t="s">
        <v>138</v>
      </c>
      <c r="G49" s="132" t="s">
        <v>139</v>
      </c>
      <c r="H49" s="138">
        <v>46004</v>
      </c>
      <c r="I49" s="143"/>
    </row>
    <row r="50" spans="1:9" x14ac:dyDescent="0.35">
      <c r="A50" s="128">
        <v>45723</v>
      </c>
      <c r="B50" s="131" t="s">
        <v>140</v>
      </c>
      <c r="C50" s="130" t="s">
        <v>114</v>
      </c>
      <c r="D50" s="132">
        <v>1070600603</v>
      </c>
      <c r="E50" s="136" t="s">
        <v>123</v>
      </c>
      <c r="F50" s="132" t="s">
        <v>141</v>
      </c>
      <c r="G50" s="132" t="s">
        <v>142</v>
      </c>
      <c r="H50" s="138">
        <v>46004</v>
      </c>
      <c r="I50" s="153" t="s">
        <v>43</v>
      </c>
    </row>
    <row r="52" spans="1:9" ht="29" x14ac:dyDescent="0.35">
      <c r="A52" s="128">
        <v>45363</v>
      </c>
      <c r="B52" s="139" t="s">
        <v>143</v>
      </c>
      <c r="C52" s="130" t="s">
        <v>144</v>
      </c>
      <c r="D52" s="180">
        <v>1018237800</v>
      </c>
      <c r="E52" s="129" t="s">
        <v>123</v>
      </c>
      <c r="F52" s="179" t="s">
        <v>145</v>
      </c>
      <c r="G52" s="132" t="s">
        <v>139</v>
      </c>
      <c r="H52" s="138">
        <v>46004</v>
      </c>
      <c r="I52" s="153" t="s">
        <v>43</v>
      </c>
    </row>
    <row r="53" spans="1:9" x14ac:dyDescent="0.35">
      <c r="A53" s="128">
        <v>45363</v>
      </c>
      <c r="B53" s="139" t="s">
        <v>146</v>
      </c>
      <c r="C53" s="130" t="s">
        <v>144</v>
      </c>
      <c r="D53" s="180">
        <v>1033490894</v>
      </c>
      <c r="E53" s="129" t="s">
        <v>123</v>
      </c>
      <c r="F53" s="179">
        <v>3024482036</v>
      </c>
      <c r="G53" s="132" t="s">
        <v>105</v>
      </c>
      <c r="H53" s="138">
        <v>46004</v>
      </c>
      <c r="I53" s="153" t="s">
        <v>43</v>
      </c>
    </row>
    <row r="54" spans="1:9" x14ac:dyDescent="0.35">
      <c r="A54" s="128">
        <v>45363</v>
      </c>
      <c r="B54" s="131" t="s">
        <v>147</v>
      </c>
      <c r="C54" s="130" t="s">
        <v>144</v>
      </c>
      <c r="D54" s="132">
        <v>1033490532</v>
      </c>
      <c r="E54" s="129" t="s">
        <v>123</v>
      </c>
      <c r="F54" s="131">
        <v>3218199363</v>
      </c>
      <c r="G54" s="132" t="s">
        <v>148</v>
      </c>
      <c r="H54" s="138">
        <v>46004</v>
      </c>
      <c r="I54" s="153" t="s">
        <v>43</v>
      </c>
    </row>
    <row r="55" spans="1:9" x14ac:dyDescent="0.35">
      <c r="A55" s="128">
        <v>45363</v>
      </c>
      <c r="B55" s="131" t="s">
        <v>149</v>
      </c>
      <c r="C55" s="130" t="s">
        <v>144</v>
      </c>
      <c r="D55" s="132">
        <v>1039689378</v>
      </c>
      <c r="E55" s="129" t="s">
        <v>123</v>
      </c>
      <c r="F55" s="131">
        <v>3246573816</v>
      </c>
      <c r="G55" s="132" t="s">
        <v>150</v>
      </c>
      <c r="H55" s="138">
        <v>46004</v>
      </c>
      <c r="I55" s="153" t="s">
        <v>43</v>
      </c>
    </row>
    <row r="56" spans="1:9" x14ac:dyDescent="0.35">
      <c r="A56" s="128">
        <v>45363</v>
      </c>
      <c r="B56" s="181" t="s">
        <v>151</v>
      </c>
      <c r="C56" s="130" t="s">
        <v>114</v>
      </c>
      <c r="D56" s="180">
        <v>1031941273</v>
      </c>
      <c r="E56" s="131" t="s">
        <v>123</v>
      </c>
      <c r="F56" s="180">
        <v>3007912085</v>
      </c>
      <c r="G56" s="132" t="s">
        <v>152</v>
      </c>
      <c r="H56" s="138">
        <v>46004</v>
      </c>
      <c r="I56" s="192" t="s">
        <v>43</v>
      </c>
    </row>
    <row r="58" spans="1:9" x14ac:dyDescent="0.35">
      <c r="A58" s="128">
        <v>45733</v>
      </c>
      <c r="B58" s="131" t="s">
        <v>153</v>
      </c>
      <c r="C58" s="130" t="s">
        <v>144</v>
      </c>
      <c r="D58" s="132">
        <v>1034920222</v>
      </c>
      <c r="E58" s="136" t="s">
        <v>123</v>
      </c>
      <c r="F58" s="132">
        <v>3006016279</v>
      </c>
      <c r="G58" s="132" t="s">
        <v>142</v>
      </c>
      <c r="H58" s="138">
        <v>46004</v>
      </c>
      <c r="I58" s="192" t="s">
        <v>43</v>
      </c>
    </row>
    <row r="59" spans="1:9" x14ac:dyDescent="0.35">
      <c r="A59" s="128">
        <v>45733</v>
      </c>
      <c r="B59" s="131" t="s">
        <v>154</v>
      </c>
      <c r="C59" s="130" t="s">
        <v>144</v>
      </c>
      <c r="D59" s="132">
        <v>1025891758</v>
      </c>
      <c r="E59" s="136" t="s">
        <v>123</v>
      </c>
      <c r="F59" s="132">
        <v>3212586845</v>
      </c>
      <c r="G59" s="132" t="s">
        <v>139</v>
      </c>
      <c r="H59" s="138">
        <v>46004</v>
      </c>
      <c r="I59" s="187" t="s">
        <v>155</v>
      </c>
    </row>
    <row r="61" spans="1:9" x14ac:dyDescent="0.35">
      <c r="A61" s="128">
        <v>45734</v>
      </c>
      <c r="B61" s="131" t="s">
        <v>156</v>
      </c>
      <c r="C61" s="130" t="s">
        <v>47</v>
      </c>
      <c r="D61" s="132">
        <v>1214737742</v>
      </c>
      <c r="E61" s="189" t="s">
        <v>157</v>
      </c>
      <c r="F61" s="132">
        <v>3128018211</v>
      </c>
      <c r="G61" s="132" t="s">
        <v>139</v>
      </c>
      <c r="H61" s="138">
        <v>45717</v>
      </c>
      <c r="I61" s="126" t="s">
        <v>45</v>
      </c>
    </row>
    <row r="62" spans="1:9" x14ac:dyDescent="0.35">
      <c r="A62" s="128">
        <v>45734</v>
      </c>
      <c r="B62" s="131" t="s">
        <v>158</v>
      </c>
      <c r="C62" s="130" t="s">
        <v>144</v>
      </c>
      <c r="D62" s="132">
        <v>1025891559</v>
      </c>
      <c r="E62" s="131" t="s">
        <v>123</v>
      </c>
      <c r="F62" s="132">
        <v>3108205499</v>
      </c>
      <c r="G62" s="190" t="s">
        <v>105</v>
      </c>
      <c r="H62" s="138">
        <v>46004</v>
      </c>
      <c r="I62" s="126" t="s">
        <v>45</v>
      </c>
    </row>
    <row r="63" spans="1:9" x14ac:dyDescent="0.35">
      <c r="A63" s="128">
        <v>45734</v>
      </c>
      <c r="B63" s="131" t="s">
        <v>159</v>
      </c>
      <c r="C63" s="130" t="s">
        <v>47</v>
      </c>
      <c r="D63" s="132">
        <v>1025890000</v>
      </c>
      <c r="E63" s="131" t="s">
        <v>123</v>
      </c>
      <c r="F63" s="132">
        <v>3235880440</v>
      </c>
      <c r="G63" s="190" t="s">
        <v>160</v>
      </c>
      <c r="H63" s="138">
        <v>46004</v>
      </c>
      <c r="I63" s="126" t="s">
        <v>45</v>
      </c>
    </row>
    <row r="64" spans="1:9" ht="16" x14ac:dyDescent="0.4">
      <c r="A64" s="128">
        <v>45734</v>
      </c>
      <c r="B64" s="131" t="s">
        <v>161</v>
      </c>
      <c r="C64" s="130" t="s">
        <v>47</v>
      </c>
      <c r="D64" s="132">
        <v>1039097677</v>
      </c>
      <c r="E64" s="191" t="s">
        <v>162</v>
      </c>
      <c r="F64" s="132">
        <v>3043336662</v>
      </c>
      <c r="G64" s="133" t="s">
        <v>163</v>
      </c>
      <c r="H64" s="138">
        <v>45717</v>
      </c>
      <c r="I64" s="126" t="s">
        <v>45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175CD-C37D-4098-99EB-2ED136BF5CF0}">
  <dimension ref="A1:M26"/>
  <sheetViews>
    <sheetView topLeftCell="S1" workbookViewId="0">
      <pane ySplit="1" topLeftCell="A2" activePane="bottomLeft" state="frozen"/>
      <selection pane="bottomLeft" activeCell="G12" sqref="G12"/>
    </sheetView>
  </sheetViews>
  <sheetFormatPr baseColWidth="10" defaultRowHeight="14.5" x14ac:dyDescent="0.35"/>
  <cols>
    <col min="1" max="1" width="6.90625" bestFit="1" customWidth="1"/>
    <col min="2" max="2" width="13.453125" bestFit="1" customWidth="1"/>
    <col min="3" max="3" width="33.54296875" customWidth="1"/>
    <col min="4" max="4" width="15.6328125" bestFit="1" customWidth="1"/>
    <col min="5" max="5" width="15.1796875" customWidth="1"/>
    <col min="6" max="6" width="13.08984375" bestFit="1" customWidth="1"/>
    <col min="7" max="7" width="22.90625" bestFit="1" customWidth="1"/>
    <col min="8" max="8" width="32.26953125" bestFit="1" customWidth="1"/>
    <col min="9" max="9" width="22.54296875" bestFit="1" customWidth="1"/>
    <col min="10" max="10" width="15.6328125" bestFit="1" customWidth="1"/>
    <col min="11" max="11" width="12.26953125" bestFit="1" customWidth="1"/>
    <col min="12" max="12" width="23.81640625" style="244" bestFit="1" customWidth="1"/>
    <col min="13" max="13" width="20.1796875" bestFit="1" customWidth="1"/>
  </cols>
  <sheetData>
    <row r="1" spans="1:13" x14ac:dyDescent="0.35">
      <c r="A1" s="242" t="s">
        <v>166</v>
      </c>
      <c r="B1" s="242" t="s">
        <v>1096</v>
      </c>
      <c r="C1" s="242" t="s">
        <v>165</v>
      </c>
      <c r="D1" s="242" t="s">
        <v>1098</v>
      </c>
      <c r="E1" s="242" t="s">
        <v>1103</v>
      </c>
      <c r="F1" s="242" t="s">
        <v>1101</v>
      </c>
      <c r="G1" s="242" t="s">
        <v>170</v>
      </c>
      <c r="H1" s="242" t="s">
        <v>169</v>
      </c>
      <c r="I1" s="242" t="s">
        <v>1105</v>
      </c>
      <c r="J1" s="242" t="s">
        <v>1137</v>
      </c>
      <c r="K1" s="242" t="s">
        <v>1109</v>
      </c>
      <c r="L1" s="243" t="s">
        <v>1112</v>
      </c>
      <c r="M1" s="242" t="s">
        <v>1114</v>
      </c>
    </row>
    <row r="2" spans="1:13" ht="72.5" x14ac:dyDescent="0.35">
      <c r="A2" s="246" t="s">
        <v>47</v>
      </c>
      <c r="B2" s="246">
        <v>70330203</v>
      </c>
      <c r="C2" s="116" t="s">
        <v>1110</v>
      </c>
      <c r="D2" s="116" t="s">
        <v>1097</v>
      </c>
      <c r="E2" s="116" t="s">
        <v>1104</v>
      </c>
      <c r="F2" s="116" t="s">
        <v>1102</v>
      </c>
      <c r="G2" s="116" t="s">
        <v>1099</v>
      </c>
      <c r="H2" s="116" t="s">
        <v>1100</v>
      </c>
      <c r="I2" s="116" t="s">
        <v>1121</v>
      </c>
      <c r="J2" s="116" t="s">
        <v>577</v>
      </c>
      <c r="K2" s="116" t="s">
        <v>1111</v>
      </c>
      <c r="L2" s="245" t="s">
        <v>1113</v>
      </c>
      <c r="M2" s="2" t="s">
        <v>1115</v>
      </c>
    </row>
    <row r="3" spans="1:13" x14ac:dyDescent="0.35">
      <c r="A3" s="246" t="s">
        <v>47</v>
      </c>
      <c r="B3" s="246">
        <v>80745717</v>
      </c>
      <c r="C3" s="116" t="s">
        <v>1116</v>
      </c>
      <c r="D3" s="116" t="s">
        <v>1117</v>
      </c>
      <c r="E3" s="116" t="s">
        <v>1104</v>
      </c>
      <c r="F3" s="116" t="s">
        <v>1118</v>
      </c>
      <c r="G3" s="116" t="s">
        <v>1119</v>
      </c>
      <c r="H3" s="116" t="s">
        <v>1120</v>
      </c>
      <c r="I3" s="116" t="s">
        <v>1122</v>
      </c>
      <c r="J3" s="116" t="s">
        <v>1138</v>
      </c>
      <c r="K3" s="116" t="s">
        <v>1123</v>
      </c>
      <c r="L3" s="116" t="s">
        <v>1123</v>
      </c>
      <c r="M3" s="2" t="s">
        <v>1133</v>
      </c>
    </row>
    <row r="4" spans="1:13" x14ac:dyDescent="0.35">
      <c r="A4" s="246" t="s">
        <v>47</v>
      </c>
      <c r="B4" s="246">
        <v>1035868682</v>
      </c>
      <c r="C4" s="116" t="s">
        <v>1134</v>
      </c>
      <c r="D4" s="116" t="s">
        <v>1135</v>
      </c>
      <c r="E4" s="116" t="s">
        <v>1104</v>
      </c>
      <c r="F4" s="116" t="s">
        <v>1102</v>
      </c>
      <c r="G4" s="5">
        <v>3001105571</v>
      </c>
      <c r="H4" s="116" t="s">
        <v>1136</v>
      </c>
      <c r="I4" s="116" t="s">
        <v>1121</v>
      </c>
      <c r="J4" s="116" t="s">
        <v>409</v>
      </c>
      <c r="K4" s="116" t="s">
        <v>1123</v>
      </c>
      <c r="L4" s="116" t="s">
        <v>1123</v>
      </c>
      <c r="M4" s="30" t="s">
        <v>1132</v>
      </c>
    </row>
    <row r="5" spans="1:13" x14ac:dyDescent="0.35">
      <c r="A5" s="246" t="s">
        <v>47</v>
      </c>
      <c r="B5" s="246">
        <v>15516341</v>
      </c>
      <c r="C5" s="116" t="s">
        <v>1139</v>
      </c>
      <c r="D5" s="116" t="s">
        <v>1140</v>
      </c>
      <c r="E5" s="116" t="s">
        <v>1141</v>
      </c>
      <c r="F5" s="116" t="s">
        <v>1142</v>
      </c>
      <c r="G5" s="5" t="s">
        <v>1143</v>
      </c>
      <c r="H5" s="116" t="s">
        <v>1144</v>
      </c>
      <c r="I5" s="116" t="s">
        <v>1121</v>
      </c>
      <c r="J5" s="116" t="s">
        <v>409</v>
      </c>
      <c r="K5" s="116" t="s">
        <v>1123</v>
      </c>
      <c r="L5" s="116" t="s">
        <v>1123</v>
      </c>
      <c r="M5" s="2" t="s">
        <v>1145</v>
      </c>
    </row>
    <row r="6" spans="1:13" x14ac:dyDescent="0.35">
      <c r="A6" s="246" t="s">
        <v>47</v>
      </c>
      <c r="B6" s="246">
        <v>1001379082</v>
      </c>
      <c r="C6" s="116" t="s">
        <v>1146</v>
      </c>
      <c r="D6" s="116" t="s">
        <v>1147</v>
      </c>
      <c r="E6" s="116" t="s">
        <v>1148</v>
      </c>
      <c r="F6" s="116" t="s">
        <v>1102</v>
      </c>
      <c r="G6" s="5">
        <v>3135387445</v>
      </c>
      <c r="H6" s="116" t="s">
        <v>1149</v>
      </c>
      <c r="I6" s="116" t="s">
        <v>1121</v>
      </c>
      <c r="J6" s="116" t="s">
        <v>409</v>
      </c>
      <c r="K6" s="116" t="s">
        <v>1123</v>
      </c>
      <c r="L6" s="116" t="s">
        <v>1123</v>
      </c>
      <c r="M6" s="2" t="s">
        <v>1145</v>
      </c>
    </row>
    <row r="7" spans="1:13" x14ac:dyDescent="0.35">
      <c r="A7" s="246" t="s">
        <v>47</v>
      </c>
      <c r="B7" s="255">
        <v>15517466</v>
      </c>
      <c r="C7" s="116" t="s">
        <v>1150</v>
      </c>
      <c r="D7" s="116" t="s">
        <v>1151</v>
      </c>
      <c r="E7" s="116" t="s">
        <v>1141</v>
      </c>
      <c r="F7" s="116" t="s">
        <v>1102</v>
      </c>
      <c r="G7" s="5">
        <v>3105366000</v>
      </c>
      <c r="H7" s="116" t="s">
        <v>1152</v>
      </c>
      <c r="I7" s="116" t="s">
        <v>1121</v>
      </c>
      <c r="J7" s="116" t="s">
        <v>1138</v>
      </c>
      <c r="K7" s="116" t="s">
        <v>1123</v>
      </c>
      <c r="L7" s="116" t="s">
        <v>1123</v>
      </c>
      <c r="M7" s="2" t="s">
        <v>1145</v>
      </c>
    </row>
    <row r="8" spans="1:13" x14ac:dyDescent="0.35">
      <c r="A8" s="246" t="s">
        <v>47</v>
      </c>
      <c r="B8" s="246">
        <v>10035853322</v>
      </c>
      <c r="C8" t="s">
        <v>1129</v>
      </c>
      <c r="D8" s="116" t="s">
        <v>1130</v>
      </c>
      <c r="E8" s="116" t="s">
        <v>1104</v>
      </c>
      <c r="F8" s="116" t="s">
        <v>1102</v>
      </c>
      <c r="G8" s="5">
        <v>3005332065</v>
      </c>
      <c r="H8" s="116" t="s">
        <v>1131</v>
      </c>
      <c r="I8" s="116" t="s">
        <v>1121</v>
      </c>
      <c r="J8" s="116" t="s">
        <v>409</v>
      </c>
      <c r="K8" s="116" t="s">
        <v>1123</v>
      </c>
      <c r="L8" s="116" t="s">
        <v>1123</v>
      </c>
      <c r="M8" s="2" t="s">
        <v>1153</v>
      </c>
    </row>
    <row r="9" spans="1:13" ht="130.5" x14ac:dyDescent="0.35">
      <c r="A9" s="246" t="s">
        <v>47</v>
      </c>
      <c r="B9" s="246">
        <v>1039024227</v>
      </c>
      <c r="C9" s="116" t="s">
        <v>1155</v>
      </c>
      <c r="D9" s="116"/>
      <c r="E9" s="116" t="s">
        <v>1104</v>
      </c>
      <c r="F9" s="116"/>
      <c r="G9" s="2">
        <v>3042706416</v>
      </c>
      <c r="H9" s="116" t="s">
        <v>1156</v>
      </c>
      <c r="I9" s="116" t="s">
        <v>1121</v>
      </c>
      <c r="J9" s="116" t="s">
        <v>409</v>
      </c>
      <c r="K9" s="116" t="s">
        <v>1111</v>
      </c>
      <c r="L9" s="245" t="s">
        <v>1157</v>
      </c>
      <c r="M9" s="2" t="s">
        <v>1154</v>
      </c>
    </row>
    <row r="10" spans="1:13" x14ac:dyDescent="0.35">
      <c r="G10" s="5"/>
    </row>
    <row r="18" spans="4:7" x14ac:dyDescent="0.35">
      <c r="D18" t="s">
        <v>81</v>
      </c>
    </row>
    <row r="26" spans="4:7" x14ac:dyDescent="0.35">
      <c r="G26">
        <f>1985-2025</f>
        <v>-40</v>
      </c>
    </row>
  </sheetData>
  <hyperlinks>
    <hyperlink ref="H2" r:id="rId1" xr:uid="{3DF867C0-C729-43AB-9B16-9C799FE89FAF}"/>
    <hyperlink ref="H3" r:id="rId2" xr:uid="{69E3BFBA-23A4-4AD4-9591-3201B9C20F49}"/>
    <hyperlink ref="H4" r:id="rId3" xr:uid="{D0FDEF4C-4EC9-4FB1-866D-0E9069EC929C}"/>
    <hyperlink ref="H6" r:id="rId4" xr:uid="{65E15C8E-7968-43F6-BAFC-AF73770FAC5D}"/>
    <hyperlink ref="H7" r:id="rId5" xr:uid="{116AC1D1-E6F3-4EE5-8E9A-B0DDD353F9F5}"/>
    <hyperlink ref="H8" r:id="rId6" xr:uid="{6E5BFC88-C353-4FB9-A02F-1AF39E548F87}"/>
    <hyperlink ref="H9" r:id="rId7" display="mailto:pataskuy95@gmail.com" xr:uid="{E9E4E285-1172-49E9-840A-DA423D85C5E5}"/>
  </hyperlinks>
  <pageMargins left="0.7" right="0.7" top="0.75" bottom="0.75" header="0.3" footer="0.3"/>
  <tableParts count="1">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00B8-E243-4896-985A-C338071D5695}">
  <sheetPr>
    <tabColor theme="0"/>
    <pageSetUpPr fitToPage="1"/>
  </sheetPr>
  <dimension ref="A1:AV125"/>
  <sheetViews>
    <sheetView tabSelected="1" zoomScale="84" zoomScaleNormal="90" workbookViewId="0">
      <pane xSplit="3" ySplit="3" topLeftCell="H4" activePane="bottomRight" state="frozen"/>
      <selection pane="topRight" activeCell="D1" sqref="D1"/>
      <selection pane="bottomLeft" activeCell="A4" sqref="A4"/>
      <selection pane="bottomRight" activeCell="L11" sqref="L11"/>
    </sheetView>
  </sheetViews>
  <sheetFormatPr baseColWidth="10" defaultColWidth="11.453125" defaultRowHeight="14.5" x14ac:dyDescent="0.35"/>
  <cols>
    <col min="2" max="2" width="4.1796875" style="1" bestFit="1" customWidth="1"/>
    <col min="3" max="3" width="35.453125" bestFit="1" customWidth="1"/>
    <col min="4" max="4" width="7" style="1" customWidth="1"/>
    <col min="5" max="5" width="11.54296875" style="2" bestFit="1" customWidth="1"/>
    <col min="6" max="6" width="14.1796875" style="2" bestFit="1" customWidth="1"/>
    <col min="7" max="7" width="20.90625" style="2" bestFit="1" customWidth="1"/>
    <col min="8" max="8" width="14.1796875" style="30" customWidth="1"/>
    <col min="9" max="9" width="17.7265625" style="2" bestFit="1" customWidth="1"/>
    <col min="10" max="15" width="17.7265625" style="2" customWidth="1"/>
    <col min="16" max="16" width="12.81640625" style="2" customWidth="1"/>
    <col min="17" max="17" width="35.54296875" style="2" customWidth="1"/>
    <col min="18" max="18" width="13.7265625" style="2" bestFit="1" customWidth="1"/>
    <col min="19" max="19" width="19.54296875" style="2" customWidth="1"/>
    <col min="20" max="20" width="35.81640625" style="2" customWidth="1"/>
    <col min="21" max="21" width="20" style="2" bestFit="1" customWidth="1"/>
    <col min="22" max="22" width="27.26953125" style="2" customWidth="1"/>
    <col min="23" max="23" width="16.1796875" customWidth="1"/>
    <col min="24" max="24" width="11.1796875" bestFit="1" customWidth="1"/>
    <col min="25" max="25" width="12.7265625" bestFit="1" customWidth="1"/>
    <col min="26" max="26" width="9.453125" bestFit="1" customWidth="1"/>
    <col min="27" max="27" width="29.7265625" customWidth="1"/>
    <col min="28" max="28" width="12.7265625" bestFit="1" customWidth="1"/>
    <col min="29" max="29" width="17.453125" style="30" customWidth="1"/>
    <col min="30" max="30" width="13.1796875" style="2" customWidth="1"/>
    <col min="31" max="31" width="21" style="2" customWidth="1"/>
    <col min="32" max="32" width="15.90625" style="2" bestFit="1" customWidth="1"/>
    <col min="33" max="33" width="12.08984375" style="2" bestFit="1" customWidth="1"/>
    <col min="34" max="34" width="9" style="2" bestFit="1" customWidth="1"/>
    <col min="35" max="35" width="19.90625" style="240" bestFit="1" customWidth="1"/>
    <col min="36" max="36" width="22.54296875" style="2" customWidth="1"/>
    <col min="37" max="37" width="35.54296875" style="30" bestFit="1" customWidth="1"/>
    <col min="38" max="38" width="10.81640625" style="119"/>
    <col min="40" max="40" width="11.81640625" bestFit="1" customWidth="1"/>
    <col min="41" max="41" width="37.453125" bestFit="1" customWidth="1"/>
    <col min="42" max="42" width="31.453125" bestFit="1" customWidth="1"/>
    <col min="44" max="44" width="11.26953125" bestFit="1" customWidth="1"/>
    <col min="45" max="45" width="11.54296875" customWidth="1"/>
    <col min="46" max="46" width="21" style="161" bestFit="1" customWidth="1"/>
    <col min="47" max="47" width="15.81640625" bestFit="1" customWidth="1"/>
  </cols>
  <sheetData>
    <row r="1" spans="1:48" x14ac:dyDescent="0.35">
      <c r="A1" s="317"/>
      <c r="B1" s="317"/>
      <c r="C1" s="327" t="s">
        <v>164</v>
      </c>
      <c r="D1" s="317"/>
      <c r="E1" s="317"/>
      <c r="F1" s="317"/>
      <c r="G1" s="317"/>
      <c r="H1" s="317"/>
      <c r="I1" s="317"/>
      <c r="J1" s="317"/>
      <c r="K1" s="317"/>
      <c r="L1" s="317"/>
      <c r="M1" s="317"/>
      <c r="N1" s="317"/>
      <c r="O1" s="317"/>
      <c r="P1" s="317"/>
      <c r="Q1" s="317"/>
      <c r="R1" s="317"/>
      <c r="S1" s="317"/>
      <c r="T1" s="317"/>
      <c r="U1" s="317"/>
      <c r="V1" s="317"/>
      <c r="W1" s="317"/>
      <c r="X1" s="317"/>
      <c r="Y1" s="317"/>
      <c r="Z1" s="317"/>
      <c r="AA1" s="317"/>
      <c r="AB1" s="317"/>
      <c r="AC1" s="317"/>
      <c r="AD1" s="317"/>
      <c r="AE1" s="317"/>
      <c r="AF1" s="317"/>
      <c r="AG1" s="317"/>
      <c r="AH1" s="317"/>
      <c r="AI1" s="317"/>
      <c r="AJ1" s="317"/>
      <c r="AK1" s="317"/>
      <c r="AL1" s="323"/>
      <c r="AM1" s="319"/>
      <c r="AN1" s="321"/>
      <c r="AO1" s="321"/>
      <c r="AP1" s="321"/>
      <c r="AQ1" s="321"/>
      <c r="AR1" s="321"/>
      <c r="AS1" s="321"/>
      <c r="AT1" s="321"/>
      <c r="AU1" s="321"/>
      <c r="AV1" s="322"/>
    </row>
    <row r="2" spans="1:48" ht="15" thickBot="1" x14ac:dyDescent="0.4">
      <c r="A2" s="317"/>
      <c r="B2" s="318"/>
      <c r="C2" s="327"/>
      <c r="D2" s="317"/>
      <c r="E2" s="317"/>
      <c r="F2" s="317"/>
      <c r="G2" s="317"/>
      <c r="H2" s="317"/>
      <c r="I2" s="317"/>
      <c r="J2" s="317"/>
      <c r="K2" s="317"/>
      <c r="L2" s="317"/>
      <c r="M2" s="317"/>
      <c r="N2" s="317"/>
      <c r="O2" s="317"/>
      <c r="P2" s="317"/>
      <c r="Q2" s="317"/>
      <c r="R2" s="317"/>
      <c r="S2" s="317"/>
      <c r="T2" s="317"/>
      <c r="U2" s="317"/>
      <c r="V2" s="317"/>
      <c r="W2" s="317"/>
      <c r="X2" s="317"/>
      <c r="Y2" s="317"/>
      <c r="Z2" s="317"/>
      <c r="AA2" s="317"/>
      <c r="AB2" s="317"/>
      <c r="AC2" s="317"/>
      <c r="AD2" s="317"/>
      <c r="AE2" s="317"/>
      <c r="AF2" s="317"/>
      <c r="AG2" s="317"/>
      <c r="AH2" s="317"/>
      <c r="AI2" s="317"/>
      <c r="AJ2" s="317"/>
      <c r="AK2" s="317"/>
      <c r="AL2" s="323"/>
      <c r="AM2" s="320"/>
      <c r="AN2" s="317"/>
      <c r="AO2" s="317"/>
      <c r="AP2" s="317"/>
      <c r="AQ2" s="317"/>
      <c r="AR2" s="317"/>
      <c r="AS2" s="317"/>
      <c r="AT2" s="317"/>
      <c r="AU2" s="317"/>
      <c r="AV2" s="323"/>
    </row>
    <row r="3" spans="1:48" s="17" customFormat="1" ht="15" thickBot="1" x14ac:dyDescent="0.4">
      <c r="A3" s="317"/>
      <c r="B3" s="107" t="s">
        <v>13</v>
      </c>
      <c r="C3" s="108" t="s">
        <v>165</v>
      </c>
      <c r="D3" s="108" t="s">
        <v>166</v>
      </c>
      <c r="E3" s="109" t="s">
        <v>167</v>
      </c>
      <c r="F3" s="110" t="s">
        <v>168</v>
      </c>
      <c r="G3" s="110" t="s">
        <v>174</v>
      </c>
      <c r="H3" s="110" t="s">
        <v>175</v>
      </c>
      <c r="I3" s="109" t="s">
        <v>1200</v>
      </c>
      <c r="J3" s="110" t="s">
        <v>1076</v>
      </c>
      <c r="K3" s="109" t="s">
        <v>187</v>
      </c>
      <c r="L3" s="109" t="s">
        <v>188</v>
      </c>
      <c r="M3" s="110" t="s">
        <v>189</v>
      </c>
      <c r="N3" s="110" t="s">
        <v>190</v>
      </c>
      <c r="O3" s="109" t="s">
        <v>191</v>
      </c>
      <c r="P3" s="109" t="s">
        <v>1</v>
      </c>
      <c r="Q3" s="109" t="s">
        <v>169</v>
      </c>
      <c r="R3" s="108" t="s">
        <v>170</v>
      </c>
      <c r="S3" s="109" t="s">
        <v>171</v>
      </c>
      <c r="T3" s="109" t="s">
        <v>172</v>
      </c>
      <c r="U3" s="109" t="s">
        <v>173</v>
      </c>
      <c r="V3" s="109" t="s">
        <v>177</v>
      </c>
      <c r="W3" s="108" t="s">
        <v>2</v>
      </c>
      <c r="X3" s="108" t="s">
        <v>178</v>
      </c>
      <c r="Y3" s="108" t="s">
        <v>179</v>
      </c>
      <c r="Z3" s="108" t="s">
        <v>180</v>
      </c>
      <c r="AA3" s="108" t="s">
        <v>181</v>
      </c>
      <c r="AB3" s="110" t="s">
        <v>182</v>
      </c>
      <c r="AC3" s="110" t="s">
        <v>183</v>
      </c>
      <c r="AD3" s="109" t="s">
        <v>184</v>
      </c>
      <c r="AE3" s="109" t="s">
        <v>185</v>
      </c>
      <c r="AF3" s="109" t="s">
        <v>186</v>
      </c>
      <c r="AG3" s="109" t="s">
        <v>1070</v>
      </c>
      <c r="AH3" s="109" t="s">
        <v>1052</v>
      </c>
      <c r="AI3" s="241" t="s">
        <v>1067</v>
      </c>
      <c r="AJ3" s="109" t="s">
        <v>1124</v>
      </c>
      <c r="AK3" s="110" t="s">
        <v>192</v>
      </c>
      <c r="AL3" s="323"/>
      <c r="AM3" s="320"/>
      <c r="AN3" s="100" t="s">
        <v>47</v>
      </c>
      <c r="AO3" s="95" t="s">
        <v>165</v>
      </c>
      <c r="AP3" s="95" t="s">
        <v>177</v>
      </c>
      <c r="AQ3" s="95" t="s">
        <v>1</v>
      </c>
      <c r="AR3" s="96" t="s">
        <v>193</v>
      </c>
      <c r="AS3" s="96" t="s">
        <v>194</v>
      </c>
      <c r="AT3" s="159" t="s">
        <v>195</v>
      </c>
      <c r="AU3" s="96" t="s">
        <v>196</v>
      </c>
      <c r="AV3" s="323"/>
    </row>
    <row r="4" spans="1:48" x14ac:dyDescent="0.35">
      <c r="A4" s="317"/>
      <c r="B4" s="1">
        <v>1</v>
      </c>
      <c r="C4" s="262" t="s">
        <v>97</v>
      </c>
      <c r="D4" s="261" t="s">
        <v>47</v>
      </c>
      <c r="E4" s="263">
        <v>1033177451</v>
      </c>
      <c r="F4" s="264">
        <v>38296</v>
      </c>
      <c r="G4" s="264">
        <v>45769</v>
      </c>
      <c r="H4" s="264">
        <f>EDATE(Activos[[#This Row],[FECHA INDUCCION ]],12)-1</f>
        <v>46133</v>
      </c>
      <c r="I4" s="263">
        <f ca="1">Activos[[#This Row],[VENCE.INDUCCION]]-TODAY()</f>
        <v>358</v>
      </c>
      <c r="J4" s="264" t="s">
        <v>206</v>
      </c>
      <c r="K4" s="263" t="e">
        <f>EDATE(J4,12)-1</f>
        <v>#VALUE!</v>
      </c>
      <c r="L4" s="263" t="e">
        <f ca="1">Activos[[#This Row],[VENCE.MANI.ALIM]]-TODAY()</f>
        <v>#VALUE!</v>
      </c>
      <c r="M4" s="268">
        <v>45411</v>
      </c>
      <c r="N4" s="264">
        <f t="shared" ref="N4:N35" si="0">EDATE(M4,12)-1</f>
        <v>45775</v>
      </c>
      <c r="O4" s="263">
        <f ca="1">Activos[[#This Row],[VENCIMIENTO.EX.MED]]-TODAY()</f>
        <v>0</v>
      </c>
      <c r="P4" s="263" t="s">
        <v>212</v>
      </c>
      <c r="Q4" s="263" t="s">
        <v>1171</v>
      </c>
      <c r="R4" s="278">
        <v>3006505653</v>
      </c>
      <c r="S4" s="263" t="s">
        <v>247</v>
      </c>
      <c r="T4" s="263" t="s">
        <v>1172</v>
      </c>
      <c r="U4" s="263" t="s">
        <v>1169</v>
      </c>
      <c r="V4" s="263" t="s">
        <v>272</v>
      </c>
      <c r="W4" s="261" t="s">
        <v>20</v>
      </c>
      <c r="X4" s="261" t="s">
        <v>214</v>
      </c>
      <c r="Y4" s="261" t="s">
        <v>206</v>
      </c>
      <c r="Z4" s="261" t="s">
        <v>206</v>
      </c>
      <c r="AA4" s="262" t="s">
        <v>328</v>
      </c>
      <c r="AB4" s="266">
        <v>45726</v>
      </c>
      <c r="AC4" s="264">
        <v>45769</v>
      </c>
      <c r="AD4" s="263" t="s">
        <v>204</v>
      </c>
      <c r="AE4" s="269" t="s">
        <v>1185</v>
      </c>
      <c r="AF4" s="269" t="s">
        <v>1185</v>
      </c>
      <c r="AG4" s="263" t="s">
        <v>1009</v>
      </c>
      <c r="AH4" s="263" t="s">
        <v>1010</v>
      </c>
      <c r="AI4" s="270"/>
      <c r="AJ4" s="264">
        <v>45712</v>
      </c>
      <c r="AK4" s="264" t="s">
        <v>207</v>
      </c>
      <c r="AL4" s="323"/>
      <c r="AM4" s="320"/>
      <c r="AN4" s="94">
        <v>7038018</v>
      </c>
      <c r="AO4" s="95" t="s">
        <v>208</v>
      </c>
      <c r="AP4" s="95" t="s">
        <v>200</v>
      </c>
      <c r="AQ4" s="94" t="s">
        <v>209</v>
      </c>
      <c r="AR4" s="97">
        <v>44929</v>
      </c>
      <c r="AS4" s="98">
        <v>45109</v>
      </c>
      <c r="AT4" s="160"/>
      <c r="AU4" s="99" t="s">
        <v>210</v>
      </c>
      <c r="AV4" s="323"/>
    </row>
    <row r="5" spans="1:48" x14ac:dyDescent="0.35">
      <c r="A5" s="317"/>
      <c r="B5" s="1">
        <v>2</v>
      </c>
      <c r="C5" t="s">
        <v>1068</v>
      </c>
      <c r="D5" s="1" t="s">
        <v>47</v>
      </c>
      <c r="E5" s="2">
        <v>82362087</v>
      </c>
      <c r="F5" s="30">
        <v>28369</v>
      </c>
      <c r="G5" s="30">
        <v>45514</v>
      </c>
      <c r="H5" s="30">
        <f>EDATE(Activos[[#This Row],[FECHA INDUCCION ]],12)-1</f>
        <v>45878</v>
      </c>
      <c r="I5" s="2">
        <f ca="1">Activos[[#This Row],[VENCE.INDUCCION]]-TODAY()</f>
        <v>103</v>
      </c>
      <c r="J5" s="30" t="s">
        <v>206</v>
      </c>
      <c r="K5" s="2">
        <f ca="1">Activos[[#This Row],[VENCE.MANI.ALIM]]</f>
        <v>0</v>
      </c>
      <c r="L5" s="2" t="e">
        <f ca="1">Activos[[#This Row],[VENCE.MANI.ALIM]]-TODAY()</f>
        <v>#VALUE!</v>
      </c>
      <c r="M5" s="30">
        <v>45631</v>
      </c>
      <c r="N5" s="30">
        <f t="shared" si="0"/>
        <v>45995</v>
      </c>
      <c r="O5" s="2">
        <f ca="1">Activos[[#This Row],[VENCIMIENTO.EX.MED]]-TODAY()</f>
        <v>220</v>
      </c>
      <c r="P5" s="2" t="s">
        <v>197</v>
      </c>
      <c r="Q5" s="2" t="s">
        <v>198</v>
      </c>
      <c r="R5" s="105">
        <v>3218856534</v>
      </c>
      <c r="S5" s="2" t="s">
        <v>199</v>
      </c>
      <c r="T5" s="2" t="s">
        <v>256</v>
      </c>
      <c r="U5" s="2" t="s">
        <v>1127</v>
      </c>
      <c r="V5" s="2" t="s">
        <v>200</v>
      </c>
      <c r="W5" s="1" t="s">
        <v>201</v>
      </c>
      <c r="X5" s="1" t="s">
        <v>202</v>
      </c>
      <c r="Y5" s="1">
        <v>40</v>
      </c>
      <c r="Z5" s="1">
        <v>43</v>
      </c>
      <c r="AA5" t="s">
        <v>203</v>
      </c>
      <c r="AB5" s="30">
        <v>45643</v>
      </c>
      <c r="AC5" s="30">
        <v>45125</v>
      </c>
      <c r="AD5" s="2" t="s">
        <v>204</v>
      </c>
      <c r="AE5" s="2" t="s">
        <v>205</v>
      </c>
      <c r="AF5" s="2" t="s">
        <v>205</v>
      </c>
      <c r="AG5" s="2" t="s">
        <v>1009</v>
      </c>
      <c r="AH5" s="2" t="s">
        <v>1010</v>
      </c>
      <c r="AI5" s="240">
        <v>25300015105</v>
      </c>
      <c r="AJ5" s="30">
        <v>45603</v>
      </c>
      <c r="AK5" s="30" t="s">
        <v>207</v>
      </c>
      <c r="AL5" s="323"/>
      <c r="AM5" s="320"/>
      <c r="AN5" s="94">
        <v>1002085199</v>
      </c>
      <c r="AO5" s="95" t="s">
        <v>219</v>
      </c>
      <c r="AP5" s="95" t="s">
        <v>220</v>
      </c>
      <c r="AQ5" s="94" t="s">
        <v>209</v>
      </c>
      <c r="AR5" s="97">
        <v>45383</v>
      </c>
      <c r="AS5" s="98">
        <v>45476</v>
      </c>
      <c r="AT5" s="160"/>
      <c r="AU5" s="99" t="s">
        <v>210</v>
      </c>
      <c r="AV5" s="323"/>
    </row>
    <row r="6" spans="1:48" x14ac:dyDescent="0.35">
      <c r="A6" s="317"/>
      <c r="B6" s="1">
        <v>3</v>
      </c>
      <c r="C6" t="s">
        <v>221</v>
      </c>
      <c r="D6" s="1" t="s">
        <v>222</v>
      </c>
      <c r="E6" s="2">
        <v>7186891</v>
      </c>
      <c r="F6" s="30">
        <v>36922</v>
      </c>
      <c r="G6" s="30">
        <v>45034</v>
      </c>
      <c r="H6" s="30">
        <f>EDATE(Activos[[#This Row],[FECHA INDUCCION ]],12)-1</f>
        <v>45399</v>
      </c>
      <c r="I6" s="2">
        <f ca="1">Activos[[#This Row],[VENCE.INDUCCION]]-TODAY()</f>
        <v>-376</v>
      </c>
      <c r="J6" s="30" t="s">
        <v>206</v>
      </c>
      <c r="K6" s="2" t="e">
        <f t="shared" ref="K6:K35" si="1">EDATE(J6,12)-1</f>
        <v>#VALUE!</v>
      </c>
      <c r="L6" s="2" t="e">
        <f ca="1">Activos[[#This Row],[VENCE.MANI.ALIM]]-TODAY()</f>
        <v>#VALUE!</v>
      </c>
      <c r="M6" s="30">
        <v>45628</v>
      </c>
      <c r="N6" s="30">
        <f t="shared" si="0"/>
        <v>45992</v>
      </c>
      <c r="O6" s="2">
        <f ca="1">Activos[[#This Row],[VENCIMIENTO.EX.MED]]-TODAY()</f>
        <v>217</v>
      </c>
      <c r="P6" s="2" t="s">
        <v>212</v>
      </c>
      <c r="Q6" s="2" t="s">
        <v>223</v>
      </c>
      <c r="R6" s="105">
        <v>3046034182</v>
      </c>
      <c r="S6" s="2" t="s">
        <v>213</v>
      </c>
      <c r="T6" s="2" t="s">
        <v>213</v>
      </c>
      <c r="U6" s="2" t="s">
        <v>1127</v>
      </c>
      <c r="V6" s="2" t="s">
        <v>200</v>
      </c>
      <c r="W6" s="1" t="s">
        <v>201</v>
      </c>
      <c r="X6" s="1" t="s">
        <v>214</v>
      </c>
      <c r="Y6" s="1">
        <v>34</v>
      </c>
      <c r="Z6" s="1">
        <v>42</v>
      </c>
      <c r="AA6" t="s">
        <v>203</v>
      </c>
      <c r="AB6" s="30">
        <v>45292</v>
      </c>
      <c r="AC6" s="30">
        <v>45031</v>
      </c>
      <c r="AD6" s="2" t="s">
        <v>224</v>
      </c>
      <c r="AE6" s="2" t="s">
        <v>217</v>
      </c>
      <c r="AF6" s="2" t="s">
        <v>217</v>
      </c>
      <c r="AG6" s="2" t="s">
        <v>1009</v>
      </c>
      <c r="AH6" s="2" t="s">
        <v>1010</v>
      </c>
      <c r="AI6" s="240">
        <v>25300010024</v>
      </c>
      <c r="AJ6" s="30">
        <v>45604</v>
      </c>
      <c r="AK6" s="30" t="s">
        <v>225</v>
      </c>
      <c r="AL6" s="323"/>
      <c r="AM6" s="320"/>
      <c r="AN6" s="94">
        <v>6989826</v>
      </c>
      <c r="AO6" s="95" t="s">
        <v>226</v>
      </c>
      <c r="AP6" s="95" t="s">
        <v>220</v>
      </c>
      <c r="AQ6" s="94" t="s">
        <v>209</v>
      </c>
      <c r="AR6" s="97">
        <v>44743</v>
      </c>
      <c r="AS6" s="98">
        <v>45019</v>
      </c>
      <c r="AT6" s="160"/>
      <c r="AU6" s="99" t="s">
        <v>210</v>
      </c>
      <c r="AV6" s="323"/>
    </row>
    <row r="7" spans="1:48" x14ac:dyDescent="0.35">
      <c r="A7" s="317"/>
      <c r="B7" s="1">
        <v>4</v>
      </c>
      <c r="C7" t="s">
        <v>227</v>
      </c>
      <c r="D7" s="1" t="s">
        <v>47</v>
      </c>
      <c r="E7" s="2">
        <v>1000886332</v>
      </c>
      <c r="F7" s="30">
        <v>37603</v>
      </c>
      <c r="G7" s="30">
        <v>45531</v>
      </c>
      <c r="H7" s="30">
        <f>EDATE(Activos[[#This Row],[FECHA INDUCCION ]],12)-1</f>
        <v>45895</v>
      </c>
      <c r="I7" s="2">
        <f ca="1">Activos[[#This Row],[VENCE.INDUCCION]]-TODAY()</f>
        <v>120</v>
      </c>
      <c r="J7" s="30" t="s">
        <v>206</v>
      </c>
      <c r="K7" s="2" t="e">
        <f t="shared" si="1"/>
        <v>#VALUE!</v>
      </c>
      <c r="L7" s="2" t="e">
        <f ca="1">Activos[[#This Row],[VENCE.MANI.ALIM]]-TODAY()</f>
        <v>#VALUE!</v>
      </c>
      <c r="M7" s="30">
        <v>45525</v>
      </c>
      <c r="N7" s="30">
        <f t="shared" si="0"/>
        <v>45889</v>
      </c>
      <c r="O7" s="2">
        <f ca="1">Activos[[#This Row],[VENCIMIENTO.EX.MED]]-TODAY()</f>
        <v>114</v>
      </c>
      <c r="P7" s="2" t="s">
        <v>212</v>
      </c>
      <c r="Q7" s="2" t="s">
        <v>228</v>
      </c>
      <c r="R7" s="105">
        <v>3003793896</v>
      </c>
      <c r="S7" s="2" t="s">
        <v>213</v>
      </c>
      <c r="T7" s="2" t="s">
        <v>213</v>
      </c>
      <c r="U7" s="2" t="s">
        <v>1127</v>
      </c>
      <c r="V7" s="2" t="s">
        <v>22</v>
      </c>
      <c r="W7" s="1" t="s">
        <v>201</v>
      </c>
      <c r="X7" s="1" t="s">
        <v>214</v>
      </c>
      <c r="Y7" s="1">
        <v>34</v>
      </c>
      <c r="Z7" s="1">
        <v>42</v>
      </c>
      <c r="AA7" t="s">
        <v>203</v>
      </c>
      <c r="AB7" s="30">
        <v>45531</v>
      </c>
      <c r="AC7" s="30">
        <v>45531</v>
      </c>
      <c r="AD7" s="2" t="s">
        <v>224</v>
      </c>
      <c r="AE7" s="2" t="s">
        <v>205</v>
      </c>
      <c r="AF7" s="2" t="s">
        <v>205</v>
      </c>
      <c r="AG7" s="2" t="s">
        <v>1009</v>
      </c>
      <c r="AH7" s="2" t="s">
        <v>1010</v>
      </c>
      <c r="AI7" s="240">
        <v>25300007379</v>
      </c>
      <c r="AJ7" s="30">
        <v>45524</v>
      </c>
      <c r="AK7" s="30" t="s">
        <v>229</v>
      </c>
      <c r="AL7" s="323"/>
      <c r="AM7" s="320"/>
      <c r="AN7" s="94">
        <v>7186891</v>
      </c>
      <c r="AO7" s="95" t="s">
        <v>230</v>
      </c>
      <c r="AP7" s="95" t="s">
        <v>220</v>
      </c>
      <c r="AQ7" s="94" t="s">
        <v>209</v>
      </c>
      <c r="AR7" s="97">
        <v>45034</v>
      </c>
      <c r="AS7" s="98">
        <v>45290</v>
      </c>
      <c r="AT7" s="160"/>
      <c r="AU7" s="99"/>
      <c r="AV7" s="323"/>
    </row>
    <row r="8" spans="1:48" x14ac:dyDescent="0.35">
      <c r="A8" s="317"/>
      <c r="B8" s="1">
        <v>5</v>
      </c>
      <c r="C8" t="s">
        <v>231</v>
      </c>
      <c r="D8" s="1" t="s">
        <v>47</v>
      </c>
      <c r="E8" s="2">
        <v>1044505787</v>
      </c>
      <c r="F8" s="30">
        <v>33822</v>
      </c>
      <c r="G8" s="30">
        <v>45552</v>
      </c>
      <c r="H8" s="30">
        <f>EDATE(Activos[[#This Row],[FECHA INDUCCION ]],12)-1</f>
        <v>45916</v>
      </c>
      <c r="I8" s="2">
        <f ca="1">Activos[[#This Row],[VENCE.INDUCCION]]-TODAY()</f>
        <v>141</v>
      </c>
      <c r="J8" s="30">
        <v>45558</v>
      </c>
      <c r="K8" s="30">
        <f t="shared" si="1"/>
        <v>45922</v>
      </c>
      <c r="L8" s="2">
        <f ca="1">Activos[[#This Row],[VENCE.MANI.ALIM]]-TODAY()</f>
        <v>147</v>
      </c>
      <c r="M8" s="30">
        <v>45548</v>
      </c>
      <c r="N8" s="30">
        <f t="shared" si="0"/>
        <v>45912</v>
      </c>
      <c r="O8" s="2">
        <f ca="1">Activos[[#This Row],[VENCIMIENTO.EX.MED]]-TODAY()</f>
        <v>137</v>
      </c>
      <c r="P8" s="2" t="s">
        <v>212</v>
      </c>
      <c r="Q8" s="2" t="s">
        <v>232</v>
      </c>
      <c r="R8" s="105">
        <v>3193938993</v>
      </c>
      <c r="S8" s="2" t="s">
        <v>213</v>
      </c>
      <c r="T8" s="2" t="s">
        <v>213</v>
      </c>
      <c r="U8" s="2" t="s">
        <v>1127</v>
      </c>
      <c r="V8" s="2" t="s">
        <v>22</v>
      </c>
      <c r="W8" s="1" t="s">
        <v>201</v>
      </c>
      <c r="X8" s="1" t="s">
        <v>214</v>
      </c>
      <c r="Y8" s="1">
        <v>36</v>
      </c>
      <c r="Z8" s="1">
        <v>42</v>
      </c>
      <c r="AA8" t="s">
        <v>203</v>
      </c>
      <c r="AB8" s="30">
        <v>45552</v>
      </c>
      <c r="AC8" s="30">
        <v>45552</v>
      </c>
      <c r="AD8" s="2" t="s">
        <v>224</v>
      </c>
      <c r="AE8" s="2" t="s">
        <v>217</v>
      </c>
      <c r="AF8" s="2" t="s">
        <v>217</v>
      </c>
      <c r="AG8" s="2" t="s">
        <v>1009</v>
      </c>
      <c r="AH8" s="2" t="s">
        <v>1010</v>
      </c>
      <c r="AI8" s="240">
        <v>64235999704</v>
      </c>
      <c r="AJ8" s="30">
        <v>45547</v>
      </c>
      <c r="AK8" s="30" t="s">
        <v>218</v>
      </c>
      <c r="AL8" s="323"/>
      <c r="AM8" s="320"/>
      <c r="AN8" s="94">
        <v>7186891</v>
      </c>
      <c r="AO8" s="95" t="s">
        <v>230</v>
      </c>
      <c r="AP8" s="95" t="s">
        <v>220</v>
      </c>
      <c r="AQ8" s="94" t="s">
        <v>209</v>
      </c>
      <c r="AR8" s="97"/>
      <c r="AS8" s="98"/>
      <c r="AT8" s="160"/>
      <c r="AU8" s="99" t="s">
        <v>233</v>
      </c>
      <c r="AV8" s="323"/>
    </row>
    <row r="9" spans="1:48" x14ac:dyDescent="0.35">
      <c r="A9" s="317"/>
      <c r="B9" s="1">
        <v>6</v>
      </c>
      <c r="C9" t="s">
        <v>234</v>
      </c>
      <c r="D9" s="1" t="s">
        <v>47</v>
      </c>
      <c r="E9" s="2">
        <v>1037548559</v>
      </c>
      <c r="F9" s="30">
        <v>35669</v>
      </c>
      <c r="G9" s="30">
        <v>45631</v>
      </c>
      <c r="H9" s="30">
        <f>EDATE(Activos[[#This Row],[FECHA INDUCCION ]],12)-1</f>
        <v>45995</v>
      </c>
      <c r="I9" s="2">
        <f ca="1">Activos[[#This Row],[VENCE.INDUCCION]]-TODAY()</f>
        <v>220</v>
      </c>
      <c r="J9" s="30">
        <v>45674</v>
      </c>
      <c r="K9" s="30">
        <f t="shared" si="1"/>
        <v>46038</v>
      </c>
      <c r="L9" s="2">
        <f ca="1">Activos[[#This Row],[VENCE.MANI.ALIM]]-TODAY()</f>
        <v>263</v>
      </c>
      <c r="M9" s="30">
        <v>45629</v>
      </c>
      <c r="N9" s="30">
        <f t="shared" si="0"/>
        <v>45993</v>
      </c>
      <c r="O9" s="2">
        <f ca="1">Activos[[#This Row],[VENCIMIENTO.EX.MED]]-TODAY()</f>
        <v>218</v>
      </c>
      <c r="P9" s="2" t="s">
        <v>212</v>
      </c>
      <c r="Q9" s="2" t="s">
        <v>235</v>
      </c>
      <c r="R9" s="105">
        <v>3175656788</v>
      </c>
      <c r="S9" s="2" t="s">
        <v>213</v>
      </c>
      <c r="T9" s="2" t="s">
        <v>213</v>
      </c>
      <c r="U9" s="2" t="s">
        <v>1127</v>
      </c>
      <c r="V9" s="2" t="s">
        <v>22</v>
      </c>
      <c r="W9" s="1" t="s">
        <v>201</v>
      </c>
      <c r="X9" s="1" t="s">
        <v>236</v>
      </c>
      <c r="Y9" s="1">
        <v>34</v>
      </c>
      <c r="Z9" s="1">
        <v>41</v>
      </c>
      <c r="AA9" t="s">
        <v>203</v>
      </c>
      <c r="AB9" s="30">
        <v>45631</v>
      </c>
      <c r="AC9" s="30">
        <v>45631</v>
      </c>
      <c r="AD9" s="2" t="s">
        <v>237</v>
      </c>
      <c r="AE9" s="2" t="s">
        <v>205</v>
      </c>
      <c r="AF9" s="2" t="s">
        <v>205</v>
      </c>
      <c r="AG9" s="2" t="s">
        <v>1009</v>
      </c>
      <c r="AH9" s="2" t="s">
        <v>1010</v>
      </c>
      <c r="AI9" s="240">
        <v>13175656788</v>
      </c>
      <c r="AJ9" s="30">
        <v>45628</v>
      </c>
      <c r="AK9" s="30" t="s">
        <v>218</v>
      </c>
      <c r="AL9" s="323"/>
      <c r="AM9" s="320"/>
      <c r="AN9" s="94">
        <v>1035832625</v>
      </c>
      <c r="AO9" s="95" t="s">
        <v>239</v>
      </c>
      <c r="AP9" s="95" t="s">
        <v>220</v>
      </c>
      <c r="AQ9" s="94" t="s">
        <v>209</v>
      </c>
      <c r="AR9" s="97">
        <v>45415</v>
      </c>
      <c r="AS9" s="98">
        <v>45510</v>
      </c>
      <c r="AT9" s="160"/>
      <c r="AU9" s="99" t="s">
        <v>210</v>
      </c>
      <c r="AV9" s="323"/>
    </row>
    <row r="10" spans="1:48" x14ac:dyDescent="0.35">
      <c r="A10" s="317"/>
      <c r="B10" s="1">
        <v>7</v>
      </c>
      <c r="C10" t="s">
        <v>240</v>
      </c>
      <c r="D10" s="1" t="s">
        <v>47</v>
      </c>
      <c r="E10" s="2">
        <v>1000761521</v>
      </c>
      <c r="F10" s="30">
        <v>37680</v>
      </c>
      <c r="G10" s="30">
        <v>45719</v>
      </c>
      <c r="H10" s="30">
        <f>EDATE(Activos[[#This Row],[FECHA INDUCCION ]],12)-1</f>
        <v>46083</v>
      </c>
      <c r="I10" s="2">
        <f ca="1">Activos[[#This Row],[VENCE.INDUCCION]]-TODAY()</f>
        <v>308</v>
      </c>
      <c r="J10" s="30">
        <v>45739</v>
      </c>
      <c r="K10" s="30">
        <f t="shared" si="1"/>
        <v>46103</v>
      </c>
      <c r="L10" s="2">
        <f ca="1">Activos[[#This Row],[VENCE.MANI.ALIM]]-TODAY()</f>
        <v>328</v>
      </c>
      <c r="M10" s="30">
        <v>45665</v>
      </c>
      <c r="N10" s="30">
        <f t="shared" si="0"/>
        <v>46029</v>
      </c>
      <c r="O10" s="2">
        <f ca="1">Activos[[#This Row],[VENCIMIENTO.EX.MED]]-TODAY()</f>
        <v>254</v>
      </c>
      <c r="P10" s="2" t="s">
        <v>212</v>
      </c>
      <c r="Q10" s="2" t="s">
        <v>241</v>
      </c>
      <c r="R10" s="105">
        <v>3046614142</v>
      </c>
      <c r="S10" s="2" t="s">
        <v>199</v>
      </c>
      <c r="T10" s="2" t="s">
        <v>199</v>
      </c>
      <c r="U10" s="2" t="s">
        <v>1127</v>
      </c>
      <c r="V10" s="2" t="s">
        <v>22</v>
      </c>
      <c r="W10" s="1" t="s">
        <v>201</v>
      </c>
      <c r="X10" s="1" t="s">
        <v>214</v>
      </c>
      <c r="Y10" s="1">
        <v>30</v>
      </c>
      <c r="Z10" s="1">
        <v>40</v>
      </c>
      <c r="AA10" t="s">
        <v>203</v>
      </c>
      <c r="AB10" s="30">
        <v>45667</v>
      </c>
      <c r="AC10" s="30">
        <v>45667</v>
      </c>
      <c r="AD10" s="2" t="s">
        <v>224</v>
      </c>
      <c r="AE10" s="2" t="s">
        <v>217</v>
      </c>
      <c r="AF10" s="2" t="s">
        <v>217</v>
      </c>
      <c r="AG10" s="2" t="s">
        <v>1009</v>
      </c>
      <c r="AH10" s="2" t="s">
        <v>1010</v>
      </c>
      <c r="AI10" s="240">
        <v>31151654480</v>
      </c>
      <c r="AJ10" s="30">
        <v>45747</v>
      </c>
      <c r="AK10" s="30" t="s">
        <v>242</v>
      </c>
      <c r="AL10" s="323"/>
      <c r="AM10" s="320"/>
      <c r="AN10" s="94">
        <v>1216716639</v>
      </c>
      <c r="AO10" s="95" t="s">
        <v>243</v>
      </c>
      <c r="AP10" s="95" t="s">
        <v>244</v>
      </c>
      <c r="AQ10" s="94" t="s">
        <v>209</v>
      </c>
      <c r="AR10" s="97">
        <v>44904</v>
      </c>
      <c r="AS10" s="98">
        <v>44972</v>
      </c>
      <c r="AT10" s="160"/>
      <c r="AU10" s="99" t="s">
        <v>210</v>
      </c>
      <c r="AV10" s="323"/>
    </row>
    <row r="11" spans="1:48" x14ac:dyDescent="0.35">
      <c r="A11" s="317"/>
      <c r="B11" s="1">
        <v>8</v>
      </c>
      <c r="C11" t="s">
        <v>245</v>
      </c>
      <c r="D11" s="1" t="s">
        <v>47</v>
      </c>
      <c r="E11" s="2">
        <v>1037612837</v>
      </c>
      <c r="F11" s="30">
        <v>33362</v>
      </c>
      <c r="G11" s="30">
        <v>45686</v>
      </c>
      <c r="H11" s="30">
        <f>EDATE(Activos[[#This Row],[FECHA INDUCCION ]],12)-1</f>
        <v>46050</v>
      </c>
      <c r="I11" s="2">
        <f ca="1">Activos[[#This Row],[VENCE.INDUCCION]]-TODAY()</f>
        <v>275</v>
      </c>
      <c r="J11" s="30" t="s">
        <v>206</v>
      </c>
      <c r="K11" s="2" t="e">
        <f t="shared" si="1"/>
        <v>#VALUE!</v>
      </c>
      <c r="L11" s="2" t="e">
        <f ca="1">Activos[[#This Row],[VENCE.MANI.ALIM]]-TODAY()</f>
        <v>#VALUE!</v>
      </c>
      <c r="M11" s="30">
        <v>45356</v>
      </c>
      <c r="N11" s="30">
        <f>EDATE(M11,24)-1</f>
        <v>46085</v>
      </c>
      <c r="O11" s="2">
        <f ca="1">Activos[[#This Row],[VENCIMIENTO.EX.MED]]-TODAY()</f>
        <v>310</v>
      </c>
      <c r="P11" s="2" t="s">
        <v>212</v>
      </c>
      <c r="Q11" s="2" t="s">
        <v>246</v>
      </c>
      <c r="R11" s="105">
        <v>3136283267</v>
      </c>
      <c r="S11" s="2" t="s">
        <v>247</v>
      </c>
      <c r="T11" s="2" t="s">
        <v>248</v>
      </c>
      <c r="U11" s="2" t="s">
        <v>1127</v>
      </c>
      <c r="V11" s="2" t="s">
        <v>249</v>
      </c>
      <c r="W11" s="1" t="s">
        <v>20</v>
      </c>
      <c r="X11" s="1" t="s">
        <v>250</v>
      </c>
      <c r="Y11" s="1">
        <v>28</v>
      </c>
      <c r="Z11" s="1">
        <v>40</v>
      </c>
      <c r="AA11" t="s">
        <v>203</v>
      </c>
      <c r="AB11" s="30">
        <v>45357</v>
      </c>
      <c r="AC11" s="30">
        <v>45357</v>
      </c>
      <c r="AD11" s="2" t="s">
        <v>224</v>
      </c>
      <c r="AE11" s="2" t="s">
        <v>217</v>
      </c>
      <c r="AF11" s="2" t="s">
        <v>217</v>
      </c>
      <c r="AG11" s="2" t="s">
        <v>1009</v>
      </c>
      <c r="AH11" s="2" t="s">
        <v>1010</v>
      </c>
      <c r="AI11" s="240" t="s">
        <v>1012</v>
      </c>
      <c r="AJ11" s="30">
        <v>45604</v>
      </c>
      <c r="AK11" s="30" t="s">
        <v>251</v>
      </c>
      <c r="AL11" s="323"/>
      <c r="AM11" s="320"/>
      <c r="AN11" s="94">
        <v>1020396183</v>
      </c>
      <c r="AO11" s="95" t="s">
        <v>252</v>
      </c>
      <c r="AP11" s="95" t="s">
        <v>16</v>
      </c>
      <c r="AQ11" s="94" t="s">
        <v>209</v>
      </c>
      <c r="AR11" s="97">
        <v>45154</v>
      </c>
      <c r="AS11" s="98">
        <v>45297</v>
      </c>
      <c r="AT11" s="160"/>
      <c r="AU11" s="99"/>
      <c r="AV11" s="323"/>
    </row>
    <row r="12" spans="1:48" x14ac:dyDescent="0.35">
      <c r="A12" s="317"/>
      <c r="B12" s="1">
        <v>9</v>
      </c>
      <c r="C12" t="s">
        <v>253</v>
      </c>
      <c r="D12" s="1" t="s">
        <v>47</v>
      </c>
      <c r="E12" s="2">
        <v>1042150722</v>
      </c>
      <c r="F12" s="30">
        <v>34056</v>
      </c>
      <c r="G12" s="30">
        <v>45383</v>
      </c>
      <c r="H12" s="30">
        <f>EDATE(Activos[[#This Row],[FECHA INDUCCION ]],12)-1</f>
        <v>45747</v>
      </c>
      <c r="I12" s="2">
        <f ca="1">Activos[[#This Row],[VENCE.INDUCCION]]-TODAY()</f>
        <v>-28</v>
      </c>
      <c r="J12" s="30">
        <v>45736</v>
      </c>
      <c r="K12" s="30">
        <f t="shared" si="1"/>
        <v>46100</v>
      </c>
      <c r="L12" s="2">
        <f ca="1">Activos[[#This Row],[VENCE.MANI.ALIM]]-TODAY()</f>
        <v>325</v>
      </c>
      <c r="M12" s="30">
        <v>45358</v>
      </c>
      <c r="N12" s="30">
        <f t="shared" ref="N12:N13" si="2">EDATE(M12,24)-1</f>
        <v>46087</v>
      </c>
      <c r="O12" s="2">
        <f ca="1">Activos[[#This Row],[VENCIMIENTO.EX.MED]]-TODAY()</f>
        <v>312</v>
      </c>
      <c r="P12" s="2" t="s">
        <v>212</v>
      </c>
      <c r="Q12" s="2" t="s">
        <v>254</v>
      </c>
      <c r="R12" s="105">
        <v>3046005348</v>
      </c>
      <c r="S12" s="2" t="s">
        <v>255</v>
      </c>
      <c r="T12" s="2" t="s">
        <v>256</v>
      </c>
      <c r="U12" s="2" t="s">
        <v>1127</v>
      </c>
      <c r="V12" s="2" t="s">
        <v>22</v>
      </c>
      <c r="W12" s="1" t="s">
        <v>201</v>
      </c>
      <c r="X12" s="1" t="s">
        <v>10</v>
      </c>
      <c r="Y12" s="1">
        <v>30</v>
      </c>
      <c r="Z12" s="1">
        <v>40</v>
      </c>
      <c r="AA12" t="s">
        <v>203</v>
      </c>
      <c r="AB12" s="30">
        <v>45383</v>
      </c>
      <c r="AC12" s="30">
        <v>45383</v>
      </c>
      <c r="AD12" s="2" t="s">
        <v>237</v>
      </c>
      <c r="AE12" s="2" t="s">
        <v>205</v>
      </c>
      <c r="AF12" s="2" t="s">
        <v>205</v>
      </c>
      <c r="AG12" s="2" t="s">
        <v>1009</v>
      </c>
      <c r="AH12" s="2" t="s">
        <v>1010</v>
      </c>
      <c r="AI12" s="240" t="s">
        <v>1013</v>
      </c>
      <c r="AJ12" s="30">
        <v>45371</v>
      </c>
      <c r="AK12" s="30" t="s">
        <v>218</v>
      </c>
      <c r="AL12" s="323"/>
      <c r="AM12" s="320"/>
      <c r="AN12" s="94">
        <v>1020396183</v>
      </c>
      <c r="AO12" s="95" t="s">
        <v>252</v>
      </c>
      <c r="AP12" s="95" t="s">
        <v>16</v>
      </c>
      <c r="AQ12" s="94" t="s">
        <v>209</v>
      </c>
      <c r="AR12" s="97">
        <v>45456</v>
      </c>
      <c r="AS12" s="98"/>
      <c r="AT12" s="160"/>
      <c r="AU12" s="99" t="s">
        <v>233</v>
      </c>
      <c r="AV12" s="323"/>
    </row>
    <row r="13" spans="1:48" x14ac:dyDescent="0.35">
      <c r="A13" s="317"/>
      <c r="B13" s="1">
        <v>10</v>
      </c>
      <c r="C13" t="s">
        <v>257</v>
      </c>
      <c r="D13" s="1" t="s">
        <v>47</v>
      </c>
      <c r="E13" s="2">
        <v>1000900983</v>
      </c>
      <c r="F13" s="30">
        <v>36900</v>
      </c>
      <c r="G13" s="30">
        <v>45544</v>
      </c>
      <c r="H13" s="30">
        <f>EDATE(Activos[[#This Row],[FECHA INDUCCION ]],12)-1</f>
        <v>45908</v>
      </c>
      <c r="I13" s="2">
        <f ca="1">Activos[[#This Row],[VENCE.INDUCCION]]-TODAY()</f>
        <v>133</v>
      </c>
      <c r="J13" s="30">
        <v>45411</v>
      </c>
      <c r="K13" s="30">
        <f t="shared" si="1"/>
        <v>45775</v>
      </c>
      <c r="L13" s="2">
        <f ca="1">Activos[[#This Row],[VENCE.MANI.ALIM]]-TODAY()</f>
        <v>0</v>
      </c>
      <c r="M13" s="30">
        <v>45378</v>
      </c>
      <c r="N13" s="30">
        <f t="shared" si="2"/>
        <v>46107</v>
      </c>
      <c r="O13" s="2">
        <f ca="1">Activos[[#This Row],[VENCIMIENTO.EX.MED]]-TODAY()</f>
        <v>332</v>
      </c>
      <c r="P13" s="2" t="s">
        <v>212</v>
      </c>
      <c r="Q13" s="2" t="s">
        <v>258</v>
      </c>
      <c r="R13" s="105">
        <v>3194886863</v>
      </c>
      <c r="S13" s="2" t="s">
        <v>259</v>
      </c>
      <c r="T13" s="2" t="s">
        <v>260</v>
      </c>
      <c r="U13" s="2" t="s">
        <v>1128</v>
      </c>
      <c r="V13" s="2" t="s">
        <v>261</v>
      </c>
      <c r="W13" s="1" t="s">
        <v>20</v>
      </c>
      <c r="X13" s="1" t="s">
        <v>202</v>
      </c>
      <c r="Y13" s="1">
        <v>36</v>
      </c>
      <c r="Z13" s="1">
        <v>43</v>
      </c>
      <c r="AA13" t="s">
        <v>203</v>
      </c>
      <c r="AB13" s="30">
        <v>45383</v>
      </c>
      <c r="AC13" s="30">
        <v>45383</v>
      </c>
      <c r="AD13" s="2" t="s">
        <v>224</v>
      </c>
      <c r="AE13" s="2" t="s">
        <v>205</v>
      </c>
      <c r="AF13" s="2" t="s">
        <v>205</v>
      </c>
      <c r="AG13" s="2" t="s">
        <v>1009</v>
      </c>
      <c r="AH13" s="2" t="s">
        <v>1010</v>
      </c>
      <c r="AI13" s="240" t="s">
        <v>1014</v>
      </c>
      <c r="AK13" s="30" t="s">
        <v>262</v>
      </c>
      <c r="AL13" s="323"/>
      <c r="AM13" s="320"/>
      <c r="AN13" s="94">
        <v>1035874082</v>
      </c>
      <c r="AO13" s="95" t="s">
        <v>263</v>
      </c>
      <c r="AP13" s="95" t="s">
        <v>220</v>
      </c>
      <c r="AQ13" s="94" t="s">
        <v>209</v>
      </c>
      <c r="AR13" s="97">
        <v>45449</v>
      </c>
      <c r="AS13" s="98">
        <v>45533</v>
      </c>
      <c r="AT13" s="160"/>
      <c r="AU13" s="99" t="s">
        <v>210</v>
      </c>
      <c r="AV13" s="323"/>
    </row>
    <row r="14" spans="1:48" x14ac:dyDescent="0.35">
      <c r="A14" s="317"/>
      <c r="B14" s="1">
        <v>11</v>
      </c>
      <c r="C14" t="s">
        <v>252</v>
      </c>
      <c r="D14" s="1" t="s">
        <v>47</v>
      </c>
      <c r="E14" s="2">
        <v>1020396183</v>
      </c>
      <c r="F14" s="30" t="s">
        <v>81</v>
      </c>
      <c r="G14" s="30">
        <v>45455</v>
      </c>
      <c r="H14" s="30">
        <f>EDATE(Activos[[#This Row],[FECHA INDUCCION ]],12)-1</f>
        <v>45819</v>
      </c>
      <c r="I14" s="2">
        <f ca="1">Activos[[#This Row],[VENCE.INDUCCION]]-TODAY()</f>
        <v>44</v>
      </c>
      <c r="J14" s="30" t="s">
        <v>206</v>
      </c>
      <c r="K14" s="2" t="e">
        <f t="shared" si="1"/>
        <v>#VALUE!</v>
      </c>
      <c r="L14" s="2" t="e">
        <f ca="1">Activos[[#This Row],[VENCE.MANI.ALIM]]-TODAY()</f>
        <v>#VALUE!</v>
      </c>
      <c r="M14" s="30">
        <v>45454</v>
      </c>
      <c r="N14" s="30">
        <f t="shared" si="0"/>
        <v>45818</v>
      </c>
      <c r="O14" s="2">
        <f ca="1">Activos[[#This Row],[VENCIMIENTO.EX.MED]]-TODAY()</f>
        <v>43</v>
      </c>
      <c r="P14" s="2" t="s">
        <v>212</v>
      </c>
      <c r="Q14" s="2" t="s">
        <v>264</v>
      </c>
      <c r="R14" s="105">
        <v>3108296658</v>
      </c>
      <c r="S14" s="2" t="s">
        <v>199</v>
      </c>
      <c r="T14" s="2" t="s">
        <v>256</v>
      </c>
      <c r="U14" s="2" t="s">
        <v>1127</v>
      </c>
      <c r="V14" s="2" t="s">
        <v>16</v>
      </c>
      <c r="W14" s="1" t="s">
        <v>201</v>
      </c>
      <c r="X14" s="1" t="s">
        <v>214</v>
      </c>
      <c r="Y14" s="1">
        <v>36</v>
      </c>
      <c r="Z14" s="1">
        <v>40</v>
      </c>
      <c r="AA14" t="s">
        <v>203</v>
      </c>
      <c r="AB14" s="30">
        <v>45456</v>
      </c>
      <c r="AC14" s="30">
        <v>45456</v>
      </c>
      <c r="AD14" s="2" t="s">
        <v>224</v>
      </c>
      <c r="AE14" s="2" t="s">
        <v>206</v>
      </c>
      <c r="AF14" s="2" t="s">
        <v>217</v>
      </c>
      <c r="AG14" s="2" t="s">
        <v>1009</v>
      </c>
      <c r="AH14" s="2" t="s">
        <v>1010</v>
      </c>
      <c r="AI14" s="240" t="s">
        <v>1015</v>
      </c>
      <c r="AJ14" s="30">
        <v>45603</v>
      </c>
      <c r="AK14" s="30" t="s">
        <v>16</v>
      </c>
      <c r="AL14" s="323"/>
      <c r="AM14" s="320"/>
      <c r="AN14" s="94">
        <v>1067285787</v>
      </c>
      <c r="AO14" s="95" t="s">
        <v>265</v>
      </c>
      <c r="AP14" s="95" t="s">
        <v>200</v>
      </c>
      <c r="AQ14" s="94" t="s">
        <v>209</v>
      </c>
      <c r="AR14" s="97">
        <v>44470</v>
      </c>
      <c r="AS14" s="98">
        <v>44941</v>
      </c>
      <c r="AT14" s="160"/>
      <c r="AU14" s="99" t="s">
        <v>210</v>
      </c>
      <c r="AV14" s="323"/>
    </row>
    <row r="15" spans="1:48" x14ac:dyDescent="0.35">
      <c r="A15" s="317"/>
      <c r="B15" s="1">
        <v>12</v>
      </c>
      <c r="C15" s="272" t="s">
        <v>266</v>
      </c>
      <c r="D15" s="273" t="s">
        <v>47</v>
      </c>
      <c r="E15" s="274">
        <v>1000569920</v>
      </c>
      <c r="F15" s="275">
        <v>36019</v>
      </c>
      <c r="G15" s="275" t="s">
        <v>271</v>
      </c>
      <c r="H15" s="275" t="e">
        <f>EDATE(Activos[[#This Row],[FECHA INDUCCION ]],12)-1</f>
        <v>#VALUE!</v>
      </c>
      <c r="I15" s="274" t="e">
        <f ca="1">Activos[[#This Row],[VENCE.INDUCCION]]-TODAY()</f>
        <v>#VALUE!</v>
      </c>
      <c r="J15" s="275" t="s">
        <v>206</v>
      </c>
      <c r="K15" s="274" t="e">
        <f t="shared" si="1"/>
        <v>#VALUE!</v>
      </c>
      <c r="L15" s="274" t="e">
        <f ca="1">Activos[[#This Row],[VENCE.MANI.ALIM]]-TODAY()</f>
        <v>#VALUE!</v>
      </c>
      <c r="M15" s="275" t="s">
        <v>206</v>
      </c>
      <c r="N15" s="275" t="e">
        <f t="shared" si="0"/>
        <v>#VALUE!</v>
      </c>
      <c r="O15" s="274" t="e">
        <f ca="1">Activos[[#This Row],[VENCIMIENTO.EX.MED]]-TODAY()</f>
        <v>#VALUE!</v>
      </c>
      <c r="P15" s="274" t="s">
        <v>267</v>
      </c>
      <c r="Q15" s="274" t="s">
        <v>268</v>
      </c>
      <c r="R15" s="276">
        <v>3246277646</v>
      </c>
      <c r="S15" s="274" t="s">
        <v>247</v>
      </c>
      <c r="T15" s="274" t="s">
        <v>269</v>
      </c>
      <c r="U15" s="274" t="s">
        <v>270</v>
      </c>
      <c r="V15" s="273" t="s">
        <v>272</v>
      </c>
      <c r="W15" s="273" t="s">
        <v>20</v>
      </c>
      <c r="X15" s="273" t="s">
        <v>206</v>
      </c>
      <c r="Y15" s="273" t="s">
        <v>206</v>
      </c>
      <c r="Z15" s="273" t="s">
        <v>206</v>
      </c>
      <c r="AA15" s="272" t="s">
        <v>271</v>
      </c>
      <c r="AB15" s="275">
        <v>45756</v>
      </c>
      <c r="AC15" s="275" t="s">
        <v>271</v>
      </c>
      <c r="AD15" s="274" t="s">
        <v>237</v>
      </c>
      <c r="AE15" s="275" t="s">
        <v>206</v>
      </c>
      <c r="AF15" s="275" t="s">
        <v>206</v>
      </c>
      <c r="AG15" s="274" t="s">
        <v>1009</v>
      </c>
      <c r="AH15" s="274" t="s">
        <v>1010</v>
      </c>
      <c r="AI15" s="277" t="s">
        <v>1016</v>
      </c>
      <c r="AJ15" s="274"/>
      <c r="AK15" s="275" t="s">
        <v>271</v>
      </c>
      <c r="AL15" s="323"/>
      <c r="AM15" s="320"/>
      <c r="AN15" s="94">
        <v>1001249552</v>
      </c>
      <c r="AO15" s="95" t="s">
        <v>273</v>
      </c>
      <c r="AP15" s="95" t="s">
        <v>220</v>
      </c>
      <c r="AQ15" s="94" t="s">
        <v>209</v>
      </c>
      <c r="AR15" s="97">
        <v>45463</v>
      </c>
      <c r="AS15" s="98">
        <v>45475</v>
      </c>
      <c r="AT15" s="160"/>
      <c r="AU15" s="99" t="s">
        <v>210</v>
      </c>
      <c r="AV15" s="323"/>
    </row>
    <row r="16" spans="1:48" x14ac:dyDescent="0.35">
      <c r="A16" s="317"/>
      <c r="B16" s="1">
        <v>13</v>
      </c>
      <c r="C16" t="s">
        <v>274</v>
      </c>
      <c r="D16" s="1" t="s">
        <v>47</v>
      </c>
      <c r="E16" s="2">
        <v>32295383</v>
      </c>
      <c r="F16" s="30">
        <v>31452</v>
      </c>
      <c r="G16" s="30">
        <v>45686</v>
      </c>
      <c r="H16" s="30">
        <f>EDATE(Activos[[#This Row],[FECHA INDUCCION ]],12)-1</f>
        <v>46050</v>
      </c>
      <c r="I16" s="2">
        <f ca="1">Activos[[#This Row],[VENCE.INDUCCION]]-TODAY()</f>
        <v>275</v>
      </c>
      <c r="J16" s="30" t="s">
        <v>206</v>
      </c>
      <c r="K16" s="2" t="e">
        <f t="shared" si="1"/>
        <v>#VALUE!</v>
      </c>
      <c r="L16" s="2" t="e">
        <f ca="1">Activos[[#This Row],[VENCE.MANI.ALIM]]-TODAY()</f>
        <v>#VALUE!</v>
      </c>
      <c r="M16" s="30">
        <v>45388</v>
      </c>
      <c r="N16" s="30">
        <f>EDATE(M16,24)-1</f>
        <v>46117</v>
      </c>
      <c r="O16" s="2">
        <f ca="1">Activos[[#This Row],[VENCIMIENTO.EX.MED]]-TODAY()</f>
        <v>342</v>
      </c>
      <c r="P16" s="2" t="s">
        <v>267</v>
      </c>
      <c r="Q16" s="2" t="s">
        <v>275</v>
      </c>
      <c r="R16" s="105">
        <v>3043374208</v>
      </c>
      <c r="S16" s="2" t="s">
        <v>259</v>
      </c>
      <c r="T16" s="2" t="s">
        <v>276</v>
      </c>
      <c r="U16" s="2" t="s">
        <v>1127</v>
      </c>
      <c r="V16" s="2" t="s">
        <v>277</v>
      </c>
      <c r="W16" s="1" t="s">
        <v>20</v>
      </c>
      <c r="X16" s="1">
        <v>8</v>
      </c>
      <c r="Y16" s="1" t="s">
        <v>206</v>
      </c>
      <c r="Z16" s="1" t="s">
        <v>206</v>
      </c>
      <c r="AA16" t="s">
        <v>203</v>
      </c>
      <c r="AB16" s="30">
        <v>44135</v>
      </c>
      <c r="AC16" s="106"/>
      <c r="AD16" s="2" t="s">
        <v>224</v>
      </c>
      <c r="AE16" s="2" t="s">
        <v>217</v>
      </c>
      <c r="AF16" s="2" t="s">
        <v>217</v>
      </c>
      <c r="AG16" s="2" t="s">
        <v>1009</v>
      </c>
      <c r="AH16" s="2" t="s">
        <v>1010</v>
      </c>
      <c r="AI16" s="240" t="s">
        <v>1017</v>
      </c>
      <c r="AJ16" s="30">
        <v>45604</v>
      </c>
      <c r="AK16" s="30" t="s">
        <v>278</v>
      </c>
      <c r="AL16" s="323"/>
      <c r="AM16" s="320"/>
      <c r="AN16" s="94">
        <v>6908571</v>
      </c>
      <c r="AO16" s="95" t="s">
        <v>279</v>
      </c>
      <c r="AP16" s="95" t="s">
        <v>220</v>
      </c>
      <c r="AQ16" s="94" t="s">
        <v>209</v>
      </c>
      <c r="AR16" s="97">
        <v>45307</v>
      </c>
      <c r="AS16" s="98">
        <v>45308</v>
      </c>
      <c r="AT16" s="160"/>
      <c r="AU16" s="99" t="s">
        <v>210</v>
      </c>
      <c r="AV16" s="323"/>
    </row>
    <row r="17" spans="1:48" x14ac:dyDescent="0.35">
      <c r="A17" s="317"/>
      <c r="B17" s="1">
        <v>14</v>
      </c>
      <c r="C17" t="s">
        <v>281</v>
      </c>
      <c r="D17" s="1" t="s">
        <v>47</v>
      </c>
      <c r="E17" s="2">
        <v>1035857498</v>
      </c>
      <c r="F17" s="30">
        <v>33184</v>
      </c>
      <c r="G17" s="30">
        <v>45630</v>
      </c>
      <c r="H17" s="30">
        <f>EDATE(Activos[[#This Row],[FECHA INDUCCION ]],12)-1</f>
        <v>45994</v>
      </c>
      <c r="I17" s="2">
        <f ca="1">Activos[[#This Row],[VENCE.INDUCCION]]-TODAY()</f>
        <v>219</v>
      </c>
      <c r="J17" s="30" t="s">
        <v>238</v>
      </c>
      <c r="K17" s="2" t="e">
        <f t="shared" si="1"/>
        <v>#VALUE!</v>
      </c>
      <c r="L17" s="2" t="e">
        <f ca="1">Activos[[#This Row],[VENCE.MANI.ALIM]]-TODAY()</f>
        <v>#VALUE!</v>
      </c>
      <c r="M17" s="30">
        <v>45629</v>
      </c>
      <c r="N17" s="30">
        <f t="shared" si="0"/>
        <v>45993</v>
      </c>
      <c r="O17" s="2">
        <f ca="1">Activos[[#This Row],[VENCIMIENTO.EX.MED]]-TODAY()</f>
        <v>218</v>
      </c>
      <c r="P17" s="2" t="s">
        <v>212</v>
      </c>
      <c r="Q17" s="2" t="s">
        <v>282</v>
      </c>
      <c r="R17" s="105">
        <v>3107416525</v>
      </c>
      <c r="S17" s="2" t="s">
        <v>213</v>
      </c>
      <c r="T17" s="2" t="s">
        <v>256</v>
      </c>
      <c r="U17" s="2" t="s">
        <v>1127</v>
      </c>
      <c r="V17" s="2" t="s">
        <v>200</v>
      </c>
      <c r="W17" s="1" t="s">
        <v>201</v>
      </c>
      <c r="X17" s="1" t="s">
        <v>214</v>
      </c>
      <c r="Y17" s="1">
        <v>34</v>
      </c>
      <c r="Z17" s="1">
        <v>42</v>
      </c>
      <c r="AA17" t="s">
        <v>203</v>
      </c>
      <c r="AB17" s="30">
        <v>45630</v>
      </c>
      <c r="AC17" s="30">
        <v>45630</v>
      </c>
      <c r="AD17" s="2" t="s">
        <v>224</v>
      </c>
      <c r="AE17" s="2" t="s">
        <v>205</v>
      </c>
      <c r="AF17" s="2" t="s">
        <v>205</v>
      </c>
      <c r="AG17" s="2" t="s">
        <v>1009</v>
      </c>
      <c r="AH17" s="2" t="s">
        <v>1010</v>
      </c>
      <c r="AI17" s="240" t="s">
        <v>1041</v>
      </c>
      <c r="AJ17" s="30">
        <v>45628</v>
      </c>
      <c r="AK17" s="30" t="s">
        <v>242</v>
      </c>
      <c r="AL17" s="323"/>
      <c r="AM17" s="320"/>
      <c r="AN17" s="94">
        <v>1152454930</v>
      </c>
      <c r="AO17" s="95" t="s">
        <v>280</v>
      </c>
      <c r="AP17" s="95" t="s">
        <v>16</v>
      </c>
      <c r="AQ17" s="94" t="s">
        <v>209</v>
      </c>
      <c r="AR17" s="97">
        <v>45216</v>
      </c>
      <c r="AS17" s="98">
        <v>45216</v>
      </c>
      <c r="AT17" s="160"/>
      <c r="AU17" s="99" t="s">
        <v>210</v>
      </c>
      <c r="AV17" s="323"/>
    </row>
    <row r="18" spans="1:48" x14ac:dyDescent="0.35">
      <c r="A18" s="317"/>
      <c r="B18" s="1">
        <v>15</v>
      </c>
      <c r="C18" t="s">
        <v>284</v>
      </c>
      <c r="D18" s="1" t="s">
        <v>222</v>
      </c>
      <c r="E18" s="2">
        <v>5362520</v>
      </c>
      <c r="F18" s="30">
        <v>36075</v>
      </c>
      <c r="G18" s="30">
        <v>45314</v>
      </c>
      <c r="H18" s="30">
        <f>EDATE(Activos[[#This Row],[FECHA INDUCCION ]],12)-1</f>
        <v>45679</v>
      </c>
      <c r="I18" s="2">
        <f ca="1">Activos[[#This Row],[VENCE.INDUCCION]]-TODAY()</f>
        <v>-96</v>
      </c>
      <c r="J18" s="30" t="s">
        <v>206</v>
      </c>
      <c r="K18" s="2" t="e">
        <f t="shared" si="1"/>
        <v>#VALUE!</v>
      </c>
      <c r="L18" s="2" t="e">
        <f ca="1">Activos[[#This Row],[VENCE.MANI.ALIM]]-TODAY()</f>
        <v>#VALUE!</v>
      </c>
      <c r="M18" s="30">
        <v>45498</v>
      </c>
      <c r="N18" s="30">
        <f t="shared" si="0"/>
        <v>45862</v>
      </c>
      <c r="O18" s="2">
        <f ca="1">Activos[[#This Row],[VENCIMIENTO.EX.MED]]-TODAY()</f>
        <v>87</v>
      </c>
      <c r="P18" s="2" t="s">
        <v>212</v>
      </c>
      <c r="Q18" s="2" t="s">
        <v>285</v>
      </c>
      <c r="R18" s="105">
        <v>3128877693</v>
      </c>
      <c r="S18" s="2" t="s">
        <v>286</v>
      </c>
      <c r="T18" s="2" t="s">
        <v>286</v>
      </c>
      <c r="U18" s="2" t="s">
        <v>1127</v>
      </c>
      <c r="V18" s="2" t="s">
        <v>22</v>
      </c>
      <c r="W18" s="1" t="s">
        <v>201</v>
      </c>
      <c r="X18" s="1" t="s">
        <v>214</v>
      </c>
      <c r="Y18" s="1">
        <v>30</v>
      </c>
      <c r="Z18" s="1">
        <v>39</v>
      </c>
      <c r="AA18" t="s">
        <v>203</v>
      </c>
      <c r="AB18" s="30">
        <v>45314</v>
      </c>
      <c r="AC18" s="30">
        <v>45314</v>
      </c>
      <c r="AD18" s="2" t="s">
        <v>287</v>
      </c>
      <c r="AE18" s="2" t="s">
        <v>217</v>
      </c>
      <c r="AF18" s="2" t="s">
        <v>217</v>
      </c>
      <c r="AG18" s="2" t="s">
        <v>1009</v>
      </c>
      <c r="AH18" s="2" t="s">
        <v>1010</v>
      </c>
      <c r="AI18" s="240" t="s">
        <v>1019</v>
      </c>
      <c r="AJ18" s="30">
        <v>45604</v>
      </c>
      <c r="AK18" s="30" t="s">
        <v>229</v>
      </c>
      <c r="AL18" s="323"/>
      <c r="AM18" s="320"/>
      <c r="AN18" s="94">
        <v>1007239907</v>
      </c>
      <c r="AO18" s="95" t="s">
        <v>283</v>
      </c>
      <c r="AP18" s="95" t="s">
        <v>220</v>
      </c>
      <c r="AQ18" s="94" t="s">
        <v>209</v>
      </c>
      <c r="AR18" s="97">
        <v>45201</v>
      </c>
      <c r="AS18" s="98">
        <v>45558</v>
      </c>
      <c r="AT18" s="160"/>
      <c r="AU18" s="99" t="s">
        <v>210</v>
      </c>
      <c r="AV18" s="323"/>
    </row>
    <row r="19" spans="1:48" x14ac:dyDescent="0.35">
      <c r="A19" s="317"/>
      <c r="B19" s="1">
        <v>16</v>
      </c>
      <c r="C19" t="s">
        <v>291</v>
      </c>
      <c r="D19" s="1" t="s">
        <v>222</v>
      </c>
      <c r="E19" s="2">
        <v>4932458</v>
      </c>
      <c r="F19" s="30">
        <v>29062</v>
      </c>
      <c r="G19" s="30">
        <v>45517</v>
      </c>
      <c r="H19" s="30">
        <f>EDATE(Activos[[#This Row],[FECHA INDUCCION ]],12)-1</f>
        <v>45881</v>
      </c>
      <c r="I19" s="2">
        <f ca="1">Activos[[#This Row],[VENCE.INDUCCION]]-TODAY()</f>
        <v>106</v>
      </c>
      <c r="J19" s="30" t="s">
        <v>206</v>
      </c>
      <c r="K19" s="2" t="e">
        <f t="shared" si="1"/>
        <v>#VALUE!</v>
      </c>
      <c r="L19" s="2" t="e">
        <f ca="1">Activos[[#This Row],[VENCE.MANI.ALIM]]-TODAY()</f>
        <v>#VALUE!</v>
      </c>
      <c r="M19" s="30">
        <v>45666</v>
      </c>
      <c r="N19" s="30">
        <f t="shared" si="0"/>
        <v>46030</v>
      </c>
      <c r="O19" s="2">
        <f ca="1">Activos[[#This Row],[VENCIMIENTO.EX.MED]]-TODAY()</f>
        <v>255</v>
      </c>
      <c r="P19" s="2" t="s">
        <v>212</v>
      </c>
      <c r="Q19" s="2" t="s">
        <v>292</v>
      </c>
      <c r="R19" s="105">
        <v>3218250532</v>
      </c>
      <c r="S19" s="2" t="s">
        <v>293</v>
      </c>
      <c r="T19" s="2" t="s">
        <v>256</v>
      </c>
      <c r="U19" s="2" t="s">
        <v>1127</v>
      </c>
      <c r="V19" s="2" t="s">
        <v>22</v>
      </c>
      <c r="W19" s="1" t="s">
        <v>201</v>
      </c>
      <c r="X19" s="1" t="s">
        <v>214</v>
      </c>
      <c r="Y19" s="1">
        <v>34</v>
      </c>
      <c r="Z19" s="1">
        <v>39</v>
      </c>
      <c r="AA19" t="s">
        <v>203</v>
      </c>
      <c r="AB19" s="30">
        <v>45667</v>
      </c>
      <c r="AC19" s="30">
        <v>45667</v>
      </c>
      <c r="AD19" s="2" t="s">
        <v>204</v>
      </c>
      <c r="AE19" s="2" t="s">
        <v>217</v>
      </c>
      <c r="AF19" s="2" t="s">
        <v>217</v>
      </c>
      <c r="AG19" s="2" t="s">
        <v>1009</v>
      </c>
      <c r="AH19" s="2" t="s">
        <v>1010</v>
      </c>
      <c r="AI19" s="240" t="s">
        <v>1020</v>
      </c>
      <c r="AJ19" s="30">
        <v>45604</v>
      </c>
      <c r="AK19" s="30" t="s">
        <v>225</v>
      </c>
      <c r="AL19" s="323"/>
      <c r="AM19" s="320"/>
      <c r="AN19" s="94">
        <v>1143380373</v>
      </c>
      <c r="AO19" s="95" t="s">
        <v>288</v>
      </c>
      <c r="AP19" s="95" t="s">
        <v>289</v>
      </c>
      <c r="AQ19" s="94" t="s">
        <v>290</v>
      </c>
      <c r="AR19" s="97">
        <v>45428</v>
      </c>
      <c r="AS19" s="98">
        <v>45473</v>
      </c>
      <c r="AT19" s="160"/>
      <c r="AU19" s="99" t="s">
        <v>210</v>
      </c>
      <c r="AV19" s="323"/>
    </row>
    <row r="20" spans="1:48" x14ac:dyDescent="0.35">
      <c r="A20" s="317"/>
      <c r="B20" s="1">
        <v>17</v>
      </c>
      <c r="C20" t="s">
        <v>295</v>
      </c>
      <c r="D20" s="1" t="s">
        <v>222</v>
      </c>
      <c r="E20" s="2">
        <v>7690502</v>
      </c>
      <c r="F20" s="30">
        <v>38952</v>
      </c>
      <c r="G20" s="103" t="s">
        <v>297</v>
      </c>
      <c r="H20" s="30" t="e">
        <f>EDATE(Activos[[#This Row],[FECHA INDUCCION ]],12)-1</f>
        <v>#VALUE!</v>
      </c>
      <c r="I20" s="2" t="e">
        <f ca="1">Activos[[#This Row],[VENCE.INDUCCION]]-TODAY()</f>
        <v>#VALUE!</v>
      </c>
      <c r="J20" s="30" t="s">
        <v>206</v>
      </c>
      <c r="K20" s="2" t="e">
        <f t="shared" si="1"/>
        <v>#VALUE!</v>
      </c>
      <c r="L20" s="2" t="e">
        <f ca="1">Activos[[#This Row],[VENCE.MANI.ALIM]]-TODAY()</f>
        <v>#VALUE!</v>
      </c>
      <c r="M20" s="30">
        <v>45664</v>
      </c>
      <c r="N20" s="30">
        <f t="shared" si="0"/>
        <v>46028</v>
      </c>
      <c r="O20" s="2">
        <f ca="1">Activos[[#This Row],[VENCIMIENTO.EX.MED]]-TODAY()</f>
        <v>253</v>
      </c>
      <c r="P20" s="2" t="s">
        <v>212</v>
      </c>
      <c r="Q20" s="2" t="s">
        <v>296</v>
      </c>
      <c r="R20" s="105">
        <v>3007354939</v>
      </c>
      <c r="S20" s="2" t="s">
        <v>213</v>
      </c>
      <c r="T20" s="2" t="s">
        <v>256</v>
      </c>
      <c r="U20" s="2" t="s">
        <v>1127</v>
      </c>
      <c r="V20" s="2" t="s">
        <v>22</v>
      </c>
      <c r="W20" s="1" t="s">
        <v>201</v>
      </c>
      <c r="X20" s="1" t="s">
        <v>214</v>
      </c>
      <c r="Y20" s="1">
        <v>30</v>
      </c>
      <c r="Z20" s="1">
        <v>38</v>
      </c>
      <c r="AA20" t="s">
        <v>203</v>
      </c>
      <c r="AB20" s="30">
        <v>45665</v>
      </c>
      <c r="AC20" s="30">
        <v>45665</v>
      </c>
      <c r="AD20" s="2" t="s">
        <v>287</v>
      </c>
      <c r="AE20" s="2" t="s">
        <v>205</v>
      </c>
      <c r="AF20" s="2" t="s">
        <v>205</v>
      </c>
      <c r="AG20" s="2" t="s">
        <v>1009</v>
      </c>
      <c r="AH20" s="2" t="s">
        <v>1010</v>
      </c>
      <c r="AI20" s="240" t="s">
        <v>1021</v>
      </c>
      <c r="AJ20" s="30">
        <v>45664</v>
      </c>
      <c r="AK20" s="30" t="s">
        <v>229</v>
      </c>
      <c r="AL20" s="323"/>
      <c r="AM20" s="320"/>
      <c r="AN20" s="94">
        <v>4932458</v>
      </c>
      <c r="AO20" s="95" t="s">
        <v>294</v>
      </c>
      <c r="AP20" s="95" t="s">
        <v>220</v>
      </c>
      <c r="AQ20" s="94" t="s">
        <v>209</v>
      </c>
      <c r="AR20" s="97">
        <v>44929</v>
      </c>
      <c r="AS20" s="98">
        <v>45287</v>
      </c>
      <c r="AT20" s="160"/>
      <c r="AU20" s="99"/>
      <c r="AV20" s="323"/>
    </row>
    <row r="21" spans="1:48" x14ac:dyDescent="0.35">
      <c r="A21" s="317"/>
      <c r="B21" s="1">
        <v>18</v>
      </c>
      <c r="C21" t="s">
        <v>298</v>
      </c>
      <c r="D21" s="1" t="s">
        <v>47</v>
      </c>
      <c r="E21" s="2">
        <v>1035855897</v>
      </c>
      <c r="F21" s="30">
        <v>32838</v>
      </c>
      <c r="G21" s="30">
        <v>45414</v>
      </c>
      <c r="H21" s="30">
        <f>EDATE(Activos[[#This Row],[FECHA INDUCCION ]],12)-1</f>
        <v>45778</v>
      </c>
      <c r="I21" s="2">
        <f ca="1">Activos[[#This Row],[VENCE.INDUCCION]]-TODAY()</f>
        <v>3</v>
      </c>
      <c r="J21" s="30">
        <v>45485</v>
      </c>
      <c r="K21" s="30">
        <f t="shared" si="1"/>
        <v>45849</v>
      </c>
      <c r="L21" s="2">
        <f ca="1">Activos[[#This Row],[VENCE.MANI.ALIM]]-TODAY()</f>
        <v>74</v>
      </c>
      <c r="M21" s="30">
        <v>45409</v>
      </c>
      <c r="N21" s="30">
        <f t="shared" si="0"/>
        <v>45773</v>
      </c>
      <c r="O21" s="2">
        <f ca="1">Activos[[#This Row],[VENCIMIENTO.EX.MED]]-TODAY()</f>
        <v>-2</v>
      </c>
      <c r="P21" s="2" t="s">
        <v>212</v>
      </c>
      <c r="Q21" s="2" t="s">
        <v>299</v>
      </c>
      <c r="R21" s="105">
        <v>3203495504</v>
      </c>
      <c r="S21" s="2" t="s">
        <v>199</v>
      </c>
      <c r="T21" s="2" t="s">
        <v>256</v>
      </c>
      <c r="U21" s="2" t="s">
        <v>1127</v>
      </c>
      <c r="V21" s="2" t="s">
        <v>200</v>
      </c>
      <c r="W21" s="1" t="s">
        <v>201</v>
      </c>
      <c r="X21" s="1" t="s">
        <v>214</v>
      </c>
      <c r="Y21" s="1">
        <v>34</v>
      </c>
      <c r="Z21" s="1">
        <v>43</v>
      </c>
      <c r="AA21" t="s">
        <v>203</v>
      </c>
      <c r="AB21" s="30">
        <v>45538</v>
      </c>
      <c r="AC21" s="30">
        <v>45414</v>
      </c>
      <c r="AD21" s="2" t="s">
        <v>224</v>
      </c>
      <c r="AE21" s="2" t="s">
        <v>217</v>
      </c>
      <c r="AF21" s="2" t="s">
        <v>217</v>
      </c>
      <c r="AG21" s="2" t="s">
        <v>1009</v>
      </c>
      <c r="AH21" s="2" t="s">
        <v>1010</v>
      </c>
      <c r="AI21" s="240" t="s">
        <v>1022</v>
      </c>
      <c r="AJ21" s="30">
        <v>45408</v>
      </c>
      <c r="AK21" s="30" t="s">
        <v>242</v>
      </c>
      <c r="AL21" s="323"/>
      <c r="AM21" s="320"/>
      <c r="AN21" s="94">
        <v>4932458</v>
      </c>
      <c r="AO21" s="95" t="s">
        <v>294</v>
      </c>
      <c r="AP21" s="95" t="s">
        <v>220</v>
      </c>
      <c r="AQ21" s="94" t="s">
        <v>209</v>
      </c>
      <c r="AR21" s="97"/>
      <c r="AS21" s="98"/>
      <c r="AT21" s="160"/>
      <c r="AU21" s="99"/>
      <c r="AV21" s="323"/>
    </row>
    <row r="22" spans="1:48" ht="15.5" x14ac:dyDescent="0.35">
      <c r="A22" s="317"/>
      <c r="B22" s="1">
        <v>19</v>
      </c>
      <c r="C22" s="262" t="s">
        <v>1159</v>
      </c>
      <c r="D22" s="261" t="s">
        <v>47</v>
      </c>
      <c r="E22" s="265">
        <v>1035853322</v>
      </c>
      <c r="F22" s="264">
        <v>32383</v>
      </c>
      <c r="G22" s="264">
        <v>45758</v>
      </c>
      <c r="H22" s="264">
        <f>EDATE(Activos[[#This Row],[FECHA INDUCCION ]],12)-1</f>
        <v>46122</v>
      </c>
      <c r="I22" s="263">
        <f ca="1">Activos[[#This Row],[VENCE.INDUCCION]]-TODAY()</f>
        <v>347</v>
      </c>
      <c r="J22" s="264" t="s">
        <v>206</v>
      </c>
      <c r="K22" s="263" t="e">
        <f t="shared" si="1"/>
        <v>#VALUE!</v>
      </c>
      <c r="L22" s="263" t="e">
        <f ca="1">Activos[[#This Row],[VENCE.MANI.ALIM]]-TODAY()</f>
        <v>#VALUE!</v>
      </c>
      <c r="M22" s="264">
        <v>45750</v>
      </c>
      <c r="N22" s="264">
        <f t="shared" si="0"/>
        <v>46114</v>
      </c>
      <c r="O22" s="263">
        <f ca="1">Activos[[#This Row],[VENCIMIENTO.EX.MED]]-TODAY()</f>
        <v>339</v>
      </c>
      <c r="P22" s="263" t="s">
        <v>212</v>
      </c>
      <c r="Q22" s="263" t="s">
        <v>1131</v>
      </c>
      <c r="R22" s="265">
        <v>3005332065</v>
      </c>
      <c r="S22" s="263" t="s">
        <v>199</v>
      </c>
      <c r="T22" s="263" t="s">
        <v>16</v>
      </c>
      <c r="U22" s="263" t="s">
        <v>1127</v>
      </c>
      <c r="V22" s="263" t="s">
        <v>16</v>
      </c>
      <c r="W22" s="261" t="s">
        <v>201</v>
      </c>
      <c r="X22" s="261" t="s">
        <v>214</v>
      </c>
      <c r="Y22" s="261">
        <v>34</v>
      </c>
      <c r="Z22" s="261">
        <v>41</v>
      </c>
      <c r="AA22" s="262" t="s">
        <v>215</v>
      </c>
      <c r="AB22" s="266">
        <v>45758</v>
      </c>
      <c r="AC22" s="264">
        <v>45758</v>
      </c>
      <c r="AD22" s="263" t="s">
        <v>224</v>
      </c>
      <c r="AE22" s="263" t="s">
        <v>205</v>
      </c>
      <c r="AF22" s="263" t="s">
        <v>205</v>
      </c>
      <c r="AG22" s="263" t="s">
        <v>1009</v>
      </c>
      <c r="AH22" s="263" t="s">
        <v>1010</v>
      </c>
      <c r="AI22" s="271"/>
      <c r="AJ22" s="264">
        <v>45750</v>
      </c>
      <c r="AK22" s="264" t="s">
        <v>207</v>
      </c>
      <c r="AL22" s="323"/>
      <c r="AM22" s="320"/>
      <c r="AN22" s="94">
        <v>4932458</v>
      </c>
      <c r="AO22" s="95" t="s">
        <v>294</v>
      </c>
      <c r="AP22" s="95" t="s">
        <v>220</v>
      </c>
      <c r="AQ22" s="94" t="s">
        <v>209</v>
      </c>
      <c r="AR22" s="97">
        <v>45301</v>
      </c>
      <c r="AS22" s="98"/>
      <c r="AT22" s="160"/>
      <c r="AU22" s="99" t="s">
        <v>233</v>
      </c>
      <c r="AV22" s="323"/>
    </row>
    <row r="23" spans="1:48" x14ac:dyDescent="0.35">
      <c r="A23" s="317"/>
      <c r="B23" s="1">
        <v>20</v>
      </c>
      <c r="C23" t="s">
        <v>300</v>
      </c>
      <c r="D23" s="1" t="s">
        <v>47</v>
      </c>
      <c r="E23" s="2">
        <v>1007504509</v>
      </c>
      <c r="F23" s="30">
        <v>36819</v>
      </c>
      <c r="G23" s="30">
        <v>45674</v>
      </c>
      <c r="H23" s="30">
        <f>EDATE(Activos[[#This Row],[FECHA INDUCCION ]],12)-1</f>
        <v>46038</v>
      </c>
      <c r="I23" s="2">
        <f ca="1">Activos[[#This Row],[VENCE.INDUCCION]]-TODAY()</f>
        <v>263</v>
      </c>
      <c r="J23" s="30">
        <v>45680</v>
      </c>
      <c r="K23" s="30">
        <f t="shared" si="1"/>
        <v>46044</v>
      </c>
      <c r="L23" s="2">
        <f ca="1">Activos[[#This Row],[VENCE.MANI.ALIM]]-TODAY()</f>
        <v>269</v>
      </c>
      <c r="M23" s="30">
        <v>45659</v>
      </c>
      <c r="N23" s="30">
        <f t="shared" si="0"/>
        <v>46023</v>
      </c>
      <c r="O23" s="2">
        <f ca="1">Activos[[#This Row],[VENCIMIENTO.EX.MED]]-TODAY()</f>
        <v>248</v>
      </c>
      <c r="P23" s="2" t="s">
        <v>267</v>
      </c>
      <c r="Q23" s="2" t="s">
        <v>301</v>
      </c>
      <c r="R23" s="105">
        <v>3147501962</v>
      </c>
      <c r="S23" s="2" t="s">
        <v>213</v>
      </c>
      <c r="T23" s="2" t="s">
        <v>256</v>
      </c>
      <c r="U23" s="2" t="s">
        <v>1128</v>
      </c>
      <c r="V23" s="2" t="s">
        <v>302</v>
      </c>
      <c r="W23" s="1" t="s">
        <v>20</v>
      </c>
      <c r="X23" s="1" t="s">
        <v>250</v>
      </c>
      <c r="Y23" s="1">
        <v>12</v>
      </c>
      <c r="Z23" s="1">
        <v>36</v>
      </c>
      <c r="AA23" t="s">
        <v>203</v>
      </c>
      <c r="AB23" s="30">
        <v>45664</v>
      </c>
      <c r="AC23" s="30">
        <v>45664</v>
      </c>
      <c r="AD23" s="2" t="s">
        <v>204</v>
      </c>
      <c r="AE23" s="2" t="s">
        <v>205</v>
      </c>
      <c r="AF23" s="2" t="s">
        <v>205</v>
      </c>
      <c r="AG23" s="2" t="s">
        <v>1009</v>
      </c>
      <c r="AH23" s="2" t="s">
        <v>1010</v>
      </c>
      <c r="AI23" s="240" t="s">
        <v>1048</v>
      </c>
      <c r="AJ23" s="30">
        <v>45659</v>
      </c>
      <c r="AK23" s="30" t="s">
        <v>218</v>
      </c>
      <c r="AL23" s="323"/>
      <c r="AM23" s="320"/>
      <c r="AN23" s="94">
        <v>1017182272</v>
      </c>
      <c r="AO23" s="95" t="s">
        <v>303</v>
      </c>
      <c r="AP23" s="95" t="s">
        <v>304</v>
      </c>
      <c r="AQ23" s="94" t="s">
        <v>290</v>
      </c>
      <c r="AR23" s="97">
        <v>45196</v>
      </c>
      <c r="AS23" s="98">
        <v>45427</v>
      </c>
      <c r="AT23" s="160"/>
      <c r="AU23" s="99" t="s">
        <v>210</v>
      </c>
      <c r="AV23" s="323"/>
    </row>
    <row r="24" spans="1:48" x14ac:dyDescent="0.35">
      <c r="A24" s="317"/>
      <c r="B24" s="1">
        <v>21</v>
      </c>
      <c r="C24" t="s">
        <v>305</v>
      </c>
      <c r="D24" s="1" t="s">
        <v>47</v>
      </c>
      <c r="E24" s="2">
        <v>1038627297</v>
      </c>
      <c r="F24" s="30">
        <v>35480</v>
      </c>
      <c r="G24" s="30">
        <v>45674</v>
      </c>
      <c r="H24" s="30">
        <f>EDATE(Activos[[#This Row],[FECHA INDUCCION ]],12)-1</f>
        <v>46038</v>
      </c>
      <c r="I24" s="2">
        <f ca="1">Activos[[#This Row],[VENCE.INDUCCION]]-TODAY()</f>
        <v>263</v>
      </c>
      <c r="J24" s="30" t="s">
        <v>206</v>
      </c>
      <c r="K24" s="2" t="e">
        <f t="shared" si="1"/>
        <v>#VALUE!</v>
      </c>
      <c r="L24" s="2" t="e">
        <f ca="1">Activos[[#This Row],[VENCE.MANI.ALIM]]-TODAY()</f>
        <v>#VALUE!</v>
      </c>
      <c r="M24" s="30">
        <v>45629</v>
      </c>
      <c r="N24" s="30">
        <f t="shared" si="0"/>
        <v>45993</v>
      </c>
      <c r="O24" s="2">
        <f ca="1">Activos[[#This Row],[VENCIMIENTO.EX.MED]]-TODAY()</f>
        <v>218</v>
      </c>
      <c r="P24" s="2" t="s">
        <v>212</v>
      </c>
      <c r="Q24" s="2" t="s">
        <v>306</v>
      </c>
      <c r="R24" s="105">
        <v>3136924973</v>
      </c>
      <c r="S24" s="2" t="s">
        <v>213</v>
      </c>
      <c r="T24" s="2" t="s">
        <v>256</v>
      </c>
      <c r="U24" s="2" t="s">
        <v>1128</v>
      </c>
      <c r="V24" s="2" t="s">
        <v>22</v>
      </c>
      <c r="W24" s="1" t="s">
        <v>201</v>
      </c>
      <c r="X24" s="1" t="s">
        <v>250</v>
      </c>
      <c r="Y24" s="1">
        <v>32</v>
      </c>
      <c r="Z24" s="1">
        <v>40</v>
      </c>
      <c r="AA24" t="s">
        <v>203</v>
      </c>
      <c r="AB24" s="30">
        <v>45638</v>
      </c>
      <c r="AC24" s="30">
        <v>45638</v>
      </c>
      <c r="AD24" s="2" t="s">
        <v>287</v>
      </c>
      <c r="AE24" s="2" t="s">
        <v>205</v>
      </c>
      <c r="AF24" s="2" t="s">
        <v>217</v>
      </c>
      <c r="AG24" s="2" t="s">
        <v>1009</v>
      </c>
      <c r="AH24" s="2" t="s">
        <v>1010</v>
      </c>
      <c r="AI24" s="240" t="s">
        <v>1046</v>
      </c>
      <c r="AJ24" s="30">
        <v>45629</v>
      </c>
      <c r="AK24" s="30" t="s">
        <v>218</v>
      </c>
      <c r="AL24" s="323"/>
      <c r="AM24" s="320"/>
      <c r="AN24" s="94">
        <v>5672655</v>
      </c>
      <c r="AO24" s="95" t="s">
        <v>307</v>
      </c>
      <c r="AP24" s="95" t="s">
        <v>220</v>
      </c>
      <c r="AQ24" s="94" t="s">
        <v>209</v>
      </c>
      <c r="AR24" s="97">
        <v>45449</v>
      </c>
      <c r="AS24" s="98">
        <v>45475</v>
      </c>
      <c r="AT24" s="160"/>
      <c r="AU24" s="99" t="s">
        <v>210</v>
      </c>
      <c r="AV24" s="323"/>
    </row>
    <row r="25" spans="1:48" x14ac:dyDescent="0.35">
      <c r="A25" s="317"/>
      <c r="B25" s="1">
        <v>22</v>
      </c>
      <c r="C25" t="s">
        <v>310</v>
      </c>
      <c r="D25" s="1" t="s">
        <v>47</v>
      </c>
      <c r="E25" s="2">
        <v>8432901</v>
      </c>
      <c r="F25" s="30">
        <v>29549</v>
      </c>
      <c r="G25" s="30">
        <v>45686</v>
      </c>
      <c r="H25" s="30">
        <f>EDATE(Activos[[#This Row],[FECHA INDUCCION ]],12)-1</f>
        <v>46050</v>
      </c>
      <c r="I25" s="2">
        <f ca="1">Activos[[#This Row],[VENCE.INDUCCION]]-TODAY()</f>
        <v>275</v>
      </c>
      <c r="J25" s="30" t="s">
        <v>206</v>
      </c>
      <c r="K25" s="2" t="e">
        <f t="shared" si="1"/>
        <v>#VALUE!</v>
      </c>
      <c r="L25" s="2" t="e">
        <f ca="1">Activos[[#This Row],[VENCE.MANI.ALIM]]-TODAY()</f>
        <v>#VALUE!</v>
      </c>
      <c r="M25" s="30">
        <v>45388</v>
      </c>
      <c r="N25" s="30">
        <f>EDATE(M25,24)-1</f>
        <v>46117</v>
      </c>
      <c r="O25" s="2">
        <f ca="1">Activos[[#This Row],[VENCIMIENTO.EX.MED]]-TODAY()</f>
        <v>342</v>
      </c>
      <c r="P25" s="2" t="s">
        <v>212</v>
      </c>
      <c r="Q25" s="2" t="s">
        <v>311</v>
      </c>
      <c r="R25" s="105">
        <v>3218823762</v>
      </c>
      <c r="S25" s="2" t="s">
        <v>312</v>
      </c>
      <c r="T25" s="2" t="s">
        <v>313</v>
      </c>
      <c r="U25" s="2" t="s">
        <v>1127</v>
      </c>
      <c r="V25" s="2" t="s">
        <v>314</v>
      </c>
      <c r="W25" s="1" t="s">
        <v>20</v>
      </c>
      <c r="X25" s="1" t="s">
        <v>10</v>
      </c>
      <c r="Y25" s="1" t="s">
        <v>206</v>
      </c>
      <c r="Z25" s="1" t="s">
        <v>206</v>
      </c>
      <c r="AA25" t="s">
        <v>203</v>
      </c>
      <c r="AB25" s="30">
        <v>43810</v>
      </c>
      <c r="AC25" s="30">
        <v>43810</v>
      </c>
      <c r="AD25" s="2" t="s">
        <v>224</v>
      </c>
      <c r="AE25" s="2" t="s">
        <v>308</v>
      </c>
      <c r="AF25" s="2" t="s">
        <v>217</v>
      </c>
      <c r="AG25" s="2" t="s">
        <v>1009</v>
      </c>
      <c r="AH25" s="2" t="s">
        <v>1010</v>
      </c>
      <c r="AI25" s="240" t="s">
        <v>1025</v>
      </c>
      <c r="AJ25" s="30">
        <v>45639</v>
      </c>
      <c r="AK25" s="30" t="s">
        <v>278</v>
      </c>
      <c r="AL25" s="323"/>
      <c r="AM25" s="320"/>
      <c r="AN25" s="94">
        <v>1020462777</v>
      </c>
      <c r="AO25" s="95" t="s">
        <v>309</v>
      </c>
      <c r="AP25" s="95" t="s">
        <v>220</v>
      </c>
      <c r="AQ25" s="94" t="s">
        <v>209</v>
      </c>
      <c r="AR25" s="97">
        <v>45026</v>
      </c>
      <c r="AS25" s="98">
        <v>45079</v>
      </c>
      <c r="AT25" s="160"/>
      <c r="AU25" s="99" t="s">
        <v>210</v>
      </c>
      <c r="AV25" s="323"/>
    </row>
    <row r="26" spans="1:48" x14ac:dyDescent="0.35">
      <c r="A26" s="317"/>
      <c r="B26" s="1">
        <v>23</v>
      </c>
      <c r="C26" t="s">
        <v>315</v>
      </c>
      <c r="D26" s="1" t="s">
        <v>47</v>
      </c>
      <c r="E26" s="2">
        <v>1035874444</v>
      </c>
      <c r="F26" s="30">
        <v>35282</v>
      </c>
      <c r="G26" s="30">
        <v>45623</v>
      </c>
      <c r="H26" s="30">
        <f>EDATE(Activos[[#This Row],[FECHA INDUCCION ]],12)-1</f>
        <v>45987</v>
      </c>
      <c r="I26" s="2">
        <f ca="1">Activos[[#This Row],[VENCE.INDUCCION]]-TODAY()</f>
        <v>212</v>
      </c>
      <c r="J26" s="30" t="s">
        <v>206</v>
      </c>
      <c r="K26" s="2" t="e">
        <f t="shared" si="1"/>
        <v>#VALUE!</v>
      </c>
      <c r="L26" s="2" t="e">
        <f ca="1">Activos[[#This Row],[VENCE.MANI.ALIM]]-TODAY()</f>
        <v>#VALUE!</v>
      </c>
      <c r="M26" s="30">
        <v>45085</v>
      </c>
      <c r="N26" s="30">
        <f>EDATE(M26,24)-1</f>
        <v>45815</v>
      </c>
      <c r="O26" s="2">
        <f ca="1">Activos[[#This Row],[VENCIMIENTO.EX.MED]]-TODAY()</f>
        <v>40</v>
      </c>
      <c r="P26" s="2" t="s">
        <v>212</v>
      </c>
      <c r="Q26" s="2" t="s">
        <v>316</v>
      </c>
      <c r="R26" s="105">
        <v>3043556239</v>
      </c>
      <c r="S26" s="2" t="s">
        <v>247</v>
      </c>
      <c r="T26" s="2" t="s">
        <v>317</v>
      </c>
      <c r="U26" s="2" t="s">
        <v>1127</v>
      </c>
      <c r="V26" s="2" t="s">
        <v>318</v>
      </c>
      <c r="W26" s="1" t="s">
        <v>20</v>
      </c>
      <c r="X26" s="1" t="s">
        <v>214</v>
      </c>
      <c r="Y26" s="1">
        <v>32</v>
      </c>
      <c r="Z26" s="1">
        <v>40</v>
      </c>
      <c r="AA26" t="s">
        <v>203</v>
      </c>
      <c r="AB26" s="30">
        <v>45086</v>
      </c>
      <c r="AC26" s="30">
        <v>45086</v>
      </c>
      <c r="AD26" s="2" t="s">
        <v>224</v>
      </c>
      <c r="AE26" s="2" t="s">
        <v>217</v>
      </c>
      <c r="AF26" s="2" t="s">
        <v>217</v>
      </c>
      <c r="AG26" s="2" t="s">
        <v>1009</v>
      </c>
      <c r="AH26" s="2" t="s">
        <v>1010</v>
      </c>
      <c r="AI26" s="240" t="s">
        <v>1026</v>
      </c>
      <c r="AJ26" s="30">
        <v>45609</v>
      </c>
      <c r="AK26" s="30" t="s">
        <v>319</v>
      </c>
      <c r="AL26" s="323"/>
      <c r="AM26" s="320"/>
      <c r="AN26" s="94">
        <v>1020462777</v>
      </c>
      <c r="AO26" s="95" t="s">
        <v>309</v>
      </c>
      <c r="AP26" s="95" t="s">
        <v>220</v>
      </c>
      <c r="AQ26" s="94" t="s">
        <v>209</v>
      </c>
      <c r="AR26" s="97">
        <v>45091</v>
      </c>
      <c r="AS26" s="98">
        <v>45187</v>
      </c>
      <c r="AT26" s="160"/>
      <c r="AU26" s="99" t="s">
        <v>210</v>
      </c>
      <c r="AV26" s="323"/>
    </row>
    <row r="27" spans="1:48" x14ac:dyDescent="0.35">
      <c r="A27" s="317"/>
      <c r="B27" s="1">
        <v>24</v>
      </c>
      <c r="C27" t="s">
        <v>321</v>
      </c>
      <c r="D27" s="1" t="s">
        <v>47</v>
      </c>
      <c r="E27" s="2">
        <v>1044986295</v>
      </c>
      <c r="F27" s="30">
        <v>38168</v>
      </c>
      <c r="G27" s="30">
        <v>45674</v>
      </c>
      <c r="H27" s="30">
        <f>EDATE(Activos[[#This Row],[FECHA INDUCCION ]],12)-1</f>
        <v>46038</v>
      </c>
      <c r="I27" s="2">
        <f ca="1">Activos[[#This Row],[VENCE.INDUCCION]]-TODAY()</f>
        <v>263</v>
      </c>
      <c r="J27" s="30">
        <v>45680</v>
      </c>
      <c r="K27" s="30">
        <f t="shared" si="1"/>
        <v>46044</v>
      </c>
      <c r="L27" s="2">
        <f ca="1">Activos[[#This Row],[VENCE.MANI.ALIM]]-TODAY()</f>
        <v>269</v>
      </c>
      <c r="M27" s="30">
        <v>45659</v>
      </c>
      <c r="N27" s="30">
        <f t="shared" si="0"/>
        <v>46023</v>
      </c>
      <c r="O27" s="2">
        <f ca="1">Activos[[#This Row],[VENCIMIENTO.EX.MED]]-TODAY()</f>
        <v>248</v>
      </c>
      <c r="P27" s="2" t="s">
        <v>212</v>
      </c>
      <c r="Q27" s="2" t="s">
        <v>322</v>
      </c>
      <c r="R27" s="105">
        <v>3105282409</v>
      </c>
      <c r="S27" s="2" t="s">
        <v>213</v>
      </c>
      <c r="T27" s="2" t="s">
        <v>256</v>
      </c>
      <c r="U27" s="2" t="s">
        <v>1128</v>
      </c>
      <c r="V27" s="2" t="s">
        <v>22</v>
      </c>
      <c r="W27" s="1" t="s">
        <v>201</v>
      </c>
      <c r="X27" s="1" t="s">
        <v>214</v>
      </c>
      <c r="Y27" s="1">
        <v>32</v>
      </c>
      <c r="Z27" s="1">
        <v>40</v>
      </c>
      <c r="AA27" t="s">
        <v>203</v>
      </c>
      <c r="AB27" s="30">
        <v>45665</v>
      </c>
      <c r="AC27" s="30">
        <v>45665</v>
      </c>
      <c r="AD27" s="2" t="s">
        <v>287</v>
      </c>
      <c r="AE27" s="2" t="s">
        <v>205</v>
      </c>
      <c r="AF27" s="2" t="s">
        <v>205</v>
      </c>
      <c r="AG27" s="2" t="s">
        <v>1009</v>
      </c>
      <c r="AH27" s="2" t="s">
        <v>1010</v>
      </c>
      <c r="AI27" s="240" t="s">
        <v>1049</v>
      </c>
      <c r="AJ27" s="30">
        <v>45659</v>
      </c>
      <c r="AK27" s="30" t="s">
        <v>218</v>
      </c>
      <c r="AL27" s="323"/>
      <c r="AM27" s="320"/>
      <c r="AN27" s="94">
        <v>1046667622</v>
      </c>
      <c r="AO27" s="95" t="s">
        <v>320</v>
      </c>
      <c r="AP27" s="95" t="s">
        <v>220</v>
      </c>
      <c r="AQ27" s="94" t="s">
        <v>209</v>
      </c>
      <c r="AR27" s="97">
        <v>45066</v>
      </c>
      <c r="AS27" s="98">
        <v>45083</v>
      </c>
      <c r="AT27" s="160"/>
      <c r="AU27" s="99" t="s">
        <v>210</v>
      </c>
      <c r="AV27" s="323"/>
    </row>
    <row r="28" spans="1:48" x14ac:dyDescent="0.35">
      <c r="A28" s="317"/>
      <c r="B28" s="1">
        <v>25</v>
      </c>
      <c r="C28" t="s">
        <v>323</v>
      </c>
      <c r="D28" s="1" t="s">
        <v>47</v>
      </c>
      <c r="E28" s="2">
        <v>73574711</v>
      </c>
      <c r="F28" s="30">
        <v>27892</v>
      </c>
      <c r="G28" s="30">
        <v>45647</v>
      </c>
      <c r="H28" s="30">
        <f>EDATE(Activos[[#This Row],[FECHA INDUCCION ]],12)-1</f>
        <v>46011</v>
      </c>
      <c r="I28" s="2">
        <f ca="1">Activos[[#This Row],[VENCE.INDUCCION]]-TODAY()</f>
        <v>236</v>
      </c>
      <c r="J28" s="30" t="s">
        <v>206</v>
      </c>
      <c r="K28" s="2" t="e">
        <f t="shared" si="1"/>
        <v>#VALUE!</v>
      </c>
      <c r="L28" s="2" t="e">
        <f ca="1">Activos[[#This Row],[VENCE.MANI.ALIM]]-TODAY()</f>
        <v>#VALUE!</v>
      </c>
      <c r="M28" s="30">
        <v>45717</v>
      </c>
      <c r="N28" s="30">
        <f t="shared" si="0"/>
        <v>46081</v>
      </c>
      <c r="O28" s="2">
        <f ca="1">Activos[[#This Row],[VENCIMIENTO.EX.MED]]-TODAY()</f>
        <v>306</v>
      </c>
      <c r="P28" s="2" t="s">
        <v>212</v>
      </c>
      <c r="Q28" s="2" t="s">
        <v>324</v>
      </c>
      <c r="R28" s="105">
        <v>3114097273</v>
      </c>
      <c r="S28" s="2" t="s">
        <v>325</v>
      </c>
      <c r="T28" s="2" t="s">
        <v>256</v>
      </c>
      <c r="U28" s="2" t="s">
        <v>1127</v>
      </c>
      <c r="V28" s="2" t="s">
        <v>22</v>
      </c>
      <c r="W28" s="1" t="s">
        <v>201</v>
      </c>
      <c r="X28" s="1" t="s">
        <v>214</v>
      </c>
      <c r="Y28" s="1">
        <v>34</v>
      </c>
      <c r="Z28" s="1">
        <v>42</v>
      </c>
      <c r="AA28" t="s">
        <v>203</v>
      </c>
      <c r="AB28" s="30">
        <v>45201</v>
      </c>
      <c r="AC28" s="30">
        <v>45201</v>
      </c>
      <c r="AD28" s="2" t="s">
        <v>224</v>
      </c>
      <c r="AE28" s="2" t="s">
        <v>205</v>
      </c>
      <c r="AF28" s="2" t="s">
        <v>205</v>
      </c>
      <c r="AG28" s="2" t="s">
        <v>1009</v>
      </c>
      <c r="AH28" s="2" t="s">
        <v>1010</v>
      </c>
      <c r="AI28" s="240" t="s">
        <v>1027</v>
      </c>
      <c r="AJ28" s="30">
        <v>45608</v>
      </c>
      <c r="AK28" s="30" t="s">
        <v>229</v>
      </c>
      <c r="AL28" s="323"/>
      <c r="AM28" s="320"/>
      <c r="AN28" s="94">
        <v>1035855897</v>
      </c>
      <c r="AO28" s="95" t="s">
        <v>298</v>
      </c>
      <c r="AP28" s="95" t="s">
        <v>200</v>
      </c>
      <c r="AQ28" s="94" t="s">
        <v>209</v>
      </c>
      <c r="AR28" s="97">
        <v>45414</v>
      </c>
      <c r="AS28" s="98">
        <v>45537</v>
      </c>
      <c r="AT28" s="160"/>
      <c r="AU28" s="99"/>
      <c r="AV28" s="323"/>
    </row>
    <row r="29" spans="1:48" x14ac:dyDescent="0.35">
      <c r="A29" s="317"/>
      <c r="B29" s="1">
        <v>26</v>
      </c>
      <c r="C29" t="s">
        <v>326</v>
      </c>
      <c r="D29" s="1" t="s">
        <v>47</v>
      </c>
      <c r="E29" s="2">
        <v>1000771682</v>
      </c>
      <c r="F29" s="30">
        <v>36636</v>
      </c>
      <c r="G29" s="30">
        <v>45597</v>
      </c>
      <c r="H29" s="30">
        <f>EDATE(Activos[[#This Row],[FECHA INDUCCION ]],12)-1</f>
        <v>45961</v>
      </c>
      <c r="I29" s="2">
        <f ca="1">Activos[[#This Row],[VENCE.INDUCCION]]-TODAY()</f>
        <v>186</v>
      </c>
      <c r="J29" s="30" t="s">
        <v>206</v>
      </c>
      <c r="K29" s="2" t="e">
        <f t="shared" si="1"/>
        <v>#VALUE!</v>
      </c>
      <c r="L29" s="2" t="e">
        <f ca="1">Activos[[#This Row],[VENCE.MANI.ALIM]]-TODAY()</f>
        <v>#VALUE!</v>
      </c>
      <c r="M29" s="30">
        <v>45594</v>
      </c>
      <c r="N29" s="30">
        <f t="shared" si="0"/>
        <v>45958</v>
      </c>
      <c r="O29" s="2">
        <f ca="1">Activos[[#This Row],[VENCIMIENTO.EX.MED]]-TODAY()</f>
        <v>183</v>
      </c>
      <c r="P29" s="2" t="s">
        <v>267</v>
      </c>
      <c r="Q29" s="2" t="s">
        <v>327</v>
      </c>
      <c r="R29" s="105">
        <v>3105448404</v>
      </c>
      <c r="S29" s="2" t="s">
        <v>213</v>
      </c>
      <c r="T29" s="2" t="s">
        <v>256</v>
      </c>
      <c r="U29" s="2" t="s">
        <v>1128</v>
      </c>
      <c r="V29" s="2" t="s">
        <v>272</v>
      </c>
      <c r="W29" s="1" t="s">
        <v>20</v>
      </c>
      <c r="X29" s="1">
        <v>8</v>
      </c>
      <c r="Y29" s="1">
        <v>10</v>
      </c>
      <c r="Z29" s="1" t="s">
        <v>206</v>
      </c>
      <c r="AA29" t="s">
        <v>328</v>
      </c>
      <c r="AB29" s="30">
        <v>45597</v>
      </c>
      <c r="AC29" s="30">
        <v>45808</v>
      </c>
      <c r="AD29" s="2" t="s">
        <v>237</v>
      </c>
      <c r="AE29" s="2" t="s">
        <v>328</v>
      </c>
      <c r="AG29" s="2" t="s">
        <v>1009</v>
      </c>
      <c r="AH29" s="2" t="s">
        <v>1010</v>
      </c>
      <c r="AI29" s="240" t="s">
        <v>1028</v>
      </c>
      <c r="AK29" s="30" t="s">
        <v>329</v>
      </c>
      <c r="AL29" s="323"/>
      <c r="AM29" s="320"/>
      <c r="AN29" s="94">
        <v>1035855897</v>
      </c>
      <c r="AO29" s="95" t="s">
        <v>298</v>
      </c>
      <c r="AP29" s="95" t="s">
        <v>200</v>
      </c>
      <c r="AQ29" s="94" t="s">
        <v>209</v>
      </c>
      <c r="AR29" s="97">
        <v>45538</v>
      </c>
      <c r="AS29" s="98"/>
      <c r="AT29" s="160"/>
      <c r="AU29" s="99" t="s">
        <v>233</v>
      </c>
      <c r="AV29" s="323"/>
    </row>
    <row r="30" spans="1:48" x14ac:dyDescent="0.35">
      <c r="A30" s="317"/>
      <c r="B30" s="1">
        <v>27</v>
      </c>
      <c r="C30" t="s">
        <v>332</v>
      </c>
      <c r="D30" s="1" t="s">
        <v>47</v>
      </c>
      <c r="E30" s="2">
        <v>1035414488</v>
      </c>
      <c r="F30" s="30">
        <v>31475</v>
      </c>
      <c r="G30" s="30">
        <v>45664</v>
      </c>
      <c r="H30" s="30">
        <f>EDATE(Activos[[#This Row],[FECHA INDUCCION ]],12)-1</f>
        <v>46028</v>
      </c>
      <c r="I30" s="2">
        <f ca="1">Activos[[#This Row],[VENCE.INDUCCION]]-TODAY()</f>
        <v>253</v>
      </c>
      <c r="J30" s="30">
        <v>45398</v>
      </c>
      <c r="K30" s="30">
        <f t="shared" si="1"/>
        <v>45762</v>
      </c>
      <c r="L30" s="2">
        <f ca="1">Activos[[#This Row],[VENCE.MANI.ALIM]]-TODAY()</f>
        <v>-13</v>
      </c>
      <c r="M30" s="30">
        <v>45530</v>
      </c>
      <c r="N30" s="30">
        <f t="shared" si="0"/>
        <v>45894</v>
      </c>
      <c r="O30" s="2">
        <f ca="1">Activos[[#This Row],[VENCIMIENTO.EX.MED]]-TODAY()</f>
        <v>119</v>
      </c>
      <c r="P30" s="2" t="s">
        <v>212</v>
      </c>
      <c r="Q30" s="2" t="s">
        <v>333</v>
      </c>
      <c r="R30" s="105">
        <v>3205618526</v>
      </c>
      <c r="S30" s="2" t="s">
        <v>213</v>
      </c>
      <c r="T30" s="2" t="s">
        <v>256</v>
      </c>
      <c r="U30" s="2" t="s">
        <v>1127</v>
      </c>
      <c r="V30" s="2" t="s">
        <v>16</v>
      </c>
      <c r="W30" s="1" t="s">
        <v>201</v>
      </c>
      <c r="X30" s="1" t="s">
        <v>214</v>
      </c>
      <c r="Y30" s="1">
        <v>32</v>
      </c>
      <c r="Z30" s="1">
        <v>39</v>
      </c>
      <c r="AA30" t="s">
        <v>203</v>
      </c>
      <c r="AB30" s="30">
        <v>43893</v>
      </c>
      <c r="AC30" s="30">
        <v>43530</v>
      </c>
      <c r="AD30" s="2" t="s">
        <v>224</v>
      </c>
      <c r="AE30" s="2" t="s">
        <v>217</v>
      </c>
      <c r="AF30" s="2" t="s">
        <v>217</v>
      </c>
      <c r="AG30" s="2" t="s">
        <v>1009</v>
      </c>
      <c r="AH30" s="2" t="s">
        <v>1010</v>
      </c>
      <c r="AI30" s="240" t="s">
        <v>1029</v>
      </c>
      <c r="AJ30" s="30">
        <v>45608</v>
      </c>
      <c r="AK30" s="30" t="s">
        <v>16</v>
      </c>
      <c r="AL30" s="323"/>
      <c r="AM30" s="320"/>
      <c r="AN30" s="94">
        <v>70255997</v>
      </c>
      <c r="AO30" s="95" t="s">
        <v>330</v>
      </c>
      <c r="AP30" s="95" t="s">
        <v>331</v>
      </c>
      <c r="AQ30" s="94" t="s">
        <v>209</v>
      </c>
      <c r="AR30" s="97">
        <v>45189</v>
      </c>
      <c r="AS30" s="98">
        <v>45355</v>
      </c>
      <c r="AT30" s="160"/>
      <c r="AU30" s="99" t="s">
        <v>210</v>
      </c>
      <c r="AV30" s="323"/>
    </row>
    <row r="31" spans="1:48" x14ac:dyDescent="0.35">
      <c r="A31" s="317"/>
      <c r="B31" s="1">
        <v>28</v>
      </c>
      <c r="C31" s="262" t="s">
        <v>1167</v>
      </c>
      <c r="D31" s="261" t="s">
        <v>47</v>
      </c>
      <c r="E31" s="263">
        <v>1071356952</v>
      </c>
      <c r="F31" s="264">
        <v>35242</v>
      </c>
      <c r="G31" s="268"/>
      <c r="H31" s="264">
        <f>EDATE(Activos[[#This Row],[FECHA INDUCCION ]],12)-1</f>
        <v>365</v>
      </c>
      <c r="I31" s="263">
        <f ca="1">Activos[[#This Row],[VENCE.INDUCCION]]-TODAY()</f>
        <v>-45410</v>
      </c>
      <c r="J31" s="264" t="s">
        <v>238</v>
      </c>
      <c r="K31" s="263" t="e">
        <f t="shared" si="1"/>
        <v>#VALUE!</v>
      </c>
      <c r="L31" s="263" t="e">
        <f ca="1">Activos[[#This Row],[VENCE.MANI.ALIM]]-TODAY()</f>
        <v>#VALUE!</v>
      </c>
      <c r="M31" s="264">
        <v>45759</v>
      </c>
      <c r="N31" s="264">
        <f t="shared" si="0"/>
        <v>46123</v>
      </c>
      <c r="O31" s="263">
        <f ca="1">Activos[[#This Row],[VENCIMIENTO.EX.MED]]-TODAY()</f>
        <v>348</v>
      </c>
      <c r="P31" s="263" t="s">
        <v>212</v>
      </c>
      <c r="Q31" s="263" t="s">
        <v>1168</v>
      </c>
      <c r="R31" s="265">
        <v>3244295830</v>
      </c>
      <c r="S31" s="263" t="s">
        <v>199</v>
      </c>
      <c r="T31" s="263" t="s">
        <v>256</v>
      </c>
      <c r="U31" s="263" t="s">
        <v>1169</v>
      </c>
      <c r="V31" s="263" t="s">
        <v>22</v>
      </c>
      <c r="W31" s="261" t="s">
        <v>201</v>
      </c>
      <c r="X31" s="261" t="s">
        <v>214</v>
      </c>
      <c r="Y31" s="261">
        <v>34</v>
      </c>
      <c r="Z31" s="261">
        <v>41</v>
      </c>
      <c r="AA31" s="262" t="s">
        <v>215</v>
      </c>
      <c r="AB31" s="262"/>
      <c r="AC31" s="264">
        <v>45768</v>
      </c>
      <c r="AD31" s="263" t="s">
        <v>287</v>
      </c>
      <c r="AE31" s="263" t="s">
        <v>205</v>
      </c>
      <c r="AF31" s="269"/>
      <c r="AG31" s="263" t="s">
        <v>1009</v>
      </c>
      <c r="AH31" s="263" t="s">
        <v>1010</v>
      </c>
      <c r="AI31" s="270"/>
      <c r="AJ31" s="264">
        <v>45758</v>
      </c>
      <c r="AK31" s="264" t="s">
        <v>218</v>
      </c>
      <c r="AL31" s="323"/>
      <c r="AM31" s="320"/>
      <c r="AN31" s="94">
        <v>1039468351</v>
      </c>
      <c r="AO31" s="95" t="s">
        <v>334</v>
      </c>
      <c r="AP31" s="95" t="s">
        <v>244</v>
      </c>
      <c r="AQ31" s="94" t="s">
        <v>209</v>
      </c>
      <c r="AR31" s="97">
        <v>44866</v>
      </c>
      <c r="AS31" s="98">
        <v>44929</v>
      </c>
      <c r="AT31" s="160"/>
      <c r="AU31" s="99" t="s">
        <v>210</v>
      </c>
      <c r="AV31" s="323"/>
    </row>
    <row r="32" spans="1:48" x14ac:dyDescent="0.35">
      <c r="A32" s="317"/>
      <c r="B32" s="1">
        <v>29</v>
      </c>
      <c r="C32" t="s">
        <v>335</v>
      </c>
      <c r="D32" s="1" t="s">
        <v>47</v>
      </c>
      <c r="E32" s="2">
        <v>1016038591</v>
      </c>
      <c r="F32" s="30">
        <v>33511</v>
      </c>
      <c r="G32" s="30">
        <v>45695</v>
      </c>
      <c r="H32" s="30">
        <f>EDATE(Activos[[#This Row],[FECHA INDUCCION ]],12)-1</f>
        <v>46059</v>
      </c>
      <c r="I32" s="2">
        <f ca="1">Activos[[#This Row],[VENCE.INDUCCION]]-TODAY()</f>
        <v>284</v>
      </c>
      <c r="J32" s="30">
        <v>45589</v>
      </c>
      <c r="K32" s="30">
        <f t="shared" si="1"/>
        <v>45953</v>
      </c>
      <c r="L32" s="2">
        <f ca="1">Activos[[#This Row],[VENCE.MANI.ALIM]]-TODAY()</f>
        <v>178</v>
      </c>
      <c r="M32" s="30">
        <v>45580</v>
      </c>
      <c r="N32" s="30">
        <f t="shared" si="0"/>
        <v>45944</v>
      </c>
      <c r="O32" s="2">
        <f ca="1">Activos[[#This Row],[VENCIMIENTO.EX.MED]]-TODAY()</f>
        <v>169</v>
      </c>
      <c r="P32" s="2" t="s">
        <v>212</v>
      </c>
      <c r="Q32" s="2" t="s">
        <v>336</v>
      </c>
      <c r="R32" s="105">
        <v>3219513487</v>
      </c>
      <c r="S32" s="2" t="s">
        <v>213</v>
      </c>
      <c r="T32" s="2" t="s">
        <v>256</v>
      </c>
      <c r="U32" s="2" t="s">
        <v>1127</v>
      </c>
      <c r="V32" s="2" t="s">
        <v>302</v>
      </c>
      <c r="W32" s="1" t="s">
        <v>20</v>
      </c>
      <c r="X32" s="1" t="s">
        <v>10</v>
      </c>
      <c r="Y32" s="1">
        <v>34</v>
      </c>
      <c r="Z32" s="1" t="s">
        <v>206</v>
      </c>
      <c r="AA32" t="s">
        <v>203</v>
      </c>
      <c r="AB32" s="30">
        <v>45581</v>
      </c>
      <c r="AC32" s="30">
        <v>45581</v>
      </c>
      <c r="AD32" s="2" t="s">
        <v>337</v>
      </c>
      <c r="AE32" s="2" t="s">
        <v>217</v>
      </c>
      <c r="AF32" s="2" t="s">
        <v>217</v>
      </c>
      <c r="AG32" s="2" t="s">
        <v>1009</v>
      </c>
      <c r="AH32" s="2" t="s">
        <v>1010</v>
      </c>
      <c r="AI32" s="240" t="s">
        <v>1030</v>
      </c>
      <c r="AJ32" s="30">
        <v>45576</v>
      </c>
      <c r="AK32" s="30" t="s">
        <v>338</v>
      </c>
      <c r="AL32" s="323"/>
      <c r="AM32" s="320"/>
      <c r="AN32" s="94">
        <v>1035129527</v>
      </c>
      <c r="AO32" s="95" t="s">
        <v>339</v>
      </c>
      <c r="AP32" s="95" t="s">
        <v>16</v>
      </c>
      <c r="AQ32" s="94" t="s">
        <v>209</v>
      </c>
      <c r="AR32" s="97">
        <v>44977</v>
      </c>
      <c r="AS32" s="98">
        <v>45290</v>
      </c>
      <c r="AT32" s="160"/>
      <c r="AU32" s="99" t="s">
        <v>210</v>
      </c>
      <c r="AV32" s="323"/>
    </row>
    <row r="33" spans="1:48" x14ac:dyDescent="0.35">
      <c r="A33" s="317"/>
      <c r="B33" s="1">
        <v>30</v>
      </c>
      <c r="C33" t="s">
        <v>340</v>
      </c>
      <c r="D33" s="1" t="s">
        <v>47</v>
      </c>
      <c r="E33" s="2">
        <v>73165217</v>
      </c>
      <c r="F33" s="30">
        <v>27160</v>
      </c>
      <c r="G33" s="30">
        <v>45695</v>
      </c>
      <c r="H33" s="30">
        <f>EDATE(Activos[[#This Row],[FECHA INDUCCION ]],12)-1</f>
        <v>46059</v>
      </c>
      <c r="I33" s="2">
        <f ca="1">Activos[[#This Row],[VENCE.INDUCCION]]-TODAY()</f>
        <v>284</v>
      </c>
      <c r="J33" s="30" t="s">
        <v>206</v>
      </c>
      <c r="K33" s="2" t="e">
        <f t="shared" si="1"/>
        <v>#VALUE!</v>
      </c>
      <c r="L33" s="2" t="e">
        <f ca="1">Activos[[#This Row],[VENCE.MANI.ALIM]]-TODAY()</f>
        <v>#VALUE!</v>
      </c>
      <c r="M33" s="30">
        <v>45324</v>
      </c>
      <c r="N33" s="30">
        <f>EDATE(M33,24)-1</f>
        <v>46054</v>
      </c>
      <c r="O33" s="2">
        <f ca="1">Activos[[#This Row],[VENCIMIENTO.EX.MED]]-TODAY()</f>
        <v>279</v>
      </c>
      <c r="P33" s="2" t="s">
        <v>212</v>
      </c>
      <c r="Q33" s="2" t="s">
        <v>341</v>
      </c>
      <c r="R33" s="105">
        <v>3053176744</v>
      </c>
      <c r="S33" s="2" t="s">
        <v>213</v>
      </c>
      <c r="T33" s="2" t="s">
        <v>256</v>
      </c>
      <c r="U33" s="2" t="s">
        <v>1127</v>
      </c>
      <c r="V33" s="2" t="s">
        <v>342</v>
      </c>
      <c r="W33" s="1" t="s">
        <v>20</v>
      </c>
      <c r="X33" s="1" t="s">
        <v>250</v>
      </c>
      <c r="Y33" s="1">
        <v>30</v>
      </c>
      <c r="Z33" s="1" t="s">
        <v>206</v>
      </c>
      <c r="AA33" t="s">
        <v>343</v>
      </c>
      <c r="AB33" s="30">
        <v>45314</v>
      </c>
      <c r="AC33" s="30">
        <v>45314</v>
      </c>
      <c r="AD33" s="2" t="s">
        <v>204</v>
      </c>
      <c r="AE33" s="2" t="s">
        <v>217</v>
      </c>
      <c r="AF33" s="2" t="s">
        <v>217</v>
      </c>
      <c r="AG33" s="2" t="s">
        <v>1009</v>
      </c>
      <c r="AH33" s="2" t="s">
        <v>1010</v>
      </c>
      <c r="AI33" s="240" t="s">
        <v>1031</v>
      </c>
      <c r="AJ33" s="30">
        <v>45608</v>
      </c>
      <c r="AK33" s="30" t="s">
        <v>31</v>
      </c>
      <c r="AL33" s="323"/>
      <c r="AM33" s="320"/>
      <c r="AN33" s="94">
        <v>1035129527</v>
      </c>
      <c r="AO33" s="95" t="s">
        <v>339</v>
      </c>
      <c r="AP33" s="95" t="s">
        <v>16</v>
      </c>
      <c r="AQ33" s="94" t="s">
        <v>209</v>
      </c>
      <c r="AR33" s="97">
        <v>44977</v>
      </c>
      <c r="AS33" s="98">
        <v>45490</v>
      </c>
      <c r="AT33" s="160"/>
      <c r="AU33" s="99" t="s">
        <v>210</v>
      </c>
      <c r="AV33" s="323"/>
    </row>
    <row r="34" spans="1:48" x14ac:dyDescent="0.35">
      <c r="A34" s="317"/>
      <c r="B34" s="1">
        <v>31</v>
      </c>
      <c r="C34" t="s">
        <v>344</v>
      </c>
      <c r="D34" s="1" t="s">
        <v>47</v>
      </c>
      <c r="E34" s="2">
        <v>98707551</v>
      </c>
      <c r="F34" s="30">
        <v>30768</v>
      </c>
      <c r="G34" s="30">
        <v>45400</v>
      </c>
      <c r="H34" s="30">
        <f>EDATE(Activos[[#This Row],[FECHA INDUCCION ]],12)-1</f>
        <v>45764</v>
      </c>
      <c r="I34" s="2">
        <f ca="1">Activos[[#This Row],[VENCE.INDUCCION]]-TODAY()</f>
        <v>-11</v>
      </c>
      <c r="J34" s="30" t="s">
        <v>206</v>
      </c>
      <c r="K34" s="2" t="e">
        <f t="shared" si="1"/>
        <v>#VALUE!</v>
      </c>
      <c r="L34" s="2" t="e">
        <f ca="1">Activos[[#This Row],[VENCE.MANI.ALIM]]-TODAY()</f>
        <v>#VALUE!</v>
      </c>
      <c r="M34" s="30">
        <v>45717</v>
      </c>
      <c r="N34" s="30">
        <f t="shared" si="0"/>
        <v>46081</v>
      </c>
      <c r="O34" s="2">
        <f ca="1">Activos[[#This Row],[VENCIMIENTO.EX.MED]]-TODAY()</f>
        <v>306</v>
      </c>
      <c r="P34" s="2" t="s">
        <v>212</v>
      </c>
      <c r="Q34" s="2" t="s">
        <v>345</v>
      </c>
      <c r="R34" s="105">
        <v>3045446139</v>
      </c>
      <c r="S34" s="2" t="s">
        <v>247</v>
      </c>
      <c r="T34" s="2" t="s">
        <v>346</v>
      </c>
      <c r="U34" s="2" t="s">
        <v>1127</v>
      </c>
      <c r="V34" s="2" t="s">
        <v>200</v>
      </c>
      <c r="W34" s="1" t="s">
        <v>201</v>
      </c>
      <c r="X34" s="1" t="s">
        <v>214</v>
      </c>
      <c r="Y34" s="1">
        <v>34</v>
      </c>
      <c r="Z34" s="1">
        <v>40</v>
      </c>
      <c r="AA34" t="s">
        <v>203</v>
      </c>
      <c r="AB34" s="30">
        <v>44951</v>
      </c>
      <c r="AC34" s="30">
        <v>44951</v>
      </c>
      <c r="AD34" s="2" t="s">
        <v>224</v>
      </c>
      <c r="AE34" s="2" t="s">
        <v>308</v>
      </c>
      <c r="AF34" s="2" t="s">
        <v>217</v>
      </c>
      <c r="AG34" s="2" t="s">
        <v>1009</v>
      </c>
      <c r="AH34" s="2" t="s">
        <v>1010</v>
      </c>
      <c r="AI34" s="240" t="s">
        <v>1032</v>
      </c>
      <c r="AJ34" s="30">
        <v>45608</v>
      </c>
      <c r="AK34" s="30" t="s">
        <v>207</v>
      </c>
      <c r="AL34" s="323"/>
      <c r="AM34" s="320"/>
      <c r="AN34" s="94">
        <v>1040741056</v>
      </c>
      <c r="AO34" s="95" t="s">
        <v>347</v>
      </c>
      <c r="AP34" s="95" t="s">
        <v>16</v>
      </c>
      <c r="AQ34" s="94" t="s">
        <v>209</v>
      </c>
      <c r="AR34" s="97">
        <v>44238</v>
      </c>
      <c r="AS34" s="98">
        <v>45062</v>
      </c>
      <c r="AT34" s="160"/>
      <c r="AU34" s="99" t="s">
        <v>210</v>
      </c>
      <c r="AV34" s="323"/>
    </row>
    <row r="35" spans="1:48" x14ac:dyDescent="0.35">
      <c r="A35" s="317"/>
      <c r="B35" s="1">
        <v>32</v>
      </c>
      <c r="C35" t="s">
        <v>348</v>
      </c>
      <c r="D35" s="1" t="s">
        <v>47</v>
      </c>
      <c r="E35" s="2">
        <v>1004276134</v>
      </c>
      <c r="F35" s="30">
        <v>36606</v>
      </c>
      <c r="G35" s="86">
        <v>45726</v>
      </c>
      <c r="H35" s="30">
        <f>EDATE(Activos[[#This Row],[FECHA INDUCCION ]],12)-1</f>
        <v>46090</v>
      </c>
      <c r="I35" s="2">
        <f ca="1">Activos[[#This Row],[VENCE.INDUCCION]]-TODAY()</f>
        <v>315</v>
      </c>
      <c r="J35" s="30">
        <v>45740</v>
      </c>
      <c r="K35" s="30">
        <f t="shared" si="1"/>
        <v>46104</v>
      </c>
      <c r="L35" s="2">
        <f ca="1">Activos[[#This Row],[VENCE.MANI.ALIM]]-TODAY()</f>
        <v>329</v>
      </c>
      <c r="M35" s="30">
        <v>45719</v>
      </c>
      <c r="N35" s="30">
        <f t="shared" si="0"/>
        <v>46083</v>
      </c>
      <c r="O35" s="2">
        <f ca="1">Activos[[#This Row],[VENCIMIENTO.EX.MED]]-TODAY()</f>
        <v>308</v>
      </c>
      <c r="P35" s="2" t="s">
        <v>212</v>
      </c>
      <c r="Q35" s="2" t="s">
        <v>349</v>
      </c>
      <c r="R35" s="170">
        <v>3137694705</v>
      </c>
      <c r="S35" s="2" t="s">
        <v>199</v>
      </c>
      <c r="T35" s="2" t="s">
        <v>256</v>
      </c>
      <c r="U35" s="2" t="s">
        <v>1127</v>
      </c>
      <c r="V35" s="2" t="s">
        <v>22</v>
      </c>
      <c r="W35" s="1" t="s">
        <v>201</v>
      </c>
      <c r="X35" s="1" t="s">
        <v>236</v>
      </c>
      <c r="Y35" s="1">
        <v>36</v>
      </c>
      <c r="Z35" s="1">
        <v>41</v>
      </c>
      <c r="AA35" s="104" t="s">
        <v>215</v>
      </c>
      <c r="AB35" s="30">
        <v>45726</v>
      </c>
      <c r="AC35" s="30">
        <v>45726</v>
      </c>
      <c r="AD35" s="2" t="s">
        <v>204</v>
      </c>
      <c r="AE35" s="2" t="s">
        <v>205</v>
      </c>
      <c r="AF35" s="2" t="s">
        <v>217</v>
      </c>
      <c r="AG35" s="2" t="s">
        <v>1009</v>
      </c>
      <c r="AH35" s="2" t="s">
        <v>1010</v>
      </c>
      <c r="AI35" s="240" t="s">
        <v>1050</v>
      </c>
      <c r="AJ35" s="30">
        <v>45723</v>
      </c>
      <c r="AK35" s="30" t="s">
        <v>242</v>
      </c>
      <c r="AL35" s="323"/>
      <c r="AM35" s="320"/>
      <c r="AN35" s="94">
        <v>1036667105</v>
      </c>
      <c r="AO35" s="95" t="s">
        <v>350</v>
      </c>
      <c r="AP35" s="95" t="s">
        <v>351</v>
      </c>
      <c r="AQ35" s="94" t="s">
        <v>209</v>
      </c>
      <c r="AR35" s="97">
        <v>45272</v>
      </c>
      <c r="AS35" s="98">
        <v>45297</v>
      </c>
      <c r="AT35" s="160"/>
      <c r="AU35" s="99" t="s">
        <v>210</v>
      </c>
      <c r="AV35" s="323"/>
    </row>
    <row r="36" spans="1:48" x14ac:dyDescent="0.35">
      <c r="A36" s="317"/>
      <c r="B36" s="1">
        <v>33</v>
      </c>
      <c r="C36" t="s">
        <v>352</v>
      </c>
      <c r="D36" s="1" t="s">
        <v>47</v>
      </c>
      <c r="E36" s="2">
        <v>1035431374</v>
      </c>
      <c r="F36" s="30">
        <v>34449</v>
      </c>
      <c r="G36" s="30">
        <v>45686</v>
      </c>
      <c r="H36" s="30">
        <f>EDATE(Activos[[#This Row],[FECHA INDUCCION ]],12)-1</f>
        <v>46050</v>
      </c>
      <c r="I36" s="2">
        <f ca="1">Activos[[#This Row],[VENCE.INDUCCION]]-TODAY()</f>
        <v>275</v>
      </c>
      <c r="J36" s="30" t="s">
        <v>206</v>
      </c>
      <c r="K36" s="2" t="e">
        <f t="shared" ref="K36:K67" si="3">EDATE(J36,12)-1</f>
        <v>#VALUE!</v>
      </c>
      <c r="L36" s="2" t="e">
        <f ca="1">Activos[[#This Row],[VENCE.MANI.ALIM]]-TODAY()</f>
        <v>#VALUE!</v>
      </c>
      <c r="M36" s="30">
        <v>45504</v>
      </c>
      <c r="N36" s="30">
        <f t="shared" ref="N36:N67" si="4">EDATE(M36,12)-1</f>
        <v>45868</v>
      </c>
      <c r="O36" s="2">
        <f ca="1">Activos[[#This Row],[VENCIMIENTO.EX.MED]]-TODAY()</f>
        <v>93</v>
      </c>
      <c r="P36" s="2" t="s">
        <v>212</v>
      </c>
      <c r="Q36" s="2" t="s">
        <v>353</v>
      </c>
      <c r="R36" s="105">
        <v>3226139960</v>
      </c>
      <c r="S36" s="2" t="s">
        <v>247</v>
      </c>
      <c r="T36" s="2" t="s">
        <v>354</v>
      </c>
      <c r="U36" s="2" t="s">
        <v>1127</v>
      </c>
      <c r="V36" s="2" t="s">
        <v>302</v>
      </c>
      <c r="W36" s="1" t="s">
        <v>20</v>
      </c>
      <c r="X36" s="1" t="s">
        <v>214</v>
      </c>
      <c r="Y36" s="1">
        <v>34</v>
      </c>
      <c r="Z36" s="1">
        <v>41</v>
      </c>
      <c r="AA36" t="s">
        <v>203</v>
      </c>
      <c r="AB36" s="30">
        <v>45292</v>
      </c>
      <c r="AC36" s="30">
        <v>44826</v>
      </c>
      <c r="AD36" s="2" t="s">
        <v>224</v>
      </c>
      <c r="AE36" s="2" t="s">
        <v>308</v>
      </c>
      <c r="AF36" s="2" t="s">
        <v>217</v>
      </c>
      <c r="AG36" s="2" t="s">
        <v>1009</v>
      </c>
      <c r="AH36" s="2" t="s">
        <v>1010</v>
      </c>
      <c r="AI36" s="240" t="s">
        <v>1033</v>
      </c>
      <c r="AJ36" s="30">
        <v>45608</v>
      </c>
      <c r="AK36" s="30" t="s">
        <v>355</v>
      </c>
      <c r="AL36" s="323"/>
      <c r="AM36" s="320"/>
      <c r="AN36" s="94">
        <v>1042213246</v>
      </c>
      <c r="AO36" s="95" t="s">
        <v>356</v>
      </c>
      <c r="AP36" s="95" t="s">
        <v>220</v>
      </c>
      <c r="AQ36" s="94" t="s">
        <v>209</v>
      </c>
      <c r="AR36" s="97">
        <v>45468</v>
      </c>
      <c r="AS36" s="98">
        <v>45488</v>
      </c>
      <c r="AT36" s="160"/>
      <c r="AU36" s="99" t="s">
        <v>210</v>
      </c>
      <c r="AV36" s="323"/>
    </row>
    <row r="37" spans="1:48" x14ac:dyDescent="0.35">
      <c r="A37" s="317"/>
      <c r="B37" s="1">
        <v>34</v>
      </c>
      <c r="C37" t="s">
        <v>1074</v>
      </c>
      <c r="D37" s="1" t="s">
        <v>47</v>
      </c>
      <c r="E37" s="2">
        <v>1042062872</v>
      </c>
      <c r="F37" s="30">
        <v>33248</v>
      </c>
      <c r="G37" s="30">
        <v>45552</v>
      </c>
      <c r="H37" s="30">
        <f>EDATE(Activos[[#This Row],[FECHA INDUCCION ]],12)-1</f>
        <v>45916</v>
      </c>
      <c r="I37" s="2">
        <f ca="1">Activos[[#This Row],[VENCE.INDUCCION]]-TODAY()</f>
        <v>141</v>
      </c>
      <c r="J37" s="30" t="s">
        <v>206</v>
      </c>
      <c r="K37" s="2" t="e">
        <f t="shared" si="3"/>
        <v>#VALUE!</v>
      </c>
      <c r="L37" s="2" t="e">
        <f ca="1">Activos[[#This Row],[VENCE.MANI.ALIM]]-TODAY()</f>
        <v>#VALUE!</v>
      </c>
      <c r="M37" s="30">
        <v>45548</v>
      </c>
      <c r="N37" s="30">
        <f t="shared" si="4"/>
        <v>45912</v>
      </c>
      <c r="O37" s="2">
        <f ca="1">Activos[[#This Row],[VENCIMIENTO.EX.MED]]-TODAY()</f>
        <v>137</v>
      </c>
      <c r="P37" s="2" t="s">
        <v>212</v>
      </c>
      <c r="Q37" s="2" t="s">
        <v>378</v>
      </c>
      <c r="R37" s="105">
        <v>3145900531</v>
      </c>
      <c r="S37" s="2" t="s">
        <v>213</v>
      </c>
      <c r="T37" s="2" t="s">
        <v>256</v>
      </c>
      <c r="U37" s="2" t="s">
        <v>1127</v>
      </c>
      <c r="V37" s="2" t="s">
        <v>302</v>
      </c>
      <c r="W37" s="1" t="s">
        <v>20</v>
      </c>
      <c r="X37" s="1" t="s">
        <v>214</v>
      </c>
      <c r="Y37" s="1">
        <v>34</v>
      </c>
      <c r="Z37" s="1">
        <v>40</v>
      </c>
      <c r="AA37" t="s">
        <v>203</v>
      </c>
      <c r="AB37" s="30">
        <v>45552</v>
      </c>
      <c r="AC37" s="30">
        <v>45552</v>
      </c>
      <c r="AD37" s="2" t="s">
        <v>224</v>
      </c>
      <c r="AE37" s="2" t="s">
        <v>205</v>
      </c>
      <c r="AF37" s="2" t="s">
        <v>205</v>
      </c>
      <c r="AG37" s="2" t="s">
        <v>1009</v>
      </c>
      <c r="AH37" s="2" t="s">
        <v>1010</v>
      </c>
      <c r="AI37" s="240" t="s">
        <v>1034</v>
      </c>
      <c r="AJ37" s="30">
        <v>45577</v>
      </c>
      <c r="AK37" s="30" t="s">
        <v>379</v>
      </c>
      <c r="AL37" s="323"/>
      <c r="AM37" s="320"/>
      <c r="AN37" s="94">
        <v>94041473</v>
      </c>
      <c r="AO37" s="95" t="s">
        <v>359</v>
      </c>
      <c r="AP37" s="95" t="s">
        <v>360</v>
      </c>
      <c r="AQ37" s="94" t="s">
        <v>209</v>
      </c>
      <c r="AR37" s="97">
        <v>45314</v>
      </c>
      <c r="AS37" s="98">
        <v>45422</v>
      </c>
      <c r="AT37" s="160"/>
      <c r="AU37" s="99" t="s">
        <v>210</v>
      </c>
      <c r="AV37" s="323"/>
    </row>
    <row r="38" spans="1:48" x14ac:dyDescent="0.35">
      <c r="A38" s="317"/>
      <c r="B38" s="1">
        <v>35</v>
      </c>
      <c r="C38" s="262" t="s">
        <v>1160</v>
      </c>
      <c r="D38" s="261" t="s">
        <v>47</v>
      </c>
      <c r="E38" s="263">
        <v>103902422</v>
      </c>
      <c r="F38" s="264">
        <v>34966</v>
      </c>
      <c r="G38" s="264">
        <v>45757</v>
      </c>
      <c r="H38" s="264">
        <f>EDATE(Activos[[#This Row],[FECHA INDUCCION ]],12)-1</f>
        <v>46121</v>
      </c>
      <c r="I38" s="263">
        <f ca="1">Activos[[#This Row],[VENCE.INDUCCION]]-TODAY()</f>
        <v>346</v>
      </c>
      <c r="J38" s="264" t="s">
        <v>206</v>
      </c>
      <c r="K38" s="263" t="e">
        <f t="shared" si="3"/>
        <v>#VALUE!</v>
      </c>
      <c r="L38" s="263" t="e">
        <f ca="1">Activos[[#This Row],[VENCE.MANI.ALIM]]-TODAY()</f>
        <v>#VALUE!</v>
      </c>
      <c r="M38" s="264">
        <v>45754</v>
      </c>
      <c r="N38" s="264">
        <f t="shared" si="4"/>
        <v>46118</v>
      </c>
      <c r="O38" s="263">
        <f ca="1">Activos[[#This Row],[VENCIMIENTO.EX.MED]]-TODAY()</f>
        <v>343</v>
      </c>
      <c r="P38" s="263" t="s">
        <v>212</v>
      </c>
      <c r="Q38" s="263" t="s">
        <v>1156</v>
      </c>
      <c r="R38" s="265">
        <v>3042706416</v>
      </c>
      <c r="S38" s="263" t="s">
        <v>199</v>
      </c>
      <c r="T38" s="263" t="s">
        <v>16</v>
      </c>
      <c r="U38" s="263" t="s">
        <v>1127</v>
      </c>
      <c r="V38" s="263" t="s">
        <v>16</v>
      </c>
      <c r="W38" s="261" t="s">
        <v>201</v>
      </c>
      <c r="X38" s="261" t="s">
        <v>214</v>
      </c>
      <c r="Y38" s="261">
        <v>32</v>
      </c>
      <c r="Z38" s="261">
        <v>41</v>
      </c>
      <c r="AA38" s="262" t="s">
        <v>215</v>
      </c>
      <c r="AB38" s="266">
        <v>45757</v>
      </c>
      <c r="AC38" s="264">
        <v>45757</v>
      </c>
      <c r="AD38" s="263" t="s">
        <v>224</v>
      </c>
      <c r="AE38" s="263" t="s">
        <v>217</v>
      </c>
      <c r="AF38" s="263" t="s">
        <v>217</v>
      </c>
      <c r="AG38" s="263" t="s">
        <v>1009</v>
      </c>
      <c r="AH38" s="263" t="s">
        <v>1010</v>
      </c>
      <c r="AI38" s="270"/>
      <c r="AJ38" s="264">
        <v>45754</v>
      </c>
      <c r="AK38" s="264" t="s">
        <v>207</v>
      </c>
      <c r="AL38" s="323"/>
      <c r="AM38" s="320"/>
      <c r="AN38" s="94">
        <v>1121045364</v>
      </c>
      <c r="AO38" s="95" t="s">
        <v>365</v>
      </c>
      <c r="AP38" s="95" t="s">
        <v>220</v>
      </c>
      <c r="AQ38" s="94" t="s">
        <v>209</v>
      </c>
      <c r="AR38" s="97">
        <v>45505</v>
      </c>
      <c r="AS38" s="98">
        <v>45527</v>
      </c>
      <c r="AT38" s="160"/>
      <c r="AU38" s="99" t="s">
        <v>210</v>
      </c>
      <c r="AV38" s="323"/>
    </row>
    <row r="39" spans="1:48" x14ac:dyDescent="0.35">
      <c r="A39" s="317"/>
      <c r="B39" s="1">
        <v>36</v>
      </c>
      <c r="C39" t="s">
        <v>361</v>
      </c>
      <c r="D39" s="1" t="s">
        <v>47</v>
      </c>
      <c r="E39" s="2">
        <v>8101312</v>
      </c>
      <c r="F39" s="30">
        <v>30638</v>
      </c>
      <c r="G39" s="30">
        <v>45536</v>
      </c>
      <c r="H39" s="30">
        <f>EDATE(Activos[[#This Row],[FECHA INDUCCION ]],12)-1</f>
        <v>45900</v>
      </c>
      <c r="I39" s="2">
        <f ca="1">Activos[[#This Row],[VENCE.INDUCCION]]-TODAY()</f>
        <v>125</v>
      </c>
      <c r="J39" s="30" t="s">
        <v>206</v>
      </c>
      <c r="K39" s="2" t="e">
        <f t="shared" si="3"/>
        <v>#VALUE!</v>
      </c>
      <c r="L39" s="2" t="e">
        <f ca="1">Activos[[#This Row],[VENCE.MANI.ALIM]]-TODAY()</f>
        <v>#VALUE!</v>
      </c>
      <c r="M39" s="30">
        <v>45500</v>
      </c>
      <c r="N39" s="30">
        <f t="shared" si="4"/>
        <v>45864</v>
      </c>
      <c r="O39" s="2">
        <f ca="1">Activos[[#This Row],[VENCIMIENTO.EX.MED]]-TODAY()</f>
        <v>89</v>
      </c>
      <c r="P39" s="2" t="s">
        <v>212</v>
      </c>
      <c r="Q39" s="2" t="s">
        <v>362</v>
      </c>
      <c r="R39" s="105">
        <v>3046127108</v>
      </c>
      <c r="S39" s="2" t="s">
        <v>247</v>
      </c>
      <c r="T39" s="2" t="s">
        <v>363</v>
      </c>
      <c r="U39" s="2" t="s">
        <v>1127</v>
      </c>
      <c r="V39" s="2" t="s">
        <v>302</v>
      </c>
      <c r="W39" s="1" t="s">
        <v>20</v>
      </c>
      <c r="X39" s="1" t="s">
        <v>214</v>
      </c>
      <c r="Y39" s="1">
        <v>32</v>
      </c>
      <c r="Z39" s="1">
        <v>41</v>
      </c>
      <c r="AA39" t="s">
        <v>203</v>
      </c>
      <c r="AB39" s="30">
        <v>44932</v>
      </c>
      <c r="AC39" s="30">
        <v>44748</v>
      </c>
      <c r="AD39" s="2" t="s">
        <v>224</v>
      </c>
      <c r="AE39" s="2" t="s">
        <v>364</v>
      </c>
      <c r="AF39" s="2" t="s">
        <v>217</v>
      </c>
      <c r="AG39" s="2" t="s">
        <v>1009</v>
      </c>
      <c r="AH39" s="2" t="s">
        <v>1010</v>
      </c>
      <c r="AI39" s="240" t="s">
        <v>1011</v>
      </c>
      <c r="AJ39" s="30">
        <v>45610</v>
      </c>
      <c r="AK39" s="30" t="s">
        <v>218</v>
      </c>
      <c r="AL39" s="323"/>
      <c r="AM39" s="320"/>
      <c r="AN39" s="94">
        <v>1000758886</v>
      </c>
      <c r="AO39" s="95" t="s">
        <v>368</v>
      </c>
      <c r="AP39" s="95" t="s">
        <v>16</v>
      </c>
      <c r="AQ39" s="94" t="s">
        <v>209</v>
      </c>
      <c r="AR39" s="97">
        <v>45385</v>
      </c>
      <c r="AS39" s="98">
        <v>45443</v>
      </c>
      <c r="AT39" s="160"/>
      <c r="AU39" s="99" t="s">
        <v>210</v>
      </c>
      <c r="AV39" s="323"/>
    </row>
    <row r="40" spans="1:48" x14ac:dyDescent="0.35">
      <c r="A40" s="317"/>
      <c r="B40" s="1">
        <v>37</v>
      </c>
      <c r="C40" t="s">
        <v>366</v>
      </c>
      <c r="D40" s="1" t="s">
        <v>47</v>
      </c>
      <c r="E40" s="2">
        <v>1090397486</v>
      </c>
      <c r="F40" s="30">
        <v>32244</v>
      </c>
      <c r="G40" s="30">
        <v>45544</v>
      </c>
      <c r="H40" s="30">
        <f>EDATE(Activos[[#This Row],[FECHA INDUCCION ]],12)-1</f>
        <v>45908</v>
      </c>
      <c r="I40" s="2">
        <f ca="1">Activos[[#This Row],[VENCE.INDUCCION]]-TODAY()</f>
        <v>133</v>
      </c>
      <c r="J40" s="30">
        <v>45558</v>
      </c>
      <c r="K40" s="30">
        <f t="shared" si="3"/>
        <v>45922</v>
      </c>
      <c r="L40" s="2">
        <f ca="1">Activos[[#This Row],[VENCE.MANI.ALIM]]-TODAY()</f>
        <v>147</v>
      </c>
      <c r="M40" s="30">
        <v>45528</v>
      </c>
      <c r="N40" s="30">
        <f t="shared" si="4"/>
        <v>45892</v>
      </c>
      <c r="O40" s="2">
        <f ca="1">Activos[[#This Row],[VENCIMIENTO.EX.MED]]-TODAY()</f>
        <v>117</v>
      </c>
      <c r="P40" s="2" t="s">
        <v>212</v>
      </c>
      <c r="Q40" s="2" t="s">
        <v>367</v>
      </c>
      <c r="R40" s="105">
        <v>3142336116</v>
      </c>
      <c r="S40" s="2" t="s">
        <v>213</v>
      </c>
      <c r="T40" s="2" t="s">
        <v>256</v>
      </c>
      <c r="U40" s="2" t="s">
        <v>1127</v>
      </c>
      <c r="V40" s="2" t="s">
        <v>22</v>
      </c>
      <c r="W40" s="1" t="s">
        <v>201</v>
      </c>
      <c r="X40" s="1" t="s">
        <v>10</v>
      </c>
      <c r="Y40" s="1">
        <v>34</v>
      </c>
      <c r="Z40" s="1">
        <v>40</v>
      </c>
      <c r="AA40" t="s">
        <v>203</v>
      </c>
      <c r="AB40" s="30">
        <v>45531</v>
      </c>
      <c r="AC40" s="30">
        <v>45531</v>
      </c>
      <c r="AD40" s="2" t="s">
        <v>216</v>
      </c>
      <c r="AE40" s="2" t="s">
        <v>205</v>
      </c>
      <c r="AF40" s="2" t="s">
        <v>205</v>
      </c>
      <c r="AG40" s="2" t="s">
        <v>1009</v>
      </c>
      <c r="AH40" s="2" t="s">
        <v>1010</v>
      </c>
      <c r="AI40" s="240" t="s">
        <v>1035</v>
      </c>
      <c r="AJ40" s="30">
        <v>45530</v>
      </c>
      <c r="AK40" s="30" t="s">
        <v>218</v>
      </c>
      <c r="AL40" s="323"/>
      <c r="AM40" s="320"/>
      <c r="AN40" s="94">
        <v>1007643462</v>
      </c>
      <c r="AO40" s="95" t="s">
        <v>372</v>
      </c>
      <c r="AP40" s="95" t="s">
        <v>220</v>
      </c>
      <c r="AQ40" s="94" t="s">
        <v>209</v>
      </c>
      <c r="AR40" s="97">
        <v>45112</v>
      </c>
      <c r="AS40" s="98">
        <v>45203</v>
      </c>
      <c r="AT40" s="160"/>
      <c r="AU40" s="99" t="s">
        <v>210</v>
      </c>
      <c r="AV40" s="323"/>
    </row>
    <row r="41" spans="1:48" x14ac:dyDescent="0.35">
      <c r="A41" s="317"/>
      <c r="B41" s="1">
        <v>38</v>
      </c>
      <c r="C41" t="s">
        <v>369</v>
      </c>
      <c r="D41" s="1" t="s">
        <v>47</v>
      </c>
      <c r="E41" s="2">
        <v>70979196</v>
      </c>
      <c r="F41" s="30">
        <v>30733</v>
      </c>
      <c r="G41" s="30">
        <v>45461</v>
      </c>
      <c r="H41" s="30">
        <f>EDATE(Activos[[#This Row],[FECHA INDUCCION ]],12)-1</f>
        <v>45825</v>
      </c>
      <c r="I41" s="2">
        <f ca="1">Activos[[#This Row],[VENCE.INDUCCION]]-TODAY()</f>
        <v>50</v>
      </c>
      <c r="J41" s="30">
        <v>45558</v>
      </c>
      <c r="K41" s="30">
        <f t="shared" si="3"/>
        <v>45922</v>
      </c>
      <c r="L41" s="2">
        <f ca="1">Activos[[#This Row],[VENCE.MANI.ALIM]]-TODAY()</f>
        <v>147</v>
      </c>
      <c r="M41" s="30">
        <v>45457</v>
      </c>
      <c r="N41" s="30">
        <f t="shared" si="4"/>
        <v>45821</v>
      </c>
      <c r="O41" s="2">
        <f ca="1">Activos[[#This Row],[VENCIMIENTO.EX.MED]]-TODAY()</f>
        <v>46</v>
      </c>
      <c r="P41" s="2" t="s">
        <v>212</v>
      </c>
      <c r="Q41" s="2" t="s">
        <v>370</v>
      </c>
      <c r="R41" s="105">
        <v>3193796649</v>
      </c>
      <c r="S41" s="2" t="s">
        <v>371</v>
      </c>
      <c r="T41" s="2" t="s">
        <v>256</v>
      </c>
      <c r="U41" s="2" t="s">
        <v>1127</v>
      </c>
      <c r="V41" s="2" t="s">
        <v>22</v>
      </c>
      <c r="W41" s="1" t="s">
        <v>201</v>
      </c>
      <c r="X41" s="1" t="s">
        <v>214</v>
      </c>
      <c r="Y41" s="1">
        <v>32</v>
      </c>
      <c r="Z41" s="1">
        <v>39</v>
      </c>
      <c r="AA41" t="s">
        <v>203</v>
      </c>
      <c r="AB41" s="30">
        <v>45461</v>
      </c>
      <c r="AC41" s="30">
        <v>45461</v>
      </c>
      <c r="AD41" s="2" t="s">
        <v>237</v>
      </c>
      <c r="AE41" s="2" t="s">
        <v>205</v>
      </c>
      <c r="AF41" s="2" t="s">
        <v>205</v>
      </c>
      <c r="AG41" s="2" t="s">
        <v>1009</v>
      </c>
      <c r="AH41" s="2" t="s">
        <v>1010</v>
      </c>
      <c r="AI41" s="240" t="s">
        <v>1024</v>
      </c>
      <c r="AJ41" s="30">
        <v>45610</v>
      </c>
      <c r="AK41" s="30" t="s">
        <v>218</v>
      </c>
      <c r="AL41" s="323"/>
      <c r="AM41" s="320"/>
      <c r="AN41" s="94">
        <v>1023722755</v>
      </c>
      <c r="AO41" s="95" t="s">
        <v>377</v>
      </c>
      <c r="AP41" s="95" t="s">
        <v>16</v>
      </c>
      <c r="AQ41" s="94" t="s">
        <v>209</v>
      </c>
      <c r="AR41" s="97">
        <v>45544</v>
      </c>
      <c r="AS41" s="98">
        <v>45545</v>
      </c>
      <c r="AT41" s="160"/>
      <c r="AU41" s="99" t="s">
        <v>210</v>
      </c>
      <c r="AV41" s="323"/>
    </row>
    <row r="42" spans="1:48" x14ac:dyDescent="0.35">
      <c r="A42" s="317"/>
      <c r="B42" s="1">
        <v>39</v>
      </c>
      <c r="C42" t="s">
        <v>373</v>
      </c>
      <c r="D42" s="1" t="s">
        <v>47</v>
      </c>
      <c r="E42" s="2">
        <v>1035859311</v>
      </c>
      <c r="F42" s="30">
        <v>33524</v>
      </c>
      <c r="G42" s="30">
        <v>45517</v>
      </c>
      <c r="H42" s="30">
        <f>EDATE(Activos[[#This Row],[FECHA INDUCCION ]],12)-1</f>
        <v>45881</v>
      </c>
      <c r="I42" s="2">
        <f ca="1">Activos[[#This Row],[VENCE.INDUCCION]]-TODAY()</f>
        <v>106</v>
      </c>
      <c r="J42" s="30" t="s">
        <v>206</v>
      </c>
      <c r="K42" s="2" t="e">
        <f t="shared" si="3"/>
        <v>#VALUE!</v>
      </c>
      <c r="L42" s="2" t="e">
        <f ca="1">Activos[[#This Row],[VENCE.MANI.ALIM]]-TODAY()</f>
        <v>#VALUE!</v>
      </c>
      <c r="M42" s="30">
        <v>45469</v>
      </c>
      <c r="N42" s="30">
        <f t="shared" si="4"/>
        <v>45833</v>
      </c>
      <c r="O42" s="2">
        <f ca="1">Activos[[#This Row],[VENCIMIENTO.EX.MED]]-TODAY()</f>
        <v>58</v>
      </c>
      <c r="P42" s="2" t="s">
        <v>212</v>
      </c>
      <c r="Q42" s="2" t="s">
        <v>374</v>
      </c>
      <c r="R42" s="105">
        <v>3142779844</v>
      </c>
      <c r="S42" s="2" t="s">
        <v>213</v>
      </c>
      <c r="T42" s="2" t="s">
        <v>256</v>
      </c>
      <c r="U42" s="2" t="s">
        <v>1127</v>
      </c>
      <c r="V42" s="2" t="s">
        <v>200</v>
      </c>
      <c r="W42" s="1" t="s">
        <v>201</v>
      </c>
      <c r="X42" s="1" t="s">
        <v>202</v>
      </c>
      <c r="Y42" s="1">
        <v>38</v>
      </c>
      <c r="Z42" s="1">
        <v>41</v>
      </c>
      <c r="AA42" t="s">
        <v>203</v>
      </c>
      <c r="AB42" s="30">
        <v>45476</v>
      </c>
      <c r="AC42" s="30">
        <v>45476</v>
      </c>
      <c r="AD42" s="2" t="s">
        <v>287</v>
      </c>
      <c r="AE42" s="2" t="s">
        <v>217</v>
      </c>
      <c r="AF42" s="2" t="s">
        <v>375</v>
      </c>
      <c r="AG42" s="2" t="s">
        <v>1009</v>
      </c>
      <c r="AH42" s="2" t="s">
        <v>1010</v>
      </c>
      <c r="AI42" s="240" t="s">
        <v>1036</v>
      </c>
      <c r="AJ42" s="30">
        <v>45475</v>
      </c>
      <c r="AK42" s="30" t="s">
        <v>376</v>
      </c>
      <c r="AL42" s="323"/>
      <c r="AM42" s="320"/>
      <c r="AN42" s="94">
        <v>1035832283</v>
      </c>
      <c r="AO42" s="95" t="s">
        <v>380</v>
      </c>
      <c r="AP42" s="95" t="s">
        <v>220</v>
      </c>
      <c r="AQ42" s="94" t="s">
        <v>209</v>
      </c>
      <c r="AR42" s="97">
        <v>45442</v>
      </c>
      <c r="AS42" s="98">
        <v>45550</v>
      </c>
      <c r="AT42" s="160"/>
      <c r="AU42" s="99" t="s">
        <v>210</v>
      </c>
      <c r="AV42" s="323"/>
    </row>
    <row r="43" spans="1:48" x14ac:dyDescent="0.35">
      <c r="A43" s="317"/>
      <c r="B43" s="1">
        <v>40</v>
      </c>
      <c r="C43" t="s">
        <v>357</v>
      </c>
      <c r="D43" s="1" t="s">
        <v>47</v>
      </c>
      <c r="E43" s="2">
        <v>1035876713</v>
      </c>
      <c r="F43" s="30">
        <v>35500</v>
      </c>
      <c r="G43" s="30">
        <v>45566</v>
      </c>
      <c r="H43" s="30">
        <f>EDATE(Activos[[#This Row],[FECHA INDUCCION ]],12)-1</f>
        <v>45930</v>
      </c>
      <c r="I43" s="2">
        <f ca="1">Activos[[#This Row],[VENCE.INDUCCION]]-TODAY()</f>
        <v>155</v>
      </c>
      <c r="J43" s="30">
        <v>45588</v>
      </c>
      <c r="K43" s="30">
        <f t="shared" si="3"/>
        <v>45952</v>
      </c>
      <c r="L43" s="2">
        <f ca="1">Activos[[#This Row],[VENCE.MANI.ALIM]]-TODAY()</f>
        <v>177</v>
      </c>
      <c r="M43" s="30">
        <v>45559</v>
      </c>
      <c r="N43" s="30">
        <f t="shared" si="4"/>
        <v>45923</v>
      </c>
      <c r="O43" s="2">
        <f ca="1">Activos[[#This Row],[VENCIMIENTO.EX.MED]]-TODAY()</f>
        <v>148</v>
      </c>
      <c r="P43" s="2" t="s">
        <v>212</v>
      </c>
      <c r="Q43" s="2" t="s">
        <v>358</v>
      </c>
      <c r="R43" s="105">
        <v>3147366221</v>
      </c>
      <c r="S43" s="2" t="s">
        <v>213</v>
      </c>
      <c r="T43" s="2" t="s">
        <v>256</v>
      </c>
      <c r="U43" s="2" t="s">
        <v>1127</v>
      </c>
      <c r="V43" s="2" t="s">
        <v>22</v>
      </c>
      <c r="W43" s="1" t="s">
        <v>201</v>
      </c>
      <c r="X43" s="1" t="s">
        <v>214</v>
      </c>
      <c r="Y43" s="1">
        <v>34</v>
      </c>
      <c r="Z43" s="1">
        <v>39</v>
      </c>
      <c r="AA43" t="s">
        <v>203</v>
      </c>
      <c r="AB43" s="30">
        <v>45566</v>
      </c>
      <c r="AC43" s="30">
        <v>45566</v>
      </c>
      <c r="AD43" s="2" t="s">
        <v>287</v>
      </c>
      <c r="AE43" s="2" t="s">
        <v>205</v>
      </c>
      <c r="AF43" s="2" t="s">
        <v>205</v>
      </c>
      <c r="AG43" s="2" t="s">
        <v>1009</v>
      </c>
      <c r="AH43" s="2" t="s">
        <v>1010</v>
      </c>
      <c r="AI43" s="240" t="s">
        <v>1037</v>
      </c>
      <c r="AJ43" s="30">
        <v>45558</v>
      </c>
      <c r="AK43" s="30" t="s">
        <v>242</v>
      </c>
      <c r="AL43" s="323"/>
      <c r="AM43" s="320"/>
      <c r="AN43" s="94">
        <v>5185056</v>
      </c>
      <c r="AO43" s="95" t="s">
        <v>384</v>
      </c>
      <c r="AP43" s="95" t="s">
        <v>220</v>
      </c>
      <c r="AQ43" s="94" t="s">
        <v>209</v>
      </c>
      <c r="AR43" s="97">
        <v>45112</v>
      </c>
      <c r="AS43" s="98">
        <v>45290</v>
      </c>
      <c r="AT43" s="160"/>
      <c r="AU43" s="99"/>
      <c r="AV43" s="323"/>
    </row>
    <row r="44" spans="1:48" x14ac:dyDescent="0.35">
      <c r="A44" s="317"/>
      <c r="B44" s="1">
        <v>41</v>
      </c>
      <c r="C44" t="s">
        <v>381</v>
      </c>
      <c r="D44" s="1" t="s">
        <v>47</v>
      </c>
      <c r="E44" s="2">
        <v>1000660391</v>
      </c>
      <c r="F44" s="30">
        <v>37285</v>
      </c>
      <c r="G44" s="30">
        <v>45686</v>
      </c>
      <c r="H44" s="30">
        <f>EDATE(Activos[[#This Row],[FECHA INDUCCION ]],12)-1</f>
        <v>46050</v>
      </c>
      <c r="I44" s="2">
        <f ca="1">Activos[[#This Row],[VENCE.INDUCCION]]-TODAY()</f>
        <v>275</v>
      </c>
      <c r="J44" s="30" t="s">
        <v>206</v>
      </c>
      <c r="K44" s="2" t="e">
        <f t="shared" si="3"/>
        <v>#VALUE!</v>
      </c>
      <c r="L44" s="2" t="e">
        <f ca="1">Activos[[#This Row],[VENCE.MANI.ALIM]]-TODAY()</f>
        <v>#VALUE!</v>
      </c>
      <c r="M44" s="30">
        <v>45675</v>
      </c>
      <c r="N44" s="30">
        <f t="shared" si="4"/>
        <v>46039</v>
      </c>
      <c r="O44" s="2">
        <f ca="1">Activos[[#This Row],[VENCIMIENTO.EX.MED]]-TODAY()</f>
        <v>264</v>
      </c>
      <c r="P44" s="2" t="s">
        <v>212</v>
      </c>
      <c r="Q44" s="2" t="s">
        <v>382</v>
      </c>
      <c r="R44" s="105">
        <v>3011962659</v>
      </c>
      <c r="S44" s="2" t="s">
        <v>213</v>
      </c>
      <c r="T44" s="2" t="s">
        <v>256</v>
      </c>
      <c r="U44" s="2" t="s">
        <v>1127</v>
      </c>
      <c r="V44" s="2" t="s">
        <v>302</v>
      </c>
      <c r="W44" s="1" t="s">
        <v>20</v>
      </c>
      <c r="X44" s="1" t="s">
        <v>10</v>
      </c>
      <c r="Y44" s="1">
        <v>34</v>
      </c>
      <c r="Z44" s="1">
        <v>40</v>
      </c>
      <c r="AA44" t="s">
        <v>203</v>
      </c>
      <c r="AB44" s="30">
        <v>45509</v>
      </c>
      <c r="AC44" s="30">
        <v>45509</v>
      </c>
      <c r="AD44" s="2" t="s">
        <v>224</v>
      </c>
      <c r="AE44" s="2" t="s">
        <v>205</v>
      </c>
      <c r="AF44" s="2" t="s">
        <v>205</v>
      </c>
      <c r="AG44" s="2" t="s">
        <v>1009</v>
      </c>
      <c r="AH44" s="2" t="s">
        <v>1010</v>
      </c>
      <c r="AI44" s="240" t="s">
        <v>1038</v>
      </c>
      <c r="AJ44" s="30">
        <v>45506</v>
      </c>
      <c r="AK44" s="30" t="s">
        <v>383</v>
      </c>
      <c r="AL44" s="323"/>
      <c r="AM44" s="320"/>
      <c r="AN44" s="94">
        <v>5185056</v>
      </c>
      <c r="AO44" s="95" t="s">
        <v>384</v>
      </c>
      <c r="AP44" s="95" t="s">
        <v>220</v>
      </c>
      <c r="AQ44" s="94" t="s">
        <v>209</v>
      </c>
      <c r="AR44" s="97">
        <v>45292</v>
      </c>
      <c r="AS44" s="98"/>
      <c r="AT44" s="160"/>
      <c r="AU44" s="99" t="s">
        <v>233</v>
      </c>
      <c r="AV44" s="323"/>
    </row>
    <row r="45" spans="1:48" x14ac:dyDescent="0.35">
      <c r="A45" s="317"/>
      <c r="B45" s="1">
        <v>42</v>
      </c>
      <c r="C45" t="s">
        <v>385</v>
      </c>
      <c r="D45" s="1" t="s">
        <v>47</v>
      </c>
      <c r="E45" s="2">
        <v>1214727932</v>
      </c>
      <c r="F45" s="30">
        <v>34723</v>
      </c>
      <c r="G45" s="30">
        <v>45686</v>
      </c>
      <c r="H45" s="30">
        <f>EDATE(Activos[[#This Row],[FECHA INDUCCION ]],12)-1</f>
        <v>46050</v>
      </c>
      <c r="I45" s="2">
        <f ca="1">Activos[[#This Row],[VENCE.INDUCCION]]-TODAY()</f>
        <v>275</v>
      </c>
      <c r="J45" s="30" t="s">
        <v>206</v>
      </c>
      <c r="K45" s="2" t="e">
        <f t="shared" si="3"/>
        <v>#VALUE!</v>
      </c>
      <c r="L45" s="2" t="e">
        <f ca="1">Activos[[#This Row],[VENCE.MANI.ALIM]]-TODAY()</f>
        <v>#VALUE!</v>
      </c>
      <c r="M45" s="30">
        <v>45497</v>
      </c>
      <c r="N45" s="30">
        <f t="shared" si="4"/>
        <v>45861</v>
      </c>
      <c r="O45" s="2">
        <f ca="1">Activos[[#This Row],[VENCIMIENTO.EX.MED]]-TODAY()</f>
        <v>86</v>
      </c>
      <c r="P45" s="2" t="s">
        <v>212</v>
      </c>
      <c r="Q45" s="2" t="s">
        <v>386</v>
      </c>
      <c r="R45" s="105">
        <v>3017386128</v>
      </c>
      <c r="S45" s="2" t="s">
        <v>387</v>
      </c>
      <c r="T45" s="2" t="s">
        <v>388</v>
      </c>
      <c r="U45" s="2" t="s">
        <v>1127</v>
      </c>
      <c r="V45" s="2" t="s">
        <v>389</v>
      </c>
      <c r="W45" s="1" t="s">
        <v>20</v>
      </c>
      <c r="X45" s="1" t="s">
        <v>236</v>
      </c>
      <c r="Y45" s="1" t="s">
        <v>206</v>
      </c>
      <c r="Z45" s="1" t="s">
        <v>206</v>
      </c>
      <c r="AA45" t="s">
        <v>203</v>
      </c>
      <c r="AB45" s="30">
        <v>45642</v>
      </c>
      <c r="AC45" s="30">
        <v>45103</v>
      </c>
      <c r="AD45" s="2" t="s">
        <v>224</v>
      </c>
      <c r="AE45" s="2" t="s">
        <v>205</v>
      </c>
      <c r="AF45" s="2" t="s">
        <v>205</v>
      </c>
      <c r="AG45" s="2" t="s">
        <v>1009</v>
      </c>
      <c r="AH45" s="2" t="s">
        <v>1010</v>
      </c>
      <c r="AI45" s="240" t="s">
        <v>1043</v>
      </c>
      <c r="AJ45" s="30">
        <v>45609</v>
      </c>
      <c r="AK45" s="30" t="s">
        <v>390</v>
      </c>
      <c r="AL45" s="323"/>
      <c r="AM45" s="320"/>
      <c r="AN45" s="94">
        <v>1035421493</v>
      </c>
      <c r="AO45" s="95" t="s">
        <v>394</v>
      </c>
      <c r="AP45" s="95" t="s">
        <v>351</v>
      </c>
      <c r="AQ45" s="94" t="s">
        <v>209</v>
      </c>
      <c r="AR45" s="97">
        <v>45272</v>
      </c>
      <c r="AS45" s="98">
        <v>45277</v>
      </c>
      <c r="AT45" s="160"/>
      <c r="AU45" s="99" t="s">
        <v>210</v>
      </c>
      <c r="AV45" s="323"/>
    </row>
    <row r="46" spans="1:48" x14ac:dyDescent="0.35">
      <c r="A46" s="317"/>
      <c r="B46" s="1">
        <v>43</v>
      </c>
      <c r="C46" t="s">
        <v>391</v>
      </c>
      <c r="D46" s="1" t="s">
        <v>47</v>
      </c>
      <c r="E46" s="2">
        <v>71732024</v>
      </c>
      <c r="F46" s="30">
        <v>26587</v>
      </c>
      <c r="G46" s="30">
        <v>45624</v>
      </c>
      <c r="H46" s="30">
        <f>EDATE(Activos[[#This Row],[FECHA INDUCCION ]],12)-1</f>
        <v>45988</v>
      </c>
      <c r="I46" s="2">
        <f ca="1">Activos[[#This Row],[VENCE.INDUCCION]]-TODAY()</f>
        <v>213</v>
      </c>
      <c r="J46" s="30" t="s">
        <v>206</v>
      </c>
      <c r="K46" s="2" t="e">
        <f t="shared" si="3"/>
        <v>#VALUE!</v>
      </c>
      <c r="L46" s="2" t="e">
        <f ca="1">Activos[[#This Row],[VENCE.MANI.ALIM]]-TODAY()</f>
        <v>#VALUE!</v>
      </c>
      <c r="M46" s="30">
        <v>45646</v>
      </c>
      <c r="N46" s="30">
        <f t="shared" si="4"/>
        <v>46010</v>
      </c>
      <c r="O46" s="2">
        <f ca="1">Activos[[#This Row],[VENCIMIENTO.EX.MED]]-TODAY()</f>
        <v>235</v>
      </c>
      <c r="P46" s="2" t="s">
        <v>212</v>
      </c>
      <c r="Q46" s="2" t="s">
        <v>392</v>
      </c>
      <c r="R46" s="105">
        <v>3046404919</v>
      </c>
      <c r="S46" s="2" t="s">
        <v>199</v>
      </c>
      <c r="T46" s="2" t="s">
        <v>256</v>
      </c>
      <c r="U46" s="2" t="s">
        <v>1127</v>
      </c>
      <c r="V46" s="2" t="s">
        <v>393</v>
      </c>
      <c r="W46" s="1" t="s">
        <v>20</v>
      </c>
      <c r="X46" s="1" t="s">
        <v>10</v>
      </c>
      <c r="Y46" s="1">
        <v>30</v>
      </c>
      <c r="Z46" s="1">
        <v>39</v>
      </c>
      <c r="AA46" t="s">
        <v>203</v>
      </c>
      <c r="AB46" s="30">
        <v>44531</v>
      </c>
      <c r="AC46" s="30">
        <v>44470</v>
      </c>
      <c r="AD46" s="2" t="s">
        <v>204</v>
      </c>
      <c r="AE46" s="2" t="s">
        <v>308</v>
      </c>
      <c r="AF46" s="2" t="s">
        <v>375</v>
      </c>
      <c r="AG46" s="2" t="s">
        <v>1009</v>
      </c>
      <c r="AH46" s="2" t="s">
        <v>1010</v>
      </c>
      <c r="AI46" s="240" t="s">
        <v>1039</v>
      </c>
      <c r="AJ46" s="30">
        <v>45610</v>
      </c>
      <c r="AK46" s="30" t="s">
        <v>376</v>
      </c>
      <c r="AL46" s="323"/>
      <c r="AM46" s="320"/>
      <c r="AN46" s="94">
        <v>1192895365</v>
      </c>
      <c r="AO46" s="95" t="s">
        <v>397</v>
      </c>
      <c r="AP46" s="95" t="s">
        <v>220</v>
      </c>
      <c r="AQ46" s="94" t="s">
        <v>209</v>
      </c>
      <c r="AR46" s="97">
        <v>45307</v>
      </c>
      <c r="AS46" s="98">
        <v>45412</v>
      </c>
      <c r="AT46" s="160"/>
      <c r="AU46" s="99" t="s">
        <v>210</v>
      </c>
      <c r="AV46" s="323"/>
    </row>
    <row r="47" spans="1:48" x14ac:dyDescent="0.35">
      <c r="A47" s="317"/>
      <c r="B47" s="1">
        <v>44</v>
      </c>
      <c r="C47" t="s">
        <v>395</v>
      </c>
      <c r="D47" s="1" t="s">
        <v>47</v>
      </c>
      <c r="E47" s="2">
        <v>1001244690</v>
      </c>
      <c r="F47" s="30">
        <v>37108</v>
      </c>
      <c r="G47" s="30">
        <v>45419</v>
      </c>
      <c r="H47" s="30">
        <f>EDATE(Activos[[#This Row],[FECHA INDUCCION ]],12)-1</f>
        <v>45783</v>
      </c>
      <c r="I47" s="2">
        <f ca="1">Activos[[#This Row],[VENCE.INDUCCION]]-TODAY()</f>
        <v>8</v>
      </c>
      <c r="J47" s="30" t="s">
        <v>206</v>
      </c>
      <c r="K47" s="2" t="e">
        <f t="shared" si="3"/>
        <v>#VALUE!</v>
      </c>
      <c r="L47" s="2" t="e">
        <f ca="1">Activos[[#This Row],[VENCE.MANI.ALIM]]-TODAY()</f>
        <v>#VALUE!</v>
      </c>
      <c r="M47" s="30">
        <v>45505</v>
      </c>
      <c r="N47" s="30">
        <f t="shared" si="4"/>
        <v>45869</v>
      </c>
      <c r="O47" s="2">
        <f ca="1">Activos[[#This Row],[VENCIMIENTO.EX.MED]]-TODAY()</f>
        <v>94</v>
      </c>
      <c r="P47" s="2" t="s">
        <v>212</v>
      </c>
      <c r="Q47" s="2" t="s">
        <v>396</v>
      </c>
      <c r="R47" s="105">
        <v>3504092723</v>
      </c>
      <c r="S47" s="2" t="s">
        <v>213</v>
      </c>
      <c r="T47" s="2" t="s">
        <v>256</v>
      </c>
      <c r="U47" s="2" t="s">
        <v>1127</v>
      </c>
      <c r="V47" s="2" t="s">
        <v>16</v>
      </c>
      <c r="W47" s="1" t="s">
        <v>201</v>
      </c>
      <c r="X47" s="1" t="s">
        <v>236</v>
      </c>
      <c r="Y47" s="1">
        <v>40</v>
      </c>
      <c r="Z47" s="1">
        <v>41</v>
      </c>
      <c r="AA47" t="s">
        <v>203</v>
      </c>
      <c r="AB47" s="30">
        <v>45418</v>
      </c>
      <c r="AC47" s="30">
        <v>45419</v>
      </c>
      <c r="AD47" s="2" t="s">
        <v>224</v>
      </c>
      <c r="AE47" s="2" t="s">
        <v>217</v>
      </c>
      <c r="AF47" s="2" t="s">
        <v>217</v>
      </c>
      <c r="AG47" s="2" t="s">
        <v>1009</v>
      </c>
      <c r="AH47" s="2" t="s">
        <v>1010</v>
      </c>
      <c r="AI47" s="240" t="s">
        <v>1040</v>
      </c>
      <c r="AJ47" s="30">
        <v>45610</v>
      </c>
      <c r="AK47" s="30" t="s">
        <v>16</v>
      </c>
      <c r="AL47" s="323"/>
      <c r="AM47" s="320"/>
      <c r="AN47" s="94">
        <v>6050533</v>
      </c>
      <c r="AO47" s="95" t="s">
        <v>400</v>
      </c>
      <c r="AP47" s="95" t="s">
        <v>220</v>
      </c>
      <c r="AQ47" s="94" t="s">
        <v>209</v>
      </c>
      <c r="AR47" s="97">
        <v>45449</v>
      </c>
      <c r="AS47" s="98">
        <v>45475</v>
      </c>
      <c r="AT47" s="160"/>
      <c r="AU47" s="99" t="s">
        <v>210</v>
      </c>
      <c r="AV47" s="323"/>
    </row>
    <row r="48" spans="1:48" x14ac:dyDescent="0.35">
      <c r="A48" s="317"/>
      <c r="B48" s="1">
        <v>45</v>
      </c>
      <c r="C48" t="s">
        <v>398</v>
      </c>
      <c r="D48" s="1" t="s">
        <v>47</v>
      </c>
      <c r="E48" s="2">
        <v>1090440254</v>
      </c>
      <c r="F48" s="30">
        <v>32921</v>
      </c>
      <c r="G48" s="30">
        <v>45531</v>
      </c>
      <c r="H48" s="30">
        <f>EDATE(Activos[[#This Row],[FECHA INDUCCION ]],12)-1</f>
        <v>45895</v>
      </c>
      <c r="I48" s="2">
        <f ca="1">Activos[[#This Row],[VENCE.INDUCCION]]-TODAY()</f>
        <v>120</v>
      </c>
      <c r="J48" s="30">
        <v>45679</v>
      </c>
      <c r="K48" s="30">
        <f t="shared" si="3"/>
        <v>46043</v>
      </c>
      <c r="L48" s="2">
        <f ca="1">Activos[[#This Row],[VENCE.MANI.ALIM]]-TODAY()</f>
        <v>268</v>
      </c>
      <c r="M48" s="30">
        <v>45525</v>
      </c>
      <c r="N48" s="30">
        <f t="shared" si="4"/>
        <v>45889</v>
      </c>
      <c r="O48" s="2">
        <f ca="1">Activos[[#This Row],[VENCIMIENTO.EX.MED]]-TODAY()</f>
        <v>114</v>
      </c>
      <c r="P48" s="2" t="s">
        <v>212</v>
      </c>
      <c r="Q48" s="2" t="s">
        <v>399</v>
      </c>
      <c r="R48" s="105">
        <v>3043500751</v>
      </c>
      <c r="S48" s="2" t="s">
        <v>213</v>
      </c>
      <c r="T48" s="2" t="s">
        <v>256</v>
      </c>
      <c r="U48" s="2" t="s">
        <v>1127</v>
      </c>
      <c r="V48" s="2" t="s">
        <v>22</v>
      </c>
      <c r="W48" s="1" t="s">
        <v>201</v>
      </c>
      <c r="X48" s="1" t="s">
        <v>10</v>
      </c>
      <c r="Y48" s="1">
        <v>32</v>
      </c>
      <c r="Z48" s="1">
        <v>40</v>
      </c>
      <c r="AA48" t="s">
        <v>203</v>
      </c>
      <c r="AB48" s="30">
        <v>45531</v>
      </c>
      <c r="AC48" s="30">
        <v>45531</v>
      </c>
      <c r="AD48" s="2" t="s">
        <v>237</v>
      </c>
      <c r="AE48" s="2" t="s">
        <v>205</v>
      </c>
      <c r="AF48" s="2" t="s">
        <v>205</v>
      </c>
      <c r="AG48" s="2" t="s">
        <v>1009</v>
      </c>
      <c r="AH48" s="2" t="s">
        <v>1010</v>
      </c>
      <c r="AI48" s="240" t="s">
        <v>1018</v>
      </c>
      <c r="AJ48" s="30">
        <v>45524</v>
      </c>
      <c r="AK48" s="30" t="s">
        <v>242</v>
      </c>
      <c r="AL48" s="323"/>
      <c r="AM48" s="320"/>
      <c r="AN48" s="94">
        <v>1035222082</v>
      </c>
      <c r="AO48" s="95" t="s">
        <v>403</v>
      </c>
      <c r="AP48" s="95" t="s">
        <v>220</v>
      </c>
      <c r="AQ48" s="94" t="s">
        <v>209</v>
      </c>
      <c r="AR48" s="97">
        <v>45209</v>
      </c>
      <c r="AS48" s="98">
        <v>45275</v>
      </c>
      <c r="AT48" s="160"/>
      <c r="AU48" s="99" t="s">
        <v>210</v>
      </c>
      <c r="AV48" s="323"/>
    </row>
    <row r="49" spans="1:48" x14ac:dyDescent="0.35">
      <c r="A49" s="317"/>
      <c r="B49" s="1">
        <v>46</v>
      </c>
      <c r="C49" t="s">
        <v>401</v>
      </c>
      <c r="D49" s="1" t="s">
        <v>47</v>
      </c>
      <c r="E49" s="2">
        <v>1046668857</v>
      </c>
      <c r="F49" s="30">
        <v>34926</v>
      </c>
      <c r="G49" s="30">
        <v>45638</v>
      </c>
      <c r="H49" s="30">
        <f>EDATE(Activos[[#This Row],[FECHA INDUCCION ]],12)-1</f>
        <v>46002</v>
      </c>
      <c r="I49" s="2">
        <f ca="1">Activos[[#This Row],[VENCE.INDUCCION]]-TODAY()</f>
        <v>227</v>
      </c>
      <c r="J49" s="30" t="s">
        <v>206</v>
      </c>
      <c r="K49" s="2" t="e">
        <f t="shared" si="3"/>
        <v>#VALUE!</v>
      </c>
      <c r="L49" s="2" t="e">
        <f ca="1">Activos[[#This Row],[VENCE.MANI.ALIM]]-TODAY()</f>
        <v>#VALUE!</v>
      </c>
      <c r="M49" s="30">
        <v>45505</v>
      </c>
      <c r="N49" s="30">
        <f t="shared" si="4"/>
        <v>45869</v>
      </c>
      <c r="O49" s="2">
        <f ca="1">Activos[[#This Row],[VENCIMIENTO.EX.MED]]-TODAY()</f>
        <v>94</v>
      </c>
      <c r="P49" s="2" t="s">
        <v>212</v>
      </c>
      <c r="Q49" s="2" t="s">
        <v>402</v>
      </c>
      <c r="R49" s="105">
        <v>3008589412</v>
      </c>
      <c r="S49" s="2" t="s">
        <v>213</v>
      </c>
      <c r="T49" s="2" t="s">
        <v>256</v>
      </c>
      <c r="U49" s="2" t="s">
        <v>1127</v>
      </c>
      <c r="V49" s="2" t="s">
        <v>16</v>
      </c>
      <c r="W49" s="1" t="s">
        <v>201</v>
      </c>
      <c r="X49" s="1" t="s">
        <v>214</v>
      </c>
      <c r="Y49" s="1">
        <v>32</v>
      </c>
      <c r="Z49" s="1">
        <v>39</v>
      </c>
      <c r="AA49" t="s">
        <v>203</v>
      </c>
      <c r="AB49" s="30">
        <v>44958</v>
      </c>
      <c r="AC49" s="30">
        <v>44958</v>
      </c>
      <c r="AD49" s="2" t="s">
        <v>204</v>
      </c>
      <c r="AE49" s="2" t="s">
        <v>217</v>
      </c>
      <c r="AF49" s="2" t="s">
        <v>217</v>
      </c>
      <c r="AG49" s="2" t="s">
        <v>1009</v>
      </c>
      <c r="AH49" s="2" t="s">
        <v>1010</v>
      </c>
      <c r="AI49" s="240" t="s">
        <v>1042</v>
      </c>
      <c r="AJ49" s="30">
        <v>45609</v>
      </c>
      <c r="AK49" s="30" t="s">
        <v>16</v>
      </c>
      <c r="AL49" s="323"/>
      <c r="AM49" s="320"/>
      <c r="AN49" s="94">
        <v>71268298</v>
      </c>
      <c r="AO49" s="95" t="s">
        <v>406</v>
      </c>
      <c r="AP49" s="95" t="s">
        <v>220</v>
      </c>
      <c r="AQ49" s="94" t="s">
        <v>209</v>
      </c>
      <c r="AR49" s="97">
        <v>45293</v>
      </c>
      <c r="AS49" s="98">
        <v>45311</v>
      </c>
      <c r="AT49" s="160"/>
      <c r="AU49" s="99" t="s">
        <v>210</v>
      </c>
      <c r="AV49" s="323"/>
    </row>
    <row r="50" spans="1:48" x14ac:dyDescent="0.35">
      <c r="A50" s="317"/>
      <c r="B50" s="1">
        <v>47</v>
      </c>
      <c r="C50" t="s">
        <v>404</v>
      </c>
      <c r="D50" s="1" t="s">
        <v>47</v>
      </c>
      <c r="E50" s="2">
        <v>1071429404</v>
      </c>
      <c r="F50" s="30">
        <v>38305</v>
      </c>
      <c r="G50" s="30">
        <v>45673</v>
      </c>
      <c r="H50" s="30">
        <f>EDATE(Activos[[#This Row],[FECHA INDUCCION ]],12)-1</f>
        <v>46037</v>
      </c>
      <c r="I50" s="2">
        <f ca="1">Activos[[#This Row],[VENCE.INDUCCION]]-TODAY()</f>
        <v>262</v>
      </c>
      <c r="J50" s="30">
        <v>45741</v>
      </c>
      <c r="K50" s="30">
        <f t="shared" si="3"/>
        <v>46105</v>
      </c>
      <c r="L50" s="2">
        <f ca="1">Activos[[#This Row],[VENCE.MANI.ALIM]]-TODAY()</f>
        <v>330</v>
      </c>
      <c r="M50" s="30">
        <v>45665</v>
      </c>
      <c r="N50" s="30">
        <f t="shared" si="4"/>
        <v>46029</v>
      </c>
      <c r="O50" s="2">
        <f ca="1">Activos[[#This Row],[VENCIMIENTO.EX.MED]]-TODAY()</f>
        <v>254</v>
      </c>
      <c r="P50" s="2" t="s">
        <v>212</v>
      </c>
      <c r="Q50" s="2" t="s">
        <v>405</v>
      </c>
      <c r="R50" s="105">
        <v>3012512450</v>
      </c>
      <c r="S50" s="2" t="s">
        <v>213</v>
      </c>
      <c r="T50" s="2" t="s">
        <v>256</v>
      </c>
      <c r="U50" s="2" t="s">
        <v>1127</v>
      </c>
      <c r="V50" s="2" t="s">
        <v>22</v>
      </c>
      <c r="W50" s="1" t="s">
        <v>201</v>
      </c>
      <c r="X50" s="1" t="s">
        <v>10</v>
      </c>
      <c r="Y50" s="1">
        <v>34</v>
      </c>
      <c r="Z50" s="1">
        <v>40</v>
      </c>
      <c r="AA50" t="s">
        <v>203</v>
      </c>
      <c r="AB50" s="30">
        <v>45673</v>
      </c>
      <c r="AC50" s="30">
        <v>45673</v>
      </c>
      <c r="AD50" s="2" t="s">
        <v>204</v>
      </c>
      <c r="AE50" s="2" t="s">
        <v>217</v>
      </c>
      <c r="AF50" s="2" t="s">
        <v>217</v>
      </c>
      <c r="AG50" s="2" t="s">
        <v>1009</v>
      </c>
      <c r="AH50" s="2" t="s">
        <v>1010</v>
      </c>
      <c r="AI50" s="240">
        <v>39976834741</v>
      </c>
      <c r="AJ50" s="30">
        <v>45673</v>
      </c>
      <c r="AK50" s="30" t="s">
        <v>242</v>
      </c>
      <c r="AL50" s="323"/>
      <c r="AM50" s="320"/>
      <c r="AN50" s="94">
        <v>1038626075</v>
      </c>
      <c r="AO50" s="95" t="s">
        <v>410</v>
      </c>
      <c r="AP50" s="95" t="s">
        <v>331</v>
      </c>
      <c r="AQ50" s="94" t="s">
        <v>290</v>
      </c>
      <c r="AR50" s="97">
        <v>45097</v>
      </c>
      <c r="AS50" s="98">
        <v>45192</v>
      </c>
      <c r="AT50" s="160"/>
      <c r="AU50" s="99" t="s">
        <v>210</v>
      </c>
      <c r="AV50" s="323"/>
    </row>
    <row r="51" spans="1:48" x14ac:dyDescent="0.35">
      <c r="A51" s="317"/>
      <c r="B51" s="1">
        <v>48</v>
      </c>
      <c r="C51" t="s">
        <v>407</v>
      </c>
      <c r="D51" s="1" t="s">
        <v>47</v>
      </c>
      <c r="E51" s="2">
        <v>70328070</v>
      </c>
      <c r="F51" s="30">
        <v>29195</v>
      </c>
      <c r="G51" s="30">
        <v>45607</v>
      </c>
      <c r="H51" s="30">
        <f>EDATE(Activos[[#This Row],[FECHA INDUCCION ]],12)-1</f>
        <v>45971</v>
      </c>
      <c r="I51" s="2">
        <f ca="1">Activos[[#This Row],[VENCE.INDUCCION]]-TODAY()</f>
        <v>196</v>
      </c>
      <c r="J51" s="30" t="s">
        <v>206</v>
      </c>
      <c r="K51" s="2" t="e">
        <f t="shared" si="3"/>
        <v>#VALUE!</v>
      </c>
      <c r="L51" s="2" t="e">
        <f ca="1">Activos[[#This Row],[VENCE.MANI.ALIM]]-TODAY()</f>
        <v>#VALUE!</v>
      </c>
      <c r="M51" s="30">
        <v>45505</v>
      </c>
      <c r="N51" s="30">
        <f t="shared" si="4"/>
        <v>45869</v>
      </c>
      <c r="O51" s="2">
        <f ca="1">Activos[[#This Row],[VENCIMIENTO.EX.MED]]-TODAY()</f>
        <v>94</v>
      </c>
      <c r="P51" s="2" t="s">
        <v>212</v>
      </c>
      <c r="Q51" s="2" t="s">
        <v>408</v>
      </c>
      <c r="R51" s="105">
        <v>3202786611</v>
      </c>
      <c r="S51" s="2" t="s">
        <v>213</v>
      </c>
      <c r="T51" s="2" t="s">
        <v>256</v>
      </c>
      <c r="U51" s="2" t="s">
        <v>1127</v>
      </c>
      <c r="V51" s="2" t="s">
        <v>409</v>
      </c>
      <c r="W51" s="1" t="s">
        <v>201</v>
      </c>
      <c r="X51" s="1" t="s">
        <v>236</v>
      </c>
      <c r="Y51" s="1">
        <v>36</v>
      </c>
      <c r="Z51" s="1">
        <v>41</v>
      </c>
      <c r="AA51" t="s">
        <v>203</v>
      </c>
      <c r="AB51" s="30">
        <v>0</v>
      </c>
      <c r="AC51" s="30">
        <v>44865</v>
      </c>
      <c r="AD51" s="2" t="s">
        <v>224</v>
      </c>
      <c r="AE51" s="2" t="s">
        <v>205</v>
      </c>
      <c r="AF51" s="2" t="s">
        <v>205</v>
      </c>
      <c r="AG51" s="2" t="s">
        <v>1009</v>
      </c>
      <c r="AH51" s="2" t="s">
        <v>1010</v>
      </c>
      <c r="AI51" s="240" t="s">
        <v>1044</v>
      </c>
      <c r="AJ51" s="30">
        <v>45610</v>
      </c>
      <c r="AK51" s="30" t="s">
        <v>16</v>
      </c>
      <c r="AL51" s="323"/>
      <c r="AM51" s="320"/>
      <c r="AN51" s="94">
        <v>1040327985</v>
      </c>
      <c r="AO51" s="95" t="s">
        <v>413</v>
      </c>
      <c r="AP51" s="95" t="s">
        <v>16</v>
      </c>
      <c r="AQ51" s="94" t="s">
        <v>209</v>
      </c>
      <c r="AR51" s="97">
        <v>44887</v>
      </c>
      <c r="AS51" s="98">
        <v>44945</v>
      </c>
      <c r="AT51" s="160"/>
      <c r="AU51" s="99" t="s">
        <v>210</v>
      </c>
      <c r="AV51" s="323"/>
    </row>
    <row r="52" spans="1:48" x14ac:dyDescent="0.35">
      <c r="A52" s="317"/>
      <c r="B52" s="1">
        <v>49</v>
      </c>
      <c r="C52" t="s">
        <v>411</v>
      </c>
      <c r="D52" s="1" t="s">
        <v>47</v>
      </c>
      <c r="E52" s="2">
        <v>1005746027</v>
      </c>
      <c r="F52" s="30">
        <v>37555</v>
      </c>
      <c r="G52" s="30">
        <v>45531</v>
      </c>
      <c r="H52" s="30">
        <f>EDATE(Activos[[#This Row],[FECHA INDUCCION ]],12)-1</f>
        <v>45895</v>
      </c>
      <c r="I52" s="2">
        <f ca="1">Activos[[#This Row],[VENCE.INDUCCION]]-TODAY()</f>
        <v>120</v>
      </c>
      <c r="J52" s="30" t="s">
        <v>206</v>
      </c>
      <c r="K52" s="2" t="e">
        <f t="shared" si="3"/>
        <v>#VALUE!</v>
      </c>
      <c r="L52" s="2" t="e">
        <f ca="1">Activos[[#This Row],[VENCE.MANI.ALIM]]-TODAY()</f>
        <v>#VALUE!</v>
      </c>
      <c r="M52" s="30">
        <v>45525</v>
      </c>
      <c r="N52" s="30">
        <f t="shared" si="4"/>
        <v>45889</v>
      </c>
      <c r="O52" s="2">
        <f ca="1">Activos[[#This Row],[VENCIMIENTO.EX.MED]]-TODAY()</f>
        <v>114</v>
      </c>
      <c r="P52" s="2" t="s">
        <v>212</v>
      </c>
      <c r="Q52" s="2" t="s">
        <v>412</v>
      </c>
      <c r="R52" s="105">
        <v>3115084767</v>
      </c>
      <c r="S52" s="2" t="s">
        <v>213</v>
      </c>
      <c r="T52" s="2" t="s">
        <v>256</v>
      </c>
      <c r="U52" s="2" t="s">
        <v>1127</v>
      </c>
      <c r="V52" s="2" t="s">
        <v>22</v>
      </c>
      <c r="W52" s="1" t="s">
        <v>201</v>
      </c>
      <c r="X52" s="1" t="s">
        <v>214</v>
      </c>
      <c r="Y52" s="1">
        <v>34</v>
      </c>
      <c r="Z52" s="1">
        <v>40</v>
      </c>
      <c r="AA52" t="s">
        <v>203</v>
      </c>
      <c r="AB52" s="30">
        <v>45531</v>
      </c>
      <c r="AC52" s="30">
        <v>45531</v>
      </c>
      <c r="AD52" s="2" t="s">
        <v>204</v>
      </c>
      <c r="AE52" s="2" t="s">
        <v>205</v>
      </c>
      <c r="AF52" s="2" t="s">
        <v>205</v>
      </c>
      <c r="AG52" s="2" t="s">
        <v>1009</v>
      </c>
      <c r="AH52" s="2" t="s">
        <v>1010</v>
      </c>
      <c r="AI52" s="240" t="s">
        <v>1045</v>
      </c>
      <c r="AJ52" s="30">
        <v>45524</v>
      </c>
      <c r="AK52" s="30" t="s">
        <v>229</v>
      </c>
      <c r="AL52" s="323"/>
      <c r="AM52" s="320"/>
      <c r="AN52" s="94">
        <v>70327177</v>
      </c>
      <c r="AO52" s="95" t="s">
        <v>416</v>
      </c>
      <c r="AP52" s="95" t="s">
        <v>200</v>
      </c>
      <c r="AQ52" s="94" t="s">
        <v>209</v>
      </c>
      <c r="AR52" s="97">
        <v>45062</v>
      </c>
      <c r="AS52" s="98">
        <v>45198</v>
      </c>
      <c r="AT52" s="160"/>
      <c r="AU52" s="99" t="s">
        <v>210</v>
      </c>
      <c r="AV52" s="323"/>
    </row>
    <row r="53" spans="1:48" x14ac:dyDescent="0.35">
      <c r="A53" s="317"/>
      <c r="B53" s="1">
        <v>50</v>
      </c>
      <c r="C53" t="s">
        <v>414</v>
      </c>
      <c r="D53" s="1" t="s">
        <v>47</v>
      </c>
      <c r="E53" s="2">
        <v>1041630200</v>
      </c>
      <c r="F53" s="30">
        <v>38045</v>
      </c>
      <c r="G53" s="30">
        <v>45443</v>
      </c>
      <c r="H53" s="30">
        <f>EDATE(Activos[[#This Row],[FECHA INDUCCION ]],12)-1</f>
        <v>45807</v>
      </c>
      <c r="I53" s="2">
        <f ca="1">Activos[[#This Row],[VENCE.INDUCCION]]-TODAY()</f>
        <v>32</v>
      </c>
      <c r="J53" s="30">
        <v>45484</v>
      </c>
      <c r="K53" s="30">
        <f t="shared" si="3"/>
        <v>45848</v>
      </c>
      <c r="L53" s="2">
        <f ca="1">Activos[[#This Row],[VENCE.MANI.ALIM]]-TODAY()</f>
        <v>73</v>
      </c>
      <c r="M53" s="30">
        <v>45442</v>
      </c>
      <c r="N53" s="30">
        <f t="shared" si="4"/>
        <v>45806</v>
      </c>
      <c r="O53" s="2">
        <f ca="1">Activos[[#This Row],[VENCIMIENTO.EX.MED]]-TODAY()</f>
        <v>31</v>
      </c>
      <c r="P53" s="2" t="s">
        <v>212</v>
      </c>
      <c r="Q53" s="2" t="s">
        <v>415</v>
      </c>
      <c r="R53" s="105">
        <v>3128118225</v>
      </c>
      <c r="S53" s="2" t="s">
        <v>213</v>
      </c>
      <c r="T53" s="2" t="s">
        <v>256</v>
      </c>
      <c r="U53" s="2" t="s">
        <v>1127</v>
      </c>
      <c r="V53" s="2" t="s">
        <v>22</v>
      </c>
      <c r="W53" s="1" t="s">
        <v>201</v>
      </c>
      <c r="X53" s="1" t="s">
        <v>214</v>
      </c>
      <c r="Y53" s="1">
        <v>30</v>
      </c>
      <c r="Z53" s="1">
        <v>39</v>
      </c>
      <c r="AA53" t="s">
        <v>203</v>
      </c>
      <c r="AB53" s="30">
        <v>45443</v>
      </c>
      <c r="AC53" s="30">
        <v>45443</v>
      </c>
      <c r="AD53" s="2" t="s">
        <v>237</v>
      </c>
      <c r="AE53" s="2" t="s">
        <v>205</v>
      </c>
      <c r="AF53" s="2" t="s">
        <v>205</v>
      </c>
      <c r="AG53" s="2" t="s">
        <v>1009</v>
      </c>
      <c r="AH53" s="2" t="s">
        <v>1010</v>
      </c>
      <c r="AI53" s="240" t="s">
        <v>1023</v>
      </c>
      <c r="AJ53" s="30">
        <v>45610</v>
      </c>
      <c r="AK53" s="30" t="s">
        <v>218</v>
      </c>
      <c r="AL53" s="323"/>
      <c r="AM53" s="320"/>
      <c r="AN53" s="94">
        <v>1035438408</v>
      </c>
      <c r="AO53" s="95" t="s">
        <v>421</v>
      </c>
      <c r="AP53" s="95" t="s">
        <v>422</v>
      </c>
      <c r="AQ53" s="94" t="s">
        <v>209</v>
      </c>
      <c r="AR53" s="97">
        <v>45357</v>
      </c>
      <c r="AS53" s="98">
        <v>45368</v>
      </c>
      <c r="AT53" s="160"/>
      <c r="AU53" s="99" t="s">
        <v>210</v>
      </c>
      <c r="AV53" s="323"/>
    </row>
    <row r="54" spans="1:48" x14ac:dyDescent="0.35">
      <c r="A54" s="317"/>
      <c r="B54" s="1">
        <v>51</v>
      </c>
      <c r="C54" t="s">
        <v>417</v>
      </c>
      <c r="D54" s="1" t="s">
        <v>47</v>
      </c>
      <c r="E54" s="2">
        <v>42694494</v>
      </c>
      <c r="F54" s="30">
        <v>31269</v>
      </c>
      <c r="G54" s="30">
        <v>45712</v>
      </c>
      <c r="H54" s="30">
        <f>EDATE(Activos[[#This Row],[FECHA INDUCCION ]],12)-1</f>
        <v>46076</v>
      </c>
      <c r="I54" s="2">
        <f ca="1">Activos[[#This Row],[VENCE.INDUCCION]]-TODAY()</f>
        <v>301</v>
      </c>
      <c r="J54" s="30" t="s">
        <v>206</v>
      </c>
      <c r="K54" s="2" t="e">
        <f t="shared" si="3"/>
        <v>#VALUE!</v>
      </c>
      <c r="L54" s="2" t="e">
        <f ca="1">Activos[[#This Row],[VENCE.MANI.ALIM]]-TODAY()</f>
        <v>#VALUE!</v>
      </c>
      <c r="M54" s="30">
        <v>45709</v>
      </c>
      <c r="N54" s="30">
        <f t="shared" si="4"/>
        <v>46073</v>
      </c>
      <c r="O54" s="2">
        <f ca="1">Activos[[#This Row],[VENCIMIENTO.EX.MED]]-TODAY()</f>
        <v>298</v>
      </c>
      <c r="P54" s="2" t="s">
        <v>267</v>
      </c>
      <c r="Q54" s="2" t="s">
        <v>418</v>
      </c>
      <c r="R54" s="170">
        <v>3206399953</v>
      </c>
      <c r="S54" s="2" t="s">
        <v>387</v>
      </c>
      <c r="T54" s="2" t="s">
        <v>419</v>
      </c>
      <c r="U54" s="2" t="s">
        <v>1127</v>
      </c>
      <c r="V54" s="2" t="s">
        <v>302</v>
      </c>
      <c r="W54" s="1" t="s">
        <v>20</v>
      </c>
      <c r="X54" s="1">
        <v>10</v>
      </c>
      <c r="Y54" s="1">
        <v>10</v>
      </c>
      <c r="Z54" s="1">
        <v>38</v>
      </c>
      <c r="AA54" s="104" t="s">
        <v>215</v>
      </c>
      <c r="AB54" s="30">
        <v>45712</v>
      </c>
      <c r="AC54" s="188">
        <v>45712</v>
      </c>
      <c r="AD54" s="2" t="s">
        <v>420</v>
      </c>
      <c r="AE54" s="2" t="s">
        <v>217</v>
      </c>
      <c r="AF54" s="2" t="s">
        <v>217</v>
      </c>
      <c r="AG54" s="2" t="s">
        <v>1009</v>
      </c>
      <c r="AH54" s="2" t="s">
        <v>1010</v>
      </c>
      <c r="AI54" s="240" t="s">
        <v>1047</v>
      </c>
      <c r="AJ54" s="30">
        <v>45707</v>
      </c>
      <c r="AK54" s="30" t="s">
        <v>229</v>
      </c>
      <c r="AL54" s="323"/>
      <c r="AM54" s="320"/>
      <c r="AN54" s="94">
        <v>1035431374</v>
      </c>
      <c r="AO54" s="95" t="s">
        <v>428</v>
      </c>
      <c r="AP54" s="95" t="s">
        <v>351</v>
      </c>
      <c r="AQ54" s="94" t="s">
        <v>209</v>
      </c>
      <c r="AR54" s="97">
        <v>44917</v>
      </c>
      <c r="AS54" s="98">
        <v>45290</v>
      </c>
      <c r="AT54" s="160"/>
      <c r="AU54" s="99"/>
      <c r="AV54" s="323"/>
    </row>
    <row r="55" spans="1:48" x14ac:dyDescent="0.35">
      <c r="A55" s="317"/>
      <c r="B55" s="1">
        <v>52</v>
      </c>
      <c r="C55" t="s">
        <v>423</v>
      </c>
      <c r="D55" s="1" t="s">
        <v>47</v>
      </c>
      <c r="E55" s="2">
        <v>1035876718</v>
      </c>
      <c r="F55" s="30">
        <v>35689</v>
      </c>
      <c r="G55" s="30">
        <v>45705</v>
      </c>
      <c r="H55" s="30">
        <f>EDATE(Activos[[#This Row],[FECHA INDUCCION ]],12)-1</f>
        <v>46069</v>
      </c>
      <c r="I55" s="2">
        <f ca="1">Activos[[#This Row],[VENCE.INDUCCION]]-TODAY()</f>
        <v>294</v>
      </c>
      <c r="J55" s="30">
        <v>45741</v>
      </c>
      <c r="K55" s="30">
        <f t="shared" si="3"/>
        <v>46105</v>
      </c>
      <c r="L55" s="2">
        <f ca="1">Activos[[#This Row],[VENCE.MANI.ALIM]]-TODAY()</f>
        <v>330</v>
      </c>
      <c r="M55" s="30">
        <v>45695</v>
      </c>
      <c r="N55" s="30">
        <f t="shared" si="4"/>
        <v>46059</v>
      </c>
      <c r="O55" s="2">
        <f ca="1">Activos[[#This Row],[VENCIMIENTO.EX.MED]]-TODAY()</f>
        <v>284</v>
      </c>
      <c r="P55" s="2" t="s">
        <v>267</v>
      </c>
      <c r="Q55" s="2" t="s">
        <v>424</v>
      </c>
      <c r="R55" s="105">
        <v>3152076059</v>
      </c>
      <c r="S55" s="2" t="s">
        <v>387</v>
      </c>
      <c r="T55" s="2" t="s">
        <v>425</v>
      </c>
      <c r="U55" s="2" t="s">
        <v>1127</v>
      </c>
      <c r="V55" s="2" t="s">
        <v>426</v>
      </c>
      <c r="W55" s="1" t="s">
        <v>20</v>
      </c>
      <c r="X55" s="1">
        <v>8</v>
      </c>
      <c r="Y55" s="1">
        <v>12</v>
      </c>
      <c r="Z55" s="1">
        <v>38</v>
      </c>
      <c r="AA55" s="104" t="s">
        <v>215</v>
      </c>
      <c r="AB55" s="30">
        <v>45705</v>
      </c>
      <c r="AC55" s="30">
        <v>45705</v>
      </c>
      <c r="AD55" s="2" t="s">
        <v>224</v>
      </c>
      <c r="AE55" s="2" t="s">
        <v>217</v>
      </c>
      <c r="AF55" s="2" t="s">
        <v>217</v>
      </c>
      <c r="AG55" s="2" t="s">
        <v>1009</v>
      </c>
      <c r="AH55" s="2" t="s">
        <v>1010</v>
      </c>
      <c r="AI55" s="240">
        <v>39979894451</v>
      </c>
      <c r="AJ55" s="30">
        <v>45693</v>
      </c>
      <c r="AK55" s="30" t="s">
        <v>427</v>
      </c>
      <c r="AL55" s="323"/>
      <c r="AM55" s="320"/>
      <c r="AN55" s="94">
        <v>1035431374</v>
      </c>
      <c r="AO55" s="95" t="s">
        <v>428</v>
      </c>
      <c r="AP55" s="95" t="s">
        <v>351</v>
      </c>
      <c r="AQ55" s="94" t="s">
        <v>209</v>
      </c>
      <c r="AR55" s="97"/>
      <c r="AS55" s="98"/>
      <c r="AT55" s="160"/>
      <c r="AU55" s="99"/>
      <c r="AV55" s="323"/>
    </row>
    <row r="56" spans="1:48" x14ac:dyDescent="0.35">
      <c r="A56" s="317"/>
      <c r="B56" s="1">
        <v>53</v>
      </c>
      <c r="C56" t="s">
        <v>429</v>
      </c>
      <c r="D56" s="1" t="s">
        <v>47</v>
      </c>
      <c r="E56" s="2">
        <v>1000770870</v>
      </c>
      <c r="F56" s="30">
        <v>35733</v>
      </c>
      <c r="G56" s="30">
        <v>45686</v>
      </c>
      <c r="H56" s="30">
        <f>EDATE(Activos[[#This Row],[FECHA INDUCCION ]],12)-1</f>
        <v>46050</v>
      </c>
      <c r="I56" s="2">
        <f ca="1">Activos[[#This Row],[VENCE.INDUCCION]]-TODAY()</f>
        <v>275</v>
      </c>
      <c r="J56" s="30" t="s">
        <v>206</v>
      </c>
      <c r="K56" s="2" t="e">
        <f t="shared" si="3"/>
        <v>#VALUE!</v>
      </c>
      <c r="L56" s="2" t="e">
        <f ca="1">Activos[[#This Row],[VENCE.MANI.ALIM]]-TODAY()</f>
        <v>#VALUE!</v>
      </c>
      <c r="M56" s="30">
        <v>45594</v>
      </c>
      <c r="N56" s="30">
        <f t="shared" si="4"/>
        <v>45958</v>
      </c>
      <c r="O56" s="2">
        <f ca="1">Activos[[#This Row],[VENCIMIENTO.EX.MED]]-TODAY()</f>
        <v>183</v>
      </c>
      <c r="P56" s="2" t="s">
        <v>267</v>
      </c>
      <c r="Q56" s="2" t="s">
        <v>430</v>
      </c>
      <c r="R56" s="105">
        <v>3217827388</v>
      </c>
      <c r="S56" s="2" t="s">
        <v>213</v>
      </c>
      <c r="T56" s="2" t="s">
        <v>256</v>
      </c>
      <c r="U56" s="2" t="s">
        <v>1127</v>
      </c>
      <c r="V56" s="2" t="s">
        <v>431</v>
      </c>
      <c r="W56" s="1" t="s">
        <v>20</v>
      </c>
      <c r="X56" s="1" t="s">
        <v>250</v>
      </c>
      <c r="Y56" s="1">
        <v>8</v>
      </c>
      <c r="Z56" s="1">
        <v>39</v>
      </c>
      <c r="AA56" t="s">
        <v>203</v>
      </c>
      <c r="AB56" s="30">
        <v>44545</v>
      </c>
      <c r="AC56" s="30">
        <v>44203</v>
      </c>
      <c r="AD56" s="2" t="s">
        <v>224</v>
      </c>
      <c r="AE56" s="2" t="s">
        <v>217</v>
      </c>
      <c r="AF56" s="2" t="s">
        <v>217</v>
      </c>
      <c r="AG56" s="2" t="s">
        <v>1009</v>
      </c>
      <c r="AH56" s="2" t="s">
        <v>1010</v>
      </c>
      <c r="AI56" s="240">
        <v>26886252578</v>
      </c>
      <c r="AJ56" s="30">
        <v>45610</v>
      </c>
      <c r="AK56" s="30" t="s">
        <v>432</v>
      </c>
      <c r="AL56" s="323"/>
      <c r="AM56" s="320"/>
      <c r="AN56" s="94">
        <v>1035431374</v>
      </c>
      <c r="AO56" s="95" t="s">
        <v>428</v>
      </c>
      <c r="AP56" s="95" t="s">
        <v>351</v>
      </c>
      <c r="AQ56" s="94" t="s">
        <v>209</v>
      </c>
      <c r="AR56" s="97">
        <v>45658</v>
      </c>
      <c r="AS56" s="98"/>
      <c r="AT56" s="160"/>
      <c r="AU56" s="99" t="s">
        <v>233</v>
      </c>
      <c r="AV56" s="323"/>
    </row>
    <row r="57" spans="1:48" x14ac:dyDescent="0.35">
      <c r="A57" s="317"/>
      <c r="B57" s="1">
        <v>54</v>
      </c>
      <c r="C57" t="s">
        <v>433</v>
      </c>
      <c r="D57" s="1" t="s">
        <v>47</v>
      </c>
      <c r="E57" s="2">
        <v>43636269</v>
      </c>
      <c r="F57" s="30">
        <v>28441</v>
      </c>
      <c r="G57" s="30">
        <v>45726</v>
      </c>
      <c r="H57" s="30">
        <f>EDATE(Activos[[#This Row],[FECHA INDUCCION ]],12)-1</f>
        <v>46090</v>
      </c>
      <c r="I57" s="2">
        <f ca="1">Activos[[#This Row],[VENCE.INDUCCION]]-TODAY()</f>
        <v>315</v>
      </c>
      <c r="J57" s="30" t="s">
        <v>206</v>
      </c>
      <c r="K57" s="2" t="e">
        <f t="shared" si="3"/>
        <v>#VALUE!</v>
      </c>
      <c r="L57" s="2" t="e">
        <f ca="1">Activos[[#This Row],[VENCE.MANI.ALIM]]-TODAY()</f>
        <v>#VALUE!</v>
      </c>
      <c r="M57" s="30">
        <v>45723</v>
      </c>
      <c r="N57" s="30">
        <f t="shared" si="4"/>
        <v>46087</v>
      </c>
      <c r="O57" s="2">
        <f ca="1">Activos[[#This Row],[VENCIMIENTO.EX.MED]]-TODAY()</f>
        <v>312</v>
      </c>
      <c r="P57" s="2" t="s">
        <v>267</v>
      </c>
      <c r="Q57" s="2" t="s">
        <v>434</v>
      </c>
      <c r="R57" s="105">
        <v>3003353074</v>
      </c>
      <c r="S57" s="2" t="s">
        <v>259</v>
      </c>
      <c r="T57" s="2" t="s">
        <v>435</v>
      </c>
      <c r="U57" s="2" t="s">
        <v>1127</v>
      </c>
      <c r="V57" s="2" t="s">
        <v>436</v>
      </c>
      <c r="W57" s="1" t="s">
        <v>20</v>
      </c>
      <c r="X57" s="1" t="s">
        <v>214</v>
      </c>
      <c r="Y57" s="1">
        <v>12</v>
      </c>
      <c r="Z57" s="1" t="s">
        <v>206</v>
      </c>
      <c r="AA57" s="104" t="s">
        <v>215</v>
      </c>
      <c r="AB57" s="30">
        <v>45726</v>
      </c>
      <c r="AC57" s="30">
        <v>45726</v>
      </c>
      <c r="AD57" s="2" t="s">
        <v>420</v>
      </c>
      <c r="AE57" s="2" t="s">
        <v>308</v>
      </c>
      <c r="AF57" s="2" t="s">
        <v>217</v>
      </c>
      <c r="AG57" s="2" t="s">
        <v>1009</v>
      </c>
      <c r="AH57" s="2" t="s">
        <v>1010</v>
      </c>
      <c r="AI57" s="240">
        <v>25328935701</v>
      </c>
      <c r="AJ57" s="30">
        <v>45722</v>
      </c>
      <c r="AK57" s="30" t="s">
        <v>437</v>
      </c>
      <c r="AL57" s="323"/>
      <c r="AM57" s="320"/>
      <c r="AN57" s="94">
        <v>1001438253</v>
      </c>
      <c r="AO57" s="95" t="s">
        <v>442</v>
      </c>
      <c r="AP57" s="95" t="s">
        <v>220</v>
      </c>
      <c r="AQ57" s="94" t="s">
        <v>209</v>
      </c>
      <c r="AR57" s="97">
        <v>45383</v>
      </c>
      <c r="AS57" s="98">
        <v>45433</v>
      </c>
      <c r="AT57" s="160"/>
      <c r="AU57" s="99" t="s">
        <v>210</v>
      </c>
      <c r="AV57" s="323"/>
    </row>
    <row r="58" spans="1:48" x14ac:dyDescent="0.35">
      <c r="A58" s="317"/>
      <c r="B58" s="1">
        <v>55</v>
      </c>
      <c r="C58" t="s">
        <v>438</v>
      </c>
      <c r="D58" s="1" t="s">
        <v>47</v>
      </c>
      <c r="E58" s="2">
        <v>44008176</v>
      </c>
      <c r="F58" s="30">
        <v>31447</v>
      </c>
      <c r="G58" s="30">
        <v>45636</v>
      </c>
      <c r="H58" s="30">
        <f>EDATE(Activos[[#This Row],[FECHA INDUCCION ]],12)-1</f>
        <v>46000</v>
      </c>
      <c r="I58" s="2">
        <f ca="1">Activos[[#This Row],[VENCE.INDUCCION]]-TODAY()</f>
        <v>225</v>
      </c>
      <c r="J58" s="30" t="s">
        <v>206</v>
      </c>
      <c r="K58" s="2" t="e">
        <f t="shared" si="3"/>
        <v>#VALUE!</v>
      </c>
      <c r="L58" s="2" t="e">
        <f ca="1">Activos[[#This Row],[VENCE.MANI.ALIM]]-TODAY()</f>
        <v>#VALUE!</v>
      </c>
      <c r="M58" s="30">
        <v>45633</v>
      </c>
      <c r="N58" s="30">
        <f t="shared" si="4"/>
        <v>45997</v>
      </c>
      <c r="O58" s="2">
        <f ca="1">Activos[[#This Row],[VENCIMIENTO.EX.MED]]-TODAY()</f>
        <v>222</v>
      </c>
      <c r="P58" s="2" t="s">
        <v>267</v>
      </c>
      <c r="Q58" s="2" t="s">
        <v>439</v>
      </c>
      <c r="R58" s="105">
        <v>3148557881</v>
      </c>
      <c r="S58" s="2" t="s">
        <v>213</v>
      </c>
      <c r="T58" s="2" t="s">
        <v>435</v>
      </c>
      <c r="U58" s="2" t="s">
        <v>1127</v>
      </c>
      <c r="V58" s="2" t="s">
        <v>440</v>
      </c>
      <c r="W58" s="1" t="s">
        <v>20</v>
      </c>
      <c r="X58" s="1">
        <v>8</v>
      </c>
      <c r="Y58" s="1" t="s">
        <v>206</v>
      </c>
      <c r="Z58" s="1" t="s">
        <v>206</v>
      </c>
      <c r="AA58" t="s">
        <v>203</v>
      </c>
      <c r="AB58" s="30">
        <v>45636</v>
      </c>
      <c r="AC58" s="30">
        <v>45636</v>
      </c>
      <c r="AD58" s="2" t="s">
        <v>204</v>
      </c>
      <c r="AE58" s="2" t="s">
        <v>217</v>
      </c>
      <c r="AF58" s="2" t="s">
        <v>217</v>
      </c>
      <c r="AJ58" s="30">
        <v>45636</v>
      </c>
      <c r="AK58" s="30" t="s">
        <v>441</v>
      </c>
      <c r="AL58" s="323"/>
      <c r="AM58" s="320"/>
      <c r="AN58" s="94">
        <v>1035870594</v>
      </c>
      <c r="AO58" s="95" t="s">
        <v>445</v>
      </c>
      <c r="AP58" s="95" t="s">
        <v>351</v>
      </c>
      <c r="AQ58" s="94" t="s">
        <v>209</v>
      </c>
      <c r="AR58" s="97">
        <v>44930</v>
      </c>
      <c r="AS58" s="98">
        <v>44932</v>
      </c>
      <c r="AT58" s="160"/>
      <c r="AU58" s="99" t="s">
        <v>210</v>
      </c>
      <c r="AV58" s="323"/>
    </row>
    <row r="59" spans="1:48" x14ac:dyDescent="0.35">
      <c r="A59" s="317"/>
      <c r="B59" s="1">
        <v>56</v>
      </c>
      <c r="C59" t="s">
        <v>443</v>
      </c>
      <c r="D59" s="1" t="s">
        <v>47</v>
      </c>
      <c r="E59" s="2">
        <v>1037044047</v>
      </c>
      <c r="F59" s="30">
        <v>38115</v>
      </c>
      <c r="G59" s="30">
        <v>45505</v>
      </c>
      <c r="H59" s="30">
        <f>EDATE(Activos[[#This Row],[FECHA INDUCCION ]],12)-1</f>
        <v>45869</v>
      </c>
      <c r="I59" s="2">
        <f ca="1">Activos[[#This Row],[VENCE.INDUCCION]]-TODAY()</f>
        <v>94</v>
      </c>
      <c r="J59" s="30">
        <v>45558</v>
      </c>
      <c r="K59" s="30">
        <f t="shared" si="3"/>
        <v>45922</v>
      </c>
      <c r="L59" s="2">
        <f ca="1">Activos[[#This Row],[VENCE.MANI.ALIM]]-TODAY()</f>
        <v>147</v>
      </c>
      <c r="M59" s="30">
        <v>45499</v>
      </c>
      <c r="N59" s="30">
        <f t="shared" si="4"/>
        <v>45863</v>
      </c>
      <c r="O59" s="2">
        <f ca="1">Activos[[#This Row],[VENCIMIENTO.EX.MED]]-TODAY()</f>
        <v>88</v>
      </c>
      <c r="P59" s="2" t="s">
        <v>212</v>
      </c>
      <c r="Q59" s="2" t="s">
        <v>444</v>
      </c>
      <c r="R59" s="105">
        <v>3123941953</v>
      </c>
      <c r="S59" s="2" t="s">
        <v>213</v>
      </c>
      <c r="T59" s="2" t="s">
        <v>256</v>
      </c>
      <c r="U59" s="2" t="s">
        <v>1127</v>
      </c>
      <c r="V59" s="2" t="s">
        <v>22</v>
      </c>
      <c r="W59" s="1" t="s">
        <v>201</v>
      </c>
      <c r="X59" s="1" t="s">
        <v>214</v>
      </c>
      <c r="Y59" s="1">
        <v>34</v>
      </c>
      <c r="Z59" s="1">
        <v>40</v>
      </c>
      <c r="AA59" t="s">
        <v>203</v>
      </c>
      <c r="AB59" s="30">
        <v>45505</v>
      </c>
      <c r="AC59" s="30">
        <v>45505</v>
      </c>
      <c r="AD59" s="2" t="s">
        <v>237</v>
      </c>
      <c r="AE59" s="2" t="s">
        <v>217</v>
      </c>
      <c r="AF59" s="2" t="s">
        <v>217</v>
      </c>
      <c r="AG59" s="2" t="s">
        <v>1009</v>
      </c>
      <c r="AH59" s="2" t="s">
        <v>1010</v>
      </c>
      <c r="AI59" s="240">
        <v>50344805749</v>
      </c>
      <c r="AJ59" s="30">
        <v>45610</v>
      </c>
      <c r="AK59" s="30" t="s">
        <v>218</v>
      </c>
      <c r="AL59" s="323"/>
      <c r="AM59" s="320"/>
      <c r="AN59" s="94">
        <v>71690113</v>
      </c>
      <c r="AO59" s="95" t="s">
        <v>449</v>
      </c>
      <c r="AP59" s="95" t="s">
        <v>244</v>
      </c>
      <c r="AQ59" s="94" t="s">
        <v>209</v>
      </c>
      <c r="AR59" s="97">
        <v>45048</v>
      </c>
      <c r="AS59" s="98">
        <v>45065</v>
      </c>
      <c r="AT59" s="160"/>
      <c r="AU59" s="99" t="s">
        <v>210</v>
      </c>
      <c r="AV59" s="323"/>
    </row>
    <row r="60" spans="1:48" x14ac:dyDescent="0.35">
      <c r="A60" s="317"/>
      <c r="B60" s="1">
        <v>57</v>
      </c>
      <c r="C60" t="s">
        <v>446</v>
      </c>
      <c r="D60" s="1" t="s">
        <v>47</v>
      </c>
      <c r="E60" s="2">
        <v>1035854637</v>
      </c>
      <c r="F60" s="30">
        <v>32574</v>
      </c>
      <c r="G60" s="30">
        <v>45544</v>
      </c>
      <c r="H60" s="30">
        <f>EDATE(Activos[[#This Row],[FECHA INDUCCION ]],12)-1</f>
        <v>45908</v>
      </c>
      <c r="I60" s="2">
        <f ca="1">Activos[[#This Row],[VENCE.INDUCCION]]-TODAY()</f>
        <v>133</v>
      </c>
      <c r="J60" s="30" t="s">
        <v>206</v>
      </c>
      <c r="K60" s="2" t="e">
        <f t="shared" si="3"/>
        <v>#VALUE!</v>
      </c>
      <c r="L60" s="2" t="e">
        <f ca="1">Activos[[#This Row],[VENCE.MANI.ALIM]]-TODAY()</f>
        <v>#VALUE!</v>
      </c>
      <c r="M60" s="30">
        <v>45539</v>
      </c>
      <c r="N60" s="30">
        <f t="shared" si="4"/>
        <v>45903</v>
      </c>
      <c r="O60" s="2">
        <f ca="1">Activos[[#This Row],[VENCIMIENTO.EX.MED]]-TODAY()</f>
        <v>128</v>
      </c>
      <c r="P60" s="2" t="s">
        <v>267</v>
      </c>
      <c r="Q60" s="2" t="s">
        <v>447</v>
      </c>
      <c r="R60" s="105">
        <v>3045908583</v>
      </c>
      <c r="S60" s="2" t="s">
        <v>213</v>
      </c>
      <c r="T60" s="2" t="s">
        <v>256</v>
      </c>
      <c r="U60" s="2" t="s">
        <v>1127</v>
      </c>
      <c r="V60" s="2" t="s">
        <v>448</v>
      </c>
      <c r="W60" s="1" t="s">
        <v>20</v>
      </c>
      <c r="X60" s="1" t="s">
        <v>10</v>
      </c>
      <c r="Y60" s="1">
        <v>12</v>
      </c>
      <c r="Z60" s="1" t="s">
        <v>206</v>
      </c>
      <c r="AA60" t="s">
        <v>203</v>
      </c>
      <c r="AB60" s="30">
        <v>45544</v>
      </c>
      <c r="AC60" s="30">
        <v>45541</v>
      </c>
      <c r="AD60" s="2" t="s">
        <v>224</v>
      </c>
      <c r="AE60" s="2" t="s">
        <v>205</v>
      </c>
      <c r="AF60" s="2" t="s">
        <v>205</v>
      </c>
      <c r="AG60" s="2" t="s">
        <v>1009</v>
      </c>
      <c r="AH60" s="2" t="s">
        <v>1010</v>
      </c>
      <c r="AI60" s="240">
        <v>39966961132</v>
      </c>
      <c r="AJ60" s="30">
        <v>45747</v>
      </c>
      <c r="AK60" s="30" t="s">
        <v>448</v>
      </c>
      <c r="AL60" s="323"/>
      <c r="AM60" s="320"/>
      <c r="AN60" s="94">
        <v>1040734874</v>
      </c>
      <c r="AO60" s="95" t="s">
        <v>452</v>
      </c>
      <c r="AP60" s="95" t="s">
        <v>331</v>
      </c>
      <c r="AQ60" s="94" t="s">
        <v>209</v>
      </c>
      <c r="AR60" s="97">
        <v>45034</v>
      </c>
      <c r="AS60" s="98">
        <v>45069</v>
      </c>
      <c r="AT60" s="160"/>
      <c r="AU60" s="99" t="s">
        <v>210</v>
      </c>
      <c r="AV60" s="323"/>
    </row>
    <row r="61" spans="1:48" x14ac:dyDescent="0.35">
      <c r="A61" s="317"/>
      <c r="B61" s="1">
        <v>58</v>
      </c>
      <c r="C61" t="s">
        <v>450</v>
      </c>
      <c r="D61" s="1" t="s">
        <v>47</v>
      </c>
      <c r="E61" s="2">
        <v>1035415330</v>
      </c>
      <c r="F61" s="30">
        <v>31265</v>
      </c>
      <c r="G61" s="30">
        <v>45323</v>
      </c>
      <c r="H61" s="30">
        <f>EDATE(Activos[[#This Row],[FECHA INDUCCION ]],12)-1</f>
        <v>45688</v>
      </c>
      <c r="I61" s="2">
        <f ca="1">Activos[[#This Row],[VENCE.INDUCCION]]-TODAY()</f>
        <v>-87</v>
      </c>
      <c r="J61" s="30" t="s">
        <v>206</v>
      </c>
      <c r="K61" s="2" t="e">
        <f t="shared" si="3"/>
        <v>#VALUE!</v>
      </c>
      <c r="L61" s="2" t="e">
        <f ca="1">Activos[[#This Row],[VENCE.MANI.ALIM]]-TODAY()</f>
        <v>#VALUE!</v>
      </c>
      <c r="M61" s="30">
        <v>45499</v>
      </c>
      <c r="N61" s="30">
        <f t="shared" si="4"/>
        <v>45863</v>
      </c>
      <c r="O61" s="2">
        <f ca="1">Activos[[#This Row],[VENCIMIENTO.EX.MED]]-TODAY()</f>
        <v>88</v>
      </c>
      <c r="P61" s="2" t="s">
        <v>212</v>
      </c>
      <c r="Q61" s="2" t="s">
        <v>451</v>
      </c>
      <c r="R61" s="105">
        <v>3218759605</v>
      </c>
      <c r="S61" s="2" t="s">
        <v>213</v>
      </c>
      <c r="T61" s="2" t="s">
        <v>256</v>
      </c>
      <c r="U61" s="2" t="s">
        <v>1127</v>
      </c>
      <c r="V61" s="2" t="s">
        <v>16</v>
      </c>
      <c r="W61" s="1" t="s">
        <v>201</v>
      </c>
      <c r="X61" s="1" t="s">
        <v>214</v>
      </c>
      <c r="Y61" s="1">
        <v>32</v>
      </c>
      <c r="Z61" s="1">
        <v>40</v>
      </c>
      <c r="AA61" t="s">
        <v>203</v>
      </c>
      <c r="AB61" s="30">
        <v>45323</v>
      </c>
      <c r="AC61" s="30">
        <v>45323</v>
      </c>
      <c r="AD61" s="2" t="s">
        <v>224</v>
      </c>
      <c r="AE61" s="2" t="s">
        <v>308</v>
      </c>
      <c r="AF61" s="2" t="s">
        <v>217</v>
      </c>
      <c r="AG61" s="2" t="s">
        <v>1009</v>
      </c>
      <c r="AH61" s="2" t="s">
        <v>1010</v>
      </c>
      <c r="AI61" s="240">
        <v>25345366167</v>
      </c>
      <c r="AJ61" s="30">
        <v>45322</v>
      </c>
      <c r="AK61" s="30" t="s">
        <v>16</v>
      </c>
      <c r="AL61" s="323"/>
      <c r="AM61" s="320"/>
      <c r="AN61" s="94">
        <v>5036631</v>
      </c>
      <c r="AO61" s="95" t="s">
        <v>457</v>
      </c>
      <c r="AP61" s="95" t="s">
        <v>220</v>
      </c>
      <c r="AQ61" s="94" t="s">
        <v>209</v>
      </c>
      <c r="AR61" s="97">
        <v>45293</v>
      </c>
      <c r="AS61" s="98">
        <v>45427</v>
      </c>
      <c r="AT61" s="160"/>
      <c r="AU61" s="99" t="s">
        <v>210</v>
      </c>
      <c r="AV61" s="323"/>
    </row>
    <row r="62" spans="1:48" x14ac:dyDescent="0.35">
      <c r="A62" s="317"/>
      <c r="B62" s="1">
        <v>59</v>
      </c>
      <c r="C62" t="s">
        <v>453</v>
      </c>
      <c r="D62" s="1" t="s">
        <v>47</v>
      </c>
      <c r="E62" s="2">
        <v>1000661224</v>
      </c>
      <c r="F62" s="30">
        <v>37817</v>
      </c>
      <c r="G62" s="30">
        <v>45686</v>
      </c>
      <c r="H62" s="30">
        <f>EDATE(Activos[[#This Row],[FECHA INDUCCION ]],12)-1</f>
        <v>46050</v>
      </c>
      <c r="I62" s="2">
        <f ca="1">Activos[[#This Row],[VENCE.INDUCCION]]-TODAY()</f>
        <v>275</v>
      </c>
      <c r="J62" s="30" t="s">
        <v>206</v>
      </c>
      <c r="K62" s="2" t="e">
        <f t="shared" si="3"/>
        <v>#VALUE!</v>
      </c>
      <c r="L62" s="2" t="e">
        <f ca="1">Activos[[#This Row],[VENCE.MANI.ALIM]]-TODAY()</f>
        <v>#VALUE!</v>
      </c>
      <c r="M62" s="30">
        <v>45457</v>
      </c>
      <c r="N62" s="30">
        <f t="shared" si="4"/>
        <v>45821</v>
      </c>
      <c r="O62" s="2">
        <f ca="1">Activos[[#This Row],[VENCIMIENTO.EX.MED]]-TODAY()</f>
        <v>46</v>
      </c>
      <c r="P62" s="2" t="s">
        <v>212</v>
      </c>
      <c r="Q62" s="2" t="s">
        <v>454</v>
      </c>
      <c r="R62" s="105">
        <v>3113719568</v>
      </c>
      <c r="S62" s="2" t="s">
        <v>213</v>
      </c>
      <c r="T62" s="2" t="s">
        <v>256</v>
      </c>
      <c r="U62" s="2" t="s">
        <v>1127</v>
      </c>
      <c r="V62" s="2" t="s">
        <v>455</v>
      </c>
      <c r="W62" s="1" t="s">
        <v>20</v>
      </c>
      <c r="X62" s="1">
        <v>8</v>
      </c>
      <c r="Y62" s="1">
        <v>8</v>
      </c>
      <c r="Z62" s="1" t="s">
        <v>206</v>
      </c>
      <c r="AA62" t="s">
        <v>203</v>
      </c>
      <c r="AB62" s="30">
        <v>45460</v>
      </c>
      <c r="AC62" s="30">
        <v>45460</v>
      </c>
      <c r="AD62" s="2" t="s">
        <v>224</v>
      </c>
      <c r="AE62" s="2" t="s">
        <v>217</v>
      </c>
      <c r="AF62" s="2" t="s">
        <v>217</v>
      </c>
      <c r="AG62" s="2" t="s">
        <v>1009</v>
      </c>
      <c r="AH62" s="2" t="s">
        <v>1010</v>
      </c>
      <c r="AI62" s="240">
        <v>25350853432</v>
      </c>
      <c r="AJ62" s="30">
        <v>45456</v>
      </c>
      <c r="AK62" s="30" t="s">
        <v>456</v>
      </c>
      <c r="AL62" s="323"/>
      <c r="AM62" s="320"/>
      <c r="AN62" s="94">
        <v>1152704894</v>
      </c>
      <c r="AO62" s="95" t="s">
        <v>462</v>
      </c>
      <c r="AP62" s="95" t="s">
        <v>351</v>
      </c>
      <c r="AQ62" s="94" t="s">
        <v>209</v>
      </c>
      <c r="AR62" s="97">
        <v>45392</v>
      </c>
      <c r="AS62" s="98">
        <v>45430</v>
      </c>
      <c r="AT62" s="160"/>
      <c r="AU62" s="99" t="s">
        <v>210</v>
      </c>
      <c r="AV62" s="323"/>
    </row>
    <row r="63" spans="1:48" x14ac:dyDescent="0.35">
      <c r="A63" s="317"/>
      <c r="B63" s="1">
        <v>60</v>
      </c>
      <c r="C63" t="s">
        <v>458</v>
      </c>
      <c r="D63" s="1" t="s">
        <v>47</v>
      </c>
      <c r="E63" s="2">
        <v>1003288700</v>
      </c>
      <c r="F63" s="30">
        <v>37453</v>
      </c>
      <c r="G63" s="30">
        <v>45623</v>
      </c>
      <c r="H63" s="30">
        <f>EDATE(Activos[[#This Row],[FECHA INDUCCION ]],12)-1</f>
        <v>45987</v>
      </c>
      <c r="I63" s="2">
        <f ca="1">Activos[[#This Row],[VENCE.INDUCCION]]-TODAY()</f>
        <v>212</v>
      </c>
      <c r="J63" s="30" t="s">
        <v>206</v>
      </c>
      <c r="K63" s="2" t="e">
        <f t="shared" si="3"/>
        <v>#VALUE!</v>
      </c>
      <c r="L63" s="2" t="e">
        <f ca="1">Activos[[#This Row],[VENCE.MANI.ALIM]]-TODAY()</f>
        <v>#VALUE!</v>
      </c>
      <c r="M63" s="30">
        <v>45505</v>
      </c>
      <c r="N63" s="30">
        <f>EDATE(M63,24)-1</f>
        <v>46234</v>
      </c>
      <c r="O63" s="2">
        <f ca="1">Activos[[#This Row],[VENCIMIENTO.EX.MED]]-TODAY()</f>
        <v>459</v>
      </c>
      <c r="P63" s="2" t="s">
        <v>197</v>
      </c>
      <c r="Q63" s="2" t="s">
        <v>459</v>
      </c>
      <c r="R63" s="105">
        <v>3045619138</v>
      </c>
      <c r="S63" s="2" t="s">
        <v>199</v>
      </c>
      <c r="T63" s="2" t="s">
        <v>460</v>
      </c>
      <c r="U63" s="2" t="s">
        <v>1127</v>
      </c>
      <c r="V63" s="2" t="s">
        <v>302</v>
      </c>
      <c r="W63" s="1" t="s">
        <v>20</v>
      </c>
      <c r="X63" s="1" t="s">
        <v>214</v>
      </c>
      <c r="Y63" s="1">
        <v>32</v>
      </c>
      <c r="Z63" s="1">
        <v>40</v>
      </c>
      <c r="AA63" t="s">
        <v>203</v>
      </c>
      <c r="AB63" s="30">
        <v>45323</v>
      </c>
      <c r="AC63" s="30">
        <v>44203</v>
      </c>
      <c r="AD63" s="2" t="s">
        <v>204</v>
      </c>
      <c r="AE63" s="2" t="s">
        <v>205</v>
      </c>
      <c r="AF63" s="2" t="s">
        <v>205</v>
      </c>
      <c r="AG63" s="2" t="s">
        <v>1009</v>
      </c>
      <c r="AH63" s="2" t="s">
        <v>1010</v>
      </c>
      <c r="AJ63" s="30">
        <v>45614</v>
      </c>
      <c r="AK63" s="30" t="s">
        <v>461</v>
      </c>
      <c r="AL63" s="323"/>
      <c r="AM63" s="320"/>
      <c r="AN63" s="94">
        <v>7230161</v>
      </c>
      <c r="AO63" s="95" t="s">
        <v>463</v>
      </c>
      <c r="AP63" s="95" t="s">
        <v>220</v>
      </c>
      <c r="AQ63" s="94" t="s">
        <v>209</v>
      </c>
      <c r="AR63" s="97">
        <v>45073</v>
      </c>
      <c r="AS63" s="98">
        <v>45290</v>
      </c>
      <c r="AT63" s="160"/>
      <c r="AU63" s="99" t="s">
        <v>210</v>
      </c>
      <c r="AV63" s="323"/>
    </row>
    <row r="64" spans="1:48" x14ac:dyDescent="0.35">
      <c r="A64" s="317"/>
      <c r="B64" s="1">
        <v>61</v>
      </c>
      <c r="C64" t="s">
        <v>464</v>
      </c>
      <c r="D64" s="1" t="s">
        <v>47</v>
      </c>
      <c r="E64" s="2">
        <v>1070819271</v>
      </c>
      <c r="F64" s="30">
        <v>33980</v>
      </c>
      <c r="G64" s="30">
        <v>45517</v>
      </c>
      <c r="H64" s="30">
        <f>EDATE(Activos[[#This Row],[FECHA INDUCCION ]],12)-1</f>
        <v>45881</v>
      </c>
      <c r="I64" s="2">
        <f ca="1">Activos[[#This Row],[VENCE.INDUCCION]]-TODAY()</f>
        <v>106</v>
      </c>
      <c r="J64" s="30" t="s">
        <v>206</v>
      </c>
      <c r="K64" s="2" t="e">
        <f t="shared" si="3"/>
        <v>#VALUE!</v>
      </c>
      <c r="L64" s="2" t="e">
        <f ca="1">Activos[[#This Row],[VENCE.MANI.ALIM]]-TODAY()</f>
        <v>#VALUE!</v>
      </c>
      <c r="M64" s="30">
        <v>45301</v>
      </c>
      <c r="N64" s="30">
        <f>EDATE(M64,24)-1</f>
        <v>46031</v>
      </c>
      <c r="O64" s="2">
        <f ca="1">Activos[[#This Row],[VENCIMIENTO.EX.MED]]-TODAY()</f>
        <v>256</v>
      </c>
      <c r="P64" s="2" t="s">
        <v>212</v>
      </c>
      <c r="Q64" s="2" t="s">
        <v>465</v>
      </c>
      <c r="R64" s="105">
        <v>3217069483</v>
      </c>
      <c r="S64" s="2" t="s">
        <v>247</v>
      </c>
      <c r="T64" s="2" t="s">
        <v>466</v>
      </c>
      <c r="U64" s="2" t="s">
        <v>1127</v>
      </c>
      <c r="V64" s="2" t="s">
        <v>467</v>
      </c>
      <c r="W64" s="1" t="s">
        <v>201</v>
      </c>
      <c r="X64" s="1" t="s">
        <v>202</v>
      </c>
      <c r="Y64" s="1">
        <v>40</v>
      </c>
      <c r="Z64" s="1">
        <v>41</v>
      </c>
      <c r="AA64" t="s">
        <v>203</v>
      </c>
      <c r="AB64" s="30">
        <v>45301</v>
      </c>
      <c r="AC64" s="30">
        <v>45300</v>
      </c>
      <c r="AD64" s="2" t="s">
        <v>468</v>
      </c>
      <c r="AE64" s="2" t="s">
        <v>205</v>
      </c>
      <c r="AF64" s="2" t="s">
        <v>205</v>
      </c>
      <c r="AG64" s="2" t="s">
        <v>1009</v>
      </c>
      <c r="AH64" s="2" t="s">
        <v>1010</v>
      </c>
      <c r="AI64" s="240">
        <v>52005162726</v>
      </c>
      <c r="AJ64" s="30">
        <v>45611</v>
      </c>
      <c r="AK64" s="30" t="s">
        <v>225</v>
      </c>
      <c r="AL64" s="323"/>
      <c r="AM64" s="320"/>
      <c r="AN64" s="94">
        <v>7230161</v>
      </c>
      <c r="AO64" s="95" t="s">
        <v>463</v>
      </c>
      <c r="AP64" s="95" t="s">
        <v>220</v>
      </c>
      <c r="AQ64" s="94" t="s">
        <v>209</v>
      </c>
      <c r="AR64" s="97">
        <v>45292</v>
      </c>
      <c r="AS64" s="98">
        <v>45433</v>
      </c>
      <c r="AT64" s="160"/>
      <c r="AU64" s="99" t="s">
        <v>210</v>
      </c>
      <c r="AV64" s="323"/>
    </row>
    <row r="65" spans="1:48" x14ac:dyDescent="0.35">
      <c r="A65" s="317"/>
      <c r="B65" s="1">
        <v>62</v>
      </c>
      <c r="C65" t="s">
        <v>469</v>
      </c>
      <c r="D65" s="1" t="s">
        <v>222</v>
      </c>
      <c r="E65" s="2">
        <v>1816408</v>
      </c>
      <c r="F65" s="30">
        <v>29356</v>
      </c>
      <c r="G65" s="30">
        <v>45449</v>
      </c>
      <c r="H65" s="30">
        <f>EDATE(Activos[[#This Row],[FECHA INDUCCION ]],12)-1</f>
        <v>45813</v>
      </c>
      <c r="I65" s="2">
        <f ca="1">Activos[[#This Row],[VENCE.INDUCCION]]-TODAY()</f>
        <v>38</v>
      </c>
      <c r="J65" s="30">
        <v>45485</v>
      </c>
      <c r="K65" s="30">
        <f t="shared" si="3"/>
        <v>45849</v>
      </c>
      <c r="L65" s="2">
        <f ca="1">Activos[[#This Row],[VENCE.MANI.ALIM]]-TODAY()</f>
        <v>74</v>
      </c>
      <c r="M65" s="30">
        <v>45443</v>
      </c>
      <c r="N65" s="30">
        <f t="shared" si="4"/>
        <v>45807</v>
      </c>
      <c r="O65" s="2">
        <f ca="1">Activos[[#This Row],[VENCIMIENTO.EX.MED]]-TODAY()</f>
        <v>32</v>
      </c>
      <c r="P65" s="2" t="s">
        <v>212</v>
      </c>
      <c r="Q65" s="2" t="s">
        <v>470</v>
      </c>
      <c r="R65" s="105">
        <v>3118902456</v>
      </c>
      <c r="S65" s="2" t="s">
        <v>213</v>
      </c>
      <c r="T65" s="2" t="s">
        <v>256</v>
      </c>
      <c r="U65" s="2" t="s">
        <v>1127</v>
      </c>
      <c r="V65" s="2" t="s">
        <v>22</v>
      </c>
      <c r="W65" s="1" t="s">
        <v>201</v>
      </c>
      <c r="X65" s="1" t="s">
        <v>10</v>
      </c>
      <c r="Y65" s="1">
        <v>32</v>
      </c>
      <c r="Z65" s="1">
        <v>40</v>
      </c>
      <c r="AA65" t="s">
        <v>203</v>
      </c>
      <c r="AB65" s="30">
        <v>45449</v>
      </c>
      <c r="AC65" s="30">
        <v>45449</v>
      </c>
      <c r="AD65" s="2" t="s">
        <v>224</v>
      </c>
      <c r="AE65" s="2" t="s">
        <v>205</v>
      </c>
      <c r="AF65" s="2" t="s">
        <v>205</v>
      </c>
      <c r="AG65" s="2" t="s">
        <v>1009</v>
      </c>
      <c r="AH65" s="2" t="s">
        <v>1010</v>
      </c>
      <c r="AI65" s="240">
        <v>31300028864</v>
      </c>
      <c r="AJ65" s="30">
        <v>45611</v>
      </c>
      <c r="AK65" s="30" t="s">
        <v>242</v>
      </c>
      <c r="AL65" s="323"/>
      <c r="AM65" s="320"/>
      <c r="AN65" s="94">
        <v>6118125</v>
      </c>
      <c r="AO65" s="95" t="s">
        <v>471</v>
      </c>
      <c r="AP65" s="95" t="s">
        <v>220</v>
      </c>
      <c r="AQ65" s="94" t="s">
        <v>209</v>
      </c>
      <c r="AR65" s="97">
        <v>44728</v>
      </c>
      <c r="AS65" s="98">
        <v>44950</v>
      </c>
      <c r="AT65" s="160"/>
      <c r="AU65" s="99" t="s">
        <v>210</v>
      </c>
      <c r="AV65" s="323"/>
    </row>
    <row r="66" spans="1:48" x14ac:dyDescent="0.35">
      <c r="A66" s="317"/>
      <c r="B66" s="1">
        <v>63</v>
      </c>
      <c r="C66" t="s">
        <v>472</v>
      </c>
      <c r="D66" s="1" t="s">
        <v>47</v>
      </c>
      <c r="E66" s="2">
        <v>1002500449</v>
      </c>
      <c r="F66" s="30">
        <v>37230</v>
      </c>
      <c r="G66" s="30">
        <v>45505</v>
      </c>
      <c r="H66" s="30">
        <f>EDATE(Activos[[#This Row],[FECHA INDUCCION ]],12)-1</f>
        <v>45869</v>
      </c>
      <c r="I66" s="2">
        <f ca="1">Activos[[#This Row],[VENCE.INDUCCION]]-TODAY()</f>
        <v>94</v>
      </c>
      <c r="J66" s="30" t="s">
        <v>206</v>
      </c>
      <c r="K66" s="2" t="e">
        <f t="shared" si="3"/>
        <v>#VALUE!</v>
      </c>
      <c r="L66" s="2" t="e">
        <f ca="1">Activos[[#This Row],[VENCE.MANI.ALIM]]-TODAY()</f>
        <v>#VALUE!</v>
      </c>
      <c r="M66" s="30">
        <v>45464</v>
      </c>
      <c r="N66" s="30">
        <f t="shared" si="4"/>
        <v>45828</v>
      </c>
      <c r="O66" s="2">
        <f ca="1">Activos[[#This Row],[VENCIMIENTO.EX.MED]]-TODAY()</f>
        <v>53</v>
      </c>
      <c r="P66" s="2" t="s">
        <v>212</v>
      </c>
      <c r="Q66" s="2" t="s">
        <v>473</v>
      </c>
      <c r="R66" s="105">
        <v>3008888110</v>
      </c>
      <c r="S66" s="2" t="s">
        <v>213</v>
      </c>
      <c r="T66" s="2" t="s">
        <v>256</v>
      </c>
      <c r="U66" s="2" t="s">
        <v>1127</v>
      </c>
      <c r="V66" s="2" t="s">
        <v>22</v>
      </c>
      <c r="W66" s="1" t="s">
        <v>201</v>
      </c>
      <c r="X66" s="1" t="s">
        <v>214</v>
      </c>
      <c r="Y66" s="1">
        <v>34</v>
      </c>
      <c r="Z66" s="1">
        <v>42</v>
      </c>
      <c r="AA66" t="s">
        <v>203</v>
      </c>
      <c r="AB66" s="30">
        <v>45505</v>
      </c>
      <c r="AC66" s="30">
        <v>45505</v>
      </c>
      <c r="AD66" s="2" t="s">
        <v>287</v>
      </c>
      <c r="AE66" s="2" t="s">
        <v>205</v>
      </c>
      <c r="AF66" s="2" t="s">
        <v>205</v>
      </c>
      <c r="AG66" s="2" t="s">
        <v>1009</v>
      </c>
      <c r="AH66" s="2" t="s">
        <v>1010</v>
      </c>
      <c r="AJ66" s="30">
        <v>45611</v>
      </c>
      <c r="AK66" s="30" t="s">
        <v>242</v>
      </c>
      <c r="AL66" s="323"/>
      <c r="AM66" s="320"/>
      <c r="AN66" s="94">
        <v>1214732906</v>
      </c>
      <c r="AO66" s="95" t="s">
        <v>474</v>
      </c>
      <c r="AP66" s="95" t="s">
        <v>220</v>
      </c>
      <c r="AQ66" s="94" t="s">
        <v>209</v>
      </c>
      <c r="AR66" s="97">
        <v>45449</v>
      </c>
      <c r="AS66" s="98">
        <v>45469</v>
      </c>
      <c r="AT66" s="160"/>
      <c r="AU66" s="99" t="s">
        <v>210</v>
      </c>
      <c r="AV66" s="323"/>
    </row>
    <row r="67" spans="1:48" x14ac:dyDescent="0.35">
      <c r="A67" s="317"/>
      <c r="B67" s="1">
        <v>64</v>
      </c>
      <c r="C67" t="s">
        <v>475</v>
      </c>
      <c r="D67" s="1" t="s">
        <v>47</v>
      </c>
      <c r="E67" s="2">
        <v>1152218818</v>
      </c>
      <c r="F67" s="30">
        <v>35703</v>
      </c>
      <c r="G67" s="30">
        <v>45454</v>
      </c>
      <c r="H67" s="30">
        <f>EDATE(Activos[[#This Row],[FECHA INDUCCION ]],12)-1</f>
        <v>45818</v>
      </c>
      <c r="I67" s="2">
        <f ca="1">Activos[[#This Row],[VENCE.INDUCCION]]-TODAY()</f>
        <v>43</v>
      </c>
      <c r="J67" s="30">
        <v>45492</v>
      </c>
      <c r="K67" s="30">
        <f t="shared" si="3"/>
        <v>45856</v>
      </c>
      <c r="L67" s="2">
        <f ca="1">Activos[[#This Row],[VENCE.MANI.ALIM]]-TODAY()</f>
        <v>81</v>
      </c>
      <c r="M67" s="30">
        <v>45504</v>
      </c>
      <c r="N67" s="30">
        <f t="shared" si="4"/>
        <v>45868</v>
      </c>
      <c r="O67" s="2">
        <f ca="1">Activos[[#This Row],[VENCIMIENTO.EX.MED]]-TODAY()</f>
        <v>93</v>
      </c>
      <c r="P67" s="2" t="s">
        <v>212</v>
      </c>
      <c r="Q67" s="2" t="s">
        <v>476</v>
      </c>
      <c r="R67" s="105">
        <v>3044229410</v>
      </c>
      <c r="S67" s="2" t="s">
        <v>477</v>
      </c>
      <c r="T67" s="2" t="s">
        <v>478</v>
      </c>
      <c r="U67" s="2" t="s">
        <v>1127</v>
      </c>
      <c r="V67" s="2" t="s">
        <v>479</v>
      </c>
      <c r="W67" s="1" t="s">
        <v>20</v>
      </c>
      <c r="X67" s="1" t="s">
        <v>250</v>
      </c>
      <c r="Y67" s="1">
        <v>28</v>
      </c>
      <c r="Z67" s="1">
        <v>38</v>
      </c>
      <c r="AA67" t="s">
        <v>203</v>
      </c>
      <c r="AB67" s="30">
        <v>45454</v>
      </c>
      <c r="AC67" s="30">
        <v>45454</v>
      </c>
      <c r="AD67" s="2" t="s">
        <v>287</v>
      </c>
      <c r="AE67" s="2" t="s">
        <v>205</v>
      </c>
      <c r="AF67" s="2" t="s">
        <v>205</v>
      </c>
      <c r="AG67" s="2" t="s">
        <v>1075</v>
      </c>
      <c r="AH67" s="2" t="s">
        <v>1010</v>
      </c>
      <c r="AI67" s="240">
        <v>24120257890</v>
      </c>
      <c r="AJ67" s="30">
        <v>45614</v>
      </c>
      <c r="AK67" s="30" t="s">
        <v>480</v>
      </c>
      <c r="AL67" s="323"/>
      <c r="AM67" s="320"/>
      <c r="AN67" s="94">
        <v>1018232884</v>
      </c>
      <c r="AO67" s="95" t="s">
        <v>481</v>
      </c>
      <c r="AP67" s="95" t="s">
        <v>220</v>
      </c>
      <c r="AQ67" s="94" t="s">
        <v>209</v>
      </c>
      <c r="AR67" s="97">
        <v>45559</v>
      </c>
      <c r="AS67" s="98">
        <v>45580</v>
      </c>
      <c r="AT67" s="160"/>
      <c r="AU67" s="99" t="s">
        <v>210</v>
      </c>
      <c r="AV67" s="323"/>
    </row>
    <row r="68" spans="1:48" x14ac:dyDescent="0.35">
      <c r="A68" s="317"/>
      <c r="B68" s="1">
        <v>65</v>
      </c>
      <c r="C68" t="s">
        <v>482</v>
      </c>
      <c r="D68" s="1" t="s">
        <v>47</v>
      </c>
      <c r="E68" s="2">
        <v>1068582558</v>
      </c>
      <c r="F68" s="30">
        <v>30938</v>
      </c>
      <c r="G68" s="30">
        <v>45383</v>
      </c>
      <c r="H68" s="30">
        <f>EDATE(Activos[[#This Row],[FECHA INDUCCION ]],12)-1</f>
        <v>45747</v>
      </c>
      <c r="I68" s="2">
        <f ca="1">Activos[[#This Row],[VENCE.INDUCCION]]-TODAY()</f>
        <v>-28</v>
      </c>
      <c r="J68" s="30">
        <v>45736</v>
      </c>
      <c r="K68" s="30">
        <f t="shared" ref="K68:K76" si="5">EDATE(J68,12)-1</f>
        <v>46100</v>
      </c>
      <c r="L68" s="2">
        <f ca="1">Activos[[#This Row],[VENCE.MANI.ALIM]]-TODAY()</f>
        <v>325</v>
      </c>
      <c r="M68" s="30">
        <v>45407</v>
      </c>
      <c r="N68" s="30">
        <f t="shared" ref="N68:N76" si="6">EDATE(M68,12)-1</f>
        <v>45771</v>
      </c>
      <c r="O68" s="2">
        <f ca="1">Activos[[#This Row],[VENCIMIENTO.EX.MED]]-TODAY()</f>
        <v>-4</v>
      </c>
      <c r="P68" s="2" t="s">
        <v>212</v>
      </c>
      <c r="Q68" s="2" t="s">
        <v>483</v>
      </c>
      <c r="R68" s="105">
        <v>3107155411</v>
      </c>
      <c r="S68" s="2" t="s">
        <v>213</v>
      </c>
      <c r="T68" s="2" t="s">
        <v>256</v>
      </c>
      <c r="U68" s="2" t="s">
        <v>1127</v>
      </c>
      <c r="V68" s="2" t="s">
        <v>200</v>
      </c>
      <c r="W68" s="1" t="s">
        <v>201</v>
      </c>
      <c r="X68" s="1" t="s">
        <v>10</v>
      </c>
      <c r="Y68" s="1">
        <v>34</v>
      </c>
      <c r="Z68" s="1">
        <v>38</v>
      </c>
      <c r="AA68" t="s">
        <v>203</v>
      </c>
      <c r="AB68" s="30">
        <v>45383</v>
      </c>
      <c r="AC68" s="30">
        <v>45383</v>
      </c>
      <c r="AD68" s="2" t="s">
        <v>287</v>
      </c>
      <c r="AE68" s="2" t="s">
        <v>364</v>
      </c>
      <c r="AF68" s="2" t="s">
        <v>364</v>
      </c>
      <c r="AG68" s="2" t="s">
        <v>1009</v>
      </c>
      <c r="AH68" s="2" t="s">
        <v>1010</v>
      </c>
      <c r="AI68" s="240">
        <v>25300018320</v>
      </c>
      <c r="AJ68" s="30">
        <v>45611</v>
      </c>
      <c r="AK68" s="30" t="s">
        <v>218</v>
      </c>
      <c r="AL68" s="323"/>
      <c r="AM68" s="320"/>
      <c r="AN68" s="94">
        <v>70166559</v>
      </c>
      <c r="AO68" s="95" t="s">
        <v>484</v>
      </c>
      <c r="AP68" s="95" t="s">
        <v>16</v>
      </c>
      <c r="AQ68" s="94" t="s">
        <v>209</v>
      </c>
      <c r="AR68" s="97">
        <v>45201</v>
      </c>
      <c r="AS68" s="98">
        <v>45208</v>
      </c>
      <c r="AT68" s="160"/>
      <c r="AU68" s="99" t="s">
        <v>210</v>
      </c>
      <c r="AV68" s="323"/>
    </row>
    <row r="69" spans="1:48" x14ac:dyDescent="0.35">
      <c r="A69" s="317"/>
      <c r="B69" s="1">
        <v>66</v>
      </c>
      <c r="C69" t="s">
        <v>485</v>
      </c>
      <c r="D69" s="1" t="s">
        <v>222</v>
      </c>
      <c r="E69" s="2">
        <v>4873131</v>
      </c>
      <c r="F69" s="30">
        <v>34648</v>
      </c>
      <c r="G69" s="30">
        <v>45755</v>
      </c>
      <c r="H69" s="30">
        <f>EDATE(Activos[[#This Row],[FECHA INDUCCION ]],12)-1</f>
        <v>46119</v>
      </c>
      <c r="I69" s="2">
        <f ca="1">Activos[[#This Row],[VENCE.INDUCCION]]-TODAY()</f>
        <v>344</v>
      </c>
      <c r="J69" s="30">
        <v>45484</v>
      </c>
      <c r="K69" s="30">
        <f t="shared" si="5"/>
        <v>45848</v>
      </c>
      <c r="L69" s="2">
        <f ca="1">Activos[[#This Row],[VENCE.MANI.ALIM]]-TODAY()</f>
        <v>73</v>
      </c>
      <c r="M69" s="30">
        <v>45441</v>
      </c>
      <c r="N69" s="30">
        <f t="shared" si="6"/>
        <v>45805</v>
      </c>
      <c r="O69" s="2">
        <f ca="1">Activos[[#This Row],[VENCIMIENTO.EX.MED]]-TODAY()</f>
        <v>30</v>
      </c>
      <c r="P69" s="2" t="s">
        <v>212</v>
      </c>
      <c r="Q69" s="2" t="s">
        <v>486</v>
      </c>
      <c r="R69" s="105">
        <v>3147286836</v>
      </c>
      <c r="S69" s="2" t="s">
        <v>213</v>
      </c>
      <c r="T69" s="2" t="s">
        <v>256</v>
      </c>
      <c r="U69" s="2" t="s">
        <v>1127</v>
      </c>
      <c r="V69" s="2" t="s">
        <v>22</v>
      </c>
      <c r="W69" s="1" t="s">
        <v>201</v>
      </c>
      <c r="X69" s="1" t="s">
        <v>236</v>
      </c>
      <c r="Y69" s="1">
        <v>32</v>
      </c>
      <c r="Z69" s="1">
        <v>43</v>
      </c>
      <c r="AA69" t="s">
        <v>203</v>
      </c>
      <c r="AB69" s="30">
        <v>45442</v>
      </c>
      <c r="AD69" s="2" t="s">
        <v>224</v>
      </c>
      <c r="AE69" s="2" t="s">
        <v>205</v>
      </c>
      <c r="AF69" s="2" t="s">
        <v>205</v>
      </c>
      <c r="AG69" s="2" t="s">
        <v>1009</v>
      </c>
      <c r="AH69" s="2" t="s">
        <v>1010</v>
      </c>
      <c r="AI69" s="240">
        <v>23000004588</v>
      </c>
      <c r="AJ69" s="30">
        <v>45611</v>
      </c>
      <c r="AK69" s="30" t="s">
        <v>242</v>
      </c>
      <c r="AL69" s="323"/>
      <c r="AM69" s="320"/>
      <c r="AN69" s="94">
        <v>1001463130</v>
      </c>
      <c r="AO69" s="95" t="s">
        <v>487</v>
      </c>
      <c r="AP69" s="95" t="s">
        <v>16</v>
      </c>
      <c r="AQ69" s="94" t="s">
        <v>209</v>
      </c>
      <c r="AR69" s="97">
        <v>45372</v>
      </c>
      <c r="AS69" s="98">
        <v>45558</v>
      </c>
      <c r="AT69" s="160"/>
      <c r="AU69" s="99" t="s">
        <v>210</v>
      </c>
      <c r="AV69" s="323"/>
    </row>
    <row r="70" spans="1:48" x14ac:dyDescent="0.35">
      <c r="A70" s="317"/>
      <c r="B70" s="1">
        <v>67</v>
      </c>
      <c r="C70" t="s">
        <v>488</v>
      </c>
      <c r="D70" s="1" t="s">
        <v>47</v>
      </c>
      <c r="E70" s="2">
        <v>1214745859</v>
      </c>
      <c r="F70" s="30">
        <v>36028</v>
      </c>
      <c r="G70" s="30">
        <v>45686</v>
      </c>
      <c r="H70" s="30">
        <f>EDATE(Activos[[#This Row],[FECHA INDUCCION ]],12)-1</f>
        <v>46050</v>
      </c>
      <c r="I70" s="2">
        <f ca="1">Activos[[#This Row],[VENCE.INDUCCION]]-TODAY()</f>
        <v>275</v>
      </c>
      <c r="J70" s="30">
        <v>45736</v>
      </c>
      <c r="K70" s="30">
        <f t="shared" si="5"/>
        <v>46100</v>
      </c>
      <c r="L70" s="2">
        <f ca="1">Activos[[#This Row],[VENCE.MANI.ALIM]]-TODAY()</f>
        <v>325</v>
      </c>
      <c r="M70" s="30">
        <v>45517</v>
      </c>
      <c r="N70" s="30">
        <f>EDATE(M70,24)-1</f>
        <v>46246</v>
      </c>
      <c r="O70" s="2">
        <f ca="1">Activos[[#This Row],[VENCIMIENTO.EX.MED]]-TODAY()</f>
        <v>471</v>
      </c>
      <c r="P70" s="2" t="s">
        <v>212</v>
      </c>
      <c r="Q70" s="2" t="s">
        <v>489</v>
      </c>
      <c r="R70" s="105">
        <v>3128406437</v>
      </c>
      <c r="S70" s="2" t="s">
        <v>199</v>
      </c>
      <c r="T70" s="2" t="s">
        <v>256</v>
      </c>
      <c r="U70" s="2" t="s">
        <v>1127</v>
      </c>
      <c r="V70" s="2" t="s">
        <v>302</v>
      </c>
      <c r="W70" s="1" t="s">
        <v>20</v>
      </c>
      <c r="X70" s="1" t="s">
        <v>10</v>
      </c>
      <c r="Y70" s="1">
        <v>34</v>
      </c>
      <c r="Z70" s="1">
        <v>38</v>
      </c>
      <c r="AA70" t="s">
        <v>203</v>
      </c>
      <c r="AB70" s="30">
        <v>45323</v>
      </c>
      <c r="AC70" s="30">
        <v>45098</v>
      </c>
      <c r="AD70" s="2" t="s">
        <v>224</v>
      </c>
      <c r="AE70" s="2" t="s">
        <v>205</v>
      </c>
      <c r="AF70" s="2" t="s">
        <v>205</v>
      </c>
      <c r="AG70" s="2" t="s">
        <v>1009</v>
      </c>
      <c r="AH70" s="2" t="s">
        <v>1010</v>
      </c>
      <c r="AI70" s="240">
        <v>58000011388</v>
      </c>
      <c r="AK70" s="30" t="s">
        <v>490</v>
      </c>
      <c r="AL70" s="323"/>
      <c r="AM70" s="320"/>
      <c r="AN70" s="94">
        <v>1035879782</v>
      </c>
      <c r="AO70" s="95" t="s">
        <v>491</v>
      </c>
      <c r="AP70" s="95" t="s">
        <v>16</v>
      </c>
      <c r="AQ70" s="94" t="s">
        <v>209</v>
      </c>
      <c r="AR70" s="97">
        <v>45086</v>
      </c>
      <c r="AS70" s="98">
        <v>45268</v>
      </c>
      <c r="AT70" s="160"/>
      <c r="AU70" s="99" t="s">
        <v>210</v>
      </c>
      <c r="AV70" s="323"/>
    </row>
    <row r="71" spans="1:48" x14ac:dyDescent="0.35">
      <c r="A71" s="317"/>
      <c r="B71" s="1">
        <v>68</v>
      </c>
      <c r="C71" t="s">
        <v>492</v>
      </c>
      <c r="D71" s="1" t="s">
        <v>47</v>
      </c>
      <c r="E71" s="2">
        <v>1020493876</v>
      </c>
      <c r="F71" s="30">
        <v>36373</v>
      </c>
      <c r="G71" s="30">
        <v>45686</v>
      </c>
      <c r="H71" s="30">
        <f>EDATE(Activos[[#This Row],[FECHA INDUCCION ]],12)-1</f>
        <v>46050</v>
      </c>
      <c r="I71" s="2">
        <f ca="1">Activos[[#This Row],[VENCE.INDUCCION]]-TODAY()</f>
        <v>275</v>
      </c>
      <c r="J71" s="30" t="s">
        <v>206</v>
      </c>
      <c r="K71" s="2" t="e">
        <f t="shared" si="5"/>
        <v>#VALUE!</v>
      </c>
      <c r="L71" s="2" t="e">
        <f ca="1">Activos[[#This Row],[VENCE.MANI.ALIM]]-TODAY()</f>
        <v>#VALUE!</v>
      </c>
      <c r="M71" s="30">
        <v>45666</v>
      </c>
      <c r="N71" s="30">
        <f>EDATE(M71,24)-1</f>
        <v>46395</v>
      </c>
      <c r="O71" s="2">
        <f ca="1">Activos[[#This Row],[VENCIMIENTO.EX.MED]]-TODAY()</f>
        <v>620</v>
      </c>
      <c r="P71" s="2" t="s">
        <v>212</v>
      </c>
      <c r="Q71" s="2" t="s">
        <v>493</v>
      </c>
      <c r="R71" s="105">
        <v>3215661877</v>
      </c>
      <c r="S71" s="2" t="s">
        <v>494</v>
      </c>
      <c r="T71" s="2" t="s">
        <v>495</v>
      </c>
      <c r="U71" s="2" t="s">
        <v>1127</v>
      </c>
      <c r="V71" s="2" t="s">
        <v>302</v>
      </c>
      <c r="W71" s="1" t="s">
        <v>20</v>
      </c>
      <c r="X71" s="1" t="s">
        <v>214</v>
      </c>
      <c r="Y71" s="1">
        <v>34</v>
      </c>
      <c r="Z71" s="1">
        <v>41</v>
      </c>
      <c r="AA71" t="s">
        <v>203</v>
      </c>
      <c r="AB71" s="30">
        <v>45308</v>
      </c>
      <c r="AC71" s="30">
        <v>45308</v>
      </c>
      <c r="AD71" s="2" t="s">
        <v>224</v>
      </c>
      <c r="AE71" s="2" t="s">
        <v>217</v>
      </c>
      <c r="AF71" s="2" t="s">
        <v>217</v>
      </c>
      <c r="AG71" s="2" t="s">
        <v>1009</v>
      </c>
      <c r="AH71" s="2" t="s">
        <v>1010</v>
      </c>
      <c r="AI71" s="240">
        <v>31100000459</v>
      </c>
      <c r="AJ71" s="30">
        <v>45614</v>
      </c>
      <c r="AK71" s="30" t="s">
        <v>379</v>
      </c>
      <c r="AL71" s="323"/>
      <c r="AM71" s="320"/>
      <c r="AN71" s="94">
        <v>1035879782</v>
      </c>
      <c r="AO71" s="95" t="s">
        <v>491</v>
      </c>
      <c r="AP71" s="95" t="s">
        <v>16</v>
      </c>
      <c r="AQ71" s="94" t="s">
        <v>209</v>
      </c>
      <c r="AR71" s="97">
        <v>45272</v>
      </c>
      <c r="AS71" s="98">
        <v>45362</v>
      </c>
      <c r="AT71" s="160"/>
      <c r="AU71" s="99" t="s">
        <v>210</v>
      </c>
      <c r="AV71" s="323"/>
    </row>
    <row r="72" spans="1:48" x14ac:dyDescent="0.35">
      <c r="A72" s="317"/>
      <c r="B72" s="1">
        <v>69</v>
      </c>
      <c r="C72" t="s">
        <v>496</v>
      </c>
      <c r="D72" s="1" t="s">
        <v>47</v>
      </c>
      <c r="E72" s="2">
        <v>1214744112</v>
      </c>
      <c r="F72" s="30">
        <v>36046</v>
      </c>
      <c r="G72" s="30">
        <v>45544</v>
      </c>
      <c r="H72" s="30">
        <f>EDATE(Activos[[#This Row],[FECHA INDUCCION ]],12)-1</f>
        <v>45908</v>
      </c>
      <c r="I72" s="2">
        <f ca="1">Activos[[#This Row],[VENCE.INDUCCION]]-TODAY()</f>
        <v>133</v>
      </c>
      <c r="J72" s="30">
        <v>45736</v>
      </c>
      <c r="K72" s="30">
        <f t="shared" si="5"/>
        <v>46100</v>
      </c>
      <c r="L72" s="2">
        <f ca="1">Activos[[#This Row],[VENCE.MANI.ALIM]]-TODAY()</f>
        <v>325</v>
      </c>
      <c r="M72" s="30">
        <v>45554</v>
      </c>
      <c r="N72" s="30">
        <f>EDATE(M72,24)-1</f>
        <v>46283</v>
      </c>
      <c r="O72" s="2">
        <f ca="1">Activos[[#This Row],[VENCIMIENTO.EX.MED]]-TODAY()</f>
        <v>508</v>
      </c>
      <c r="P72" s="2" t="s">
        <v>212</v>
      </c>
      <c r="Q72" s="2" t="s">
        <v>497</v>
      </c>
      <c r="R72" s="105">
        <v>3128495478</v>
      </c>
      <c r="S72" s="2" t="s">
        <v>213</v>
      </c>
      <c r="T72" s="2" t="s">
        <v>256</v>
      </c>
      <c r="U72" s="2" t="s">
        <v>1127</v>
      </c>
      <c r="V72" s="2" t="s">
        <v>302</v>
      </c>
      <c r="W72" s="1" t="s">
        <v>20</v>
      </c>
      <c r="X72" s="1" t="s">
        <v>236</v>
      </c>
      <c r="Y72" s="1">
        <v>36</v>
      </c>
      <c r="Z72" s="1">
        <v>41</v>
      </c>
      <c r="AA72" t="s">
        <v>203</v>
      </c>
      <c r="AB72" s="30">
        <v>45310</v>
      </c>
      <c r="AC72" s="30">
        <v>45310</v>
      </c>
      <c r="AD72" s="2" t="s">
        <v>204</v>
      </c>
      <c r="AE72" s="2" t="s">
        <v>217</v>
      </c>
      <c r="AF72" s="2" t="s">
        <v>217</v>
      </c>
      <c r="AG72" s="2" t="s">
        <v>1009</v>
      </c>
      <c r="AH72" s="2" t="s">
        <v>1010</v>
      </c>
      <c r="AI72" s="240">
        <v>91296506538</v>
      </c>
      <c r="AJ72" s="30">
        <v>45614</v>
      </c>
      <c r="AK72" s="30" t="s">
        <v>218</v>
      </c>
      <c r="AL72" s="323"/>
      <c r="AM72" s="320"/>
      <c r="AN72" s="94">
        <v>71219130</v>
      </c>
      <c r="AO72" s="95" t="s">
        <v>498</v>
      </c>
      <c r="AP72" s="95" t="s">
        <v>499</v>
      </c>
      <c r="AQ72" s="94" t="s">
        <v>209</v>
      </c>
      <c r="AR72" s="97">
        <v>45456</v>
      </c>
      <c r="AS72" s="98">
        <v>45499</v>
      </c>
      <c r="AT72" s="160"/>
      <c r="AU72" s="99" t="s">
        <v>210</v>
      </c>
      <c r="AV72" s="323"/>
    </row>
    <row r="73" spans="1:48" x14ac:dyDescent="0.35">
      <c r="A73" s="317"/>
      <c r="B73" s="1">
        <v>70</v>
      </c>
      <c r="C73" t="s">
        <v>500</v>
      </c>
      <c r="D73" s="1" t="s">
        <v>47</v>
      </c>
      <c r="E73" s="2">
        <v>1035868771</v>
      </c>
      <c r="F73" s="30">
        <v>34562</v>
      </c>
      <c r="G73" s="103" t="s">
        <v>297</v>
      </c>
      <c r="H73" s="30" t="e">
        <f>EDATE(Activos[[#This Row],[FECHA INDUCCION ]],12)-1</f>
        <v>#VALUE!</v>
      </c>
      <c r="I73" s="2" t="e">
        <f ca="1">Activos[[#This Row],[VENCE.INDUCCION]]-TODAY()</f>
        <v>#VALUE!</v>
      </c>
      <c r="J73" s="30">
        <v>45685</v>
      </c>
      <c r="K73" s="30">
        <f t="shared" si="5"/>
        <v>46049</v>
      </c>
      <c r="L73" s="2">
        <f ca="1">Activos[[#This Row],[VENCE.MANI.ALIM]]-TODAY()</f>
        <v>274</v>
      </c>
      <c r="M73" s="30">
        <v>45673</v>
      </c>
      <c r="N73" s="30">
        <f>EDATE(M73,24)-1</f>
        <v>46402</v>
      </c>
      <c r="O73" s="2">
        <f ca="1">Activos[[#This Row],[VENCIMIENTO.EX.MED]]-TODAY()</f>
        <v>627</v>
      </c>
      <c r="P73" s="2" t="s">
        <v>212</v>
      </c>
      <c r="Q73" s="2" t="s">
        <v>501</v>
      </c>
      <c r="R73" s="105">
        <v>3173130771</v>
      </c>
      <c r="S73" s="2" t="s">
        <v>247</v>
      </c>
      <c r="T73" s="2" t="s">
        <v>354</v>
      </c>
      <c r="U73" s="2" t="s">
        <v>1127</v>
      </c>
      <c r="V73" s="2" t="s">
        <v>302</v>
      </c>
      <c r="W73" s="1" t="s">
        <v>20</v>
      </c>
      <c r="X73" s="1" t="s">
        <v>214</v>
      </c>
      <c r="Y73" s="1">
        <v>32</v>
      </c>
      <c r="Z73" s="1">
        <v>42</v>
      </c>
      <c r="AA73" t="s">
        <v>203</v>
      </c>
      <c r="AB73" s="30">
        <v>45678</v>
      </c>
      <c r="AC73" s="30">
        <v>45678</v>
      </c>
      <c r="AD73" s="2" t="s">
        <v>224</v>
      </c>
      <c r="AE73" s="2" t="s">
        <v>205</v>
      </c>
      <c r="AF73" s="2" t="s">
        <v>205</v>
      </c>
      <c r="AG73" s="2" t="s">
        <v>1009</v>
      </c>
      <c r="AH73" s="2" t="s">
        <v>1010</v>
      </c>
      <c r="AI73" s="240">
        <v>39930371282</v>
      </c>
      <c r="AJ73" s="30">
        <v>45672</v>
      </c>
      <c r="AK73" s="30" t="s">
        <v>218</v>
      </c>
      <c r="AL73" s="323"/>
      <c r="AM73" s="320"/>
      <c r="AN73" s="94">
        <v>1002498412</v>
      </c>
      <c r="AO73" s="95" t="s">
        <v>502</v>
      </c>
      <c r="AP73" s="95" t="s">
        <v>220</v>
      </c>
      <c r="AQ73" s="94" t="s">
        <v>209</v>
      </c>
      <c r="AR73" s="97">
        <v>45544</v>
      </c>
      <c r="AS73" s="98">
        <v>45550</v>
      </c>
      <c r="AT73" s="160"/>
      <c r="AU73" s="99" t="s">
        <v>210</v>
      </c>
      <c r="AV73" s="323"/>
    </row>
    <row r="74" spans="1:48" x14ac:dyDescent="0.35">
      <c r="A74" s="317"/>
      <c r="B74" s="1">
        <v>71</v>
      </c>
      <c r="C74" t="s">
        <v>503</v>
      </c>
      <c r="D74" s="1" t="s">
        <v>47</v>
      </c>
      <c r="E74" s="130">
        <v>1001243267</v>
      </c>
      <c r="F74" s="138">
        <v>45862</v>
      </c>
      <c r="G74" s="30">
        <v>45726</v>
      </c>
      <c r="H74" s="138">
        <f>EDATE(Activos[[#This Row],[FECHA INDUCCION ]],12)-1</f>
        <v>46090</v>
      </c>
      <c r="I74" s="130">
        <f ca="1">Activos[[#This Row],[VENCE.INDUCCION]]-TODAY()</f>
        <v>315</v>
      </c>
      <c r="J74" s="30" t="s">
        <v>206</v>
      </c>
      <c r="K74" s="2" t="e">
        <f t="shared" si="5"/>
        <v>#VALUE!</v>
      </c>
      <c r="L74" s="2" t="e">
        <f ca="1">Activos[[#This Row],[VENCE.MANI.ALIM]]-TODAY()</f>
        <v>#VALUE!</v>
      </c>
      <c r="M74" s="30">
        <v>45721</v>
      </c>
      <c r="N74" s="138">
        <f t="shared" si="6"/>
        <v>46085</v>
      </c>
      <c r="O74" s="130">
        <f ca="1">Activos[[#This Row],[VENCIMIENTO.EX.MED]]-TODAY()</f>
        <v>310</v>
      </c>
      <c r="P74" s="2" t="s">
        <v>212</v>
      </c>
      <c r="Q74" s="2" t="s">
        <v>504</v>
      </c>
      <c r="R74" s="105">
        <v>3004678194</v>
      </c>
      <c r="S74" s="2" t="s">
        <v>199</v>
      </c>
      <c r="T74" s="2" t="s">
        <v>256</v>
      </c>
      <c r="U74" s="2" t="s">
        <v>1127</v>
      </c>
      <c r="V74" s="2" t="s">
        <v>22</v>
      </c>
      <c r="W74" s="1" t="s">
        <v>201</v>
      </c>
      <c r="X74" s="1" t="s">
        <v>236</v>
      </c>
      <c r="Y74" s="1">
        <v>30</v>
      </c>
      <c r="Z74" s="1">
        <v>38</v>
      </c>
      <c r="AA74" s="104" t="s">
        <v>215</v>
      </c>
      <c r="AB74" s="30">
        <v>45726</v>
      </c>
      <c r="AC74" s="30">
        <v>45726</v>
      </c>
      <c r="AD74" s="2" t="s">
        <v>204</v>
      </c>
      <c r="AE74" s="2" t="s">
        <v>308</v>
      </c>
      <c r="AF74" s="2" t="s">
        <v>217</v>
      </c>
      <c r="AG74" s="2" t="s">
        <v>1009</v>
      </c>
      <c r="AH74" s="2" t="s">
        <v>1010</v>
      </c>
      <c r="AI74" s="240">
        <v>39963102511</v>
      </c>
      <c r="AJ74" s="30">
        <v>45720</v>
      </c>
      <c r="AK74" s="30" t="s">
        <v>505</v>
      </c>
      <c r="AL74" s="323"/>
      <c r="AM74" s="320"/>
      <c r="AN74" s="94">
        <v>1000764494</v>
      </c>
      <c r="AO74" s="95" t="s">
        <v>506</v>
      </c>
      <c r="AP74" s="95" t="s">
        <v>16</v>
      </c>
      <c r="AQ74" s="94" t="s">
        <v>209</v>
      </c>
      <c r="AR74" s="97">
        <v>45216</v>
      </c>
      <c r="AS74" s="98">
        <v>45457</v>
      </c>
      <c r="AT74" s="160"/>
      <c r="AU74" s="99" t="s">
        <v>210</v>
      </c>
      <c r="AV74" s="323"/>
    </row>
    <row r="75" spans="1:48" x14ac:dyDescent="0.35">
      <c r="A75" s="317"/>
      <c r="B75" s="1">
        <v>72</v>
      </c>
      <c r="C75" t="s">
        <v>507</v>
      </c>
      <c r="D75" s="1" t="s">
        <v>47</v>
      </c>
      <c r="E75" s="2">
        <v>1001503289</v>
      </c>
      <c r="F75" s="30">
        <v>33999</v>
      </c>
      <c r="G75" s="30">
        <v>45419</v>
      </c>
      <c r="H75" s="30">
        <f>EDATE(Activos[[#This Row],[FECHA INDUCCION ]],12)-1</f>
        <v>45783</v>
      </c>
      <c r="I75" s="2">
        <f ca="1">Activos[[#This Row],[VENCE.INDUCCION]]-TODAY()</f>
        <v>8</v>
      </c>
      <c r="J75" s="30">
        <v>45153</v>
      </c>
      <c r="K75" s="30">
        <f t="shared" si="5"/>
        <v>45518</v>
      </c>
      <c r="L75" s="2">
        <f ca="1">Activos[[#This Row],[VENCE.MANI.ALIM]]-TODAY()</f>
        <v>-257</v>
      </c>
      <c r="M75" s="30">
        <v>45591</v>
      </c>
      <c r="N75" s="30">
        <f t="shared" si="6"/>
        <v>45955</v>
      </c>
      <c r="O75" s="2">
        <f ca="1">Activos[[#This Row],[VENCIMIENTO.EX.MED]]-TODAY()</f>
        <v>180</v>
      </c>
      <c r="P75" s="2" t="s">
        <v>267</v>
      </c>
      <c r="Q75" s="2" t="s">
        <v>508</v>
      </c>
      <c r="R75" s="105">
        <v>3006905790</v>
      </c>
      <c r="S75" s="2" t="s">
        <v>247</v>
      </c>
      <c r="T75" s="2" t="s">
        <v>363</v>
      </c>
      <c r="U75" s="2" t="s">
        <v>1127</v>
      </c>
      <c r="V75" s="2" t="s">
        <v>509</v>
      </c>
      <c r="W75" s="1" t="s">
        <v>20</v>
      </c>
      <c r="X75" s="1">
        <v>10</v>
      </c>
      <c r="Y75" s="1">
        <v>12</v>
      </c>
      <c r="Z75" s="1">
        <v>36</v>
      </c>
      <c r="AA75" t="s">
        <v>203</v>
      </c>
      <c r="AB75" s="30">
        <v>45418</v>
      </c>
      <c r="AC75" s="30">
        <v>45603</v>
      </c>
      <c r="AD75" s="2" t="s">
        <v>224</v>
      </c>
      <c r="AE75" s="2" t="s">
        <v>205</v>
      </c>
      <c r="AF75" s="2" t="s">
        <v>205</v>
      </c>
      <c r="AG75" s="2" t="s">
        <v>1009</v>
      </c>
      <c r="AH75" s="2" t="s">
        <v>1010</v>
      </c>
      <c r="AI75" s="240">
        <v>31102819236</v>
      </c>
      <c r="AJ75" s="30">
        <v>45603</v>
      </c>
      <c r="AK75" s="30" t="s">
        <v>242</v>
      </c>
      <c r="AL75" s="323"/>
      <c r="AM75" s="320"/>
      <c r="AN75" s="94">
        <v>1128478949</v>
      </c>
      <c r="AO75" s="95" t="s">
        <v>510</v>
      </c>
      <c r="AP75" s="95" t="s">
        <v>351</v>
      </c>
      <c r="AQ75" s="94" t="s">
        <v>209</v>
      </c>
      <c r="AR75" s="97">
        <v>44893</v>
      </c>
      <c r="AS75" s="98">
        <v>45327</v>
      </c>
      <c r="AT75" s="160"/>
      <c r="AU75" s="99" t="s">
        <v>210</v>
      </c>
      <c r="AV75" s="323"/>
    </row>
    <row r="76" spans="1:48" ht="15" thickBot="1" x14ac:dyDescent="0.4">
      <c r="A76" s="317"/>
      <c r="B76" s="1">
        <v>73</v>
      </c>
      <c r="C76" t="s">
        <v>511</v>
      </c>
      <c r="D76" s="1" t="s">
        <v>47</v>
      </c>
      <c r="E76" s="2">
        <v>70140657</v>
      </c>
      <c r="F76" s="30">
        <v>29398</v>
      </c>
      <c r="G76" s="30">
        <v>45558</v>
      </c>
      <c r="H76" s="30">
        <f>EDATE(Activos[[#This Row],[FECHA INDUCCION ]],12)-1</f>
        <v>45922</v>
      </c>
      <c r="I76" s="2">
        <f ca="1">Activos[[#This Row],[VENCE.INDUCCION]]-TODAY()</f>
        <v>147</v>
      </c>
      <c r="J76" s="30">
        <v>45684</v>
      </c>
      <c r="K76" s="30">
        <f t="shared" si="5"/>
        <v>46048</v>
      </c>
      <c r="L76" s="2">
        <f ca="1">Activos[[#This Row],[VENCE.MANI.ALIM]]-TODAY()</f>
        <v>273</v>
      </c>
      <c r="M76" s="30">
        <v>45555</v>
      </c>
      <c r="N76" s="30">
        <f t="shared" si="6"/>
        <v>45919</v>
      </c>
      <c r="O76" s="2">
        <f ca="1">Activos[[#This Row],[VENCIMIENTO.EX.MED]]-TODAY()</f>
        <v>144</v>
      </c>
      <c r="P76" s="2" t="s">
        <v>212</v>
      </c>
      <c r="Q76" s="2" t="s">
        <v>512</v>
      </c>
      <c r="R76" s="279">
        <v>3126282385</v>
      </c>
      <c r="S76" s="2" t="s">
        <v>213</v>
      </c>
      <c r="T76" s="2" t="s">
        <v>256</v>
      </c>
      <c r="U76" s="2" t="s">
        <v>1127</v>
      </c>
      <c r="V76" s="2" t="s">
        <v>22</v>
      </c>
      <c r="W76" s="1" t="s">
        <v>201</v>
      </c>
      <c r="X76" s="1" t="s">
        <v>236</v>
      </c>
      <c r="Y76" s="1">
        <v>34</v>
      </c>
      <c r="Z76" s="1">
        <v>43</v>
      </c>
      <c r="AA76" t="s">
        <v>203</v>
      </c>
      <c r="AB76" s="30">
        <v>45558</v>
      </c>
      <c r="AC76" s="30">
        <v>45558</v>
      </c>
      <c r="AD76" s="2" t="s">
        <v>224</v>
      </c>
      <c r="AE76" s="2" t="s">
        <v>205</v>
      </c>
      <c r="AF76" s="2" t="s">
        <v>205</v>
      </c>
      <c r="AG76" s="2" t="s">
        <v>1009</v>
      </c>
      <c r="AH76" s="2" t="s">
        <v>1010</v>
      </c>
      <c r="AI76" s="240">
        <v>39900000528</v>
      </c>
      <c r="AJ76" s="30">
        <v>45617</v>
      </c>
      <c r="AK76" s="30" t="s">
        <v>242</v>
      </c>
      <c r="AL76" s="323"/>
      <c r="AM76" s="320"/>
      <c r="AN76" s="94">
        <v>1033377529</v>
      </c>
      <c r="AO76" s="95" t="s">
        <v>513</v>
      </c>
      <c r="AP76" s="95" t="s">
        <v>200</v>
      </c>
      <c r="AQ76" s="94" t="s">
        <v>209</v>
      </c>
      <c r="AR76" s="97">
        <v>45271</v>
      </c>
      <c r="AS76" s="98">
        <v>45488</v>
      </c>
      <c r="AT76" s="160"/>
      <c r="AU76" s="99" t="s">
        <v>210</v>
      </c>
      <c r="AV76" s="323"/>
    </row>
    <row r="77" spans="1:48" x14ac:dyDescent="0.35">
      <c r="A77" s="317"/>
      <c r="B77" s="79"/>
      <c r="C77" s="79"/>
      <c r="D77" s="79"/>
      <c r="E77" s="79"/>
      <c r="F77" s="79"/>
      <c r="G77" s="79"/>
      <c r="H77" s="305"/>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323"/>
      <c r="AM77" s="320"/>
      <c r="AN77" s="94">
        <v>43274812</v>
      </c>
      <c r="AO77" s="95" t="s">
        <v>514</v>
      </c>
      <c r="AP77" s="95" t="s">
        <v>515</v>
      </c>
      <c r="AQ77" s="94" t="s">
        <v>290</v>
      </c>
      <c r="AR77" s="97">
        <v>44881</v>
      </c>
      <c r="AS77" s="98">
        <v>45091</v>
      </c>
      <c r="AT77" s="160"/>
      <c r="AU77" s="99" t="s">
        <v>210</v>
      </c>
      <c r="AV77" s="323"/>
    </row>
    <row r="78" spans="1:48" x14ac:dyDescent="0.35">
      <c r="A78" s="85"/>
      <c r="AL78" s="323"/>
      <c r="AM78" s="320"/>
      <c r="AN78" s="94">
        <v>1002595650</v>
      </c>
      <c r="AO78" s="95" t="s">
        <v>516</v>
      </c>
      <c r="AP78" s="95" t="s">
        <v>517</v>
      </c>
      <c r="AQ78" s="94" t="s">
        <v>290</v>
      </c>
      <c r="AR78" s="97">
        <v>45428</v>
      </c>
      <c r="AS78" s="98">
        <v>45436</v>
      </c>
      <c r="AT78" s="160"/>
      <c r="AU78" s="99" t="s">
        <v>210</v>
      </c>
      <c r="AV78" s="323"/>
    </row>
    <row r="79" spans="1:48" x14ac:dyDescent="0.35">
      <c r="A79" s="85"/>
      <c r="AL79" s="323"/>
      <c r="AM79" s="320"/>
      <c r="AN79" s="94">
        <v>1035859896</v>
      </c>
      <c r="AO79" s="95" t="s">
        <v>518</v>
      </c>
      <c r="AP79" s="95" t="s">
        <v>244</v>
      </c>
      <c r="AQ79" s="94" t="s">
        <v>290</v>
      </c>
      <c r="AR79" s="97">
        <v>44963</v>
      </c>
      <c r="AS79" s="98">
        <v>45050</v>
      </c>
      <c r="AT79" s="160"/>
      <c r="AU79" s="99" t="s">
        <v>210</v>
      </c>
      <c r="AV79" s="323"/>
    </row>
    <row r="80" spans="1:48" x14ac:dyDescent="0.35">
      <c r="A80" s="85"/>
      <c r="AL80" s="323"/>
      <c r="AM80" s="320"/>
      <c r="AN80" s="94">
        <v>3664413</v>
      </c>
      <c r="AO80" s="95" t="s">
        <v>519</v>
      </c>
      <c r="AP80" s="95" t="s">
        <v>220</v>
      </c>
      <c r="AQ80" s="94" t="s">
        <v>209</v>
      </c>
      <c r="AR80" s="97">
        <v>45383</v>
      </c>
      <c r="AS80" s="98">
        <v>45437</v>
      </c>
      <c r="AT80" s="160"/>
      <c r="AU80" s="99" t="s">
        <v>210</v>
      </c>
      <c r="AV80" s="323"/>
    </row>
    <row r="81" spans="1:48" x14ac:dyDescent="0.35">
      <c r="A81" s="79"/>
      <c r="AL81" s="80"/>
      <c r="AM81" s="320"/>
      <c r="AN81" s="94">
        <v>1035127329</v>
      </c>
      <c r="AO81" s="95" t="s">
        <v>520</v>
      </c>
      <c r="AP81" s="95" t="s">
        <v>200</v>
      </c>
      <c r="AQ81" s="94" t="s">
        <v>209</v>
      </c>
      <c r="AR81" s="97">
        <v>45383</v>
      </c>
      <c r="AS81" s="98">
        <v>45421</v>
      </c>
      <c r="AT81" s="160"/>
      <c r="AU81" s="99" t="s">
        <v>210</v>
      </c>
      <c r="AV81" s="323"/>
    </row>
    <row r="82" spans="1:48" x14ac:dyDescent="0.35">
      <c r="AM82" s="320"/>
      <c r="AN82" s="94">
        <v>5007142</v>
      </c>
      <c r="AO82" s="95" t="s">
        <v>521</v>
      </c>
      <c r="AP82" s="95" t="s">
        <v>220</v>
      </c>
      <c r="AQ82" s="94" t="s">
        <v>209</v>
      </c>
      <c r="AR82" s="97">
        <v>45293</v>
      </c>
      <c r="AS82" s="98">
        <v>45516</v>
      </c>
      <c r="AT82" s="160"/>
      <c r="AU82" s="99" t="s">
        <v>210</v>
      </c>
      <c r="AV82" s="323"/>
    </row>
    <row r="83" spans="1:48" x14ac:dyDescent="0.35">
      <c r="AM83" s="320"/>
      <c r="AN83" s="94">
        <v>1035860050</v>
      </c>
      <c r="AO83" s="95" t="s">
        <v>522</v>
      </c>
      <c r="AP83" s="95" t="s">
        <v>200</v>
      </c>
      <c r="AQ83" s="94" t="s">
        <v>209</v>
      </c>
      <c r="AR83" s="97">
        <v>45113</v>
      </c>
      <c r="AS83" s="98">
        <v>45118</v>
      </c>
      <c r="AT83" s="160"/>
      <c r="AU83" s="99" t="s">
        <v>210</v>
      </c>
      <c r="AV83" s="323"/>
    </row>
    <row r="84" spans="1:48" x14ac:dyDescent="0.35">
      <c r="AM84" s="320"/>
      <c r="AN84" s="94">
        <v>98705024</v>
      </c>
      <c r="AO84" s="95" t="s">
        <v>523</v>
      </c>
      <c r="AP84" s="95" t="s">
        <v>16</v>
      </c>
      <c r="AQ84" s="94" t="s">
        <v>209</v>
      </c>
      <c r="AR84" s="97">
        <v>44900</v>
      </c>
      <c r="AS84" s="98">
        <v>45014</v>
      </c>
      <c r="AT84" s="160"/>
      <c r="AU84" s="99" t="s">
        <v>210</v>
      </c>
      <c r="AV84" s="323"/>
    </row>
    <row r="85" spans="1:48" x14ac:dyDescent="0.35">
      <c r="AM85" s="320"/>
      <c r="AN85" s="94">
        <v>1007241377</v>
      </c>
      <c r="AO85" s="95" t="s">
        <v>524</v>
      </c>
      <c r="AP85" s="95" t="s">
        <v>220</v>
      </c>
      <c r="AQ85" s="94" t="s">
        <v>209</v>
      </c>
      <c r="AR85" s="97">
        <v>45449</v>
      </c>
      <c r="AS85" s="98">
        <v>45451</v>
      </c>
      <c r="AT85" s="160"/>
      <c r="AU85" s="99" t="s">
        <v>210</v>
      </c>
      <c r="AV85" s="323"/>
    </row>
    <row r="86" spans="1:48" x14ac:dyDescent="0.35">
      <c r="AM86" s="320"/>
      <c r="AN86" s="94">
        <v>1003288700</v>
      </c>
      <c r="AO86" s="95" t="s">
        <v>525</v>
      </c>
      <c r="AP86" s="95" t="s">
        <v>200</v>
      </c>
      <c r="AQ86" s="94" t="s">
        <v>209</v>
      </c>
      <c r="AR86" s="97">
        <v>45055</v>
      </c>
      <c r="AS86" s="98">
        <v>45321</v>
      </c>
      <c r="AT86" s="160"/>
      <c r="AU86" s="99"/>
      <c r="AV86" s="323"/>
    </row>
    <row r="87" spans="1:48" x14ac:dyDescent="0.35">
      <c r="AM87" s="320"/>
      <c r="AN87" s="94">
        <v>1003288700</v>
      </c>
      <c r="AO87" s="95" t="s">
        <v>525</v>
      </c>
      <c r="AP87" s="95" t="s">
        <v>200</v>
      </c>
      <c r="AQ87" s="94" t="s">
        <v>209</v>
      </c>
      <c r="AR87" s="97">
        <v>45323</v>
      </c>
      <c r="AS87" s="98"/>
      <c r="AT87" s="160"/>
      <c r="AU87" s="99" t="s">
        <v>233</v>
      </c>
      <c r="AV87" s="323"/>
    </row>
    <row r="88" spans="1:48" x14ac:dyDescent="0.35">
      <c r="AM88" s="320"/>
      <c r="AN88" s="94">
        <v>1007074795</v>
      </c>
      <c r="AO88" s="95" t="s">
        <v>526</v>
      </c>
      <c r="AP88" s="95" t="s">
        <v>200</v>
      </c>
      <c r="AQ88" s="94" t="s">
        <v>209</v>
      </c>
      <c r="AR88" s="97">
        <v>44977</v>
      </c>
      <c r="AS88" s="98">
        <v>45287</v>
      </c>
      <c r="AT88" s="160"/>
      <c r="AU88" s="99" t="s">
        <v>210</v>
      </c>
      <c r="AV88" s="323"/>
    </row>
    <row r="89" spans="1:48" x14ac:dyDescent="0.35">
      <c r="AM89" s="320"/>
      <c r="AN89" s="94">
        <v>1007074795</v>
      </c>
      <c r="AO89" s="95" t="s">
        <v>526</v>
      </c>
      <c r="AP89" s="95" t="s">
        <v>200</v>
      </c>
      <c r="AQ89" s="94" t="s">
        <v>209</v>
      </c>
      <c r="AR89" s="97">
        <v>45300</v>
      </c>
      <c r="AS89" s="98">
        <v>45465</v>
      </c>
      <c r="AT89" s="160"/>
      <c r="AU89" s="99" t="s">
        <v>210</v>
      </c>
      <c r="AV89" s="323"/>
    </row>
    <row r="90" spans="1:48" x14ac:dyDescent="0.35">
      <c r="AM90" s="320"/>
      <c r="AN90" s="94">
        <v>1035877168</v>
      </c>
      <c r="AO90" s="95" t="s">
        <v>527</v>
      </c>
      <c r="AP90" s="95" t="s">
        <v>220</v>
      </c>
      <c r="AQ90" s="94" t="s">
        <v>209</v>
      </c>
      <c r="AR90" s="97">
        <v>45028</v>
      </c>
      <c r="AS90" s="98">
        <v>45041</v>
      </c>
      <c r="AT90" s="160"/>
      <c r="AU90" s="99" t="s">
        <v>210</v>
      </c>
      <c r="AV90" s="323"/>
    </row>
    <row r="91" spans="1:48" x14ac:dyDescent="0.35">
      <c r="AM91" s="320"/>
      <c r="AN91" s="94">
        <v>5182722</v>
      </c>
      <c r="AO91" s="95" t="s">
        <v>528</v>
      </c>
      <c r="AP91" s="95" t="s">
        <v>200</v>
      </c>
      <c r="AQ91" s="94" t="s">
        <v>209</v>
      </c>
      <c r="AR91" s="97">
        <v>44885</v>
      </c>
      <c r="AS91" s="98">
        <v>45351</v>
      </c>
      <c r="AT91" s="160"/>
      <c r="AU91" s="99" t="s">
        <v>210</v>
      </c>
      <c r="AV91" s="323"/>
    </row>
    <row r="92" spans="1:48" x14ac:dyDescent="0.35">
      <c r="AM92" s="320"/>
      <c r="AN92" s="94">
        <v>1045419440</v>
      </c>
      <c r="AO92" s="95" t="s">
        <v>529</v>
      </c>
      <c r="AP92" s="95" t="s">
        <v>220</v>
      </c>
      <c r="AQ92" s="94" t="s">
        <v>290</v>
      </c>
      <c r="AR92" s="97">
        <v>45496</v>
      </c>
      <c r="AS92" s="98">
        <v>45507</v>
      </c>
      <c r="AT92" s="160"/>
      <c r="AU92" s="99" t="s">
        <v>210</v>
      </c>
      <c r="AV92" s="323"/>
    </row>
    <row r="93" spans="1:48" x14ac:dyDescent="0.35">
      <c r="AM93" s="320"/>
      <c r="AN93" s="94">
        <v>1094351125</v>
      </c>
      <c r="AO93" s="95" t="s">
        <v>530</v>
      </c>
      <c r="AP93" s="95" t="s">
        <v>16</v>
      </c>
      <c r="AQ93" s="94" t="s">
        <v>209</v>
      </c>
      <c r="AR93" s="97">
        <v>45366</v>
      </c>
      <c r="AS93" s="98">
        <v>45428</v>
      </c>
      <c r="AT93" s="160"/>
      <c r="AU93" s="99"/>
      <c r="AV93" s="323"/>
    </row>
    <row r="94" spans="1:48" x14ac:dyDescent="0.35">
      <c r="C94" s="99"/>
      <c r="AM94" s="320"/>
      <c r="AN94" s="94">
        <v>1094351125</v>
      </c>
      <c r="AO94" s="95" t="s">
        <v>530</v>
      </c>
      <c r="AP94" s="95" t="s">
        <v>16</v>
      </c>
      <c r="AQ94" s="94" t="s">
        <v>209</v>
      </c>
      <c r="AR94" s="97"/>
      <c r="AS94" s="98"/>
      <c r="AT94" s="160"/>
      <c r="AU94" s="99"/>
      <c r="AV94" s="323"/>
    </row>
    <row r="95" spans="1:48" x14ac:dyDescent="0.35">
      <c r="AM95" s="320"/>
      <c r="AN95" s="94">
        <v>1094351125</v>
      </c>
      <c r="AO95" s="95" t="s">
        <v>530</v>
      </c>
      <c r="AP95" s="95" t="s">
        <v>16</v>
      </c>
      <c r="AQ95" s="94" t="s">
        <v>209</v>
      </c>
      <c r="AR95" s="97">
        <v>45566</v>
      </c>
      <c r="AS95" s="98"/>
      <c r="AT95" s="160"/>
      <c r="AU95" s="99" t="s">
        <v>233</v>
      </c>
      <c r="AV95" s="323"/>
    </row>
    <row r="96" spans="1:48" x14ac:dyDescent="0.35">
      <c r="AM96" s="320"/>
      <c r="AN96" s="94">
        <v>1070819271</v>
      </c>
      <c r="AO96" s="95" t="s">
        <v>464</v>
      </c>
      <c r="AP96" s="95" t="s">
        <v>467</v>
      </c>
      <c r="AQ96" s="94" t="s">
        <v>209</v>
      </c>
      <c r="AR96" s="97">
        <v>44847</v>
      </c>
      <c r="AS96" s="98">
        <v>45287</v>
      </c>
      <c r="AT96" s="160"/>
      <c r="AU96" s="99"/>
      <c r="AV96" s="323"/>
    </row>
    <row r="97" spans="39:48" x14ac:dyDescent="0.35">
      <c r="AM97" s="320"/>
      <c r="AN97" s="94">
        <v>1070819271</v>
      </c>
      <c r="AO97" s="95" t="s">
        <v>464</v>
      </c>
      <c r="AP97" s="95" t="s">
        <v>467</v>
      </c>
      <c r="AQ97" s="94" t="s">
        <v>209</v>
      </c>
      <c r="AR97" s="97">
        <v>45300</v>
      </c>
      <c r="AS97" s="98"/>
      <c r="AT97" s="160"/>
      <c r="AU97" s="99" t="s">
        <v>233</v>
      </c>
      <c r="AV97" s="323"/>
    </row>
    <row r="98" spans="39:48" x14ac:dyDescent="0.35">
      <c r="AM98" s="320"/>
      <c r="AN98" s="94">
        <v>1040354036</v>
      </c>
      <c r="AO98" s="95" t="s">
        <v>531</v>
      </c>
      <c r="AP98" s="95" t="s">
        <v>220</v>
      </c>
      <c r="AQ98" s="94" t="s">
        <v>209</v>
      </c>
      <c r="AR98" s="97">
        <v>45433</v>
      </c>
      <c r="AS98" s="98">
        <v>45443</v>
      </c>
      <c r="AT98" s="160"/>
      <c r="AU98" s="99" t="s">
        <v>210</v>
      </c>
      <c r="AV98" s="323"/>
    </row>
    <row r="99" spans="39:48" x14ac:dyDescent="0.35">
      <c r="AM99" s="320"/>
      <c r="AN99" s="94">
        <v>7048174</v>
      </c>
      <c r="AO99" s="95" t="s">
        <v>532</v>
      </c>
      <c r="AP99" s="95" t="s">
        <v>220</v>
      </c>
      <c r="AQ99" s="94" t="s">
        <v>209</v>
      </c>
      <c r="AR99" s="97">
        <v>45300</v>
      </c>
      <c r="AS99" s="98">
        <v>45503</v>
      </c>
      <c r="AT99" s="160"/>
      <c r="AU99" s="99" t="s">
        <v>210</v>
      </c>
      <c r="AV99" s="323"/>
    </row>
    <row r="100" spans="39:48" x14ac:dyDescent="0.35">
      <c r="AM100" s="320"/>
      <c r="AN100" s="94">
        <v>1018242452</v>
      </c>
      <c r="AO100" s="95" t="s">
        <v>533</v>
      </c>
      <c r="AP100" s="95" t="s">
        <v>220</v>
      </c>
      <c r="AQ100" s="94" t="s">
        <v>209</v>
      </c>
      <c r="AR100" s="97">
        <v>45524</v>
      </c>
      <c r="AS100" s="98">
        <v>45562</v>
      </c>
      <c r="AT100" s="160"/>
      <c r="AU100" s="99" t="s">
        <v>210</v>
      </c>
      <c r="AV100" s="323"/>
    </row>
    <row r="101" spans="39:48" x14ac:dyDescent="0.35">
      <c r="AM101" s="320"/>
      <c r="AN101" s="94">
        <v>1065817258</v>
      </c>
      <c r="AO101" s="95" t="s">
        <v>534</v>
      </c>
      <c r="AP101" s="95" t="s">
        <v>16</v>
      </c>
      <c r="AQ101" s="94" t="s">
        <v>209</v>
      </c>
      <c r="AR101" s="97">
        <v>45432</v>
      </c>
      <c r="AS101" s="98">
        <v>45498</v>
      </c>
      <c r="AT101" s="160"/>
      <c r="AU101" s="99" t="s">
        <v>210</v>
      </c>
      <c r="AV101" s="323"/>
    </row>
    <row r="102" spans="39:48" x14ac:dyDescent="0.35">
      <c r="AM102" s="320"/>
      <c r="AN102" s="94">
        <v>1152715661</v>
      </c>
      <c r="AO102" s="95" t="s">
        <v>535</v>
      </c>
      <c r="AP102" s="95" t="s">
        <v>16</v>
      </c>
      <c r="AQ102" s="94" t="s">
        <v>209</v>
      </c>
      <c r="AR102" s="97">
        <v>45028</v>
      </c>
      <c r="AS102" s="98">
        <v>45321</v>
      </c>
      <c r="AT102" s="160"/>
      <c r="AU102" s="99" t="s">
        <v>210</v>
      </c>
      <c r="AV102" s="323"/>
    </row>
    <row r="103" spans="39:48" x14ac:dyDescent="0.35">
      <c r="AM103" s="320"/>
      <c r="AN103" s="94">
        <v>1152227033</v>
      </c>
      <c r="AO103" s="95" t="s">
        <v>536</v>
      </c>
      <c r="AP103" s="95" t="s">
        <v>16</v>
      </c>
      <c r="AQ103" s="94" t="s">
        <v>209</v>
      </c>
      <c r="AR103" s="97">
        <v>44953</v>
      </c>
      <c r="AS103" s="98">
        <v>45088</v>
      </c>
      <c r="AT103" s="160"/>
      <c r="AU103" s="99" t="s">
        <v>210</v>
      </c>
      <c r="AV103" s="323"/>
    </row>
    <row r="104" spans="39:48" x14ac:dyDescent="0.35">
      <c r="AM104" s="320"/>
      <c r="AN104" s="94">
        <v>1214745859</v>
      </c>
      <c r="AO104" s="95" t="s">
        <v>537</v>
      </c>
      <c r="AP104" s="95" t="s">
        <v>200</v>
      </c>
      <c r="AQ104" s="94" t="s">
        <v>209</v>
      </c>
      <c r="AR104" s="97">
        <v>45098</v>
      </c>
      <c r="AS104" s="98">
        <v>45321</v>
      </c>
      <c r="AT104" s="160"/>
      <c r="AU104" s="99"/>
      <c r="AV104" s="323"/>
    </row>
    <row r="105" spans="39:48" x14ac:dyDescent="0.35">
      <c r="AM105" s="320"/>
      <c r="AN105" s="94">
        <v>1214745859</v>
      </c>
      <c r="AO105" s="95" t="s">
        <v>537</v>
      </c>
      <c r="AP105" s="95" t="s">
        <v>200</v>
      </c>
      <c r="AQ105" s="94" t="s">
        <v>209</v>
      </c>
      <c r="AR105" s="97"/>
      <c r="AS105" s="98"/>
      <c r="AT105" s="160"/>
      <c r="AU105" s="99"/>
      <c r="AV105" s="323"/>
    </row>
    <row r="106" spans="39:48" x14ac:dyDescent="0.35">
      <c r="AM106" s="320"/>
      <c r="AN106" s="94">
        <v>1214745859</v>
      </c>
      <c r="AO106" s="95" t="s">
        <v>537</v>
      </c>
      <c r="AP106" s="95" t="s">
        <v>200</v>
      </c>
      <c r="AQ106" s="94" t="s">
        <v>209</v>
      </c>
      <c r="AR106" s="97">
        <v>45642</v>
      </c>
      <c r="AS106" s="98"/>
      <c r="AT106" s="160"/>
      <c r="AU106" s="99" t="s">
        <v>233</v>
      </c>
      <c r="AV106" s="323"/>
    </row>
    <row r="107" spans="39:48" x14ac:dyDescent="0.35">
      <c r="AM107" s="320"/>
      <c r="AN107" s="94">
        <v>1035431957</v>
      </c>
      <c r="AO107" s="95" t="s">
        <v>538</v>
      </c>
      <c r="AP107" s="95" t="s">
        <v>16</v>
      </c>
      <c r="AQ107" s="94" t="s">
        <v>209</v>
      </c>
      <c r="AR107" s="97">
        <v>45261</v>
      </c>
      <c r="AS107" s="98">
        <v>45277</v>
      </c>
      <c r="AT107" s="160"/>
      <c r="AU107" s="99" t="s">
        <v>210</v>
      </c>
      <c r="AV107" s="323"/>
    </row>
    <row r="108" spans="39:48" x14ac:dyDescent="0.35">
      <c r="AM108" s="320"/>
      <c r="AN108" s="94">
        <v>1152708921</v>
      </c>
      <c r="AO108" s="95" t="s">
        <v>539</v>
      </c>
      <c r="AP108" s="95" t="s">
        <v>220</v>
      </c>
      <c r="AQ108" s="94" t="s">
        <v>209</v>
      </c>
      <c r="AR108" s="97">
        <v>45433</v>
      </c>
      <c r="AS108" s="98">
        <v>45437</v>
      </c>
      <c r="AT108" s="160"/>
      <c r="AU108" s="99" t="s">
        <v>210</v>
      </c>
      <c r="AV108" s="323"/>
    </row>
    <row r="109" spans="39:48" x14ac:dyDescent="0.35">
      <c r="AM109" s="320"/>
      <c r="AN109" s="94">
        <v>1035235269</v>
      </c>
      <c r="AO109" s="95" t="s">
        <v>540</v>
      </c>
      <c r="AP109" s="95" t="s">
        <v>200</v>
      </c>
      <c r="AQ109" s="94" t="s">
        <v>209</v>
      </c>
      <c r="AR109" s="97">
        <v>45091</v>
      </c>
      <c r="AS109" s="98">
        <v>45091</v>
      </c>
      <c r="AT109" s="160"/>
      <c r="AU109" s="99" t="s">
        <v>210</v>
      </c>
      <c r="AV109" s="323"/>
    </row>
    <row r="110" spans="39:48" x14ac:dyDescent="0.35">
      <c r="AM110" s="320"/>
      <c r="AN110" s="94">
        <v>1035868771</v>
      </c>
      <c r="AO110" s="95" t="s">
        <v>500</v>
      </c>
      <c r="AP110" s="95" t="s">
        <v>351</v>
      </c>
      <c r="AQ110" s="94" t="s">
        <v>209</v>
      </c>
      <c r="AR110" s="97">
        <v>45247</v>
      </c>
      <c r="AS110" s="98">
        <v>45547</v>
      </c>
      <c r="AT110" s="160"/>
      <c r="AU110" s="99"/>
      <c r="AV110" s="323"/>
    </row>
    <row r="111" spans="39:48" x14ac:dyDescent="0.35">
      <c r="AM111" s="320"/>
      <c r="AN111" s="94">
        <v>1035868771</v>
      </c>
      <c r="AO111" s="95" t="s">
        <v>500</v>
      </c>
      <c r="AP111" s="95" t="s">
        <v>351</v>
      </c>
      <c r="AQ111" s="94" t="s">
        <v>209</v>
      </c>
      <c r="AR111" s="97">
        <v>45678</v>
      </c>
      <c r="AS111" s="98"/>
      <c r="AT111" s="160"/>
      <c r="AU111" s="99" t="s">
        <v>233</v>
      </c>
      <c r="AV111" s="323"/>
    </row>
    <row r="112" spans="39:48" x14ac:dyDescent="0.35">
      <c r="AM112" s="320"/>
      <c r="AN112" s="94">
        <v>1128398576</v>
      </c>
      <c r="AO112" s="95" t="s">
        <v>541</v>
      </c>
      <c r="AP112" s="95" t="s">
        <v>542</v>
      </c>
      <c r="AQ112" s="94" t="s">
        <v>290</v>
      </c>
      <c r="AR112" s="97">
        <v>44950</v>
      </c>
      <c r="AS112" s="98">
        <v>45390</v>
      </c>
      <c r="AT112" s="160"/>
      <c r="AU112" s="99" t="s">
        <v>210</v>
      </c>
      <c r="AV112" s="323"/>
    </row>
    <row r="113" spans="39:48" x14ac:dyDescent="0.35">
      <c r="AM113" s="320"/>
      <c r="AN113" s="94">
        <v>10007522739</v>
      </c>
      <c r="AO113" s="95" t="s">
        <v>543</v>
      </c>
      <c r="AP113" s="95" t="s">
        <v>16</v>
      </c>
      <c r="AQ113" s="94" t="s">
        <v>209</v>
      </c>
      <c r="AR113" s="97">
        <v>44931</v>
      </c>
      <c r="AS113" s="98">
        <v>44972</v>
      </c>
      <c r="AT113" s="160"/>
      <c r="AU113" s="99" t="s">
        <v>210</v>
      </c>
      <c r="AV113" s="323"/>
    </row>
    <row r="114" spans="39:48" x14ac:dyDescent="0.35">
      <c r="AM114" s="320"/>
      <c r="AN114" s="94">
        <v>1042764636</v>
      </c>
      <c r="AO114" s="95" t="s">
        <v>544</v>
      </c>
      <c r="AP114" s="95" t="s">
        <v>220</v>
      </c>
      <c r="AQ114" s="94" t="s">
        <v>209</v>
      </c>
      <c r="AR114" s="97">
        <v>45400</v>
      </c>
      <c r="AS114" s="98">
        <v>45421</v>
      </c>
      <c r="AT114" s="160"/>
      <c r="AU114" s="99" t="s">
        <v>210</v>
      </c>
      <c r="AV114" s="323"/>
    </row>
    <row r="115" spans="39:48" x14ac:dyDescent="0.35">
      <c r="AM115" s="320"/>
      <c r="AN115" s="94">
        <v>1069746063</v>
      </c>
      <c r="AO115" s="95" t="s">
        <v>545</v>
      </c>
      <c r="AP115" s="95" t="s">
        <v>16</v>
      </c>
      <c r="AQ115" s="94" t="s">
        <v>209</v>
      </c>
      <c r="AR115" s="97">
        <v>45300</v>
      </c>
      <c r="AS115" s="98">
        <v>45565</v>
      </c>
      <c r="AT115" s="160"/>
      <c r="AU115" s="99" t="s">
        <v>210</v>
      </c>
      <c r="AV115" s="323"/>
    </row>
    <row r="116" spans="39:48" x14ac:dyDescent="0.35">
      <c r="AM116" s="320"/>
      <c r="AN116" s="94">
        <v>82362872</v>
      </c>
      <c r="AO116" s="95" t="s">
        <v>546</v>
      </c>
      <c r="AP116" s="95" t="s">
        <v>220</v>
      </c>
      <c r="AQ116" s="94" t="s">
        <v>209</v>
      </c>
      <c r="AR116" s="97">
        <v>45449</v>
      </c>
      <c r="AS116" s="98">
        <v>45469</v>
      </c>
      <c r="AT116" s="160"/>
      <c r="AU116" s="99" t="s">
        <v>210</v>
      </c>
      <c r="AV116" s="323"/>
    </row>
    <row r="117" spans="39:48" x14ac:dyDescent="0.35">
      <c r="AM117" s="320"/>
      <c r="AN117" s="94">
        <v>1042150523</v>
      </c>
      <c r="AO117" s="95" t="s">
        <v>547</v>
      </c>
      <c r="AP117" s="95" t="s">
        <v>220</v>
      </c>
      <c r="AQ117" s="94" t="s">
        <v>209</v>
      </c>
      <c r="AR117" s="97">
        <v>45433</v>
      </c>
      <c r="AS117" s="98">
        <v>45530</v>
      </c>
      <c r="AT117" s="160"/>
      <c r="AU117" s="99" t="s">
        <v>210</v>
      </c>
      <c r="AV117" s="323"/>
    </row>
    <row r="118" spans="39:48" x14ac:dyDescent="0.35">
      <c r="AM118" s="320"/>
      <c r="AN118" s="94">
        <v>1040326788</v>
      </c>
      <c r="AO118" s="95" t="s">
        <v>548</v>
      </c>
      <c r="AP118" s="95" t="s">
        <v>16</v>
      </c>
      <c r="AQ118" s="94" t="s">
        <v>209</v>
      </c>
      <c r="AR118" s="97">
        <v>44076</v>
      </c>
      <c r="AS118" s="98">
        <v>45329</v>
      </c>
      <c r="AT118" s="160"/>
      <c r="AU118" s="99" t="s">
        <v>210</v>
      </c>
      <c r="AV118" s="323"/>
    </row>
    <row r="119" spans="39:48" x14ac:dyDescent="0.35">
      <c r="AM119" s="320"/>
      <c r="AN119" s="94">
        <v>6221007</v>
      </c>
      <c r="AO119" s="95" t="s">
        <v>549</v>
      </c>
      <c r="AP119" s="95" t="s">
        <v>220</v>
      </c>
      <c r="AQ119" s="94" t="s">
        <v>209</v>
      </c>
      <c r="AR119" s="97">
        <v>45369</v>
      </c>
      <c r="AS119" s="98">
        <v>45530</v>
      </c>
      <c r="AT119" s="160"/>
      <c r="AU119" s="99" t="s">
        <v>210</v>
      </c>
      <c r="AV119" s="323"/>
    </row>
    <row r="120" spans="39:48" x14ac:dyDescent="0.35">
      <c r="AM120" s="320"/>
      <c r="AN120" s="94">
        <v>1121904709</v>
      </c>
      <c r="AO120" s="95" t="s">
        <v>550</v>
      </c>
      <c r="AP120" s="95" t="s">
        <v>422</v>
      </c>
      <c r="AQ120" s="94" t="s">
        <v>290</v>
      </c>
      <c r="AR120" s="97">
        <v>45342</v>
      </c>
      <c r="AS120" s="98">
        <v>45366</v>
      </c>
      <c r="AT120" s="160"/>
      <c r="AU120" s="99" t="s">
        <v>210</v>
      </c>
      <c r="AV120" s="323"/>
    </row>
    <row r="121" spans="39:48" x14ac:dyDescent="0.35">
      <c r="AM121" s="320"/>
      <c r="AN121" s="94">
        <v>6777726</v>
      </c>
      <c r="AO121" s="95" t="s">
        <v>551</v>
      </c>
      <c r="AP121" s="95" t="s">
        <v>220</v>
      </c>
      <c r="AQ121" s="94" t="s">
        <v>209</v>
      </c>
      <c r="AR121" s="97">
        <v>45433</v>
      </c>
      <c r="AS121" s="98">
        <v>45491</v>
      </c>
      <c r="AT121" s="160"/>
      <c r="AU121" s="99" t="s">
        <v>210</v>
      </c>
      <c r="AV121" s="323"/>
    </row>
    <row r="122" spans="39:48" x14ac:dyDescent="0.35">
      <c r="AM122" s="320"/>
      <c r="AN122" s="94">
        <v>1079100241</v>
      </c>
      <c r="AO122" s="95" t="s">
        <v>552</v>
      </c>
      <c r="AP122" s="95" t="s">
        <v>220</v>
      </c>
      <c r="AQ122" s="94" t="s">
        <v>209</v>
      </c>
      <c r="AR122" s="97">
        <v>45054</v>
      </c>
      <c r="AS122" s="98">
        <v>45558</v>
      </c>
      <c r="AT122" s="160"/>
      <c r="AU122" s="99" t="s">
        <v>210</v>
      </c>
      <c r="AV122" s="323"/>
    </row>
    <row r="123" spans="39:48" x14ac:dyDescent="0.35">
      <c r="AM123" s="320"/>
      <c r="AN123" s="94">
        <v>1042774606</v>
      </c>
      <c r="AO123" s="95" t="s">
        <v>553</v>
      </c>
      <c r="AP123" s="95" t="s">
        <v>220</v>
      </c>
      <c r="AQ123" s="94" t="s">
        <v>209</v>
      </c>
      <c r="AR123" s="97">
        <v>45414</v>
      </c>
      <c r="AS123" s="98">
        <v>45440</v>
      </c>
      <c r="AT123" s="160"/>
      <c r="AU123" s="99" t="s">
        <v>210</v>
      </c>
      <c r="AV123" s="323"/>
    </row>
    <row r="124" spans="39:48" x14ac:dyDescent="0.35">
      <c r="AM124" s="320"/>
      <c r="AN124" s="317"/>
      <c r="AO124" s="317"/>
      <c r="AP124" s="317"/>
      <c r="AQ124" s="317"/>
      <c r="AR124" s="317"/>
      <c r="AS124" s="317"/>
      <c r="AT124" s="317"/>
      <c r="AU124" s="317"/>
      <c r="AV124" s="323"/>
    </row>
    <row r="125" spans="39:48" x14ac:dyDescent="0.35">
      <c r="AM125" s="325"/>
      <c r="AN125" s="326"/>
      <c r="AO125" s="326"/>
      <c r="AP125" s="326"/>
      <c r="AQ125" s="326"/>
      <c r="AR125" s="326"/>
      <c r="AS125" s="326"/>
      <c r="AT125" s="326"/>
      <c r="AU125" s="326"/>
      <c r="AV125" s="324"/>
    </row>
  </sheetData>
  <mergeCells count="9">
    <mergeCell ref="A1:A77"/>
    <mergeCell ref="B1:B2"/>
    <mergeCell ref="AM1:AM123"/>
    <mergeCell ref="AN1:AV2"/>
    <mergeCell ref="AV3:AV125"/>
    <mergeCell ref="AM124:AU125"/>
    <mergeCell ref="C1:C2"/>
    <mergeCell ref="D1:AL2"/>
    <mergeCell ref="AL3:AL80"/>
  </mergeCells>
  <phoneticPr fontId="5" type="noConversion"/>
  <conditionalFormatting sqref="I4:I76">
    <cfRule type="cellIs" dxfId="9" priority="2" operator="lessThan">
      <formula>30</formula>
    </cfRule>
  </conditionalFormatting>
  <conditionalFormatting sqref="O4:O76">
    <cfRule type="cellIs" dxfId="8" priority="1" operator="lessThan">
      <formula>30</formula>
    </cfRule>
  </conditionalFormatting>
  <hyperlinks>
    <hyperlink ref="Q5" r:id="rId1" xr:uid="{94734CDD-E975-49A3-8226-5F2F7B598B5F}"/>
    <hyperlink ref="Q6" r:id="rId2" xr:uid="{3136B7A5-0586-4EAE-83EA-D90D4FEC09FE}"/>
    <hyperlink ref="Q7" r:id="rId3" xr:uid="{E0B05D59-E8EA-41C4-B729-6C257D0E88CE}"/>
    <hyperlink ref="Q8" r:id="rId4" xr:uid="{D63600FD-0760-42A4-8A7A-273E4220A51E}"/>
    <hyperlink ref="Q9" r:id="rId5" xr:uid="{F508A2B2-37DE-41F0-8A1D-FCCEA5A4BE21}"/>
    <hyperlink ref="Q10" r:id="rId6" xr:uid="{55834130-27CC-42A9-9012-7C3E5F197987}"/>
    <hyperlink ref="Q11" r:id="rId7" xr:uid="{BFA6DF35-2855-4905-BD12-665728C51D4E}"/>
    <hyperlink ref="Q12" r:id="rId8" xr:uid="{778214EA-55D9-4E68-A819-0693EC215D29}"/>
    <hyperlink ref="Q13" r:id="rId9" xr:uid="{F39E71C4-5068-4F26-9CBF-3A00D56BF8D7}"/>
    <hyperlink ref="Q14" r:id="rId10" xr:uid="{922CB676-85A4-4ED8-B579-F103D3479C3F}"/>
    <hyperlink ref="Q15" r:id="rId11" xr:uid="{7268C181-9CFD-4681-B07F-35B8B148285F}"/>
    <hyperlink ref="Q16" r:id="rId12" xr:uid="{A3448737-8993-4B1C-8D76-F6B17F14A632}"/>
    <hyperlink ref="Q17" r:id="rId13" xr:uid="{41FEF741-6E97-4D63-9B75-1E7B7944AEE8}"/>
    <hyperlink ref="Q18" r:id="rId14" xr:uid="{AA3A97B8-2DA4-42E7-8318-A1658DB5C269}"/>
    <hyperlink ref="Q19" r:id="rId15" xr:uid="{9D07E01D-7BBB-4DA6-9822-E92A3E7DE4CC}"/>
    <hyperlink ref="Q20" r:id="rId16" xr:uid="{128C2920-0B7D-4E01-A0DF-4CB3B2DCDC99}"/>
    <hyperlink ref="Q21" r:id="rId17" xr:uid="{AF9FFB70-4F2C-460B-A3A1-083B0FCD15DA}"/>
    <hyperlink ref="Q23" r:id="rId18" xr:uid="{8C9996D4-CAA8-42BB-9897-D76E5CF1E5D7}"/>
    <hyperlink ref="Q24" r:id="rId19" xr:uid="{4C2E5FFE-BF7F-4424-8158-B15E08CC16A3}"/>
    <hyperlink ref="Q25" r:id="rId20" xr:uid="{A571A441-53BB-4128-95E7-6F8F6E6F5227}"/>
    <hyperlink ref="Q26" r:id="rId21" xr:uid="{DCB07E02-AD17-4B80-AD0D-40083E84D93E}"/>
    <hyperlink ref="Q27" r:id="rId22" xr:uid="{075EC0FA-DD2A-4C4C-BB6D-AEC4C660A84C}"/>
    <hyperlink ref="Q28" r:id="rId23" xr:uid="{C3CE5E8C-C5ED-4242-8C25-64778A69C937}"/>
    <hyperlink ref="Q29" r:id="rId24" xr:uid="{86EC73F1-858E-4672-B9CD-95EDEE23EB43}"/>
    <hyperlink ref="Q30" r:id="rId25" xr:uid="{46A8C9BB-2028-4991-B6B5-33E33269AA6E}"/>
    <hyperlink ref="Q32" r:id="rId26" xr:uid="{2904B05F-8359-4817-A7A9-A8292E429547}"/>
    <hyperlink ref="Q33" r:id="rId27" xr:uid="{452E6889-D2B8-4D42-8811-796DF21EA99F}"/>
    <hyperlink ref="Q34" r:id="rId28" xr:uid="{EFA18A30-874A-4FE9-9FDA-443D8A9AFA64}"/>
    <hyperlink ref="Q36" r:id="rId29" xr:uid="{3161FCDB-FBD3-4327-9B02-3D44A1686E09}"/>
    <hyperlink ref="Q43" r:id="rId30" xr:uid="{CF308A99-BDB6-4D1A-94C1-CC78F12E48F7}"/>
    <hyperlink ref="Q39" r:id="rId31" xr:uid="{542C0C89-9348-4B51-BC42-3B7685D4E11B}"/>
    <hyperlink ref="Q40" r:id="rId32" xr:uid="{C02962B5-BD37-4B27-ADE8-C6FE370FD2E2}"/>
    <hyperlink ref="Q41" r:id="rId33" xr:uid="{715940C4-5FBF-408B-8309-B7F3EA5BA465}"/>
    <hyperlink ref="Q42" r:id="rId34" xr:uid="{A91140FE-3E99-4072-A803-157BAFCC0CA5}"/>
    <hyperlink ref="Q37" r:id="rId35" xr:uid="{B868C939-F25C-4838-BBBB-EE0A50AFAEB0}"/>
    <hyperlink ref="Q44" r:id="rId36" xr:uid="{C0BD1814-B282-465B-9E10-21BA08404F56}"/>
    <hyperlink ref="Q45" r:id="rId37" xr:uid="{32A2CBE0-A6B7-40DB-8DE3-E62F494F10C2}"/>
    <hyperlink ref="Q46" r:id="rId38" xr:uid="{BA63D613-4374-4591-A7A5-649CC909034E}"/>
    <hyperlink ref="Q47" r:id="rId39" xr:uid="{2B9CD4AF-5FD2-4A99-97B9-F2FCA61730DC}"/>
    <hyperlink ref="Q48" r:id="rId40" xr:uid="{E7F603CA-BF91-4787-9182-6E906BBB9124}"/>
    <hyperlink ref="Q49" r:id="rId41" xr:uid="{B46B3497-EF61-414E-98BD-A3DD144B91B1}"/>
    <hyperlink ref="Q50" r:id="rId42" xr:uid="{9EEDC1FB-D14A-4388-8262-1E96866396C0}"/>
    <hyperlink ref="Q51" r:id="rId43" xr:uid="{5911F0B1-6E9F-43B1-8F29-2C7ED047015C}"/>
    <hyperlink ref="Q52" r:id="rId44" xr:uid="{DA6CC2F3-7221-4187-8343-BECD63D2DCB7}"/>
    <hyperlink ref="Q53" r:id="rId45" xr:uid="{E7EDB1CD-EC2F-4DC4-8F9F-E2F86CCFD983}"/>
    <hyperlink ref="Q55" r:id="rId46" xr:uid="{2CA7CB6F-32F2-4452-A11A-52ED5B661F8B}"/>
    <hyperlink ref="Q56" r:id="rId47" xr:uid="{C0A77465-5F44-4D88-8E1E-94ED9DD41198}"/>
    <hyperlink ref="Q58" r:id="rId48" xr:uid="{63EB68CE-75C5-4E5A-8C0B-687DD5DD1BC0}"/>
    <hyperlink ref="Q59" r:id="rId49" xr:uid="{86BA6FBC-6648-4A5B-A29D-1C4015784AEA}"/>
    <hyperlink ref="Q60" r:id="rId50" xr:uid="{3CA28803-9E8B-4A30-940F-0C170DC42EE5}"/>
    <hyperlink ref="Q61" r:id="rId51" xr:uid="{55508AC1-483D-418D-9ADC-88A4A4C372F6}"/>
    <hyperlink ref="Q62" r:id="rId52" xr:uid="{3166A145-7142-4A57-8543-3B76081B5CF9}"/>
    <hyperlink ref="Q63" r:id="rId53" xr:uid="{E8B152BB-13DA-4280-9FD7-D3A327D3A7B3}"/>
    <hyperlink ref="Q64" r:id="rId54" xr:uid="{D8AADC0F-0729-4DCA-9BB0-57BBE6979036}"/>
    <hyperlink ref="Q65" r:id="rId55" xr:uid="{D05C64B9-B079-49E2-98E3-1284C6F04EE6}"/>
    <hyperlink ref="Q66" r:id="rId56" xr:uid="{1EC0B6EE-600E-4AFE-BCDA-C23F0D7893C4}"/>
    <hyperlink ref="Q67" r:id="rId57" xr:uid="{1297DB61-C585-4EFC-AF99-6EE0FDE4736A}"/>
    <hyperlink ref="Q68" r:id="rId58" xr:uid="{68957122-05BD-458F-BB22-1420588E2DA6}"/>
    <hyperlink ref="Q69" r:id="rId59" xr:uid="{97E72C2E-A012-4BA4-B0ED-0362E7C74268}"/>
    <hyperlink ref="Q70" r:id="rId60" xr:uid="{DE7245D4-04E3-4FF6-AC31-E23A5EBE9871}"/>
    <hyperlink ref="Q71" r:id="rId61" xr:uid="{A87DD0A8-79F3-415E-8B0D-4C9A17AEEF6D}"/>
    <hyperlink ref="Q72" r:id="rId62" xr:uid="{F9EF9D2B-5C24-4590-99E3-2309F18D6B15}"/>
    <hyperlink ref="Q73" r:id="rId63" xr:uid="{DF7FF33F-EAE1-4F3B-9868-18B3F25219A3}"/>
    <hyperlink ref="Q75" r:id="rId64" xr:uid="{F02A4962-DD2B-4FDF-9F2D-BC137631B00E}"/>
    <hyperlink ref="Q76" r:id="rId65" xr:uid="{7635EBC3-65B6-4923-A990-0DB9123E5648}"/>
    <hyperlink ref="Q57" r:id="rId66" xr:uid="{919F3260-A8B7-492E-B175-B788E1B46BCF}"/>
    <hyperlink ref="Q74" r:id="rId67" xr:uid="{AA9403A5-F473-4F2E-B0F9-A60AB7C28BE1}"/>
    <hyperlink ref="Q35" r:id="rId68" xr:uid="{A51E3CF9-2FFB-468F-9117-D0CD33A82FD8}"/>
    <hyperlink ref="Q54" r:id="rId69" display="mailto:ljpaniagua@gmail.com" xr:uid="{A34262A9-DD0F-4360-A846-98889B55840E}"/>
    <hyperlink ref="Q38" r:id="rId70" display="mailto:pataskuy95@gmail.com" xr:uid="{348FB2F1-3A80-4877-98BC-98F82CC1A9C8}"/>
    <hyperlink ref="Q22" r:id="rId71" display="mailto:danielhernanalvarez512@gmail.com" xr:uid="{6DE8B7B4-2CFD-45DB-A8A0-4759195DCC26}"/>
    <hyperlink ref="Q31" r:id="rId72" display="mailto:blancataborda@gmail.com" xr:uid="{A7B76FFE-F52F-4F56-B322-257CA23FECF6}"/>
    <hyperlink ref="Q4" r:id="rId73" display="mailto:sarco8373@gmail.com" xr:uid="{9B0EE1C6-0240-46DE-BA0B-770D855AD04A}"/>
  </hyperlinks>
  <pageMargins left="0.5699989063867017" right="0.7" top="0.75" bottom="0.75" header="0" footer="0"/>
  <pageSetup scale="15" orientation="portrait" r:id="rId74"/>
  <tableParts count="2">
    <tablePart r:id="rId75"/>
    <tablePart r:id="rId7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83A29-1C27-4D70-B19D-6286B46DE0BD}">
  <sheetPr codeName="Hoja5">
    <tabColor theme="0"/>
  </sheetPr>
  <dimension ref="A1:V49"/>
  <sheetViews>
    <sheetView topLeftCell="A9" zoomScale="92" zoomScaleNormal="100" workbookViewId="0">
      <selection activeCell="I9" sqref="I9"/>
    </sheetView>
  </sheetViews>
  <sheetFormatPr baseColWidth="10" defaultColWidth="11.453125" defaultRowHeight="14.5" x14ac:dyDescent="0.35"/>
  <cols>
    <col min="1" max="1" width="10.453125" style="17" bestFit="1" customWidth="1"/>
    <col min="2" max="2" width="14" customWidth="1"/>
    <col min="3" max="3" width="9.1796875" customWidth="1"/>
    <col min="4" max="4" width="13.26953125" style="41" customWidth="1"/>
    <col min="5" max="5" width="19.81640625" customWidth="1"/>
    <col min="6" max="6" width="23.1796875" bestFit="1" customWidth="1"/>
    <col min="7" max="7" width="24.26953125" style="41" bestFit="1" customWidth="1"/>
    <col min="8" max="8" width="2.54296875" style="59" customWidth="1"/>
    <col min="9" max="9" width="16.26953125" customWidth="1"/>
    <col min="10" max="10" width="17.26953125" customWidth="1"/>
    <col min="11" max="11" width="11.81640625" bestFit="1" customWidth="1"/>
    <col min="12" max="12" width="17.26953125" bestFit="1" customWidth="1"/>
    <col min="13" max="13" width="18.453125" bestFit="1" customWidth="1"/>
    <col min="14" max="14" width="24.81640625" bestFit="1" customWidth="1"/>
    <col min="15" max="15" width="18" bestFit="1" customWidth="1"/>
    <col min="16" max="16" width="2.54296875" style="59" customWidth="1"/>
    <col min="17" max="17" width="4.54296875" customWidth="1"/>
    <col min="18" max="18" width="4.6328125" customWidth="1"/>
    <col min="19" max="19" width="11.81640625" customWidth="1"/>
    <col min="20" max="20" width="29.7265625" customWidth="1"/>
    <col min="21" max="21" width="11.90625" bestFit="1" customWidth="1"/>
    <col min="22" max="22" width="14.7265625" bestFit="1" customWidth="1"/>
    <col min="23" max="23" width="8.81640625" bestFit="1" customWidth="1"/>
    <col min="24" max="24" width="7.1796875" bestFit="1" customWidth="1"/>
    <col min="25" max="26" width="8.81640625" bestFit="1" customWidth="1"/>
    <col min="27" max="27" width="7.1796875" bestFit="1" customWidth="1"/>
    <col min="28" max="30" width="8.81640625" bestFit="1" customWidth="1"/>
    <col min="31" max="31" width="7.1796875" bestFit="1" customWidth="1"/>
    <col min="32" max="32" width="8.81640625" bestFit="1" customWidth="1"/>
    <col min="33" max="33" width="7.1796875" bestFit="1" customWidth="1"/>
    <col min="34" max="34" width="8.81640625" bestFit="1" customWidth="1"/>
    <col min="35" max="35" width="9.81640625" bestFit="1" customWidth="1"/>
    <col min="36" max="36" width="7.1796875" bestFit="1" customWidth="1"/>
    <col min="37" max="37" width="3.1796875" bestFit="1" customWidth="1"/>
    <col min="38" max="38" width="5.81640625" bestFit="1" customWidth="1"/>
    <col min="39" max="39" width="12" bestFit="1" customWidth="1"/>
    <col min="40" max="40" width="14.81640625" bestFit="1" customWidth="1"/>
    <col min="41" max="41" width="11.453125" bestFit="1" customWidth="1"/>
    <col min="42" max="42" width="7.1796875" bestFit="1" customWidth="1"/>
    <col min="43" max="43" width="8.81640625" bestFit="1" customWidth="1"/>
    <col min="44" max="44" width="7.1796875" bestFit="1" customWidth="1"/>
    <col min="45" max="45" width="11.81640625" bestFit="1" customWidth="1"/>
    <col min="46" max="46" width="11.453125" bestFit="1" customWidth="1"/>
    <col min="47" max="47" width="8.81640625" bestFit="1" customWidth="1"/>
    <col min="48" max="48" width="7.1796875" bestFit="1" customWidth="1"/>
    <col min="49" max="49" width="8.81640625" bestFit="1" customWidth="1"/>
    <col min="50" max="50" width="7.1796875" bestFit="1" customWidth="1"/>
    <col min="51" max="51" width="3.1796875" bestFit="1" customWidth="1"/>
    <col min="52" max="52" width="5.81640625" bestFit="1" customWidth="1"/>
    <col min="53" max="53" width="14.1796875" bestFit="1" customWidth="1"/>
    <col min="54" max="54" width="11.1796875" bestFit="1" customWidth="1"/>
    <col min="55" max="55" width="7.1796875" bestFit="1" customWidth="1"/>
    <col min="56" max="56" width="8.81640625" bestFit="1" customWidth="1"/>
    <col min="57" max="57" width="7.1796875" bestFit="1" customWidth="1"/>
    <col min="58" max="58" width="13.81640625" bestFit="1" customWidth="1"/>
    <col min="59" max="59" width="10.54296875" bestFit="1" customWidth="1"/>
    <col min="60" max="60" width="7.1796875" bestFit="1" customWidth="1"/>
    <col min="61" max="61" width="13.453125" bestFit="1" customWidth="1"/>
    <col min="62" max="62" width="12" bestFit="1" customWidth="1"/>
    <col min="63" max="64" width="14.81640625" bestFit="1" customWidth="1"/>
    <col min="65" max="65" width="11.453125" bestFit="1" customWidth="1"/>
    <col min="66" max="66" width="7.1796875" bestFit="1" customWidth="1"/>
    <col min="67" max="67" width="13.453125" bestFit="1" customWidth="1"/>
    <col min="68" max="68" width="9.1796875" bestFit="1" customWidth="1"/>
    <col min="69" max="69" width="12" bestFit="1" customWidth="1"/>
    <col min="70" max="72" width="14.81640625" bestFit="1" customWidth="1"/>
    <col min="73" max="73" width="11.453125" bestFit="1" customWidth="1"/>
  </cols>
  <sheetData>
    <row r="1" spans="1:22" ht="15" thickBot="1" x14ac:dyDescent="0.4">
      <c r="A1" s="22" t="s">
        <v>554</v>
      </c>
      <c r="B1" s="20" t="s">
        <v>555</v>
      </c>
      <c r="C1" s="20" t="s">
        <v>556</v>
      </c>
      <c r="D1" s="42" t="s">
        <v>557</v>
      </c>
      <c r="E1" s="21" t="s">
        <v>558</v>
      </c>
      <c r="F1" s="20" t="s">
        <v>559</v>
      </c>
      <c r="G1" s="42" t="s">
        <v>560</v>
      </c>
      <c r="I1" s="22" t="s">
        <v>554</v>
      </c>
      <c r="J1" s="20" t="s">
        <v>555</v>
      </c>
      <c r="K1" s="20" t="s">
        <v>556</v>
      </c>
      <c r="L1" s="66" t="s">
        <v>557</v>
      </c>
      <c r="M1" s="67" t="s">
        <v>558</v>
      </c>
      <c r="N1" s="20" t="s">
        <v>559</v>
      </c>
      <c r="O1" s="66" t="s">
        <v>561</v>
      </c>
    </row>
    <row r="2" spans="1:22" x14ac:dyDescent="0.35">
      <c r="A2" s="24">
        <v>45092</v>
      </c>
      <c r="B2" s="1">
        <v>34</v>
      </c>
      <c r="C2" s="25">
        <v>0</v>
      </c>
      <c r="D2" s="26">
        <f>(B2-C2)/PQR_2024[[#This Row],[PROCESADAS]]</f>
        <v>1</v>
      </c>
      <c r="E2" s="19">
        <v>39795107</v>
      </c>
      <c r="F2" s="28">
        <v>1</v>
      </c>
      <c r="G2" s="29">
        <v>0</v>
      </c>
      <c r="I2" s="24">
        <v>45672</v>
      </c>
      <c r="J2" s="1">
        <v>76</v>
      </c>
      <c r="K2" s="68">
        <v>1</v>
      </c>
      <c r="L2" s="69">
        <v>0.98684210526315785</v>
      </c>
      <c r="M2" s="70">
        <v>82772858</v>
      </c>
      <c r="N2" s="27">
        <v>-66486971</v>
      </c>
      <c r="O2" s="71">
        <v>-0.4454445073764623</v>
      </c>
    </row>
    <row r="3" spans="1:22" x14ac:dyDescent="0.35">
      <c r="A3" s="24">
        <v>45107</v>
      </c>
      <c r="B3" s="1">
        <v>37</v>
      </c>
      <c r="C3" s="25">
        <v>1</v>
      </c>
      <c r="D3" s="26">
        <f>(B3-C3)/PQR_2024[[#This Row],[PROCESADAS]]</f>
        <v>0.97297297297297303</v>
      </c>
      <c r="E3" s="19">
        <v>40581335</v>
      </c>
      <c r="F3" s="27">
        <f>PQR_2024[[#This Row],[NOMINA TOTAL]]-E2</f>
        <v>786228</v>
      </c>
      <c r="G3" s="29">
        <f>(PQR_2024[[#This Row],[NOMINA TOTAL]]-E2)/E2</f>
        <v>1.9756901269294237E-2</v>
      </c>
      <c r="I3" s="24">
        <v>45687</v>
      </c>
      <c r="J3" s="1">
        <v>76</v>
      </c>
      <c r="K3" s="68">
        <v>0</v>
      </c>
      <c r="L3" s="69">
        <f>(J3-K3)/PQR_2025[[#This Row],[PROCESADAS]]</f>
        <v>1</v>
      </c>
      <c r="M3" s="70">
        <v>97198924</v>
      </c>
      <c r="N3" s="27">
        <f>PQR_2025[[#This Row],[NOMINA TOTAL]]-M2</f>
        <v>14426066</v>
      </c>
      <c r="O3" s="71">
        <f>(PQR_2025[[#This Row],[NOMINA TOTAL]]-M2)/M2</f>
        <v>0.17428498119516425</v>
      </c>
      <c r="P3" s="60"/>
    </row>
    <row r="4" spans="1:22" x14ac:dyDescent="0.35">
      <c r="A4" s="24">
        <v>45122</v>
      </c>
      <c r="B4" s="1">
        <v>38</v>
      </c>
      <c r="C4" s="25">
        <v>0</v>
      </c>
      <c r="D4" s="26">
        <f>(B4-C4)/PQR_2024[[#This Row],[PROCESADAS]]</f>
        <v>1</v>
      </c>
      <c r="E4" s="19">
        <v>42545935</v>
      </c>
      <c r="F4" s="27">
        <f>PQR_2024[[#This Row],[NOMINA TOTAL]]-E3</f>
        <v>1964600</v>
      </c>
      <c r="G4" s="29">
        <f>(PQR_2024[[#This Row],[NOMINA TOTAL]]-E3)/E3</f>
        <v>4.8411418697783107E-2</v>
      </c>
      <c r="I4" s="24">
        <v>45703</v>
      </c>
      <c r="J4" s="1">
        <v>75</v>
      </c>
      <c r="K4" s="25">
        <v>0</v>
      </c>
      <c r="L4" s="69">
        <f>(J4-K4)/PQR_2025[[#This Row],[PROCESADAS]]</f>
        <v>1</v>
      </c>
      <c r="M4" s="70">
        <v>78719850</v>
      </c>
      <c r="N4" s="27">
        <f>PQR_2025[[#This Row],[NOMINA TOTAL]]-M3</f>
        <v>-18479074</v>
      </c>
      <c r="O4" s="71">
        <f>(PQR_2025[[#This Row],[NOMINA TOTAL]]-M3)/M3</f>
        <v>-0.19011603461783178</v>
      </c>
    </row>
    <row r="5" spans="1:22" x14ac:dyDescent="0.35">
      <c r="A5" s="24">
        <v>45137</v>
      </c>
      <c r="B5" s="1">
        <v>39</v>
      </c>
      <c r="C5" s="25">
        <v>0</v>
      </c>
      <c r="D5" s="26">
        <f>(B5-C5)/PQR_2024[[#This Row],[PROCESADAS]]</f>
        <v>1</v>
      </c>
      <c r="E5" s="19">
        <v>40341503</v>
      </c>
      <c r="F5" s="27">
        <f>PQR_2024[[#This Row],[NOMINA TOTAL]]-E4</f>
        <v>-2204432</v>
      </c>
      <c r="G5" s="29">
        <f>(PQR_2024[[#This Row],[NOMINA TOTAL]]-E4)/E4</f>
        <v>-5.1812987539232594E-2</v>
      </c>
      <c r="I5" s="24">
        <v>45716</v>
      </c>
      <c r="J5" s="1">
        <v>76</v>
      </c>
      <c r="K5" s="25">
        <v>0</v>
      </c>
      <c r="L5" s="69">
        <f>(J5-K5)/PQR_2025[[#This Row],[PROCESADAS]]</f>
        <v>1</v>
      </c>
      <c r="M5" s="19">
        <v>79415088</v>
      </c>
      <c r="N5" s="27">
        <f>PQR_2025[[#This Row],[NOMINA TOTAL]]-M4</f>
        <v>695238</v>
      </c>
      <c r="O5" s="71">
        <f>(PQR_2025[[#This Row],[NOMINA TOTAL]]-M4)/M4</f>
        <v>8.8318003654732566E-3</v>
      </c>
      <c r="S5" t="s">
        <v>1161</v>
      </c>
      <c r="T5" s="116" t="s">
        <v>1164</v>
      </c>
      <c r="U5" s="116" t="s">
        <v>1165</v>
      </c>
      <c r="V5" s="116" t="s">
        <v>1166</v>
      </c>
    </row>
    <row r="6" spans="1:22" x14ac:dyDescent="0.35">
      <c r="A6" s="24">
        <v>45153</v>
      </c>
      <c r="B6" s="1">
        <v>39</v>
      </c>
      <c r="C6" s="25">
        <v>0</v>
      </c>
      <c r="D6" s="26">
        <f>(B6-C6)/PQR_2024[[#This Row],[PROCESADAS]]</f>
        <v>1</v>
      </c>
      <c r="E6" s="19">
        <v>43464615</v>
      </c>
      <c r="F6" s="27">
        <f>PQR_2024[[#This Row],[NOMINA TOTAL]]-E5</f>
        <v>3123112</v>
      </c>
      <c r="G6" s="29">
        <f>(PQR_2024[[#This Row],[NOMINA TOTAL]]-E5)/E5</f>
        <v>7.7416847855172874E-2</v>
      </c>
      <c r="I6" s="24">
        <v>45731</v>
      </c>
      <c r="J6" s="1">
        <v>76</v>
      </c>
      <c r="K6" s="25">
        <v>1</v>
      </c>
      <c r="L6" s="69">
        <f>(J6-K6)/PQR_2025[[#This Row],[PROCESADAS]]</f>
        <v>0.98684210526315785</v>
      </c>
      <c r="M6" s="19">
        <v>86630803</v>
      </c>
      <c r="N6" s="27">
        <f>PQR_2025[[#This Row],[NOMINA TOTAL]]-M5</f>
        <v>7215715</v>
      </c>
      <c r="O6" s="71">
        <f>(PQR_2025[[#This Row],[NOMINA TOTAL]]-M5)/M5</f>
        <v>9.0860756837542009E-2</v>
      </c>
      <c r="S6" s="260">
        <v>42095</v>
      </c>
      <c r="T6" t="s">
        <v>373</v>
      </c>
      <c r="U6" t="s">
        <v>1163</v>
      </c>
      <c r="V6" t="s">
        <v>1162</v>
      </c>
    </row>
    <row r="7" spans="1:22" x14ac:dyDescent="0.35">
      <c r="A7" s="24">
        <v>45168</v>
      </c>
      <c r="B7" s="1">
        <v>40</v>
      </c>
      <c r="C7" s="25">
        <v>0</v>
      </c>
      <c r="D7" s="26">
        <f>(B7-C7)/PQR_2024[[#This Row],[PROCESADAS]]</f>
        <v>1</v>
      </c>
      <c r="E7" s="19">
        <v>43478320</v>
      </c>
      <c r="F7" s="27">
        <f>PQR_2024[[#This Row],[NOMINA TOTAL]]-E6</f>
        <v>13705</v>
      </c>
      <c r="G7" s="29">
        <f>(PQR_2024[[#This Row],[NOMINA TOTAL]]-E6)/E6</f>
        <v>3.1531396286381462E-4</v>
      </c>
      <c r="I7" s="24">
        <v>45747</v>
      </c>
      <c r="J7" s="1">
        <v>74</v>
      </c>
      <c r="K7" s="25">
        <v>1</v>
      </c>
      <c r="L7" s="69">
        <f>(J7-K7)/PQR_2025[[#This Row],[PROCESADAS]]</f>
        <v>0.98648648648648651</v>
      </c>
      <c r="M7" s="19">
        <v>82242061</v>
      </c>
      <c r="N7" s="27">
        <f>PQR_2025[[#This Row],[NOMINA TOTAL]]-M6</f>
        <v>-4388742</v>
      </c>
      <c r="O7" s="71">
        <f>(PQR_2025[[#This Row],[NOMINA TOTAL]]-M6)/M6</f>
        <v>-5.0660294583671356E-2</v>
      </c>
      <c r="S7" s="260">
        <v>42095</v>
      </c>
      <c r="T7" t="s">
        <v>916</v>
      </c>
      <c r="U7" t="s">
        <v>1163</v>
      </c>
      <c r="V7" t="s">
        <v>1162</v>
      </c>
    </row>
    <row r="8" spans="1:22" x14ac:dyDescent="0.35">
      <c r="A8" s="24">
        <v>45184</v>
      </c>
      <c r="B8" s="1">
        <v>40</v>
      </c>
      <c r="C8" s="25">
        <v>0</v>
      </c>
      <c r="D8" s="26">
        <f>(B8-C8)/PQR_2024[[#This Row],[PROCESADAS]]</f>
        <v>1</v>
      </c>
      <c r="E8" s="19">
        <v>43167212</v>
      </c>
      <c r="F8" s="27">
        <f>PQR_2024[[#This Row],[NOMINA TOTAL]]-E7</f>
        <v>-311108</v>
      </c>
      <c r="G8" s="29">
        <f>(PQR_2024[[#This Row],[NOMINA TOTAL]]-E7)/E7</f>
        <v>-7.1554742685549944E-3</v>
      </c>
      <c r="I8" s="24">
        <v>45762</v>
      </c>
      <c r="J8" s="1">
        <v>74</v>
      </c>
      <c r="K8" s="25">
        <v>2</v>
      </c>
      <c r="L8" s="69">
        <f>(J8-K8)/PQR_2025[[#This Row],[PROCESADAS]]</f>
        <v>0.97297297297297303</v>
      </c>
      <c r="M8" s="19">
        <v>82440152</v>
      </c>
      <c r="N8" s="27">
        <f>PQR_2025[[#This Row],[NOMINA TOTAL]]-M7</f>
        <v>198091</v>
      </c>
      <c r="O8" s="267">
        <f>(PQR_2025[[#This Row],[NOMINA TOTAL]]-M7)/M7</f>
        <v>2.4086337038659571E-3</v>
      </c>
    </row>
    <row r="9" spans="1:22" x14ac:dyDescent="0.35">
      <c r="A9" s="24">
        <v>45199</v>
      </c>
      <c r="B9" s="1">
        <v>40</v>
      </c>
      <c r="C9" s="25">
        <v>0</v>
      </c>
      <c r="D9" s="26">
        <f>(B9-C9)/PQR_2024[[#This Row],[PROCESADAS]]</f>
        <v>1</v>
      </c>
      <c r="E9" s="19">
        <v>41604555</v>
      </c>
      <c r="F9" s="27">
        <f>PQR_2024[[#This Row],[NOMINA TOTAL]]-E8</f>
        <v>-1562657</v>
      </c>
      <c r="G9" s="29">
        <f>(PQR_2024[[#This Row],[NOMINA TOTAL]]-E8)/E8</f>
        <v>-3.6200090939391687E-2</v>
      </c>
      <c r="I9" s="24"/>
      <c r="J9" s="1"/>
      <c r="K9" s="1"/>
      <c r="L9" s="1"/>
      <c r="M9" s="18"/>
      <c r="O9" s="72"/>
    </row>
    <row r="10" spans="1:22" x14ac:dyDescent="0.35">
      <c r="A10" s="24">
        <v>45214</v>
      </c>
      <c r="B10" s="1">
        <v>41</v>
      </c>
      <c r="C10" s="25">
        <v>0</v>
      </c>
      <c r="D10" s="26">
        <f>(B10-C10)/PQR_2024[[#This Row],[PROCESADAS]]</f>
        <v>1</v>
      </c>
      <c r="E10" s="19">
        <v>43962979</v>
      </c>
      <c r="F10" s="27">
        <f>PQR_2024[[#This Row],[NOMINA TOTAL]]-E9</f>
        <v>2358424</v>
      </c>
      <c r="G10" s="29">
        <f>(PQR_2024[[#This Row],[NOMINA TOTAL]]-E9)/E9</f>
        <v>5.6686677696708931E-2</v>
      </c>
    </row>
    <row r="11" spans="1:22" x14ac:dyDescent="0.35">
      <c r="A11" s="24">
        <v>45229</v>
      </c>
      <c r="B11" s="1">
        <v>42</v>
      </c>
      <c r="C11" s="25">
        <v>0</v>
      </c>
      <c r="D11" s="26">
        <f>(B11-C11)/PQR_2024[[#This Row],[PROCESADAS]]</f>
        <v>1</v>
      </c>
      <c r="E11" s="19">
        <v>42179344</v>
      </c>
      <c r="F11" s="27">
        <f>PQR_2024[[#This Row],[NOMINA TOTAL]]-E10</f>
        <v>-1783635</v>
      </c>
      <c r="G11" s="29">
        <f>(PQR_2024[[#This Row],[NOMINA TOTAL]]-E10)/E10</f>
        <v>-4.0571295225466861E-2</v>
      </c>
    </row>
    <row r="12" spans="1:22" x14ac:dyDescent="0.35">
      <c r="A12" s="24">
        <v>45245</v>
      </c>
      <c r="B12" s="1">
        <v>42</v>
      </c>
      <c r="C12" s="25">
        <v>2</v>
      </c>
      <c r="D12" s="26">
        <f>(B12-C12)/PQR_2024[[#This Row],[PROCESADAS]]</f>
        <v>0.95238095238095233</v>
      </c>
      <c r="E12" s="19">
        <v>46419013</v>
      </c>
      <c r="F12" s="27">
        <f>PQR_2024[[#This Row],[NOMINA TOTAL]]-E11</f>
        <v>4239669</v>
      </c>
      <c r="G12" s="29">
        <f>(PQR_2024[[#This Row],[NOMINA TOTAL]]-E11)/E11</f>
        <v>0.10051529013822501</v>
      </c>
    </row>
    <row r="13" spans="1:22" x14ac:dyDescent="0.35">
      <c r="A13" s="24">
        <v>45260</v>
      </c>
      <c r="B13" s="1">
        <v>42</v>
      </c>
      <c r="C13" s="25">
        <v>1</v>
      </c>
      <c r="D13" s="26">
        <f>(B13-C13)/PQR_2024[[#This Row],[PROCESADAS]]</f>
        <v>0.97619047619047616</v>
      </c>
      <c r="E13" s="19">
        <v>45386909</v>
      </c>
      <c r="F13" s="27">
        <f>PQR_2024[[#This Row],[NOMINA TOTAL]]-E12</f>
        <v>-1032104</v>
      </c>
      <c r="G13" s="29">
        <f>(PQR_2024[[#This Row],[NOMINA TOTAL]]-E12)/E12</f>
        <v>-2.2234509811744598E-2</v>
      </c>
    </row>
    <row r="14" spans="1:22" x14ac:dyDescent="0.35">
      <c r="A14" s="24">
        <v>45275</v>
      </c>
      <c r="B14" s="1">
        <v>44</v>
      </c>
      <c r="C14" s="25">
        <v>2</v>
      </c>
      <c r="D14" s="26">
        <f>(B14-C14)/PQR_2024[[#This Row],[PROCESADAS]]</f>
        <v>0.95454545454545459</v>
      </c>
      <c r="E14" s="19">
        <v>46914176</v>
      </c>
      <c r="F14" s="27">
        <f>PQR_2024[[#This Row],[NOMINA TOTAL]]-E13</f>
        <v>1527267</v>
      </c>
      <c r="G14" s="29">
        <f>(PQR_2024[[#This Row],[NOMINA TOTAL]]-E13)/E13</f>
        <v>3.3649945185736267E-2</v>
      </c>
    </row>
    <row r="15" spans="1:22" x14ac:dyDescent="0.35">
      <c r="A15" s="24">
        <v>45290</v>
      </c>
      <c r="B15" s="1">
        <v>38</v>
      </c>
      <c r="C15" s="25">
        <v>0</v>
      </c>
      <c r="D15" s="26">
        <f>(B15-C15)/PQR_2024[[#This Row],[PROCESADAS]]</f>
        <v>1</v>
      </c>
      <c r="E15" s="19">
        <v>38722767</v>
      </c>
      <c r="F15" s="27">
        <f>PQR_2024[[#This Row],[NOMINA TOTAL]]-E14</f>
        <v>-8191409</v>
      </c>
      <c r="G15" s="29">
        <f>(PQR_2024[[#This Row],[NOMINA TOTAL]]-E14)/E14</f>
        <v>-0.17460413244815384</v>
      </c>
    </row>
    <row r="16" spans="1:22" x14ac:dyDescent="0.35">
      <c r="A16" s="24">
        <v>45306</v>
      </c>
      <c r="B16" s="1">
        <v>45</v>
      </c>
      <c r="C16" s="25">
        <v>0</v>
      </c>
      <c r="D16" s="26">
        <f>(B16-C16)/PQR_2024[[#This Row],[PROCESADAS]]</f>
        <v>1</v>
      </c>
      <c r="E16" s="19">
        <v>53424131</v>
      </c>
      <c r="F16" s="27">
        <f>PQR_2024[[#This Row],[NOMINA TOTAL]]-E15</f>
        <v>14701364</v>
      </c>
      <c r="G16" s="29">
        <f>(PQR_2024[[#This Row],[NOMINA TOTAL]]-E15)/E15</f>
        <v>0.3796568566497327</v>
      </c>
    </row>
    <row r="17" spans="1:7" x14ac:dyDescent="0.35">
      <c r="A17" s="24">
        <v>45321</v>
      </c>
      <c r="B17" s="1">
        <v>49</v>
      </c>
      <c r="C17" s="25">
        <v>0</v>
      </c>
      <c r="D17" s="26">
        <f>(B17-C17)/PQR_2024[[#This Row],[PROCESADAS]]</f>
        <v>1</v>
      </c>
      <c r="E17" s="19">
        <v>47860108</v>
      </c>
      <c r="F17" s="27">
        <f>PQR_2024[[#This Row],[NOMINA TOTAL]]-E16</f>
        <v>-5564023</v>
      </c>
      <c r="G17" s="29">
        <f>(PQR_2024[[#This Row],[NOMINA TOTAL]]-E16)/E16</f>
        <v>-0.10414812362600713</v>
      </c>
    </row>
    <row r="18" spans="1:7" x14ac:dyDescent="0.35">
      <c r="A18" s="24">
        <v>45337</v>
      </c>
      <c r="B18" s="1">
        <v>46</v>
      </c>
      <c r="C18" s="25">
        <v>0</v>
      </c>
      <c r="D18" s="26">
        <f>(B18-C18)/PQR_2024[[#This Row],[PROCESADAS]]</f>
        <v>1</v>
      </c>
      <c r="E18" s="19">
        <v>53490351</v>
      </c>
      <c r="F18" s="27">
        <f>PQR_2024[[#This Row],[NOMINA TOTAL]]-E17</f>
        <v>5630243</v>
      </c>
      <c r="G18" s="29">
        <f>(PQR_2024[[#This Row],[NOMINA TOTAL]]-E17)/E17</f>
        <v>0.11763957991904239</v>
      </c>
    </row>
    <row r="19" spans="1:7" x14ac:dyDescent="0.35">
      <c r="A19" s="24">
        <v>45351</v>
      </c>
      <c r="B19" s="23">
        <v>46</v>
      </c>
      <c r="C19" s="25">
        <v>0</v>
      </c>
      <c r="D19" s="26">
        <f>(B19-C19)/PQR_2024[[#This Row],[PROCESADAS]]</f>
        <v>1</v>
      </c>
      <c r="E19" s="19">
        <v>51401879</v>
      </c>
      <c r="F19" s="27">
        <f>PQR_2024[[#This Row],[NOMINA TOTAL]]-E18</f>
        <v>-2088472</v>
      </c>
      <c r="G19" s="29">
        <f>(PQR_2024[[#This Row],[NOMINA TOTAL]]-E18)/E18</f>
        <v>-3.9043901581427273E-2</v>
      </c>
    </row>
    <row r="20" spans="1:7" x14ac:dyDescent="0.35">
      <c r="A20" s="24">
        <v>45366</v>
      </c>
      <c r="B20" s="1">
        <v>48</v>
      </c>
      <c r="C20" s="25">
        <v>0</v>
      </c>
      <c r="D20" s="26">
        <f>(B20-C20)/PQR_2024[[#This Row],[PROCESADAS]]</f>
        <v>1</v>
      </c>
      <c r="E20" s="19">
        <v>51224853</v>
      </c>
      <c r="F20" s="27">
        <f>PQR_2024[[#This Row],[NOMINA TOTAL]]-E19</f>
        <v>-177026</v>
      </c>
      <c r="G20" s="29">
        <f>(PQR_2024[[#This Row],[NOMINA TOTAL]]-E19)/E19</f>
        <v>-3.4439597042746238E-3</v>
      </c>
    </row>
    <row r="21" spans="1:7" x14ac:dyDescent="0.35">
      <c r="A21" s="24">
        <v>45381</v>
      </c>
      <c r="B21" s="23">
        <v>50</v>
      </c>
      <c r="C21" s="25">
        <v>0</v>
      </c>
      <c r="D21" s="26">
        <f>(B21-C21)/PQR_2024[[#This Row],[PROCESADAS]]</f>
        <v>1</v>
      </c>
      <c r="E21" s="19">
        <v>54798839</v>
      </c>
      <c r="F21" s="27">
        <f>PQR_2024[[#This Row],[NOMINA TOTAL]]-E20</f>
        <v>3573986</v>
      </c>
      <c r="G21" s="29">
        <f>(PQR_2024[[#This Row],[NOMINA TOTAL]]-E20)/E20</f>
        <v>6.9770546730509891E-2</v>
      </c>
    </row>
    <row r="22" spans="1:7" x14ac:dyDescent="0.35">
      <c r="A22" s="24">
        <v>45397</v>
      </c>
      <c r="B22" s="1">
        <v>61</v>
      </c>
      <c r="C22" s="25">
        <v>1</v>
      </c>
      <c r="D22" s="26">
        <f>(B22-C22)/PQR_2024[[#This Row],[PROCESADAS]]</f>
        <v>0.98360655737704916</v>
      </c>
      <c r="E22" s="19">
        <v>65024505</v>
      </c>
      <c r="F22" s="27">
        <f>PQR_2024[[#This Row],[NOMINA TOTAL]]-E21</f>
        <v>10225666</v>
      </c>
      <c r="G22" s="29">
        <f>(PQR_2024[[#This Row],[NOMINA TOTAL]]-E21)/E21</f>
        <v>0.1866036979360092</v>
      </c>
    </row>
    <row r="23" spans="1:7" x14ac:dyDescent="0.35">
      <c r="A23" s="24">
        <v>45412</v>
      </c>
      <c r="B23" s="23">
        <v>61</v>
      </c>
      <c r="C23" s="25">
        <v>0</v>
      </c>
      <c r="D23" s="26">
        <f>(B23-C23)/PQR_2024[[#This Row],[PROCESADAS]]</f>
        <v>1</v>
      </c>
      <c r="E23" s="19">
        <v>64754922</v>
      </c>
      <c r="F23" s="27">
        <f>PQR_2024[[#This Row],[NOMINA TOTAL]]-E22</f>
        <v>-269583</v>
      </c>
      <c r="G23" s="29">
        <f>(PQR_2024[[#This Row],[NOMINA TOTAL]]-E22)/E22</f>
        <v>-4.1458677770788103E-3</v>
      </c>
    </row>
    <row r="24" spans="1:7" x14ac:dyDescent="0.35">
      <c r="A24" s="24">
        <v>45427</v>
      </c>
      <c r="B24" s="1">
        <v>66</v>
      </c>
      <c r="C24" s="25">
        <v>0</v>
      </c>
      <c r="D24" s="26">
        <f>(B24-C24)/PQR_2024[[#This Row],[PROCESADAS]]</f>
        <v>1</v>
      </c>
      <c r="E24" s="19">
        <v>77207984</v>
      </c>
      <c r="F24" s="27">
        <f>PQR_2024[[#This Row],[NOMINA TOTAL]]-E23</f>
        <v>12453062</v>
      </c>
      <c r="G24" s="29">
        <f>(PQR_2024[[#This Row],[NOMINA TOTAL]]-E23)/E23</f>
        <v>0.19231066327282426</v>
      </c>
    </row>
    <row r="25" spans="1:7" x14ac:dyDescent="0.35">
      <c r="A25" s="24">
        <v>45442</v>
      </c>
      <c r="B25" s="23">
        <v>72</v>
      </c>
      <c r="C25" s="25">
        <v>0</v>
      </c>
      <c r="D25" s="26">
        <f>(B25-C25)/PQR_2024[[#This Row],[PROCESADAS]]</f>
        <v>1</v>
      </c>
      <c r="E25" s="19">
        <v>80315551</v>
      </c>
      <c r="F25" s="27">
        <f>PQR_2024[[#This Row],[NOMINA TOTAL]]-E24</f>
        <v>3107567</v>
      </c>
      <c r="G25" s="29">
        <f>(PQR_2024[[#This Row],[NOMINA TOTAL]]-E24)/E24</f>
        <v>4.0249295979545331E-2</v>
      </c>
    </row>
    <row r="26" spans="1:7" x14ac:dyDescent="0.35">
      <c r="A26" s="24">
        <v>45458</v>
      </c>
      <c r="B26" s="1">
        <v>73</v>
      </c>
      <c r="C26" s="25">
        <v>2</v>
      </c>
      <c r="D26" s="26">
        <f>(B26-C26)/PQR_2024[[#This Row],[PROCESADAS]]</f>
        <v>0.9726027397260274</v>
      </c>
      <c r="E26" s="19">
        <v>80591106</v>
      </c>
      <c r="F26" s="27">
        <f>PQR_2024[[#This Row],[NOMINA TOTAL]]-E25</f>
        <v>275555</v>
      </c>
      <c r="G26" s="29">
        <f>(PQR_2024[[#This Row],[NOMINA TOTAL]]-E25)/E25</f>
        <v>3.4309046824568257E-3</v>
      </c>
    </row>
    <row r="27" spans="1:7" x14ac:dyDescent="0.35">
      <c r="A27" s="24">
        <v>45473</v>
      </c>
      <c r="B27" s="23">
        <v>75</v>
      </c>
      <c r="C27" s="25">
        <v>0</v>
      </c>
      <c r="D27" s="26">
        <f>(B27-C27)/PQR_2024[[#This Row],[PROCESADAS]]</f>
        <v>1</v>
      </c>
      <c r="E27" s="19">
        <v>141512956</v>
      </c>
      <c r="F27" s="27">
        <f>PQR_2024[[#This Row],[NOMINA TOTAL]]-E26</f>
        <v>60921850</v>
      </c>
      <c r="G27" s="29">
        <f>(PQR_2024[[#This Row],[NOMINA TOTAL]]-E26)/E26</f>
        <v>0.75593763411064241</v>
      </c>
    </row>
    <row r="28" spans="1:7" x14ac:dyDescent="0.35">
      <c r="A28" s="24">
        <v>45488</v>
      </c>
      <c r="B28" s="1">
        <v>72</v>
      </c>
      <c r="C28" s="25">
        <v>5</v>
      </c>
      <c r="D28" s="26">
        <f>(B28-C28)/PQR_2024[[#This Row],[PROCESADAS]]</f>
        <v>0.93055555555555558</v>
      </c>
      <c r="E28" s="19">
        <v>79199301</v>
      </c>
      <c r="F28" s="27">
        <f>PQR_2024[[#This Row],[NOMINA TOTAL]]-E27</f>
        <v>-62313655</v>
      </c>
      <c r="G28" s="29">
        <f>(PQR_2024[[#This Row],[NOMINA TOTAL]]-E27)/E27</f>
        <v>-0.44033886904319913</v>
      </c>
    </row>
    <row r="29" spans="1:7" x14ac:dyDescent="0.35">
      <c r="A29" s="24">
        <v>45503</v>
      </c>
      <c r="B29" s="23">
        <v>69</v>
      </c>
      <c r="C29" s="25">
        <v>0</v>
      </c>
      <c r="D29" s="26">
        <f>(B29-C29)/PQR_2024[[#This Row],[PROCESADAS]]</f>
        <v>1</v>
      </c>
      <c r="E29" s="19">
        <v>73945085</v>
      </c>
      <c r="F29" s="27">
        <f>PQR_2024[[#This Row],[NOMINA TOTAL]]-E28</f>
        <v>-5254216</v>
      </c>
      <c r="G29" s="29">
        <f>(PQR_2024[[#This Row],[NOMINA TOTAL]]-E28)/E28</f>
        <v>-6.6341696626842708E-2</v>
      </c>
    </row>
    <row r="30" spans="1:7" x14ac:dyDescent="0.35">
      <c r="A30" s="24">
        <v>45519</v>
      </c>
      <c r="B30" s="1">
        <v>67</v>
      </c>
      <c r="C30" s="25">
        <v>0</v>
      </c>
      <c r="D30" s="26">
        <f>(B30-C30)/PQR_2024[[#This Row],[PROCESADAS]]</f>
        <v>1</v>
      </c>
      <c r="E30" s="19">
        <v>77534094</v>
      </c>
      <c r="F30" s="27">
        <f>PQR_2024[[#This Row],[NOMINA TOTAL]]-E29</f>
        <v>3589009</v>
      </c>
      <c r="G30" s="29">
        <f>(PQR_2024[[#This Row],[NOMINA TOTAL]]-E29)/E29</f>
        <v>4.8536140028779463E-2</v>
      </c>
    </row>
    <row r="31" spans="1:7" x14ac:dyDescent="0.35">
      <c r="A31" s="24">
        <v>45534</v>
      </c>
      <c r="B31" s="23">
        <v>69</v>
      </c>
      <c r="C31" s="25">
        <v>0</v>
      </c>
      <c r="D31" s="26">
        <f>(B31-C31)/PQR_2024[[#This Row],[PROCESADAS]]</f>
        <v>1</v>
      </c>
      <c r="E31" s="19">
        <v>73831326</v>
      </c>
      <c r="F31" s="27">
        <f>PQR_2024[[#This Row],[NOMINA TOTAL]]-E30</f>
        <v>-3702768</v>
      </c>
      <c r="G31" s="29">
        <f>(PQR_2024[[#This Row],[NOMINA TOTAL]]-E30)/E30</f>
        <v>-4.7756642387541154E-2</v>
      </c>
    </row>
    <row r="32" spans="1:7" x14ac:dyDescent="0.35">
      <c r="A32" s="24">
        <v>45550</v>
      </c>
      <c r="B32" s="1">
        <v>71</v>
      </c>
      <c r="C32" s="25">
        <v>1</v>
      </c>
      <c r="D32" s="26">
        <f>(B32-C32)/PQR_2024[[#This Row],[PROCESADAS]]</f>
        <v>0.9859154929577465</v>
      </c>
      <c r="E32" s="19">
        <v>74746217</v>
      </c>
      <c r="F32" s="27">
        <f>PQR_2024[[#This Row],[NOMINA TOTAL]]-E31</f>
        <v>914891</v>
      </c>
      <c r="G32" s="29">
        <f>(PQR_2024[[#This Row],[NOMINA TOTAL]]-E31)/E31</f>
        <v>1.2391637121619623E-2</v>
      </c>
    </row>
    <row r="33" spans="1:7" x14ac:dyDescent="0.35">
      <c r="A33" s="24">
        <v>45565</v>
      </c>
      <c r="B33" s="23">
        <v>72</v>
      </c>
      <c r="C33" s="25">
        <v>0</v>
      </c>
      <c r="D33" s="26">
        <f>(B33-C33)/PQR_2024[[#This Row],[PROCESADAS]]</f>
        <v>1</v>
      </c>
      <c r="E33" s="19">
        <v>78797026</v>
      </c>
      <c r="F33" s="27">
        <f>PQR_2024[[#This Row],[NOMINA TOTAL]]-E32</f>
        <v>4050809</v>
      </c>
      <c r="G33" s="29">
        <f>(PQR_2024[[#This Row],[NOMINA TOTAL]]-E32)/E32</f>
        <v>5.4194167445290244E-2</v>
      </c>
    </row>
    <row r="34" spans="1:7" x14ac:dyDescent="0.35">
      <c r="A34" s="24">
        <v>45580</v>
      </c>
      <c r="B34" s="1">
        <v>69</v>
      </c>
      <c r="C34" s="25">
        <v>3</v>
      </c>
      <c r="D34" s="26">
        <f>(B34-C34)/PQR_2024[[#This Row],[PROCESADAS]]</f>
        <v>0.95652173913043481</v>
      </c>
      <c r="E34" s="19">
        <v>71826013</v>
      </c>
      <c r="F34" s="27">
        <f>PQR_2024[[#This Row],[NOMINA TOTAL]]-E33</f>
        <v>-6971013</v>
      </c>
      <c r="G34" s="29">
        <f>(PQR_2024[[#This Row],[NOMINA TOTAL]]-E33)/E33</f>
        <v>-8.8467970859712391E-2</v>
      </c>
    </row>
    <row r="35" spans="1:7" x14ac:dyDescent="0.35">
      <c r="A35" s="24">
        <v>45595</v>
      </c>
      <c r="B35" s="23">
        <v>71</v>
      </c>
      <c r="C35" s="25">
        <v>1</v>
      </c>
      <c r="D35" s="26">
        <f>(B35-C35)/PQR_2024[[#This Row],[PROCESADAS]]</f>
        <v>0.9859154929577465</v>
      </c>
      <c r="E35" s="19">
        <v>75470523</v>
      </c>
      <c r="F35" s="27">
        <f>PQR_2024[[#This Row],[NOMINA TOTAL]]-E34</f>
        <v>3644510</v>
      </c>
      <c r="G35" s="29">
        <f>(PQR_2024[[#This Row],[NOMINA TOTAL]]-E34)/E34</f>
        <v>5.0740808904428537E-2</v>
      </c>
    </row>
    <row r="36" spans="1:7" x14ac:dyDescent="0.35">
      <c r="A36" s="24">
        <v>45611</v>
      </c>
      <c r="B36" s="1">
        <v>75</v>
      </c>
      <c r="C36" s="25">
        <v>0</v>
      </c>
      <c r="D36" s="26">
        <f>(B36-C36)/PQR_2024[[#This Row],[PROCESADAS]]</f>
        <v>1</v>
      </c>
      <c r="E36" s="19">
        <v>79203473</v>
      </c>
      <c r="F36" s="27">
        <f>PQR_2024[[#This Row],[NOMINA TOTAL]]-E35</f>
        <v>3732950</v>
      </c>
      <c r="G36" s="29">
        <f>(PQR_2024[[#This Row],[NOMINA TOTAL]]-E35)/E35</f>
        <v>4.9462357641274067E-2</v>
      </c>
    </row>
    <row r="37" spans="1:7" x14ac:dyDescent="0.35">
      <c r="A37" s="24">
        <v>45626</v>
      </c>
      <c r="B37" s="1">
        <v>75</v>
      </c>
      <c r="C37" s="25">
        <v>1</v>
      </c>
      <c r="D37" s="26">
        <f>(B37-C37)/PQR_2024[[#This Row],[PROCESADAS]]</f>
        <v>0.98666666666666669</v>
      </c>
      <c r="E37" s="19">
        <v>75678349</v>
      </c>
      <c r="F37" s="27">
        <f>PQR_2024[[#This Row],[NOMINA TOTAL]]-E36</f>
        <v>-3525124</v>
      </c>
      <c r="G37" s="29">
        <f>(PQR_2024[[#This Row],[NOMINA TOTAL]]-E36)/E36</f>
        <v>-4.4507189728915042E-2</v>
      </c>
    </row>
    <row r="38" spans="1:7" x14ac:dyDescent="0.35">
      <c r="A38" s="24">
        <v>45641</v>
      </c>
      <c r="B38" s="1">
        <v>77</v>
      </c>
      <c r="C38" s="25">
        <v>1</v>
      </c>
      <c r="D38" s="26">
        <f>(B38-C38)/PQR_2024[[#This Row],[PROCESADAS]]</f>
        <v>0.98701298701298701</v>
      </c>
      <c r="E38" s="19">
        <v>82311089</v>
      </c>
      <c r="F38" s="27">
        <f>PQR_2024[[#This Row],[NOMINA TOTAL]]-E37</f>
        <v>6632740</v>
      </c>
      <c r="G38" s="29">
        <f>(PQR_2024[[#This Row],[NOMINA TOTAL]]-E37)/E37</f>
        <v>8.7643825316538027E-2</v>
      </c>
    </row>
    <row r="39" spans="1:7" ht="13.5" customHeight="1" x14ac:dyDescent="0.35">
      <c r="A39" s="24">
        <v>45656</v>
      </c>
      <c r="B39" s="1">
        <v>74</v>
      </c>
      <c r="C39" s="25">
        <v>0</v>
      </c>
      <c r="D39" s="26">
        <f>(B39-C39)/PQR_2024[[#This Row],[PROCESADAS]]</f>
        <v>1</v>
      </c>
      <c r="E39" s="19">
        <v>149259829</v>
      </c>
      <c r="F39" s="27">
        <f>PQR_2024[[#This Row],[NOMINA TOTAL]]-E38</f>
        <v>66948740</v>
      </c>
      <c r="G39" s="29">
        <f>(PQR_2024[[#This Row],[NOMINA TOTAL]]-E38)/E38</f>
        <v>0.81336234052255096</v>
      </c>
    </row>
    <row r="40" spans="1:7" x14ac:dyDescent="0.35">
      <c r="A40" s="61" t="s">
        <v>562</v>
      </c>
      <c r="B40" s="113">
        <f>SUBTOTAL(103,PQR_2024[PROCESADAS])</f>
        <v>38</v>
      </c>
      <c r="C40" s="62"/>
      <c r="D40" s="168">
        <f>SUBTOTAL(101,PQR_2024[[EFECTIVIDAD ]])</f>
        <v>0.99065492335458072</v>
      </c>
      <c r="E40" s="63">
        <f>SUBTOTAL(109,PQR_2024[NOMINA TOTAL])</f>
        <v>2411973280</v>
      </c>
      <c r="F40" s="64"/>
      <c r="G40" s="65">
        <f>AVERAGE(G16:G38)</f>
        <v>5.2624951930595423E-2</v>
      </c>
    </row>
    <row r="42" spans="1:7" x14ac:dyDescent="0.35">
      <c r="B42" s="169"/>
      <c r="D42" s="43"/>
    </row>
    <row r="49" spans="7:7" x14ac:dyDescent="0.35">
      <c r="G49" s="54"/>
    </row>
  </sheetData>
  <conditionalFormatting sqref="N2:N9 F2:F40">
    <cfRule type="cellIs" dxfId="7" priority="7" operator="equal">
      <formula>0</formula>
    </cfRule>
    <cfRule type="cellIs" dxfId="6" priority="11" operator="lessThan">
      <formula>0</formula>
    </cfRule>
    <cfRule type="cellIs" dxfId="5" priority="12" operator="greaterThan">
      <formula>0</formula>
    </cfRule>
  </conditionalFormatting>
  <conditionalFormatting sqref="O2:O9 G2:G40">
    <cfRule type="cellIs" dxfId="4" priority="8" operator="equal">
      <formula>0</formula>
    </cfRule>
    <cfRule type="cellIs" dxfId="3" priority="9" operator="lessThan">
      <formula>0</formula>
    </cfRule>
    <cfRule type="cellIs" dxfId="2" priority="10" operator="greaterThan">
      <formula>0</formula>
    </cfRule>
  </conditionalFormatting>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3516B-7EA8-44CD-8FB9-C7AF500E365D}">
  <sheetPr codeName="Hoja9">
    <tabColor theme="0"/>
  </sheetPr>
  <dimension ref="A1:DN339"/>
  <sheetViews>
    <sheetView zoomScale="51" zoomScaleNormal="80" workbookViewId="0">
      <pane xSplit="7" ySplit="1" topLeftCell="J79" activePane="bottomRight" state="frozen"/>
      <selection pane="topRight" activeCell="E1" sqref="E1"/>
      <selection pane="bottomLeft" activeCell="A2" sqref="A2"/>
      <selection pane="bottomRight" activeCell="J130" sqref="J130"/>
    </sheetView>
  </sheetViews>
  <sheetFormatPr baseColWidth="10" defaultColWidth="10.81640625" defaultRowHeight="15.5" x14ac:dyDescent="0.4"/>
  <cols>
    <col min="1" max="1" width="9.81640625" style="166" bestFit="1" customWidth="1"/>
    <col min="2" max="2" width="48.26953125" style="166" bestFit="1" customWidth="1"/>
    <col min="3" max="3" width="17" style="35" hidden="1" customWidth="1"/>
    <col min="4" max="4" width="14.7265625" style="34" hidden="1" customWidth="1"/>
    <col min="5" max="5" width="10.81640625" style="33" customWidth="1"/>
    <col min="6" max="6" width="27.54296875" style="165" bestFit="1" customWidth="1"/>
    <col min="7" max="7" width="3.1796875" style="51" customWidth="1"/>
    <col min="8" max="8" width="12.453125" style="31" bestFit="1" customWidth="1"/>
    <col min="9" max="9" width="9.81640625" style="31" customWidth="1"/>
    <col min="10" max="10" width="48.26953125" style="32" bestFit="1" customWidth="1"/>
    <col min="11" max="11" width="16.453125" style="33" bestFit="1" customWidth="1"/>
    <col min="12" max="12" width="29.453125" style="34" bestFit="1" customWidth="1"/>
    <col min="13" max="13" width="12.453125" style="37" bestFit="1" customWidth="1"/>
    <col min="14" max="14" width="9.81640625" style="49" bestFit="1" customWidth="1"/>
    <col min="15" max="15" width="43.453125" style="32" bestFit="1" customWidth="1"/>
    <col min="16" max="16" width="16.453125" style="33" bestFit="1" customWidth="1"/>
    <col min="17" max="17" width="44.1796875" style="32" bestFit="1" customWidth="1"/>
    <col min="18" max="18" width="3.1796875" style="51" customWidth="1"/>
    <col min="19" max="46" width="3.1796875" style="32" customWidth="1"/>
    <col min="47" max="47" width="10.81640625" style="32"/>
    <col min="48" max="48" width="22.453125" style="32" customWidth="1"/>
    <col min="49" max="49" width="10.81640625" style="32"/>
    <col min="50" max="50" width="7.7265625" style="32" customWidth="1"/>
    <col min="51" max="51" width="10.1796875" style="32" bestFit="1" customWidth="1"/>
    <col min="52" max="52" width="10.81640625" style="32"/>
    <col min="53" max="53" width="13.26953125" style="32" customWidth="1"/>
    <col min="54" max="55" width="10.81640625" style="32"/>
    <col min="56" max="56" width="18.453125" style="32" customWidth="1"/>
    <col min="57" max="57" width="10.81640625" style="32"/>
    <col min="58" max="58" width="3.36328125" style="34" bestFit="1" customWidth="1"/>
    <col min="59" max="96" width="10.81640625" style="32"/>
    <col min="97" max="97" width="16.36328125" style="32" bestFit="1" customWidth="1"/>
    <col min="98" max="98" width="16.6328125" style="32" bestFit="1" customWidth="1"/>
    <col min="99" max="117" width="10.81640625" style="32"/>
    <col min="118" max="118" width="11.7265625" style="32" bestFit="1" customWidth="1"/>
    <col min="119" max="16384" width="10.81640625" style="32"/>
  </cols>
  <sheetData>
    <row r="1" spans="1:118" ht="16" thickBot="1" x14ac:dyDescent="0.45">
      <c r="A1" s="166" t="s">
        <v>563</v>
      </c>
      <c r="B1" s="166" t="s">
        <v>564</v>
      </c>
      <c r="C1" s="52" t="s">
        <v>565</v>
      </c>
      <c r="D1" s="53" t="s">
        <v>566</v>
      </c>
      <c r="E1" s="33" t="s">
        <v>567</v>
      </c>
      <c r="F1" s="165" t="s">
        <v>568</v>
      </c>
      <c r="H1" s="332" t="s">
        <v>569</v>
      </c>
      <c r="I1" s="332"/>
      <c r="J1" s="332"/>
      <c r="K1" s="332"/>
      <c r="L1" s="332"/>
      <c r="M1" s="333" t="s">
        <v>570</v>
      </c>
      <c r="N1" s="333"/>
      <c r="O1" s="333"/>
      <c r="P1" s="333"/>
      <c r="Q1" s="333"/>
      <c r="AU1" s="214"/>
      <c r="AV1" s="215"/>
      <c r="AW1" s="215"/>
      <c r="AX1" s="214"/>
      <c r="AY1" s="214"/>
      <c r="AZ1" s="214"/>
      <c r="BA1" s="214"/>
      <c r="BB1" s="214"/>
      <c r="BC1" s="214"/>
      <c r="BD1" s="214"/>
      <c r="BE1" s="214"/>
    </row>
    <row r="2" spans="1:118" ht="20.5" thickBot="1" x14ac:dyDescent="0.45">
      <c r="A2" s="166" t="s">
        <v>575</v>
      </c>
      <c r="B2" s="166" t="s">
        <v>576</v>
      </c>
      <c r="C2" s="35">
        <f>SUMIFS(ENTRADA[CANTIDAD],ENTRADA[COD],INVENTARIO[[#This Row],[COD]])</f>
        <v>5</v>
      </c>
      <c r="D2" s="34">
        <f>SUMIFS(SALIDA[CANTIDAD],SALIDA[COD],INVENTARIO[[#This Row],[COD]])</f>
        <v>4</v>
      </c>
      <c r="E2" s="33">
        <f>INVENTARIO[[#This Row],[ENTRADAS]]-INVENTARIO[[#This Row],[SALIDAS]]</f>
        <v>1</v>
      </c>
      <c r="F2" s="165" t="s">
        <v>577</v>
      </c>
      <c r="H2" s="44" t="s">
        <v>32</v>
      </c>
      <c r="I2" s="44" t="s">
        <v>563</v>
      </c>
      <c r="J2" s="45" t="s">
        <v>564</v>
      </c>
      <c r="K2" s="46" t="s">
        <v>9</v>
      </c>
      <c r="L2" s="45" t="s">
        <v>578</v>
      </c>
      <c r="M2" s="48" t="s">
        <v>32</v>
      </c>
      <c r="N2" s="48" t="s">
        <v>563</v>
      </c>
      <c r="O2" s="50" t="s">
        <v>564</v>
      </c>
      <c r="P2" s="47" t="s">
        <v>9</v>
      </c>
      <c r="Q2" s="50" t="s">
        <v>578</v>
      </c>
      <c r="AU2" s="334">
        <f>SUM(AW2,AW10,AW18)</f>
        <v>63</v>
      </c>
      <c r="AV2" s="213" t="s">
        <v>579</v>
      </c>
      <c r="AW2" s="212">
        <f>SUM(AV3:AV9)</f>
        <v>30</v>
      </c>
      <c r="AX2" s="199" t="s">
        <v>580</v>
      </c>
      <c r="AY2" s="207" t="s">
        <v>581</v>
      </c>
      <c r="AZ2" s="207" t="s">
        <v>1192</v>
      </c>
      <c r="BA2" s="330" t="s">
        <v>582</v>
      </c>
      <c r="BB2" s="331"/>
      <c r="BC2" s="331"/>
      <c r="BD2" s="331"/>
      <c r="BE2" s="197" t="s">
        <v>583</v>
      </c>
      <c r="BF2" s="303"/>
      <c r="CE2" s="288" t="s">
        <v>13</v>
      </c>
      <c r="CF2" s="289" t="s">
        <v>165</v>
      </c>
      <c r="CG2" s="289" t="s">
        <v>166</v>
      </c>
      <c r="CH2" s="290" t="s">
        <v>167</v>
      </c>
      <c r="CI2" s="291" t="s">
        <v>168</v>
      </c>
      <c r="CJ2" s="290" t="s">
        <v>1</v>
      </c>
      <c r="CK2" s="290" t="s">
        <v>169</v>
      </c>
      <c r="CL2" s="289" t="s">
        <v>170</v>
      </c>
      <c r="CM2" s="290" t="s">
        <v>171</v>
      </c>
      <c r="CN2" s="290" t="s">
        <v>172</v>
      </c>
      <c r="CO2" s="290" t="s">
        <v>173</v>
      </c>
      <c r="CP2" s="291" t="s">
        <v>174</v>
      </c>
      <c r="CQ2" s="291" t="s">
        <v>175</v>
      </c>
      <c r="CR2" s="290" t="s">
        <v>176</v>
      </c>
      <c r="CS2" s="290" t="s">
        <v>177</v>
      </c>
      <c r="CT2" s="289" t="s">
        <v>2</v>
      </c>
      <c r="CU2" s="289" t="s">
        <v>178</v>
      </c>
      <c r="CV2" s="289" t="s">
        <v>179</v>
      </c>
      <c r="CW2" s="289" t="s">
        <v>180</v>
      </c>
      <c r="CX2" s="289" t="s">
        <v>181</v>
      </c>
      <c r="CY2" s="291" t="s">
        <v>182</v>
      </c>
      <c r="CZ2" s="291" t="s">
        <v>183</v>
      </c>
      <c r="DA2" s="290" t="s">
        <v>184</v>
      </c>
      <c r="DB2" s="290" t="s">
        <v>185</v>
      </c>
      <c r="DC2" s="290" t="s">
        <v>186</v>
      </c>
      <c r="DD2" s="290" t="s">
        <v>1070</v>
      </c>
      <c r="DE2" s="290" t="s">
        <v>1052</v>
      </c>
      <c r="DF2" s="292" t="s">
        <v>1067</v>
      </c>
      <c r="DG2" s="291" t="s">
        <v>1076</v>
      </c>
      <c r="DH2" s="290" t="s">
        <v>187</v>
      </c>
      <c r="DI2" s="290" t="s">
        <v>188</v>
      </c>
      <c r="DJ2" s="291" t="s">
        <v>189</v>
      </c>
      <c r="DK2" s="291" t="s">
        <v>190</v>
      </c>
      <c r="DL2" s="290" t="s">
        <v>191</v>
      </c>
      <c r="DM2" s="290" t="s">
        <v>1124</v>
      </c>
      <c r="DN2" s="293" t="s">
        <v>192</v>
      </c>
    </row>
    <row r="3" spans="1:118" ht="16.5" customHeight="1" x14ac:dyDescent="0.4">
      <c r="A3" s="166" t="s">
        <v>584</v>
      </c>
      <c r="B3" s="166" t="s">
        <v>585</v>
      </c>
      <c r="C3" s="35">
        <f>SUMIFS(ENTRADA[CANTIDAD],ENTRADA[COD],INVENTARIO[[#This Row],[COD]])</f>
        <v>9</v>
      </c>
      <c r="D3" s="34">
        <f>SUMIFS(SALIDA[CANTIDAD],SALIDA[COD],INVENTARIO[[#This Row],[COD]])</f>
        <v>7</v>
      </c>
      <c r="E3" s="33">
        <f>INVENTARIO[[#This Row],[ENTRADAS]]-INVENTARIO[[#This Row],[SALIDAS]]</f>
        <v>2</v>
      </c>
      <c r="F3" s="165" t="s">
        <v>577</v>
      </c>
      <c r="H3" s="38">
        <v>45675</v>
      </c>
      <c r="I3" s="32" t="s">
        <v>575</v>
      </c>
      <c r="J3" s="32" t="str">
        <f>_xlfn.XLOOKUP(ENTRADA[[#This Row],[COD]],INVENTARIO[COD],INVENTARIO[DETALLE],"DETALLAR")</f>
        <v>POLO NEGRA  (8)</v>
      </c>
      <c r="K3" s="35">
        <v>5</v>
      </c>
      <c r="L3" s="34" t="str">
        <f>_xlfn.XLOOKUP(ENTRADA[[#This Row],[COD]],INVENTARIO[COD],INVENTARIO[OBSERVACIONES])</f>
        <v>ADM</v>
      </c>
      <c r="M3" s="39">
        <v>45615</v>
      </c>
      <c r="N3" s="40" t="s">
        <v>586</v>
      </c>
      <c r="O3" s="32" t="str">
        <f>_xlfn.XLOOKUP(SALIDA[[#This Row],[COD]],INVENTARIO[COD],INVENTARIO[DETALLE],"DETALLAR")</f>
        <v>POLO BLANCA  S</v>
      </c>
      <c r="P3" s="33">
        <v>1</v>
      </c>
      <c r="Q3" s="32" t="s">
        <v>587</v>
      </c>
      <c r="AU3" s="335"/>
      <c r="AV3" s="193">
        <f>DCOUNTA(Activos[#All],Activos[[#Headers],[T.Camisa]],DOTACION!CE2:DN3)</f>
        <v>5</v>
      </c>
      <c r="AW3" s="167" t="s">
        <v>588</v>
      </c>
      <c r="AX3" s="36">
        <f t="shared" ref="AX3:AX9" si="0">((AV3)*2)</f>
        <v>10</v>
      </c>
      <c r="AY3" s="198">
        <v>10</v>
      </c>
      <c r="AZ3" s="208">
        <f>AX3+AY3</f>
        <v>20</v>
      </c>
      <c r="BA3" s="329" t="s">
        <v>589</v>
      </c>
      <c r="BB3" s="329"/>
      <c r="BC3" s="329"/>
      <c r="BD3" s="329"/>
      <c r="BE3" s="258">
        <f>AZ3/2</f>
        <v>10</v>
      </c>
      <c r="BF3" s="304">
        <f>BE3-AV3</f>
        <v>5</v>
      </c>
      <c r="BG3" s="36"/>
      <c r="BH3" s="36"/>
      <c r="BI3" s="36"/>
      <c r="BJ3" s="36"/>
      <c r="BK3" s="36"/>
      <c r="BL3" s="36"/>
      <c r="BM3" s="36"/>
      <c r="BN3" s="36"/>
      <c r="BO3" s="36"/>
      <c r="BP3" s="36"/>
      <c r="BQ3" s="36"/>
      <c r="BR3" s="36"/>
      <c r="BS3" s="36"/>
      <c r="BT3" s="36"/>
      <c r="BU3" s="36"/>
      <c r="BV3" s="36"/>
      <c r="BW3" s="36"/>
      <c r="BX3" s="36"/>
      <c r="BY3" s="36"/>
      <c r="BZ3" s="36"/>
      <c r="CA3" s="36"/>
      <c r="CB3" s="36"/>
      <c r="CE3" s="281"/>
      <c r="CF3" s="282"/>
      <c r="CG3" s="281"/>
      <c r="CH3" s="283"/>
      <c r="CI3" s="284"/>
      <c r="CJ3" s="283"/>
      <c r="CK3" s="283"/>
      <c r="CL3" s="285"/>
      <c r="CM3" s="283"/>
      <c r="CN3" s="283"/>
      <c r="CO3" s="283"/>
      <c r="CP3" s="284"/>
      <c r="CQ3" s="284"/>
      <c r="CR3" s="283"/>
      <c r="CS3" s="283"/>
      <c r="CT3" s="281" t="s">
        <v>20</v>
      </c>
      <c r="CU3" s="1" t="s">
        <v>250</v>
      </c>
      <c r="CV3" s="281"/>
      <c r="CW3" s="281"/>
      <c r="CX3" s="282"/>
      <c r="CY3" s="286"/>
      <c r="CZ3" s="284"/>
      <c r="DA3" s="283"/>
      <c r="DB3" s="283"/>
      <c r="DC3" s="283"/>
      <c r="DD3" s="283"/>
      <c r="DE3" s="283"/>
      <c r="DF3" s="287"/>
      <c r="DG3" s="284"/>
      <c r="DH3" s="284"/>
      <c r="DI3" s="283"/>
      <c r="DJ3" s="284"/>
      <c r="DK3" s="284"/>
      <c r="DL3" s="283"/>
      <c r="DM3" s="284"/>
      <c r="DN3" s="284"/>
    </row>
    <row r="4" spans="1:118" ht="16" thickBot="1" x14ac:dyDescent="0.45">
      <c r="A4" s="166" t="s">
        <v>590</v>
      </c>
      <c r="B4" s="166" t="s">
        <v>591</v>
      </c>
      <c r="C4" s="35">
        <f>SUMIFS(ENTRADA[CANTIDAD],ENTRADA[COD],INVENTARIO[[#This Row],[COD]])</f>
        <v>3</v>
      </c>
      <c r="D4" s="34">
        <f>SUMIFS(SALIDA[CANTIDAD],SALIDA[COD],INVENTARIO[[#This Row],[COD]])</f>
        <v>3</v>
      </c>
      <c r="E4" s="33">
        <f>INVENTARIO[[#This Row],[ENTRADAS]]-INVENTARIO[[#This Row],[SALIDAS]]</f>
        <v>0</v>
      </c>
      <c r="F4" s="165" t="s">
        <v>577</v>
      </c>
      <c r="H4" s="38">
        <v>45675</v>
      </c>
      <c r="I4" s="32" t="s">
        <v>584</v>
      </c>
      <c r="J4" s="32" t="str">
        <f>_xlfn.XLOOKUP(ENTRADA[[#This Row],[COD]],INVENTARIO[COD],INVENTARIO[DETALLE],"DETALLAR")</f>
        <v>POLO NEGRA  (10)</v>
      </c>
      <c r="K4" s="35">
        <v>6</v>
      </c>
      <c r="L4" s="34" t="str">
        <f>_xlfn.XLOOKUP(ENTRADA[[#This Row],[COD]],INVENTARIO[COD],INVENTARIO[OBSERVACIONES])</f>
        <v>ADM</v>
      </c>
      <c r="M4" s="39">
        <v>45615</v>
      </c>
      <c r="N4" s="40" t="s">
        <v>592</v>
      </c>
      <c r="O4" s="32" t="str">
        <f>_xlfn.XLOOKUP(SALIDA[[#This Row],[COD]],INVENTARIO[COD],INVENTARIO[DETALLE],"DETALLAR")</f>
        <v>POLO NEGRA  M</v>
      </c>
      <c r="P4" s="33">
        <v>1</v>
      </c>
      <c r="Q4" s="32" t="s">
        <v>593</v>
      </c>
      <c r="AU4" s="335"/>
      <c r="AV4" s="193">
        <f>DCOUNTA(Activos[#All],Activos[[#Headers],[T.Camisa]],DOTACION!CE5:DN6)</f>
        <v>6</v>
      </c>
      <c r="AW4" s="167" t="s">
        <v>594</v>
      </c>
      <c r="AX4" s="36">
        <f t="shared" si="0"/>
        <v>12</v>
      </c>
      <c r="AY4" s="198">
        <v>10</v>
      </c>
      <c r="AZ4" s="208">
        <f t="shared" ref="AZ4:AZ14" si="1">AX4+AY4</f>
        <v>22</v>
      </c>
      <c r="BA4" s="329" t="s">
        <v>595</v>
      </c>
      <c r="BB4" s="329"/>
      <c r="BC4" s="329"/>
      <c r="BD4" s="329"/>
      <c r="BE4" s="258">
        <f>AZ3/2</f>
        <v>10</v>
      </c>
      <c r="BF4" s="304">
        <f>BE4-AV3</f>
        <v>5</v>
      </c>
      <c r="BG4" s="36"/>
      <c r="BH4" s="36"/>
      <c r="BI4" s="36"/>
      <c r="BJ4" s="36"/>
      <c r="BK4" s="36"/>
      <c r="BL4" s="36"/>
      <c r="BM4" s="36"/>
      <c r="BN4" s="36"/>
      <c r="BO4" s="36"/>
      <c r="BP4" s="36"/>
      <c r="BQ4" s="36"/>
      <c r="BR4" s="36"/>
      <c r="BS4" s="36"/>
      <c r="BT4" s="36"/>
      <c r="BU4" s="36"/>
      <c r="BV4" s="36"/>
      <c r="BW4" s="36"/>
      <c r="BX4" s="36"/>
      <c r="BY4" s="36"/>
      <c r="BZ4" s="36"/>
      <c r="CA4" s="36"/>
      <c r="CB4" s="36"/>
      <c r="CE4" s="280"/>
      <c r="CF4" s="280"/>
      <c r="CG4" s="280"/>
      <c r="CH4" s="280"/>
      <c r="CI4" s="280"/>
      <c r="CJ4" s="280"/>
      <c r="CK4" s="280"/>
      <c r="CL4" s="280"/>
      <c r="CM4" s="280"/>
      <c r="CN4" s="280"/>
      <c r="CO4" s="280"/>
    </row>
    <row r="5" spans="1:118" ht="16" thickBot="1" x14ac:dyDescent="0.45">
      <c r="A5" s="166" t="s">
        <v>592</v>
      </c>
      <c r="B5" s="166" t="s">
        <v>596</v>
      </c>
      <c r="C5" s="35">
        <f>SUMIFS(ENTRADA[CANTIDAD],ENTRADA[COD],INVENTARIO[[#This Row],[COD]])</f>
        <v>6</v>
      </c>
      <c r="D5" s="34">
        <f>SUMIFS(SALIDA[CANTIDAD],SALIDA[COD],INVENTARIO[[#This Row],[COD]])</f>
        <v>4</v>
      </c>
      <c r="E5" s="33">
        <f>INVENTARIO[[#This Row],[ENTRADAS]]-INVENTARIO[[#This Row],[SALIDAS]]</f>
        <v>2</v>
      </c>
      <c r="F5" s="165" t="s">
        <v>577</v>
      </c>
      <c r="H5" s="38">
        <v>45675</v>
      </c>
      <c r="I5" s="32" t="s">
        <v>590</v>
      </c>
      <c r="J5" s="32" t="str">
        <f>_xlfn.XLOOKUP(ENTRADA[[#This Row],[COD]],INVENTARIO[COD],INVENTARIO[DETALLE],"DETALLAR")</f>
        <v>POLO NEGRA  S</v>
      </c>
      <c r="K5" s="35">
        <v>3</v>
      </c>
      <c r="L5" s="34" t="str">
        <f>_xlfn.XLOOKUP(ENTRADA[[#This Row],[COD]],INVENTARIO[COD],INVENTARIO[OBSERVACIONES])</f>
        <v>ADM</v>
      </c>
      <c r="M5" s="39">
        <v>45615</v>
      </c>
      <c r="N5" s="40" t="s">
        <v>597</v>
      </c>
      <c r="O5" s="32" t="str">
        <f>_xlfn.XLOOKUP(SALIDA[[#This Row],[COD]],INVENTARIO[COD],INVENTARIO[DETALLE],"DETALLAR")</f>
        <v>POLO BLANCA  (10)</v>
      </c>
      <c r="P5" s="33">
        <v>1</v>
      </c>
      <c r="Q5" s="32" t="s">
        <v>598</v>
      </c>
      <c r="AU5" s="335"/>
      <c r="AV5" s="193">
        <f>DCOUNTA(Activos[#All],Activos[[#Headers],[T.Camisa]],DOTACION!CE8:DN9)</f>
        <v>9</v>
      </c>
      <c r="AW5" s="167" t="s">
        <v>599</v>
      </c>
      <c r="AX5" s="36">
        <f t="shared" si="0"/>
        <v>18</v>
      </c>
      <c r="AY5" s="198">
        <v>22</v>
      </c>
      <c r="AZ5" s="208">
        <f t="shared" si="1"/>
        <v>40</v>
      </c>
      <c r="BA5" s="329" t="s">
        <v>600</v>
      </c>
      <c r="BB5" s="329"/>
      <c r="BC5" s="329"/>
      <c r="BD5" s="329"/>
      <c r="BE5" s="258">
        <f>AZ4/2</f>
        <v>11</v>
      </c>
      <c r="BF5" s="304">
        <f>BE5-AV4</f>
        <v>5</v>
      </c>
      <c r="BG5" s="36"/>
      <c r="BH5" s="36"/>
      <c r="BI5" s="36"/>
      <c r="BJ5" s="36"/>
      <c r="BK5" s="36"/>
      <c r="BL5" s="36"/>
      <c r="BM5" s="36"/>
      <c r="BN5" s="36"/>
      <c r="BO5" s="36"/>
      <c r="BP5" s="36"/>
      <c r="BQ5" s="36"/>
      <c r="BR5" s="36"/>
      <c r="BS5" s="36"/>
      <c r="BT5" s="36"/>
      <c r="BU5" s="36"/>
      <c r="BV5" s="36"/>
      <c r="BW5" s="36"/>
      <c r="BX5" s="36"/>
      <c r="BY5" s="36"/>
      <c r="BZ5" s="36"/>
      <c r="CA5" s="36"/>
      <c r="CB5" s="36"/>
      <c r="CE5" s="288" t="s">
        <v>13</v>
      </c>
      <c r="CF5" s="289" t="s">
        <v>165</v>
      </c>
      <c r="CG5" s="289" t="s">
        <v>166</v>
      </c>
      <c r="CH5" s="290" t="s">
        <v>167</v>
      </c>
      <c r="CI5" s="291" t="s">
        <v>168</v>
      </c>
      <c r="CJ5" s="290" t="s">
        <v>1</v>
      </c>
      <c r="CK5" s="290" t="s">
        <v>169</v>
      </c>
      <c r="CL5" s="289" t="s">
        <v>170</v>
      </c>
      <c r="CM5" s="290" t="s">
        <v>171</v>
      </c>
      <c r="CN5" s="290" t="s">
        <v>172</v>
      </c>
      <c r="CO5" s="290" t="s">
        <v>173</v>
      </c>
      <c r="CP5" s="291" t="s">
        <v>174</v>
      </c>
      <c r="CQ5" s="291" t="s">
        <v>175</v>
      </c>
      <c r="CR5" s="290" t="s">
        <v>176</v>
      </c>
      <c r="CS5" s="290" t="s">
        <v>177</v>
      </c>
      <c r="CT5" s="289" t="s">
        <v>2</v>
      </c>
      <c r="CU5" s="289" t="s">
        <v>178</v>
      </c>
      <c r="CV5" s="289" t="s">
        <v>179</v>
      </c>
      <c r="CW5" s="289" t="s">
        <v>180</v>
      </c>
      <c r="CX5" s="289" t="s">
        <v>181</v>
      </c>
      <c r="CY5" s="291" t="s">
        <v>182</v>
      </c>
      <c r="CZ5" s="291" t="s">
        <v>183</v>
      </c>
      <c r="DA5" s="290" t="s">
        <v>184</v>
      </c>
      <c r="DB5" s="290" t="s">
        <v>185</v>
      </c>
      <c r="DC5" s="290" t="s">
        <v>186</v>
      </c>
      <c r="DD5" s="290" t="s">
        <v>1070</v>
      </c>
      <c r="DE5" s="290" t="s">
        <v>1052</v>
      </c>
      <c r="DF5" s="292" t="s">
        <v>1067</v>
      </c>
      <c r="DG5" s="291" t="s">
        <v>1076</v>
      </c>
      <c r="DH5" s="290" t="s">
        <v>187</v>
      </c>
      <c r="DI5" s="290" t="s">
        <v>188</v>
      </c>
      <c r="DJ5" s="291" t="s">
        <v>189</v>
      </c>
      <c r="DK5" s="291" t="s">
        <v>190</v>
      </c>
      <c r="DL5" s="290" t="s">
        <v>191</v>
      </c>
      <c r="DM5" s="290" t="s">
        <v>1124</v>
      </c>
      <c r="DN5" s="293" t="s">
        <v>192</v>
      </c>
    </row>
    <row r="6" spans="1:118" x14ac:dyDescent="0.4">
      <c r="A6" s="166" t="s">
        <v>601</v>
      </c>
      <c r="B6" s="166" t="s">
        <v>602</v>
      </c>
      <c r="C6" s="35">
        <f>SUMIFS(ENTRADA[CANTIDAD],ENTRADA[COD],INVENTARIO[[#This Row],[COD]])</f>
        <v>8</v>
      </c>
      <c r="D6" s="34">
        <f>SUMIFS(SALIDA[CANTIDAD],SALIDA[COD],INVENTARIO[[#This Row],[COD]])</f>
        <v>7</v>
      </c>
      <c r="E6" s="33">
        <f>INVENTARIO[[#This Row],[ENTRADAS]]-INVENTARIO[[#This Row],[SALIDAS]]</f>
        <v>1</v>
      </c>
      <c r="F6" s="165" t="s">
        <v>577</v>
      </c>
      <c r="H6" s="38">
        <v>45675</v>
      </c>
      <c r="I6" s="32" t="s">
        <v>592</v>
      </c>
      <c r="J6" s="32" t="str">
        <f>_xlfn.XLOOKUP(ENTRADA[[#This Row],[COD]],INVENTARIO[COD],INVENTARIO[DETALLE],"DETALLAR")</f>
        <v>POLO NEGRA  M</v>
      </c>
      <c r="K6" s="35">
        <v>6</v>
      </c>
      <c r="L6" s="34" t="str">
        <f>_xlfn.XLOOKUP(ENTRADA[[#This Row],[COD]],INVENTARIO[COD],INVENTARIO[OBSERVACIONES])</f>
        <v>ADM</v>
      </c>
      <c r="M6" s="39">
        <v>45615</v>
      </c>
      <c r="N6" s="40" t="s">
        <v>601</v>
      </c>
      <c r="O6" s="32" t="str">
        <f>_xlfn.XLOOKUP(SALIDA[[#This Row],[COD]],INVENTARIO[COD],INVENTARIO[DETALLE],"DETALLAR")</f>
        <v>POLO NEGRA  L</v>
      </c>
      <c r="P6" s="33">
        <v>1</v>
      </c>
      <c r="Q6" s="32" t="s">
        <v>603</v>
      </c>
      <c r="AU6" s="335"/>
      <c r="AV6" s="193">
        <f>DCOUNTA(Activos[#All],Activos[[#Headers],[T.Camisa]],DOTACION!CE11:DN12)</f>
        <v>2</v>
      </c>
      <c r="AW6" s="167" t="s">
        <v>604</v>
      </c>
      <c r="AX6" s="36">
        <f t="shared" si="0"/>
        <v>4</v>
      </c>
      <c r="AY6" s="198">
        <v>4</v>
      </c>
      <c r="AZ6" s="208">
        <f t="shared" si="1"/>
        <v>8</v>
      </c>
      <c r="BA6" s="329" t="s">
        <v>605</v>
      </c>
      <c r="BB6" s="329"/>
      <c r="BC6" s="329"/>
      <c r="BD6" s="329"/>
      <c r="BE6" s="258">
        <f>AZ4/2</f>
        <v>11</v>
      </c>
      <c r="BF6" s="304">
        <f>BE6-AV4</f>
        <v>5</v>
      </c>
      <c r="BG6" s="36"/>
      <c r="BH6" s="36"/>
      <c r="BI6" s="36"/>
      <c r="BJ6" s="36"/>
      <c r="BK6" s="36"/>
      <c r="BL6" s="36"/>
      <c r="BM6" s="36"/>
      <c r="BN6" s="36"/>
      <c r="BO6" s="36"/>
      <c r="BP6" s="36"/>
      <c r="BQ6" s="36"/>
      <c r="BR6" s="36"/>
      <c r="BS6" s="36"/>
      <c r="BT6" s="36"/>
      <c r="BU6" s="36"/>
      <c r="BV6" s="36"/>
      <c r="BW6" s="36"/>
      <c r="BX6" s="36"/>
      <c r="BY6" s="36"/>
      <c r="BZ6" s="36"/>
      <c r="CA6" s="36"/>
      <c r="CB6" s="36"/>
      <c r="CE6" s="281"/>
      <c r="CF6" s="282"/>
      <c r="CG6" s="281"/>
      <c r="CH6" s="283"/>
      <c r="CI6" s="284"/>
      <c r="CJ6" s="283"/>
      <c r="CK6" s="283"/>
      <c r="CL6" s="285"/>
      <c r="CM6" s="283"/>
      <c r="CN6" s="283"/>
      <c r="CO6" s="283"/>
      <c r="CP6" s="284"/>
      <c r="CQ6" s="284"/>
      <c r="CR6" s="283"/>
      <c r="CS6" s="283"/>
      <c r="CT6" s="281" t="s">
        <v>20</v>
      </c>
      <c r="CU6" s="281" t="s">
        <v>10</v>
      </c>
      <c r="CV6" s="281"/>
      <c r="CW6" s="281"/>
      <c r="CX6" s="282"/>
      <c r="CY6" s="286"/>
      <c r="CZ6" s="284"/>
      <c r="DA6" s="283"/>
      <c r="DB6" s="283"/>
      <c r="DC6" s="283"/>
      <c r="DD6" s="283"/>
      <c r="DE6" s="283"/>
      <c r="DF6" s="287"/>
      <c r="DG6" s="284"/>
      <c r="DH6" s="284"/>
      <c r="DI6" s="283"/>
      <c r="DJ6" s="284"/>
      <c r="DK6" s="284"/>
      <c r="DL6" s="283"/>
      <c r="DM6" s="284"/>
      <c r="DN6" s="284"/>
    </row>
    <row r="7" spans="1:118" ht="16" thickBot="1" x14ac:dyDescent="0.45">
      <c r="A7" s="166" t="s">
        <v>606</v>
      </c>
      <c r="B7" s="166" t="s">
        <v>607</v>
      </c>
      <c r="C7" s="35">
        <f>SUMIFS(ENTRADA[CANTIDAD],ENTRADA[COD],INVENTARIO[[#This Row],[COD]])</f>
        <v>3</v>
      </c>
      <c r="D7" s="34">
        <f>SUMIFS(SALIDA[CANTIDAD],SALIDA[COD],INVENTARIO[[#This Row],[COD]])</f>
        <v>3</v>
      </c>
      <c r="E7" s="33">
        <f>INVENTARIO[[#This Row],[ENTRADAS]]-INVENTARIO[[#This Row],[SALIDAS]]</f>
        <v>0</v>
      </c>
      <c r="F7" s="165" t="s">
        <v>577</v>
      </c>
      <c r="H7" s="38">
        <v>45675</v>
      </c>
      <c r="I7" s="32" t="s">
        <v>601</v>
      </c>
      <c r="J7" s="32" t="str">
        <f>_xlfn.XLOOKUP(ENTRADA[[#This Row],[COD]],INVENTARIO[COD],INVENTARIO[DETALLE],"DETALLAR")</f>
        <v>POLO NEGRA  L</v>
      </c>
      <c r="K7" s="35">
        <v>8</v>
      </c>
      <c r="L7" s="34" t="str">
        <f>_xlfn.XLOOKUP(ENTRADA[[#This Row],[COD]],INVENTARIO[COD],INVENTARIO[OBSERVACIONES])</f>
        <v>ADM</v>
      </c>
      <c r="M7" s="39">
        <v>45615</v>
      </c>
      <c r="N7" s="40" t="s">
        <v>608</v>
      </c>
      <c r="O7" s="32" t="str">
        <f>_xlfn.XLOOKUP(SALIDA[[#This Row],[COD]],INVENTARIO[COD],INVENTARIO[DETALLE],"DETALLAR")</f>
        <v>PANTALON TALLA 34</v>
      </c>
      <c r="P7" s="33">
        <v>1</v>
      </c>
      <c r="Q7" s="32" t="s">
        <v>603</v>
      </c>
      <c r="AU7" s="335"/>
      <c r="AV7" s="193">
        <f>DCOUNTA(Activos[#All],Activos[[#Headers],[T.Camisa]],DOTACION!CE14:DN15)</f>
        <v>1</v>
      </c>
      <c r="AW7" s="167" t="s">
        <v>609</v>
      </c>
      <c r="AX7" s="36">
        <f t="shared" si="0"/>
        <v>2</v>
      </c>
      <c r="AY7" s="198">
        <v>6</v>
      </c>
      <c r="AZ7" s="208">
        <f t="shared" si="1"/>
        <v>8</v>
      </c>
      <c r="BA7" s="329" t="s">
        <v>610</v>
      </c>
      <c r="BB7" s="329"/>
      <c r="BC7" s="329"/>
      <c r="BD7" s="329"/>
      <c r="BE7" s="258">
        <f>AZ5/2</f>
        <v>20</v>
      </c>
      <c r="BF7" s="304">
        <f>BE7-AV5</f>
        <v>11</v>
      </c>
      <c r="BG7" s="36"/>
      <c r="BH7" s="36"/>
      <c r="BI7" s="36"/>
      <c r="BJ7" s="36"/>
      <c r="BK7" s="36"/>
      <c r="BL7" s="36"/>
      <c r="BM7" s="36"/>
      <c r="BN7" s="36"/>
      <c r="BO7" s="36"/>
      <c r="BP7" s="36"/>
      <c r="BQ7" s="36"/>
      <c r="BR7" s="36"/>
      <c r="BS7" s="36"/>
      <c r="BT7" s="36"/>
      <c r="BU7" s="36"/>
      <c r="BV7" s="36"/>
      <c r="BW7" s="36"/>
      <c r="BX7" s="36"/>
      <c r="BY7" s="36"/>
      <c r="BZ7" s="36"/>
      <c r="CA7" s="36"/>
      <c r="CB7" s="36"/>
    </row>
    <row r="8" spans="1:118" ht="16" thickBot="1" x14ac:dyDescent="0.45">
      <c r="A8" s="166" t="s">
        <v>611</v>
      </c>
      <c r="B8" s="166" t="s">
        <v>612</v>
      </c>
      <c r="C8" s="35">
        <f>SUMIFS(ENTRADA[CANTIDAD],ENTRADA[COD],INVENTARIO[[#This Row],[COD]])</f>
        <v>2</v>
      </c>
      <c r="D8" s="34">
        <f>SUMIFS(SALIDA[CANTIDAD],SALIDA[COD],INVENTARIO[[#This Row],[COD]])</f>
        <v>0</v>
      </c>
      <c r="E8" s="33">
        <f>INVENTARIO[[#This Row],[ENTRADAS]]-INVENTARIO[[#This Row],[SALIDAS]]</f>
        <v>2</v>
      </c>
      <c r="F8" s="165" t="s">
        <v>577</v>
      </c>
      <c r="H8" s="38">
        <v>45675</v>
      </c>
      <c r="I8" s="32" t="s">
        <v>606</v>
      </c>
      <c r="J8" s="32" t="str">
        <f>_xlfn.XLOOKUP(ENTRADA[[#This Row],[COD]],INVENTARIO[COD],INVENTARIO[DETALLE],"DETALLAR")</f>
        <v>POLO NEGRA  XL</v>
      </c>
      <c r="K8" s="35">
        <v>3</v>
      </c>
      <c r="L8" s="34" t="str">
        <f>_xlfn.XLOOKUP(ENTRADA[[#This Row],[COD]],INVENTARIO[COD],INVENTARIO[OBSERVACIONES])</f>
        <v>ADM</v>
      </c>
      <c r="M8" s="39">
        <v>45615</v>
      </c>
      <c r="N8" s="40" t="s">
        <v>575</v>
      </c>
      <c r="O8" s="32" t="str">
        <f>_xlfn.XLOOKUP(SALIDA[[#This Row],[COD]],INVENTARIO[COD],INVENTARIO[DETALLE],"DETALLAR")</f>
        <v>POLO NEGRA  (8)</v>
      </c>
      <c r="P8" s="33">
        <v>1</v>
      </c>
      <c r="Q8" s="32" t="s">
        <v>613</v>
      </c>
      <c r="AU8" s="335"/>
      <c r="AV8" s="193">
        <f>DCOUNTA(Activos[#All],Activos[[#Headers],[T.Camisa]],DOTACION!CE17:DN18)</f>
        <v>5</v>
      </c>
      <c r="AW8" s="167" t="s">
        <v>614</v>
      </c>
      <c r="AX8" s="36">
        <f t="shared" si="0"/>
        <v>10</v>
      </c>
      <c r="AY8" s="198">
        <v>10</v>
      </c>
      <c r="AZ8" s="208">
        <f t="shared" si="1"/>
        <v>20</v>
      </c>
      <c r="BA8" s="329" t="s">
        <v>615</v>
      </c>
      <c r="BB8" s="329"/>
      <c r="BC8" s="329"/>
      <c r="BD8" s="329"/>
      <c r="BE8" s="194">
        <f>AZ5/2</f>
        <v>20</v>
      </c>
      <c r="BF8" s="302">
        <f>BE8-AV5</f>
        <v>11</v>
      </c>
      <c r="BG8" s="36"/>
      <c r="BH8" s="36"/>
      <c r="BI8" s="36"/>
      <c r="BJ8" s="36"/>
      <c r="BK8" s="36"/>
      <c r="BL8" s="36"/>
      <c r="BM8" s="36"/>
      <c r="BN8" s="36"/>
      <c r="BO8" s="36"/>
      <c r="BP8" s="36"/>
      <c r="BQ8" s="36"/>
      <c r="BR8" s="36"/>
      <c r="BS8" s="36"/>
      <c r="BT8" s="36"/>
      <c r="BU8" s="36"/>
      <c r="BV8" s="36"/>
      <c r="BW8" s="36"/>
      <c r="BX8" s="36"/>
      <c r="BY8" s="36"/>
      <c r="BZ8" s="36"/>
      <c r="CA8" s="36"/>
      <c r="CB8" s="36"/>
      <c r="CE8" s="288" t="s">
        <v>13</v>
      </c>
      <c r="CF8" s="289" t="s">
        <v>165</v>
      </c>
      <c r="CG8" s="289" t="s">
        <v>166</v>
      </c>
      <c r="CH8" s="290" t="s">
        <v>167</v>
      </c>
      <c r="CI8" s="291" t="s">
        <v>168</v>
      </c>
      <c r="CJ8" s="290" t="s">
        <v>1</v>
      </c>
      <c r="CK8" s="290" t="s">
        <v>169</v>
      </c>
      <c r="CL8" s="289" t="s">
        <v>170</v>
      </c>
      <c r="CM8" s="290" t="s">
        <v>171</v>
      </c>
      <c r="CN8" s="290" t="s">
        <v>172</v>
      </c>
      <c r="CO8" s="290" t="s">
        <v>173</v>
      </c>
      <c r="CP8" s="291" t="s">
        <v>174</v>
      </c>
      <c r="CQ8" s="291" t="s">
        <v>175</v>
      </c>
      <c r="CR8" s="290" t="s">
        <v>176</v>
      </c>
      <c r="CS8" s="290" t="s">
        <v>177</v>
      </c>
      <c r="CT8" s="289" t="s">
        <v>2</v>
      </c>
      <c r="CU8" s="289" t="s">
        <v>178</v>
      </c>
      <c r="CV8" s="289" t="s">
        <v>179</v>
      </c>
      <c r="CW8" s="289" t="s">
        <v>180</v>
      </c>
      <c r="CX8" s="289" t="s">
        <v>181</v>
      </c>
      <c r="CY8" s="291" t="s">
        <v>182</v>
      </c>
      <c r="CZ8" s="291" t="s">
        <v>183</v>
      </c>
      <c r="DA8" s="290" t="s">
        <v>184</v>
      </c>
      <c r="DB8" s="290" t="s">
        <v>185</v>
      </c>
      <c r="DC8" s="290" t="s">
        <v>186</v>
      </c>
      <c r="DD8" s="290" t="s">
        <v>1070</v>
      </c>
      <c r="DE8" s="290" t="s">
        <v>1052</v>
      </c>
      <c r="DF8" s="292" t="s">
        <v>1067</v>
      </c>
      <c r="DG8" s="291" t="s">
        <v>1076</v>
      </c>
      <c r="DH8" s="290" t="s">
        <v>187</v>
      </c>
      <c r="DI8" s="290" t="s">
        <v>188</v>
      </c>
      <c r="DJ8" s="291" t="s">
        <v>189</v>
      </c>
      <c r="DK8" s="291" t="s">
        <v>190</v>
      </c>
      <c r="DL8" s="290" t="s">
        <v>191</v>
      </c>
      <c r="DM8" s="290" t="s">
        <v>1124</v>
      </c>
      <c r="DN8" s="293" t="s">
        <v>192</v>
      </c>
    </row>
    <row r="9" spans="1:118" x14ac:dyDescent="0.4">
      <c r="A9" s="166" t="s">
        <v>616</v>
      </c>
      <c r="B9" s="166" t="s">
        <v>617</v>
      </c>
      <c r="C9" s="35">
        <f>SUMIFS(ENTRADA[CANTIDAD],ENTRADA[COD],INVENTARIO[[#This Row],[COD]])</f>
        <v>2</v>
      </c>
      <c r="D9" s="34">
        <f>SUMIFS(SALIDA[CANTIDAD],SALIDA[COD],INVENTARIO[[#This Row],[COD]])</f>
        <v>2</v>
      </c>
      <c r="E9" s="33">
        <f>INVENTARIO[[#This Row],[ENTRADAS]]-INVENTARIO[[#This Row],[SALIDAS]]</f>
        <v>0</v>
      </c>
      <c r="F9" s="165" t="s">
        <v>577</v>
      </c>
      <c r="H9" s="38">
        <v>45675</v>
      </c>
      <c r="I9" s="32" t="s">
        <v>611</v>
      </c>
      <c r="J9" s="32" t="str">
        <f>_xlfn.XLOOKUP(ENTRADA[[#This Row],[COD]],INVENTARIO[COD],INVENTARIO[DETALLE],"DETALLAR")</f>
        <v>POLO NEGRA  XXL</v>
      </c>
      <c r="K9" s="35">
        <v>2</v>
      </c>
      <c r="L9" s="34" t="str">
        <f>_xlfn.XLOOKUP(ENTRADA[[#This Row],[COD]],INVENTARIO[COD],INVENTARIO[OBSERVACIONES])</f>
        <v>ADM</v>
      </c>
      <c r="M9" s="39">
        <v>45615</v>
      </c>
      <c r="N9" s="40" t="s">
        <v>618</v>
      </c>
      <c r="O9" s="32" t="str">
        <f>_xlfn.XLOOKUP(SALIDA[[#This Row],[COD]],INVENTARIO[COD],INVENTARIO[DETALLE],"DETALLAR")</f>
        <v>PANTALON TALLA 8</v>
      </c>
      <c r="P9" s="33">
        <v>1</v>
      </c>
      <c r="Q9" s="32" t="s">
        <v>613</v>
      </c>
      <c r="AU9" s="335"/>
      <c r="AV9" s="201">
        <f>DCOUNTA(Activos[#All],Activos[[#Headers],[T.Camisa]],DOTACION!CE20:DN21)</f>
        <v>2</v>
      </c>
      <c r="AW9" s="202" t="s">
        <v>619</v>
      </c>
      <c r="AX9" s="203">
        <f t="shared" si="0"/>
        <v>4</v>
      </c>
      <c r="AY9" s="204">
        <v>8</v>
      </c>
      <c r="AZ9" s="208">
        <f t="shared" si="1"/>
        <v>12</v>
      </c>
      <c r="BA9" s="329" t="s">
        <v>620</v>
      </c>
      <c r="BB9" s="329"/>
      <c r="BC9" s="329"/>
      <c r="BD9" s="329"/>
      <c r="BE9" s="194">
        <f>AZ6/2</f>
        <v>4</v>
      </c>
      <c r="BF9" s="302">
        <f>BE9-AV6</f>
        <v>2</v>
      </c>
      <c r="BG9" s="36"/>
      <c r="BH9" s="36"/>
      <c r="BI9" s="36"/>
      <c r="BJ9" s="36"/>
      <c r="BK9" s="36"/>
      <c r="BL9" s="36"/>
      <c r="BM9" s="36"/>
      <c r="BN9" s="36"/>
      <c r="BO9" s="36"/>
      <c r="BP9" s="36"/>
      <c r="BQ9" s="36"/>
      <c r="BR9" s="36"/>
      <c r="BS9" s="36"/>
      <c r="BT9" s="36"/>
      <c r="BU9" s="36"/>
      <c r="BV9" s="36"/>
      <c r="BW9" s="36"/>
      <c r="BX9" s="36"/>
      <c r="BY9" s="36"/>
      <c r="BZ9" s="36"/>
      <c r="CA9" s="36"/>
      <c r="CB9" s="36"/>
      <c r="CE9" s="281"/>
      <c r="CF9" s="282"/>
      <c r="CG9" s="281"/>
      <c r="CH9" s="283"/>
      <c r="CI9" s="284"/>
      <c r="CJ9" s="283"/>
      <c r="CK9" s="283"/>
      <c r="CL9" s="285"/>
      <c r="CM9" s="283"/>
      <c r="CN9" s="283"/>
      <c r="CO9" s="283"/>
      <c r="CP9" s="284"/>
      <c r="CQ9" s="284"/>
      <c r="CR9" s="283"/>
      <c r="CS9" s="283"/>
      <c r="CT9" s="281" t="s">
        <v>20</v>
      </c>
      <c r="CU9" s="281" t="s">
        <v>214</v>
      </c>
      <c r="CV9" s="281"/>
      <c r="CW9" s="281"/>
      <c r="CX9" s="282"/>
      <c r="CY9" s="286"/>
      <c r="CZ9" s="284"/>
      <c r="DA9" s="283"/>
      <c r="DB9" s="283"/>
      <c r="DC9" s="283"/>
      <c r="DD9" s="283"/>
      <c r="DE9" s="283"/>
      <c r="DF9" s="287"/>
      <c r="DG9" s="284"/>
      <c r="DH9" s="284"/>
      <c r="DI9" s="283"/>
      <c r="DJ9" s="284"/>
      <c r="DK9" s="284"/>
      <c r="DL9" s="283"/>
      <c r="DM9" s="284"/>
      <c r="DN9" s="284"/>
    </row>
    <row r="10" spans="1:118" ht="16" thickBot="1" x14ac:dyDescent="0.45">
      <c r="A10" s="166" t="s">
        <v>597</v>
      </c>
      <c r="B10" s="166" t="s">
        <v>621</v>
      </c>
      <c r="C10" s="35">
        <f>SUMIFS(ENTRADA[CANTIDAD],ENTRADA[COD],INVENTARIO[[#This Row],[COD]])</f>
        <v>5</v>
      </c>
      <c r="D10" s="34">
        <f>SUMIFS(SALIDA[CANTIDAD],SALIDA[COD],INVENTARIO[[#This Row],[COD]])</f>
        <v>5</v>
      </c>
      <c r="E10" s="33">
        <f>INVENTARIO[[#This Row],[ENTRADAS]]-INVENTARIO[[#This Row],[SALIDAS]]</f>
        <v>0</v>
      </c>
      <c r="F10" s="165" t="s">
        <v>577</v>
      </c>
      <c r="H10" s="38">
        <v>45675</v>
      </c>
      <c r="I10" s="32" t="s">
        <v>616</v>
      </c>
      <c r="J10" s="32" t="str">
        <f>_xlfn.XLOOKUP(ENTRADA[[#This Row],[COD]],INVENTARIO[COD],INVENTARIO[DETALLE],"DETALLAR")</f>
        <v>POLO BLANCA  (8)</v>
      </c>
      <c r="K10" s="35">
        <v>2</v>
      </c>
      <c r="L10" s="34" t="str">
        <f>_xlfn.XLOOKUP(ENTRADA[[#This Row],[COD]],INVENTARIO[COD],INVENTARIO[OBSERVACIONES])</f>
        <v>ADM</v>
      </c>
      <c r="M10" s="39">
        <v>45615</v>
      </c>
      <c r="N10" s="40" t="s">
        <v>597</v>
      </c>
      <c r="O10" s="32" t="str">
        <f>_xlfn.XLOOKUP(SALIDA[[#This Row],[COD]],INVENTARIO[COD],INVENTARIO[DETALLE],"DETALLAR")</f>
        <v>POLO BLANCA  (10)</v>
      </c>
      <c r="P10" s="33">
        <v>1</v>
      </c>
      <c r="Q10" s="32" t="s">
        <v>622</v>
      </c>
      <c r="AU10" s="335"/>
      <c r="AV10" s="213" t="s">
        <v>623</v>
      </c>
      <c r="AW10" s="212">
        <f>SUM(AV11:AV14)</f>
        <v>25</v>
      </c>
      <c r="AX10" s="295"/>
      <c r="AY10" s="295"/>
      <c r="AZ10" s="296"/>
      <c r="BA10" s="329" t="s">
        <v>624</v>
      </c>
      <c r="BB10" s="329"/>
      <c r="BC10" s="329"/>
      <c r="BD10" s="329"/>
      <c r="BE10" s="194">
        <f>AZ6/2</f>
        <v>4</v>
      </c>
      <c r="BF10" s="302">
        <f>BE10-AV6</f>
        <v>2</v>
      </c>
      <c r="BG10" s="36"/>
      <c r="BH10" s="36"/>
      <c r="BI10" s="36"/>
      <c r="BJ10" s="36"/>
      <c r="BK10" s="36"/>
      <c r="BL10" s="36"/>
      <c r="BM10" s="36"/>
      <c r="BN10" s="36"/>
      <c r="BO10" s="36"/>
      <c r="BP10" s="36"/>
      <c r="BQ10" s="36"/>
      <c r="BR10" s="36"/>
      <c r="BS10" s="36"/>
      <c r="BT10" s="36"/>
      <c r="BU10" s="36"/>
      <c r="BV10" s="36"/>
      <c r="BW10" s="36"/>
      <c r="BX10" s="36"/>
      <c r="BY10" s="36"/>
      <c r="BZ10" s="36"/>
      <c r="CA10" s="36"/>
      <c r="CB10" s="36"/>
    </row>
    <row r="11" spans="1:118" ht="16" thickBot="1" x14ac:dyDescent="0.45">
      <c r="A11" s="166" t="s">
        <v>586</v>
      </c>
      <c r="B11" s="166" t="s">
        <v>625</v>
      </c>
      <c r="C11" s="35">
        <f>SUMIFS(ENTRADA[CANTIDAD],ENTRADA[COD],INVENTARIO[[#This Row],[COD]])</f>
        <v>2</v>
      </c>
      <c r="D11" s="34">
        <f>SUMIFS(SALIDA[CANTIDAD],SALIDA[COD],INVENTARIO[[#This Row],[COD]])</f>
        <v>2</v>
      </c>
      <c r="E11" s="33">
        <f>INVENTARIO[[#This Row],[ENTRADAS]]-INVENTARIO[[#This Row],[SALIDAS]]</f>
        <v>0</v>
      </c>
      <c r="F11" s="165" t="s">
        <v>577</v>
      </c>
      <c r="H11" s="38">
        <v>45675</v>
      </c>
      <c r="I11" s="32" t="s">
        <v>597</v>
      </c>
      <c r="J11" s="32" t="str">
        <f>_xlfn.XLOOKUP(ENTRADA[[#This Row],[COD]],INVENTARIO[COD],INVENTARIO[DETALLE],"DETALLAR")</f>
        <v>POLO BLANCA  (10)</v>
      </c>
      <c r="K11" s="35">
        <v>5</v>
      </c>
      <c r="L11" s="34" t="str">
        <f>_xlfn.XLOOKUP(ENTRADA[[#This Row],[COD]],INVENTARIO[COD],INVENTARIO[OBSERVACIONES])</f>
        <v>ADM</v>
      </c>
      <c r="M11" s="39">
        <v>45615</v>
      </c>
      <c r="N11" s="40" t="s">
        <v>618</v>
      </c>
      <c r="O11" s="32" t="str">
        <f>_xlfn.XLOOKUP(SALIDA[[#This Row],[COD]],INVENTARIO[COD],INVENTARIO[DETALLE],"DETALLAR")</f>
        <v>PANTALON TALLA 8</v>
      </c>
      <c r="P11" s="33">
        <v>1</v>
      </c>
      <c r="Q11" s="32" t="s">
        <v>622</v>
      </c>
      <c r="AU11" s="335"/>
      <c r="AV11" s="193">
        <f>DCOUNTA(Activos[#All],Activos[[#Headers],[T.Camisa]],DOTACION!CE24:DN25)</f>
        <v>5</v>
      </c>
      <c r="AW11" s="167" t="s">
        <v>594</v>
      </c>
      <c r="AX11" s="36">
        <f t="shared" ref="AX11:AX14" si="2">((AV11)*2)</f>
        <v>10</v>
      </c>
      <c r="AY11" s="198">
        <v>20</v>
      </c>
      <c r="AZ11" s="208">
        <f t="shared" si="1"/>
        <v>30</v>
      </c>
      <c r="BA11" s="329" t="s">
        <v>626</v>
      </c>
      <c r="BB11" s="329"/>
      <c r="BC11" s="329"/>
      <c r="BD11" s="329"/>
      <c r="BE11" s="194">
        <f>AZ7/2</f>
        <v>4</v>
      </c>
      <c r="BF11" s="304">
        <f>BE11-AV7</f>
        <v>3</v>
      </c>
      <c r="BG11" s="36"/>
      <c r="BH11" s="36"/>
      <c r="BI11" s="36"/>
      <c r="BJ11" s="36"/>
      <c r="BK11" s="36"/>
      <c r="BL11" s="36"/>
      <c r="BM11" s="36"/>
      <c r="BN11" s="36"/>
      <c r="BO11" s="36"/>
      <c r="BP11" s="36"/>
      <c r="BQ11" s="36"/>
      <c r="BR11" s="36"/>
      <c r="BS11" s="36"/>
      <c r="BT11" s="36"/>
      <c r="BU11" s="36"/>
      <c r="BV11" s="36"/>
      <c r="BW11" s="36"/>
      <c r="BX11" s="36"/>
      <c r="BY11" s="36"/>
      <c r="BZ11" s="36"/>
      <c r="CA11" s="36"/>
      <c r="CB11" s="36"/>
      <c r="CE11" s="288" t="s">
        <v>13</v>
      </c>
      <c r="CF11" s="289" t="s">
        <v>165</v>
      </c>
      <c r="CG11" s="289" t="s">
        <v>166</v>
      </c>
      <c r="CH11" s="290" t="s">
        <v>167</v>
      </c>
      <c r="CI11" s="291" t="s">
        <v>168</v>
      </c>
      <c r="CJ11" s="290" t="s">
        <v>1</v>
      </c>
      <c r="CK11" s="290" t="s">
        <v>169</v>
      </c>
      <c r="CL11" s="289" t="s">
        <v>170</v>
      </c>
      <c r="CM11" s="290" t="s">
        <v>171</v>
      </c>
      <c r="CN11" s="290" t="s">
        <v>172</v>
      </c>
      <c r="CO11" s="290" t="s">
        <v>173</v>
      </c>
      <c r="CP11" s="291" t="s">
        <v>174</v>
      </c>
      <c r="CQ11" s="291" t="s">
        <v>175</v>
      </c>
      <c r="CR11" s="290" t="s">
        <v>176</v>
      </c>
      <c r="CS11" s="290" t="s">
        <v>177</v>
      </c>
      <c r="CT11" s="289" t="s">
        <v>2</v>
      </c>
      <c r="CU11" s="289" t="s">
        <v>178</v>
      </c>
      <c r="CV11" s="289" t="s">
        <v>179</v>
      </c>
      <c r="CW11" s="289" t="s">
        <v>180</v>
      </c>
      <c r="CX11" s="289" t="s">
        <v>181</v>
      </c>
      <c r="CY11" s="291" t="s">
        <v>182</v>
      </c>
      <c r="CZ11" s="291" t="s">
        <v>183</v>
      </c>
      <c r="DA11" s="290" t="s">
        <v>184</v>
      </c>
      <c r="DB11" s="290" t="s">
        <v>185</v>
      </c>
      <c r="DC11" s="290" t="s">
        <v>186</v>
      </c>
      <c r="DD11" s="290" t="s">
        <v>1070</v>
      </c>
      <c r="DE11" s="290" t="s">
        <v>1052</v>
      </c>
      <c r="DF11" s="292" t="s">
        <v>1067</v>
      </c>
      <c r="DG11" s="291" t="s">
        <v>1076</v>
      </c>
      <c r="DH11" s="290" t="s">
        <v>187</v>
      </c>
      <c r="DI11" s="290" t="s">
        <v>188</v>
      </c>
      <c r="DJ11" s="291" t="s">
        <v>189</v>
      </c>
      <c r="DK11" s="291" t="s">
        <v>190</v>
      </c>
      <c r="DL11" s="290" t="s">
        <v>191</v>
      </c>
      <c r="DM11" s="290" t="s">
        <v>1124</v>
      </c>
      <c r="DN11" s="293" t="s">
        <v>192</v>
      </c>
    </row>
    <row r="12" spans="1:118" x14ac:dyDescent="0.4">
      <c r="A12" s="166" t="s">
        <v>627</v>
      </c>
      <c r="B12" s="166" t="s">
        <v>628</v>
      </c>
      <c r="C12" s="35">
        <f>SUMIFS(ENTRADA[CANTIDAD],ENTRADA[COD],INVENTARIO[[#This Row],[COD]])</f>
        <v>8</v>
      </c>
      <c r="D12" s="34">
        <f>SUMIFS(SALIDA[CANTIDAD],SALIDA[COD],INVENTARIO[[#This Row],[COD]])</f>
        <v>1</v>
      </c>
      <c r="E12" s="33">
        <f>INVENTARIO[[#This Row],[ENTRADAS]]-INVENTARIO[[#This Row],[SALIDAS]]</f>
        <v>7</v>
      </c>
      <c r="F12" s="165" t="s">
        <v>577</v>
      </c>
      <c r="H12" s="38">
        <v>45675</v>
      </c>
      <c r="I12" s="32" t="s">
        <v>586</v>
      </c>
      <c r="J12" s="32" t="str">
        <f>_xlfn.XLOOKUP(ENTRADA[[#This Row],[COD]],INVENTARIO[COD],INVENTARIO[DETALLE],"DETALLAR")</f>
        <v>POLO BLANCA  S</v>
      </c>
      <c r="K12" s="35">
        <v>2</v>
      </c>
      <c r="L12" s="34" t="str">
        <f>_xlfn.XLOOKUP(ENTRADA[[#This Row],[COD]],INVENTARIO[COD],INVENTARIO[OBSERVACIONES])</f>
        <v>ADM</v>
      </c>
      <c r="M12" s="39">
        <v>45615</v>
      </c>
      <c r="N12" s="40" t="s">
        <v>584</v>
      </c>
      <c r="O12" s="32" t="str">
        <f>_xlfn.XLOOKUP(SALIDA[[#This Row],[COD]],INVENTARIO[COD],INVENTARIO[DETALLE],"DETALLAR")</f>
        <v>POLO NEGRA  (10)</v>
      </c>
      <c r="P12" s="33">
        <v>1</v>
      </c>
      <c r="Q12" s="32" t="s">
        <v>629</v>
      </c>
      <c r="AU12" s="335"/>
      <c r="AV12" s="193">
        <f>DCOUNTA(Activos[#All],Activos[[#Headers],[T.Camisa]],DOTACION!CE27:DN28)</f>
        <v>15</v>
      </c>
      <c r="AW12" s="167" t="s">
        <v>599</v>
      </c>
      <c r="AX12" s="36">
        <f t="shared" si="2"/>
        <v>30</v>
      </c>
      <c r="AY12" s="198">
        <v>20</v>
      </c>
      <c r="AZ12" s="208">
        <f t="shared" si="1"/>
        <v>50</v>
      </c>
      <c r="BA12" s="329" t="s">
        <v>630</v>
      </c>
      <c r="BB12" s="329"/>
      <c r="BC12" s="329"/>
      <c r="BD12" s="329"/>
      <c r="BE12" s="194">
        <f>AZ7/2</f>
        <v>4</v>
      </c>
      <c r="BF12" s="302">
        <f>BE12-AV7</f>
        <v>3</v>
      </c>
      <c r="BG12" s="36"/>
      <c r="BH12" s="36"/>
      <c r="BI12" s="36"/>
      <c r="BJ12" s="36"/>
      <c r="BK12" s="36"/>
      <c r="BL12" s="36"/>
      <c r="BM12" s="36"/>
      <c r="BN12" s="36"/>
      <c r="BO12" s="36"/>
      <c r="BP12" s="36"/>
      <c r="BQ12" s="36"/>
      <c r="BR12" s="36"/>
      <c r="BS12" s="36"/>
      <c r="BT12" s="36"/>
      <c r="BU12" s="36"/>
      <c r="BV12" s="36"/>
      <c r="BW12" s="36"/>
      <c r="BX12" s="36"/>
      <c r="BY12" s="36"/>
      <c r="BZ12" s="36"/>
      <c r="CA12" s="36"/>
      <c r="CB12" s="36"/>
      <c r="CE12" s="281"/>
      <c r="CF12" s="282"/>
      <c r="CG12" s="281"/>
      <c r="CH12" s="283"/>
      <c r="CI12" s="284"/>
      <c r="CJ12" s="283"/>
      <c r="CK12" s="283"/>
      <c r="CL12" s="285"/>
      <c r="CM12" s="283"/>
      <c r="CN12" s="283"/>
      <c r="CO12" s="283"/>
      <c r="CP12" s="284"/>
      <c r="CQ12" s="284"/>
      <c r="CR12" s="283"/>
      <c r="CS12" s="283"/>
      <c r="CT12" s="281" t="s">
        <v>20</v>
      </c>
      <c r="CU12" s="1" t="s">
        <v>236</v>
      </c>
      <c r="CV12" s="281"/>
      <c r="CW12" s="281"/>
      <c r="CX12" s="282"/>
      <c r="CY12" s="286"/>
      <c r="CZ12" s="284"/>
      <c r="DA12" s="283"/>
      <c r="DB12" s="283"/>
      <c r="DC12" s="283"/>
      <c r="DD12" s="283"/>
      <c r="DE12" s="283"/>
      <c r="DF12" s="287"/>
      <c r="DG12" s="284"/>
      <c r="DH12" s="284"/>
      <c r="DI12" s="283"/>
      <c r="DJ12" s="284"/>
      <c r="DK12" s="284"/>
      <c r="DL12" s="283"/>
      <c r="DM12" s="284"/>
      <c r="DN12" s="284"/>
    </row>
    <row r="13" spans="1:118" ht="16" thickBot="1" x14ac:dyDescent="0.45">
      <c r="A13" s="166" t="s">
        <v>631</v>
      </c>
      <c r="B13" s="166" t="s">
        <v>632</v>
      </c>
      <c r="C13" s="35">
        <f>SUMIFS(ENTRADA[CANTIDAD],ENTRADA[COD],INVENTARIO[[#This Row],[COD]])</f>
        <v>9</v>
      </c>
      <c r="D13" s="34">
        <f>SUMIFS(SALIDA[CANTIDAD],SALIDA[COD],INVENTARIO[[#This Row],[COD]])</f>
        <v>6</v>
      </c>
      <c r="E13" s="33">
        <f>INVENTARIO[[#This Row],[ENTRADAS]]-INVENTARIO[[#This Row],[SALIDAS]]</f>
        <v>3</v>
      </c>
      <c r="F13" s="165" t="s">
        <v>577</v>
      </c>
      <c r="H13" s="38">
        <v>45675</v>
      </c>
      <c r="I13" s="32" t="s">
        <v>627</v>
      </c>
      <c r="J13" s="32" t="str">
        <f>_xlfn.XLOOKUP(ENTRADA[[#This Row],[COD]],INVENTARIO[COD],INVENTARIO[DETALLE],"DETALLAR")</f>
        <v>POLO BLANCA  M</v>
      </c>
      <c r="K13" s="35">
        <v>3</v>
      </c>
      <c r="L13" s="34" t="str">
        <f>_xlfn.XLOOKUP(ENTRADA[[#This Row],[COD]],INVENTARIO[COD],INVENTARIO[OBSERVACIONES])</f>
        <v>ADM</v>
      </c>
      <c r="M13" s="39">
        <v>45615</v>
      </c>
      <c r="N13" s="40" t="s">
        <v>633</v>
      </c>
      <c r="O13" s="32" t="str">
        <f>_xlfn.XLOOKUP(SALIDA[[#This Row],[COD]],INVENTARIO[COD],INVENTARIO[DETALLE],"DETALLAR")</f>
        <v>PANTALON TALLA 12</v>
      </c>
      <c r="P13" s="33">
        <v>1</v>
      </c>
      <c r="Q13" s="32" t="s">
        <v>629</v>
      </c>
      <c r="AU13" s="335"/>
      <c r="AV13" s="193">
        <f>DCOUNTA(Activos[#All],Activos[[#Headers],[T.Camisa]],DOTACION!CE30:DN31)</f>
        <v>5</v>
      </c>
      <c r="AW13" s="167" t="s">
        <v>604</v>
      </c>
      <c r="AX13" s="36">
        <f t="shared" si="2"/>
        <v>10</v>
      </c>
      <c r="AY13" s="198">
        <v>10</v>
      </c>
      <c r="AZ13" s="208">
        <f t="shared" si="1"/>
        <v>20</v>
      </c>
      <c r="BA13" s="329" t="s">
        <v>634</v>
      </c>
      <c r="BB13" s="329"/>
      <c r="BC13" s="329"/>
      <c r="BD13" s="329"/>
      <c r="BE13" s="194">
        <f>AZ8/2</f>
        <v>10</v>
      </c>
      <c r="BF13" s="302">
        <f>BE13-AV8</f>
        <v>5</v>
      </c>
      <c r="BG13" s="36"/>
      <c r="BH13" s="36"/>
      <c r="BI13" s="36"/>
      <c r="BJ13" s="36"/>
      <c r="BK13" s="36"/>
      <c r="BL13" s="36"/>
      <c r="BM13" s="36"/>
      <c r="BN13" s="36"/>
      <c r="BO13" s="36"/>
      <c r="BP13" s="36"/>
      <c r="BQ13" s="36"/>
      <c r="BR13" s="36"/>
      <c r="BS13" s="36"/>
      <c r="BT13" s="36"/>
      <c r="BU13" s="36"/>
      <c r="BV13" s="36"/>
      <c r="BW13" s="36"/>
      <c r="BX13" s="36"/>
      <c r="BY13" s="36"/>
      <c r="BZ13" s="36"/>
      <c r="CA13" s="36"/>
      <c r="CB13" s="36"/>
    </row>
    <row r="14" spans="1:118" ht="16" thickBot="1" x14ac:dyDescent="0.45">
      <c r="A14" s="166" t="s">
        <v>635</v>
      </c>
      <c r="B14" s="166" t="s">
        <v>636</v>
      </c>
      <c r="C14" s="35">
        <f>SUMIFS(ENTRADA[CANTIDAD],ENTRADA[COD],INVENTARIO[[#This Row],[COD]])</f>
        <v>4</v>
      </c>
      <c r="D14" s="34">
        <f>SUMIFS(SALIDA[CANTIDAD],SALIDA[COD],INVENTARIO[[#This Row],[COD]])</f>
        <v>2</v>
      </c>
      <c r="E14" s="33">
        <f>INVENTARIO[[#This Row],[ENTRADAS]]-INVENTARIO[[#This Row],[SALIDAS]]</f>
        <v>2</v>
      </c>
      <c r="F14" s="165" t="s">
        <v>577</v>
      </c>
      <c r="H14" s="38">
        <v>45675</v>
      </c>
      <c r="I14" s="32" t="s">
        <v>631</v>
      </c>
      <c r="J14" s="32" t="str">
        <f>_xlfn.XLOOKUP(ENTRADA[[#This Row],[COD]],INVENTARIO[COD],INVENTARIO[DETALLE],"DETALLAR")</f>
        <v>POLO BLANCA  L</v>
      </c>
      <c r="K14" s="35">
        <v>9</v>
      </c>
      <c r="L14" s="34" t="str">
        <f>_xlfn.XLOOKUP(ENTRADA[[#This Row],[COD]],INVENTARIO[COD],INVENTARIO[OBSERVACIONES])</f>
        <v>ADM</v>
      </c>
      <c r="M14" s="39">
        <v>45615</v>
      </c>
      <c r="N14" s="40" t="s">
        <v>601</v>
      </c>
      <c r="O14" s="32" t="str">
        <f>_xlfn.XLOOKUP(SALIDA[[#This Row],[COD]],INVENTARIO[COD],INVENTARIO[DETALLE],"DETALLAR")</f>
        <v>POLO NEGRA  L</v>
      </c>
      <c r="P14" s="33">
        <v>1</v>
      </c>
      <c r="Q14" s="32" t="s">
        <v>637</v>
      </c>
      <c r="AU14" s="335"/>
      <c r="AV14" s="193">
        <f>DCOUNTA(Activos[#All],Activos[[#Headers],[T.Camisa]],DOTACION!CE33:DN34)</f>
        <v>0</v>
      </c>
      <c r="AW14" s="167" t="s">
        <v>609</v>
      </c>
      <c r="AX14" s="36">
        <f t="shared" si="2"/>
        <v>0</v>
      </c>
      <c r="AY14" s="198">
        <v>0</v>
      </c>
      <c r="AZ14" s="208">
        <f t="shared" si="1"/>
        <v>0</v>
      </c>
      <c r="BA14" s="329" t="s">
        <v>638</v>
      </c>
      <c r="BB14" s="329"/>
      <c r="BC14" s="329"/>
      <c r="BD14" s="329"/>
      <c r="BE14" s="194">
        <f>AZ8/2</f>
        <v>10</v>
      </c>
      <c r="BF14" s="302">
        <f>BE14-AV8</f>
        <v>5</v>
      </c>
      <c r="BG14" s="36"/>
      <c r="BH14" s="36"/>
      <c r="BI14" s="36"/>
      <c r="BJ14" s="36"/>
      <c r="BK14" s="36"/>
      <c r="BL14" s="36"/>
      <c r="BM14" s="36"/>
      <c r="BN14" s="36"/>
      <c r="BO14" s="36"/>
      <c r="BP14" s="36"/>
      <c r="BQ14" s="36"/>
      <c r="BR14" s="36"/>
      <c r="BS14" s="36"/>
      <c r="BT14" s="36"/>
      <c r="BU14" s="36"/>
      <c r="BV14" s="36"/>
      <c r="BW14" s="36"/>
      <c r="BX14" s="36"/>
      <c r="BY14" s="36"/>
      <c r="BZ14" s="36"/>
      <c r="CA14" s="36"/>
      <c r="CB14" s="36"/>
      <c r="CE14" s="288" t="s">
        <v>13</v>
      </c>
      <c r="CF14" s="289" t="s">
        <v>165</v>
      </c>
      <c r="CG14" s="289" t="s">
        <v>166</v>
      </c>
      <c r="CH14" s="290" t="s">
        <v>167</v>
      </c>
      <c r="CI14" s="291" t="s">
        <v>168</v>
      </c>
      <c r="CJ14" s="290" t="s">
        <v>1</v>
      </c>
      <c r="CK14" s="290" t="s">
        <v>169</v>
      </c>
      <c r="CL14" s="289" t="s">
        <v>170</v>
      </c>
      <c r="CM14" s="290" t="s">
        <v>171</v>
      </c>
      <c r="CN14" s="290" t="s">
        <v>172</v>
      </c>
      <c r="CO14" s="290" t="s">
        <v>173</v>
      </c>
      <c r="CP14" s="291" t="s">
        <v>174</v>
      </c>
      <c r="CQ14" s="291" t="s">
        <v>175</v>
      </c>
      <c r="CR14" s="290" t="s">
        <v>176</v>
      </c>
      <c r="CS14" s="290" t="s">
        <v>177</v>
      </c>
      <c r="CT14" s="289" t="s">
        <v>2</v>
      </c>
      <c r="CU14" s="289" t="s">
        <v>178</v>
      </c>
      <c r="CV14" s="289" t="s">
        <v>179</v>
      </c>
      <c r="CW14" s="289" t="s">
        <v>180</v>
      </c>
      <c r="CX14" s="289" t="s">
        <v>181</v>
      </c>
      <c r="CY14" s="291" t="s">
        <v>182</v>
      </c>
      <c r="CZ14" s="291" t="s">
        <v>183</v>
      </c>
      <c r="DA14" s="290" t="s">
        <v>184</v>
      </c>
      <c r="DB14" s="290" t="s">
        <v>185</v>
      </c>
      <c r="DC14" s="290" t="s">
        <v>186</v>
      </c>
      <c r="DD14" s="290" t="s">
        <v>1070</v>
      </c>
      <c r="DE14" s="290" t="s">
        <v>1052</v>
      </c>
      <c r="DF14" s="292" t="s">
        <v>1067</v>
      </c>
      <c r="DG14" s="291" t="s">
        <v>1076</v>
      </c>
      <c r="DH14" s="290" t="s">
        <v>187</v>
      </c>
      <c r="DI14" s="290" t="s">
        <v>188</v>
      </c>
      <c r="DJ14" s="291" t="s">
        <v>189</v>
      </c>
      <c r="DK14" s="291" t="s">
        <v>190</v>
      </c>
      <c r="DL14" s="290" t="s">
        <v>191</v>
      </c>
      <c r="DM14" s="290" t="s">
        <v>1124</v>
      </c>
      <c r="DN14" s="293" t="s">
        <v>192</v>
      </c>
    </row>
    <row r="15" spans="1:118" x14ac:dyDescent="0.4">
      <c r="A15" s="166" t="s">
        <v>639</v>
      </c>
      <c r="B15" s="166" t="s">
        <v>640</v>
      </c>
      <c r="C15" s="35">
        <f>SUMIFS(ENTRADA[CANTIDAD],ENTRADA[COD],INVENTARIO[[#This Row],[COD]])</f>
        <v>2</v>
      </c>
      <c r="D15" s="34">
        <f>SUMIFS(SALIDA[CANTIDAD],SALIDA[COD],INVENTARIO[[#This Row],[COD]])</f>
        <v>1</v>
      </c>
      <c r="E15" s="33">
        <f>INVENTARIO[[#This Row],[ENTRADAS]]-INVENTARIO[[#This Row],[SALIDAS]]</f>
        <v>1</v>
      </c>
      <c r="F15" s="165" t="s">
        <v>577</v>
      </c>
      <c r="H15" s="38">
        <v>45675</v>
      </c>
      <c r="I15" s="32" t="s">
        <v>635</v>
      </c>
      <c r="J15" s="32" t="str">
        <f>_xlfn.XLOOKUP(ENTRADA[[#This Row],[COD]],INVENTARIO[COD],INVENTARIO[DETALLE],"DETALLAR")</f>
        <v>POLO BLANCA  XL</v>
      </c>
      <c r="K15" s="35">
        <v>4</v>
      </c>
      <c r="L15" s="34" t="str">
        <f>_xlfn.XLOOKUP(ENTRADA[[#This Row],[COD]],INVENTARIO[COD],INVENTARIO[OBSERVACIONES])</f>
        <v>ADM</v>
      </c>
      <c r="M15" s="39">
        <v>45615</v>
      </c>
      <c r="N15" s="40" t="s">
        <v>641</v>
      </c>
      <c r="O15" s="32" t="str">
        <f>_xlfn.XLOOKUP(SALIDA[[#This Row],[COD]],INVENTARIO[COD],INVENTARIO[DETALLE],"DETALLAR")</f>
        <v>PANTALON TALLA 32</v>
      </c>
      <c r="P15" s="33">
        <v>1</v>
      </c>
      <c r="Q15" s="32" t="s">
        <v>637</v>
      </c>
      <c r="AU15" s="335"/>
      <c r="AV15" s="193"/>
      <c r="AW15" s="196"/>
      <c r="AX15" s="196"/>
      <c r="AY15" s="194"/>
      <c r="AZ15" s="210"/>
      <c r="BA15" s="329" t="s">
        <v>642</v>
      </c>
      <c r="BB15" s="329"/>
      <c r="BC15" s="329"/>
      <c r="BD15" s="329"/>
      <c r="BE15" s="194">
        <f>AZ9/2</f>
        <v>6</v>
      </c>
      <c r="BF15" s="302">
        <f>BE15-AV9</f>
        <v>4</v>
      </c>
      <c r="BG15" s="36"/>
      <c r="BH15" s="36"/>
      <c r="BI15" s="36"/>
      <c r="BJ15" s="36"/>
      <c r="BK15" s="36"/>
      <c r="BL15" s="36"/>
      <c r="BM15" s="36"/>
      <c r="BN15" s="36"/>
      <c r="BO15" s="36"/>
      <c r="BP15" s="36"/>
      <c r="BQ15" s="36"/>
      <c r="BR15" s="36"/>
      <c r="BS15" s="36"/>
      <c r="BT15" s="36"/>
      <c r="BU15" s="36"/>
      <c r="BV15" s="36"/>
      <c r="BW15" s="36"/>
      <c r="BX15" s="36"/>
      <c r="BY15" s="36"/>
      <c r="BZ15" s="36"/>
      <c r="CA15" s="36"/>
      <c r="CB15" s="36"/>
      <c r="CE15" s="281"/>
      <c r="CF15" s="282"/>
      <c r="CG15" s="281"/>
      <c r="CH15" s="283"/>
      <c r="CI15" s="284"/>
      <c r="CJ15" s="283"/>
      <c r="CK15" s="283"/>
      <c r="CL15" s="285"/>
      <c r="CM15" s="283"/>
      <c r="CN15" s="283"/>
      <c r="CO15" s="283"/>
      <c r="CP15" s="284"/>
      <c r="CQ15" s="284"/>
      <c r="CR15" s="283"/>
      <c r="CS15" s="283"/>
      <c r="CT15" s="281" t="s">
        <v>20</v>
      </c>
      <c r="CU15" s="1" t="s">
        <v>202</v>
      </c>
      <c r="CV15" s="281"/>
      <c r="CW15" s="281"/>
      <c r="CX15" s="282"/>
      <c r="CY15" s="286"/>
      <c r="CZ15" s="284"/>
      <c r="DA15" s="283"/>
      <c r="DB15" s="283"/>
      <c r="DC15" s="283"/>
      <c r="DD15" s="283"/>
      <c r="DE15" s="283"/>
      <c r="DF15" s="287"/>
      <c r="DG15" s="284"/>
      <c r="DH15" s="284"/>
      <c r="DI15" s="283"/>
      <c r="DJ15" s="284"/>
      <c r="DK15" s="284"/>
      <c r="DL15" s="283"/>
      <c r="DM15" s="284"/>
      <c r="DN15" s="284"/>
    </row>
    <row r="16" spans="1:118" ht="16" thickBot="1" x14ac:dyDescent="0.45">
      <c r="A16" s="166" t="s">
        <v>643</v>
      </c>
      <c r="B16" s="166" t="s">
        <v>644</v>
      </c>
      <c r="C16" s="35">
        <f>SUMIFS(ENTRADA[CANTIDAD],ENTRADA[COD],INVENTARIO[[#This Row],[COD]])</f>
        <v>4</v>
      </c>
      <c r="D16" s="34">
        <f>SUMIFS(SALIDA[CANTIDAD],SALIDA[COD],INVENTARIO[[#This Row],[COD]])</f>
        <v>1</v>
      </c>
      <c r="E16" s="33">
        <f>INVENTARIO[[#This Row],[ENTRADAS]]-INVENTARIO[[#This Row],[SALIDAS]]</f>
        <v>3</v>
      </c>
      <c r="F16" s="165" t="s">
        <v>645</v>
      </c>
      <c r="H16" s="38">
        <v>45675</v>
      </c>
      <c r="I16" s="32" t="s">
        <v>639</v>
      </c>
      <c r="J16" s="32" t="str">
        <f>_xlfn.XLOOKUP(ENTRADA[[#This Row],[COD]],INVENTARIO[COD],INVENTARIO[DETALLE],"DETALLAR")</f>
        <v>POLO BLANCA  XXL</v>
      </c>
      <c r="K16" s="35">
        <v>2</v>
      </c>
      <c r="L16" s="34" t="str">
        <f>_xlfn.XLOOKUP(ENTRADA[[#This Row],[COD]],INVENTARIO[COD],INVENTARIO[OBSERVACIONES])</f>
        <v>ADM</v>
      </c>
      <c r="M16" s="39">
        <v>45615</v>
      </c>
      <c r="N16" s="40" t="s">
        <v>631</v>
      </c>
      <c r="O16" s="32" t="str">
        <f>_xlfn.XLOOKUP(SALIDA[[#This Row],[COD]],INVENTARIO[COD],INVENTARIO[DETALLE],"DETALLAR")</f>
        <v>POLO BLANCA  L</v>
      </c>
      <c r="P16" s="33">
        <v>1</v>
      </c>
      <c r="Q16" s="32" t="s">
        <v>1077</v>
      </c>
      <c r="AU16" s="335"/>
      <c r="AV16" s="193"/>
      <c r="AW16" s="196"/>
      <c r="AX16" s="194"/>
      <c r="AY16" s="194"/>
      <c r="AZ16" s="210"/>
      <c r="BA16" s="329" t="s">
        <v>646</v>
      </c>
      <c r="BB16" s="329"/>
      <c r="BC16" s="329"/>
      <c r="BD16" s="329"/>
      <c r="BE16" s="194">
        <f>AZ9/2</f>
        <v>6</v>
      </c>
      <c r="BF16" s="302">
        <f>BE16-AV9</f>
        <v>4</v>
      </c>
      <c r="BG16" s="36"/>
      <c r="BH16" s="36"/>
      <c r="BI16" s="36"/>
      <c r="BJ16" s="36"/>
      <c r="BK16" s="36"/>
      <c r="BL16" s="36"/>
      <c r="BM16" s="36"/>
      <c r="BN16" s="36"/>
      <c r="BO16" s="36"/>
      <c r="BP16" s="36"/>
      <c r="BQ16" s="36"/>
      <c r="BR16" s="36"/>
      <c r="BS16" s="36"/>
      <c r="BT16" s="36"/>
      <c r="BU16" s="36"/>
      <c r="BV16" s="36"/>
      <c r="BW16" s="36"/>
      <c r="BX16" s="36"/>
      <c r="BY16" s="36"/>
      <c r="BZ16" s="36"/>
      <c r="CA16" s="36"/>
      <c r="CB16" s="36"/>
    </row>
    <row r="17" spans="1:118" ht="16" thickBot="1" x14ac:dyDescent="0.45">
      <c r="A17" s="166" t="s">
        <v>647</v>
      </c>
      <c r="B17" s="166" t="s">
        <v>648</v>
      </c>
      <c r="C17" s="35">
        <f>SUMIFS(ENTRADA[CANTIDAD],ENTRADA[COD],INVENTARIO[[#This Row],[COD]])</f>
        <v>10</v>
      </c>
      <c r="D17" s="34">
        <f>SUMIFS(SALIDA[CANTIDAD],SALIDA[COD],INVENTARIO[[#This Row],[COD]])</f>
        <v>10</v>
      </c>
      <c r="E17" s="33">
        <f>INVENTARIO[[#This Row],[ENTRADAS]]-INVENTARIO[[#This Row],[SALIDAS]]</f>
        <v>0</v>
      </c>
      <c r="F17" s="165" t="s">
        <v>645</v>
      </c>
      <c r="H17" s="38">
        <v>45675</v>
      </c>
      <c r="I17" s="32" t="s">
        <v>643</v>
      </c>
      <c r="J17" s="32" t="str">
        <f>_xlfn.XLOOKUP(ENTRADA[[#This Row],[COD]],INVENTARIO[COD],INVENTARIO[DETALLE],"DETALLAR")</f>
        <v>POLO ISTHO GRIS M</v>
      </c>
      <c r="K17" s="35">
        <v>4</v>
      </c>
      <c r="L17" s="34" t="str">
        <f>_xlfn.XLOOKUP(ENTRADA[[#This Row],[COD]],INVENTARIO[COD],INVENTARIO[OBSERVACIONES])</f>
        <v>CONDUCTORES</v>
      </c>
      <c r="M17" s="39">
        <v>45615</v>
      </c>
      <c r="N17" s="40" t="s">
        <v>641</v>
      </c>
      <c r="O17" s="32" t="str">
        <f>_xlfn.XLOOKUP(SALIDA[[#This Row],[COD]],INVENTARIO[COD],INVENTARIO[DETALLE],"DETALLAR")</f>
        <v>PANTALON TALLA 32</v>
      </c>
      <c r="P17" s="33">
        <v>1</v>
      </c>
      <c r="Q17" s="32" t="s">
        <v>1077</v>
      </c>
      <c r="AU17" s="335"/>
      <c r="AV17" s="193"/>
      <c r="AW17" s="205"/>
      <c r="AX17" s="195"/>
      <c r="AY17" s="195"/>
      <c r="AZ17" s="211"/>
      <c r="BA17" s="329" t="s">
        <v>649</v>
      </c>
      <c r="BB17" s="329"/>
      <c r="BC17" s="329"/>
      <c r="BD17" s="329"/>
      <c r="BE17" s="194">
        <f>AZ11</f>
        <v>30</v>
      </c>
      <c r="BF17" s="302">
        <f>BE17-AV11</f>
        <v>25</v>
      </c>
      <c r="BG17" s="36"/>
      <c r="BH17" s="36"/>
      <c r="BI17" s="36"/>
      <c r="BJ17" s="36"/>
      <c r="BK17" s="36"/>
      <c r="BL17" s="36"/>
      <c r="BM17" s="36"/>
      <c r="BN17" s="36"/>
      <c r="BO17" s="36"/>
      <c r="BP17" s="36"/>
      <c r="BQ17" s="36"/>
      <c r="BR17" s="36"/>
      <c r="BS17" s="36"/>
      <c r="BT17" s="36"/>
      <c r="BU17" s="36"/>
      <c r="BV17" s="36"/>
      <c r="BW17" s="36"/>
      <c r="BX17" s="36"/>
      <c r="BY17" s="36"/>
      <c r="BZ17" s="36"/>
      <c r="CA17" s="36"/>
      <c r="CB17" s="36"/>
      <c r="CE17" s="288" t="s">
        <v>13</v>
      </c>
      <c r="CF17" s="289" t="s">
        <v>165</v>
      </c>
      <c r="CG17" s="289" t="s">
        <v>166</v>
      </c>
      <c r="CH17" s="290" t="s">
        <v>167</v>
      </c>
      <c r="CI17" s="291" t="s">
        <v>168</v>
      </c>
      <c r="CJ17" s="290" t="s">
        <v>1</v>
      </c>
      <c r="CK17" s="290" t="s">
        <v>169</v>
      </c>
      <c r="CL17" s="289" t="s">
        <v>170</v>
      </c>
      <c r="CM17" s="290" t="s">
        <v>171</v>
      </c>
      <c r="CN17" s="290" t="s">
        <v>172</v>
      </c>
      <c r="CO17" s="290" t="s">
        <v>173</v>
      </c>
      <c r="CP17" s="291" t="s">
        <v>174</v>
      </c>
      <c r="CQ17" s="291" t="s">
        <v>175</v>
      </c>
      <c r="CR17" s="290" t="s">
        <v>176</v>
      </c>
      <c r="CS17" s="290" t="s">
        <v>177</v>
      </c>
      <c r="CT17" s="289" t="s">
        <v>2</v>
      </c>
      <c r="CU17" s="289" t="s">
        <v>178</v>
      </c>
      <c r="CV17" s="289" t="s">
        <v>179</v>
      </c>
      <c r="CW17" s="289" t="s">
        <v>180</v>
      </c>
      <c r="CX17" s="289" t="s">
        <v>181</v>
      </c>
      <c r="CY17" s="291" t="s">
        <v>182</v>
      </c>
      <c r="CZ17" s="291" t="s">
        <v>183</v>
      </c>
      <c r="DA17" s="290" t="s">
        <v>184</v>
      </c>
      <c r="DB17" s="290" t="s">
        <v>185</v>
      </c>
      <c r="DC17" s="290" t="s">
        <v>186</v>
      </c>
      <c r="DD17" s="290" t="s">
        <v>1070</v>
      </c>
      <c r="DE17" s="290" t="s">
        <v>1052</v>
      </c>
      <c r="DF17" s="292" t="s">
        <v>1067</v>
      </c>
      <c r="DG17" s="291" t="s">
        <v>1076</v>
      </c>
      <c r="DH17" s="290" t="s">
        <v>187</v>
      </c>
      <c r="DI17" s="290" t="s">
        <v>188</v>
      </c>
      <c r="DJ17" s="291" t="s">
        <v>189</v>
      </c>
      <c r="DK17" s="291" t="s">
        <v>190</v>
      </c>
      <c r="DL17" s="290" t="s">
        <v>191</v>
      </c>
      <c r="DM17" s="290" t="s">
        <v>1124</v>
      </c>
      <c r="DN17" s="293" t="s">
        <v>192</v>
      </c>
    </row>
    <row r="18" spans="1:118" x14ac:dyDescent="0.4">
      <c r="A18" s="166" t="s">
        <v>650</v>
      </c>
      <c r="B18" s="166" t="s">
        <v>651</v>
      </c>
      <c r="C18" s="35">
        <f>SUMIFS(ENTRADA[CANTIDAD],ENTRADA[COD],INVENTARIO[[#This Row],[COD]])</f>
        <v>3</v>
      </c>
      <c r="D18" s="34">
        <f>SUMIFS(SALIDA[CANTIDAD],SALIDA[COD],INVENTARIO[[#This Row],[COD]])</f>
        <v>0</v>
      </c>
      <c r="E18" s="33">
        <f>INVENTARIO[[#This Row],[ENTRADAS]]-INVENTARIO[[#This Row],[SALIDAS]]</f>
        <v>3</v>
      </c>
      <c r="F18" s="165" t="s">
        <v>645</v>
      </c>
      <c r="H18" s="38">
        <v>45675</v>
      </c>
      <c r="I18" s="32" t="s">
        <v>647</v>
      </c>
      <c r="J18" s="32" t="str">
        <f>_xlfn.XLOOKUP(ENTRADA[[#This Row],[COD]],INVENTARIO[COD],INVENTARIO[DETALLE],"DETALLAR")</f>
        <v xml:space="preserve">POLO ISTHO GRIS  L </v>
      </c>
      <c r="K18" s="35">
        <v>10</v>
      </c>
      <c r="L18" s="34" t="str">
        <f>_xlfn.XLOOKUP(ENTRADA[[#This Row],[COD]],INVENTARIO[COD],INVENTARIO[OBSERVACIONES])</f>
        <v>CONDUCTORES</v>
      </c>
      <c r="M18" s="39">
        <v>45615</v>
      </c>
      <c r="N18" s="40" t="s">
        <v>590</v>
      </c>
      <c r="O18" s="32" t="str">
        <f>_xlfn.XLOOKUP(SALIDA[[#This Row],[COD]],INVENTARIO[COD],INVENTARIO[DETALLE],"DETALLAR")</f>
        <v>POLO NEGRA  S</v>
      </c>
      <c r="P18" s="33">
        <v>1</v>
      </c>
      <c r="Q18" s="32" t="s">
        <v>652</v>
      </c>
      <c r="AU18" s="335"/>
      <c r="AV18" s="213" t="s">
        <v>645</v>
      </c>
      <c r="AW18" s="212">
        <f>SUM(AV19:AV22)</f>
        <v>8</v>
      </c>
      <c r="AX18" s="295"/>
      <c r="AY18" s="295"/>
      <c r="AZ18" s="296"/>
      <c r="BA18" s="329" t="s">
        <v>653</v>
      </c>
      <c r="BB18" s="329"/>
      <c r="BC18" s="329"/>
      <c r="BD18" s="329"/>
      <c r="BE18" s="194">
        <f>AZ12</f>
        <v>50</v>
      </c>
      <c r="BF18" s="302">
        <f>BE18-AV12</f>
        <v>35</v>
      </c>
      <c r="BG18" s="36"/>
      <c r="BH18" s="36"/>
      <c r="BI18" s="36"/>
      <c r="BJ18" s="36"/>
      <c r="BK18" s="36"/>
      <c r="BL18" s="36"/>
      <c r="BM18" s="36"/>
      <c r="BN18" s="36"/>
      <c r="BO18" s="36"/>
      <c r="BP18" s="36"/>
      <c r="BQ18" s="36"/>
      <c r="BR18" s="36"/>
      <c r="BS18" s="36"/>
      <c r="BT18" s="36"/>
      <c r="BU18" s="36"/>
      <c r="BV18" s="36"/>
      <c r="BW18" s="36"/>
      <c r="BX18" s="36"/>
      <c r="BY18" s="36"/>
      <c r="BZ18" s="36"/>
      <c r="CA18" s="36"/>
      <c r="CB18" s="36"/>
      <c r="CE18" s="281"/>
      <c r="CF18" s="282"/>
      <c r="CG18" s="281"/>
      <c r="CH18" s="283"/>
      <c r="CI18" s="284"/>
      <c r="CJ18" s="283"/>
      <c r="CK18" s="283"/>
      <c r="CL18" s="285"/>
      <c r="CM18" s="283"/>
      <c r="CN18" s="283"/>
      <c r="CO18" s="283"/>
      <c r="CP18" s="284"/>
      <c r="CQ18" s="284"/>
      <c r="CR18" s="283"/>
      <c r="CS18" s="283"/>
      <c r="CT18" s="281" t="s">
        <v>20</v>
      </c>
      <c r="CU18" s="1">
        <v>8</v>
      </c>
      <c r="CV18" s="281"/>
      <c r="CW18" s="281"/>
      <c r="CX18" s="282"/>
      <c r="CY18" s="286"/>
      <c r="CZ18" s="284"/>
      <c r="DA18" s="283"/>
      <c r="DB18" s="283"/>
      <c r="DC18" s="283"/>
      <c r="DD18" s="283"/>
      <c r="DE18" s="283"/>
      <c r="DF18" s="287"/>
      <c r="DG18" s="284"/>
      <c r="DH18" s="284"/>
      <c r="DI18" s="283"/>
      <c r="DJ18" s="284"/>
      <c r="DK18" s="284"/>
      <c r="DL18" s="283"/>
      <c r="DM18" s="284"/>
      <c r="DN18" s="284"/>
    </row>
    <row r="19" spans="1:118" ht="16" thickBot="1" x14ac:dyDescent="0.45">
      <c r="A19" s="166" t="s">
        <v>654</v>
      </c>
      <c r="B19" s="166" t="s">
        <v>655</v>
      </c>
      <c r="C19" s="35">
        <f>SUMIFS(ENTRADA[CANTIDAD],ENTRADA[COD],INVENTARIO[[#This Row],[COD]])</f>
        <v>5</v>
      </c>
      <c r="D19" s="34">
        <f>SUMIFS(SALIDA[CANTIDAD],SALIDA[COD],INVENTARIO[[#This Row],[COD]])</f>
        <v>1</v>
      </c>
      <c r="E19" s="33">
        <f>INVENTARIO[[#This Row],[ENTRADAS]]-INVENTARIO[[#This Row],[SALIDAS]]</f>
        <v>4</v>
      </c>
      <c r="F19" s="165" t="s">
        <v>645</v>
      </c>
      <c r="H19" s="38">
        <v>45675</v>
      </c>
      <c r="I19" s="32" t="s">
        <v>650</v>
      </c>
      <c r="J19" s="32" t="str">
        <f>_xlfn.XLOOKUP(ENTRADA[[#This Row],[COD]],INVENTARIO[COD],INVENTARIO[DETALLE],"DETALLAR")</f>
        <v xml:space="preserve">POLO ISTHO GRIS  S </v>
      </c>
      <c r="K19" s="35">
        <v>3</v>
      </c>
      <c r="L19" s="34" t="str">
        <f>_xlfn.XLOOKUP(ENTRADA[[#This Row],[COD]],INVENTARIO[COD],INVENTARIO[OBSERVACIONES])</f>
        <v>CONDUCTORES</v>
      </c>
      <c r="M19" s="39">
        <v>45615</v>
      </c>
      <c r="N19" s="40" t="s">
        <v>656</v>
      </c>
      <c r="O19" s="32" t="str">
        <f>_xlfn.XLOOKUP(SALIDA[[#This Row],[COD]],INVENTARIO[COD],INVENTARIO[DETALLE],"DETALLAR")</f>
        <v>PANTALON TALLA 28</v>
      </c>
      <c r="P19" s="33">
        <v>1</v>
      </c>
      <c r="Q19" s="32" t="s">
        <v>652</v>
      </c>
      <c r="AU19" s="335"/>
      <c r="AV19" s="193">
        <f>DCOUNTA(Activos[#All],Activos[[#Headers],[T.Camisa]],DOTACION!CE37:DN38)</f>
        <v>0</v>
      </c>
      <c r="AW19" s="167" t="s">
        <v>594</v>
      </c>
      <c r="AX19" s="36">
        <f>((AV19)*2)</f>
        <v>0</v>
      </c>
      <c r="AY19" s="198">
        <v>0</v>
      </c>
      <c r="AZ19" s="208">
        <f t="shared" ref="AZ19:AZ22" si="3">AX19+AY19</f>
        <v>0</v>
      </c>
      <c r="BA19" s="329" t="s">
        <v>657</v>
      </c>
      <c r="BB19" s="329"/>
      <c r="BC19" s="329"/>
      <c r="BD19" s="329"/>
      <c r="BE19" s="194">
        <f>AZ13</f>
        <v>20</v>
      </c>
      <c r="BF19" s="302">
        <f>BE19-AV13</f>
        <v>15</v>
      </c>
      <c r="BG19" s="36"/>
      <c r="BH19" s="36"/>
      <c r="BI19" s="36"/>
      <c r="BJ19" s="36"/>
      <c r="BK19" s="36"/>
      <c r="BL19" s="36"/>
      <c r="BM19" s="36"/>
      <c r="BN19" s="36"/>
      <c r="BO19" s="36"/>
      <c r="BP19" s="36"/>
      <c r="BQ19" s="36"/>
      <c r="BR19" s="36"/>
      <c r="BS19" s="36"/>
      <c r="BT19" s="36"/>
      <c r="BU19" s="36"/>
      <c r="BV19" s="36"/>
      <c r="BW19" s="36"/>
      <c r="BX19" s="36"/>
      <c r="BY19" s="36"/>
      <c r="BZ19" s="36"/>
      <c r="CA19" s="36"/>
      <c r="CB19" s="36"/>
    </row>
    <row r="20" spans="1:118" ht="16" thickBot="1" x14ac:dyDescent="0.45">
      <c r="A20" s="166" t="s">
        <v>658</v>
      </c>
      <c r="B20" s="166" t="s">
        <v>659</v>
      </c>
      <c r="C20" s="35">
        <f>SUMIFS(ENTRADA[CANTIDAD],ENTRADA[COD],INVENTARIO[[#This Row],[COD]])</f>
        <v>4</v>
      </c>
      <c r="D20" s="34">
        <f>SUMIFS(SALIDA[CANTIDAD],SALIDA[COD],INVENTARIO[[#This Row],[COD]])</f>
        <v>0</v>
      </c>
      <c r="E20" s="33">
        <f>INVENTARIO[[#This Row],[ENTRADAS]]-INVENTARIO[[#This Row],[SALIDAS]]</f>
        <v>4</v>
      </c>
      <c r="F20" s="165" t="s">
        <v>645</v>
      </c>
      <c r="H20" s="38">
        <v>45675</v>
      </c>
      <c r="I20" s="32" t="s">
        <v>654</v>
      </c>
      <c r="J20" s="32" t="str">
        <f>_xlfn.XLOOKUP(ENTRADA[[#This Row],[COD]],INVENTARIO[COD],INVENTARIO[DETALLE],"DETALLAR")</f>
        <v>POLO ISTHO GRIS  XL</v>
      </c>
      <c r="K20" s="35">
        <v>5</v>
      </c>
      <c r="L20" s="34" t="str">
        <f>_xlfn.XLOOKUP(ENTRADA[[#This Row],[COD]],INVENTARIO[COD],INVENTARIO[OBSERVACIONES])</f>
        <v>CONDUCTORES</v>
      </c>
      <c r="M20" s="39">
        <v>45615</v>
      </c>
      <c r="N20" s="40" t="s">
        <v>590</v>
      </c>
      <c r="O20" s="32" t="str">
        <f>_xlfn.XLOOKUP(SALIDA[[#This Row],[COD]],INVENTARIO[COD],INVENTARIO[DETALLE],"DETALLAR")</f>
        <v>POLO NEGRA  S</v>
      </c>
      <c r="P20" s="33">
        <v>1</v>
      </c>
      <c r="Q20" s="32" t="s">
        <v>660</v>
      </c>
      <c r="AU20" s="335"/>
      <c r="AV20" s="193">
        <f>DCOUNTA(Activos[#All],Activos[[#Headers],[T.Camisa]],DOTACION!CE40:DN41)</f>
        <v>6</v>
      </c>
      <c r="AW20" s="167" t="s">
        <v>599</v>
      </c>
      <c r="AX20" s="36">
        <f>((AV20)*2)</f>
        <v>12</v>
      </c>
      <c r="AY20" s="198">
        <v>12</v>
      </c>
      <c r="AZ20" s="208">
        <f t="shared" si="3"/>
        <v>24</v>
      </c>
      <c r="BA20" s="329" t="s">
        <v>661</v>
      </c>
      <c r="BB20" s="329"/>
      <c r="BC20" s="329"/>
      <c r="BD20" s="329"/>
      <c r="BE20" s="194">
        <f>AZ14</f>
        <v>0</v>
      </c>
      <c r="BF20" s="302">
        <f>BE20-AV14</f>
        <v>0</v>
      </c>
      <c r="BG20" s="36"/>
      <c r="BH20" s="36"/>
      <c r="BI20" s="36"/>
      <c r="BJ20" s="36"/>
      <c r="BK20" s="36"/>
      <c r="BL20" s="36"/>
      <c r="BM20" s="36"/>
      <c r="BN20" s="36"/>
      <c r="BO20" s="36"/>
      <c r="BP20" s="36"/>
      <c r="BQ20" s="36"/>
      <c r="BR20" s="36"/>
      <c r="BS20" s="36"/>
      <c r="BT20" s="36"/>
      <c r="BU20" s="36"/>
      <c r="BV20" s="36"/>
      <c r="BW20" s="36"/>
      <c r="BX20" s="36"/>
      <c r="BY20" s="36"/>
      <c r="BZ20" s="36"/>
      <c r="CA20" s="36"/>
      <c r="CB20" s="36"/>
      <c r="CE20" s="288" t="s">
        <v>13</v>
      </c>
      <c r="CF20" s="289" t="s">
        <v>165</v>
      </c>
      <c r="CG20" s="289" t="s">
        <v>166</v>
      </c>
      <c r="CH20" s="290" t="s">
        <v>167</v>
      </c>
      <c r="CI20" s="291" t="s">
        <v>168</v>
      </c>
      <c r="CJ20" s="290" t="s">
        <v>1</v>
      </c>
      <c r="CK20" s="290" t="s">
        <v>169</v>
      </c>
      <c r="CL20" s="289" t="s">
        <v>170</v>
      </c>
      <c r="CM20" s="290" t="s">
        <v>171</v>
      </c>
      <c r="CN20" s="290" t="s">
        <v>172</v>
      </c>
      <c r="CO20" s="290" t="s">
        <v>173</v>
      </c>
      <c r="CP20" s="291" t="s">
        <v>174</v>
      </c>
      <c r="CQ20" s="291" t="s">
        <v>175</v>
      </c>
      <c r="CR20" s="290" t="s">
        <v>176</v>
      </c>
      <c r="CS20" s="290" t="s">
        <v>177</v>
      </c>
      <c r="CT20" s="289" t="s">
        <v>2</v>
      </c>
      <c r="CU20" s="289" t="s">
        <v>178</v>
      </c>
      <c r="CV20" s="289" t="s">
        <v>179</v>
      </c>
      <c r="CW20" s="289" t="s">
        <v>180</v>
      </c>
      <c r="CX20" s="289" t="s">
        <v>181</v>
      </c>
      <c r="CY20" s="291" t="s">
        <v>182</v>
      </c>
      <c r="CZ20" s="291" t="s">
        <v>183</v>
      </c>
      <c r="DA20" s="290" t="s">
        <v>184</v>
      </c>
      <c r="DB20" s="290" t="s">
        <v>185</v>
      </c>
      <c r="DC20" s="290" t="s">
        <v>186</v>
      </c>
      <c r="DD20" s="290" t="s">
        <v>1070</v>
      </c>
      <c r="DE20" s="290" t="s">
        <v>1052</v>
      </c>
      <c r="DF20" s="292" t="s">
        <v>1067</v>
      </c>
      <c r="DG20" s="291" t="s">
        <v>1076</v>
      </c>
      <c r="DH20" s="290" t="s">
        <v>187</v>
      </c>
      <c r="DI20" s="290" t="s">
        <v>188</v>
      </c>
      <c r="DJ20" s="291" t="s">
        <v>189</v>
      </c>
      <c r="DK20" s="291" t="s">
        <v>190</v>
      </c>
      <c r="DL20" s="290" t="s">
        <v>191</v>
      </c>
      <c r="DM20" s="290" t="s">
        <v>1124</v>
      </c>
      <c r="DN20" s="293" t="s">
        <v>192</v>
      </c>
    </row>
    <row r="21" spans="1:118" x14ac:dyDescent="0.4">
      <c r="A21" s="166" t="s">
        <v>662</v>
      </c>
      <c r="B21" s="166" t="s">
        <v>663</v>
      </c>
      <c r="C21" s="35">
        <f>SUMIFS(ENTRADA[CANTIDAD],ENTRADA[COD],INVENTARIO[[#This Row],[COD]])</f>
        <v>4</v>
      </c>
      <c r="D21" s="34">
        <f>SUMIFS(SALIDA[CANTIDAD],SALIDA[COD],INVENTARIO[[#This Row],[COD]])</f>
        <v>3</v>
      </c>
      <c r="E21" s="33">
        <f>INVENTARIO[[#This Row],[ENTRADAS]]-INVENTARIO[[#This Row],[SALIDAS]]</f>
        <v>1</v>
      </c>
      <c r="F21" s="165" t="s">
        <v>645</v>
      </c>
      <c r="H21" s="38">
        <v>45675</v>
      </c>
      <c r="I21" s="32" t="s">
        <v>658</v>
      </c>
      <c r="J21" s="32" t="str">
        <f>_xlfn.XLOOKUP(ENTRADA[[#This Row],[COD]],INVENTARIO[COD],INVENTARIO[DETALLE],"DETALLAR")</f>
        <v>POLO ISTHO GRIS  XXL</v>
      </c>
      <c r="K21" s="35">
        <v>4</v>
      </c>
      <c r="L21" s="34" t="str">
        <f>_xlfn.XLOOKUP(ENTRADA[[#This Row],[COD]],INVENTARIO[COD],INVENTARIO[OBSERVACIONES])</f>
        <v>CONDUCTORES</v>
      </c>
      <c r="M21" s="39">
        <v>45615</v>
      </c>
      <c r="N21" s="40" t="s">
        <v>656</v>
      </c>
      <c r="O21" s="32" t="str">
        <f>_xlfn.XLOOKUP(SALIDA[[#This Row],[COD]],INVENTARIO[COD],INVENTARIO[DETALLE],"DETALLAR")</f>
        <v>PANTALON TALLA 28</v>
      </c>
      <c r="P21" s="33">
        <v>1</v>
      </c>
      <c r="Q21" s="32" t="s">
        <v>660</v>
      </c>
      <c r="AU21" s="335"/>
      <c r="AV21" s="193">
        <f>DCOUNTA(Activos[#All],Activos[[#Headers],[T.Camisa]],DOTACION!CE43:DN44)</f>
        <v>2</v>
      </c>
      <c r="AW21" s="167" t="s">
        <v>604</v>
      </c>
      <c r="AX21" s="36">
        <f>(AV21*2)</f>
        <v>4</v>
      </c>
      <c r="AY21" s="198">
        <v>4</v>
      </c>
      <c r="AZ21" s="208">
        <f t="shared" si="3"/>
        <v>8</v>
      </c>
      <c r="BA21" s="329" t="s">
        <v>664</v>
      </c>
      <c r="BB21" s="329"/>
      <c r="BC21" s="329"/>
      <c r="BD21" s="329"/>
      <c r="BE21" s="194">
        <f>AZ19</f>
        <v>0</v>
      </c>
      <c r="BF21" s="302">
        <f>BE21-AV19</f>
        <v>0</v>
      </c>
      <c r="BG21" s="36"/>
      <c r="BH21" s="36"/>
      <c r="BI21" s="36"/>
      <c r="BJ21" s="36"/>
      <c r="BK21" s="36"/>
      <c r="BL21" s="36"/>
      <c r="BM21" s="36"/>
      <c r="BN21" s="36"/>
      <c r="BO21" s="36"/>
      <c r="BP21" s="36"/>
      <c r="BQ21" s="36"/>
      <c r="BR21" s="36"/>
      <c r="BS21" s="36"/>
      <c r="BT21" s="36"/>
      <c r="BU21" s="36"/>
      <c r="BV21" s="36"/>
      <c r="BW21" s="36"/>
      <c r="BX21" s="36"/>
      <c r="BY21" s="36"/>
      <c r="BZ21" s="36"/>
      <c r="CA21" s="36"/>
      <c r="CB21" s="36"/>
      <c r="CE21" s="281"/>
      <c r="CF21" s="282"/>
      <c r="CG21" s="281"/>
      <c r="CH21" s="283"/>
      <c r="CI21" s="284"/>
      <c r="CJ21" s="283"/>
      <c r="CK21" s="283"/>
      <c r="CL21" s="285"/>
      <c r="CM21" s="283"/>
      <c r="CN21" s="283"/>
      <c r="CO21" s="283"/>
      <c r="CP21" s="284"/>
      <c r="CQ21" s="284"/>
      <c r="CR21" s="283"/>
      <c r="CS21" s="283"/>
      <c r="CT21" s="281" t="s">
        <v>20</v>
      </c>
      <c r="CU21" s="1">
        <v>10</v>
      </c>
      <c r="CV21" s="281"/>
      <c r="CW21" s="281"/>
      <c r="CX21" s="282"/>
      <c r="CY21" s="286"/>
      <c r="CZ21" s="284"/>
      <c r="DA21" s="283"/>
      <c r="DB21" s="283"/>
      <c r="DC21" s="283"/>
      <c r="DD21" s="283"/>
      <c r="DE21" s="283"/>
      <c r="DF21" s="287"/>
      <c r="DG21" s="284"/>
      <c r="DH21" s="284"/>
      <c r="DI21" s="283"/>
      <c r="DJ21" s="284"/>
      <c r="DK21" s="284"/>
      <c r="DL21" s="283"/>
      <c r="DM21" s="284"/>
      <c r="DN21" s="284"/>
    </row>
    <row r="22" spans="1:118" x14ac:dyDescent="0.4">
      <c r="A22" s="166" t="s">
        <v>665</v>
      </c>
      <c r="B22" s="166" t="s">
        <v>666</v>
      </c>
      <c r="C22" s="35">
        <f>SUMIFS(ENTRADA[CANTIDAD],ENTRADA[COD],INVENTARIO[[#This Row],[COD]])</f>
        <v>4</v>
      </c>
      <c r="D22" s="34">
        <f>SUMIFS(SALIDA[CANTIDAD],SALIDA[COD],INVENTARIO[[#This Row],[COD]])</f>
        <v>0</v>
      </c>
      <c r="E22" s="33">
        <f>INVENTARIO[[#This Row],[ENTRADAS]]-INVENTARIO[[#This Row],[SALIDAS]]</f>
        <v>4</v>
      </c>
      <c r="F22" s="165" t="s">
        <v>667</v>
      </c>
      <c r="H22" s="38">
        <v>45675</v>
      </c>
      <c r="I22" s="32" t="s">
        <v>662</v>
      </c>
      <c r="J22" s="32" t="str">
        <f>_xlfn.XLOOKUP(ENTRADA[[#This Row],[COD]],INVENTARIO[COD],INVENTARIO[DETALLE],"DETALLAR")</f>
        <v>CAMI.BUSO POLO  L</v>
      </c>
      <c r="K22" s="35">
        <v>4</v>
      </c>
      <c r="L22" s="34" t="str">
        <f>_xlfn.XLOOKUP(ENTRADA[[#This Row],[COD]],INVENTARIO[COD],INVENTARIO[OBSERVACIONES])</f>
        <v>CONDUCTORES</v>
      </c>
      <c r="M22" s="39">
        <v>45615</v>
      </c>
      <c r="N22" s="40" t="s">
        <v>601</v>
      </c>
      <c r="O22" s="32" t="str">
        <f>_xlfn.XLOOKUP(SALIDA[[#This Row],[COD]],INVENTARIO[COD],INVENTARIO[DETALLE],"DETALLAR")</f>
        <v>POLO NEGRA  L</v>
      </c>
      <c r="P22" s="33">
        <v>1</v>
      </c>
      <c r="Q22" s="32" t="s">
        <v>668</v>
      </c>
      <c r="AU22" s="335"/>
      <c r="AV22" s="193">
        <f>DCOUNTA(Activos[#All],Activos[[#Headers],[T.Camisa]],DOTACION!CE46:DN47)</f>
        <v>0</v>
      </c>
      <c r="AW22" s="167" t="s">
        <v>609</v>
      </c>
      <c r="AX22" s="36">
        <f>(AV22*2)</f>
        <v>0</v>
      </c>
      <c r="AY22" s="198">
        <v>0</v>
      </c>
      <c r="AZ22" s="208">
        <f t="shared" si="3"/>
        <v>0</v>
      </c>
      <c r="BA22" s="329" t="s">
        <v>669</v>
      </c>
      <c r="BB22" s="329"/>
      <c r="BC22" s="329"/>
      <c r="BD22" s="329"/>
      <c r="BE22" s="194">
        <f>AZ20</f>
        <v>24</v>
      </c>
      <c r="BF22" s="302">
        <f>BE22-AV20</f>
        <v>18</v>
      </c>
      <c r="BG22" s="36"/>
      <c r="BH22" s="36"/>
      <c r="BI22" s="36"/>
      <c r="BJ22" s="36"/>
      <c r="BK22" s="36"/>
      <c r="BL22" s="36"/>
      <c r="BM22" s="36"/>
      <c r="BN22" s="36"/>
      <c r="BO22" s="36"/>
      <c r="BP22" s="36"/>
      <c r="BQ22" s="36"/>
      <c r="BR22" s="36"/>
      <c r="BS22" s="36"/>
      <c r="BT22" s="36"/>
      <c r="BU22" s="36"/>
      <c r="BV22" s="36"/>
      <c r="BW22" s="36"/>
      <c r="BX22" s="36"/>
      <c r="BY22" s="36"/>
      <c r="BZ22" s="36"/>
      <c r="CA22" s="36"/>
      <c r="CB22" s="36"/>
    </row>
    <row r="23" spans="1:118" ht="16" thickBot="1" x14ac:dyDescent="0.45">
      <c r="A23" s="166" t="s">
        <v>670</v>
      </c>
      <c r="B23" s="166" t="s">
        <v>671</v>
      </c>
      <c r="C23" s="35">
        <f>SUMIFS(ENTRADA[CANTIDAD],ENTRADA[COD],INVENTARIO[[#This Row],[COD]])</f>
        <v>13</v>
      </c>
      <c r="D23" s="34">
        <f>SUMIFS(SALIDA[CANTIDAD],SALIDA[COD],INVENTARIO[[#This Row],[COD]])</f>
        <v>12</v>
      </c>
      <c r="E23" s="33">
        <f>INVENTARIO[[#This Row],[ENTRADAS]]-INVENTARIO[[#This Row],[SALIDAS]]</f>
        <v>1</v>
      </c>
      <c r="F23" s="165" t="s">
        <v>667</v>
      </c>
      <c r="H23" s="38">
        <v>45675</v>
      </c>
      <c r="I23" s="32" t="s">
        <v>665</v>
      </c>
      <c r="J23" s="32" t="str">
        <f>_xlfn.XLOOKUP(ENTRADA[[#This Row],[COD]],INVENTARIO[COD],INVENTARIO[DETALLE],"DETALLAR")</f>
        <v>POLO APOYO LOGISTICO  XXL</v>
      </c>
      <c r="K23" s="35">
        <v>4</v>
      </c>
      <c r="L23" s="34" t="str">
        <f>_xlfn.XLOOKUP(ENTRADA[[#This Row],[COD]],INVENTARIO[COD],INVENTARIO[OBSERVACIONES])</f>
        <v>AUXILIAR</v>
      </c>
      <c r="M23" s="39">
        <v>45615</v>
      </c>
      <c r="N23" s="40" t="s">
        <v>608</v>
      </c>
      <c r="O23" s="32" t="str">
        <f>_xlfn.XLOOKUP(SALIDA[[#This Row],[COD]],INVENTARIO[COD],INVENTARIO[DETALLE],"DETALLAR")</f>
        <v>PANTALON TALLA 34</v>
      </c>
      <c r="P23" s="33">
        <v>1</v>
      </c>
      <c r="Q23" s="32" t="s">
        <v>668</v>
      </c>
      <c r="AU23" s="335"/>
      <c r="AV23" s="193"/>
      <c r="AW23" s="194"/>
      <c r="AX23" s="194"/>
      <c r="AY23" s="194"/>
      <c r="AZ23" s="210"/>
      <c r="BA23" s="329" t="s">
        <v>672</v>
      </c>
      <c r="BB23" s="329"/>
      <c r="BC23" s="329"/>
      <c r="BD23" s="329"/>
      <c r="BE23" s="194">
        <f>AZ21</f>
        <v>8</v>
      </c>
      <c r="BF23" s="302">
        <f>BE23-AV21</f>
        <v>6</v>
      </c>
      <c r="BG23" s="36"/>
      <c r="BH23" s="36"/>
      <c r="BI23" s="36"/>
      <c r="BJ23" s="36"/>
      <c r="BK23" s="36"/>
      <c r="BL23" s="36"/>
      <c r="BM23" s="36"/>
      <c r="BN23" s="36"/>
      <c r="BO23" s="36"/>
      <c r="BP23" s="36"/>
      <c r="BQ23" s="36"/>
      <c r="BR23" s="36"/>
      <c r="BS23" s="36"/>
      <c r="BT23" s="36"/>
      <c r="BU23" s="36"/>
      <c r="BV23" s="36"/>
      <c r="BW23" s="36"/>
      <c r="BX23" s="36"/>
      <c r="BY23" s="36"/>
      <c r="BZ23" s="36"/>
      <c r="CA23" s="36"/>
      <c r="CB23" s="36"/>
    </row>
    <row r="24" spans="1:118" ht="16" thickBot="1" x14ac:dyDescent="0.45">
      <c r="A24" s="166" t="s">
        <v>673</v>
      </c>
      <c r="B24" s="166" t="s">
        <v>674</v>
      </c>
      <c r="C24" s="35">
        <f>SUMIFS(ENTRADA[CANTIDAD],ENTRADA[COD],INVENTARIO[[#This Row],[COD]])</f>
        <v>8</v>
      </c>
      <c r="D24" s="34">
        <f>SUMIFS(SALIDA[CANTIDAD],SALIDA[COD],INVENTARIO[[#This Row],[COD]])</f>
        <v>3</v>
      </c>
      <c r="E24" s="33">
        <f>INVENTARIO[[#This Row],[ENTRADAS]]-INVENTARIO[[#This Row],[SALIDAS]]</f>
        <v>5</v>
      </c>
      <c r="F24" s="165" t="s">
        <v>667</v>
      </c>
      <c r="H24" s="38">
        <v>45675</v>
      </c>
      <c r="I24" s="32" t="s">
        <v>670</v>
      </c>
      <c r="J24" s="32" t="str">
        <f>_xlfn.XLOOKUP(ENTRADA[[#This Row],[COD]],INVENTARIO[COD],INVENTARIO[DETALLE],"DETALLAR")</f>
        <v>BUSO APOYO LOGISTICO L</v>
      </c>
      <c r="K24" s="35">
        <v>13</v>
      </c>
      <c r="L24" s="34" t="str">
        <f>_xlfn.XLOOKUP(ENTRADA[[#This Row],[COD]],INVENTARIO[COD],INVENTARIO[OBSERVACIONES])</f>
        <v>AUXILIAR</v>
      </c>
      <c r="M24" s="39">
        <v>45615</v>
      </c>
      <c r="N24" s="40" t="s">
        <v>584</v>
      </c>
      <c r="O24" s="32" t="str">
        <f>_xlfn.XLOOKUP(SALIDA[[#This Row],[COD]],INVENTARIO[COD],INVENTARIO[DETALLE],"DETALLAR")</f>
        <v>POLO NEGRA  (10)</v>
      </c>
      <c r="P24" s="33">
        <v>1</v>
      </c>
      <c r="Q24" s="32" t="s">
        <v>675</v>
      </c>
      <c r="AU24" s="335"/>
      <c r="AV24" s="193"/>
      <c r="AW24" s="194"/>
      <c r="AX24" s="194"/>
      <c r="AY24" s="194"/>
      <c r="AZ24" s="210"/>
      <c r="BA24" s="329" t="s">
        <v>676</v>
      </c>
      <c r="BB24" s="329"/>
      <c r="BC24" s="329"/>
      <c r="BD24" s="329"/>
      <c r="BE24" s="194">
        <f>AZ22</f>
        <v>0</v>
      </c>
      <c r="BF24" s="302">
        <f>BE24-AV22</f>
        <v>0</v>
      </c>
      <c r="BG24" s="36"/>
      <c r="BH24" s="36"/>
      <c r="BI24" s="36"/>
      <c r="BJ24" s="36"/>
      <c r="BK24" s="36"/>
      <c r="BL24" s="36"/>
      <c r="BM24" s="36"/>
      <c r="BN24" s="36"/>
      <c r="BO24" s="36"/>
      <c r="BP24" s="36"/>
      <c r="BQ24" s="36"/>
      <c r="BR24" s="36"/>
      <c r="BS24" s="36"/>
      <c r="BT24" s="36"/>
      <c r="BU24" s="36"/>
      <c r="BV24" s="36"/>
      <c r="BW24" s="36"/>
      <c r="BX24" s="36"/>
      <c r="BY24" s="36"/>
      <c r="BZ24" s="36"/>
      <c r="CA24" s="36"/>
      <c r="CB24" s="36"/>
      <c r="CE24" s="288" t="s">
        <v>13</v>
      </c>
      <c r="CF24" s="289" t="s">
        <v>165</v>
      </c>
      <c r="CG24" s="289" t="s">
        <v>166</v>
      </c>
      <c r="CH24" s="290" t="s">
        <v>167</v>
      </c>
      <c r="CI24" s="291" t="s">
        <v>168</v>
      </c>
      <c r="CJ24" s="290" t="s">
        <v>1</v>
      </c>
      <c r="CK24" s="290" t="s">
        <v>169</v>
      </c>
      <c r="CL24" s="289" t="s">
        <v>170</v>
      </c>
      <c r="CM24" s="290" t="s">
        <v>171</v>
      </c>
      <c r="CN24" s="290" t="s">
        <v>172</v>
      </c>
      <c r="CO24" s="290" t="s">
        <v>173</v>
      </c>
      <c r="CP24" s="291" t="s">
        <v>174</v>
      </c>
      <c r="CQ24" s="291" t="s">
        <v>175</v>
      </c>
      <c r="CR24" s="290" t="s">
        <v>176</v>
      </c>
      <c r="CS24" s="290" t="s">
        <v>177</v>
      </c>
      <c r="CT24" s="289" t="s">
        <v>2</v>
      </c>
      <c r="CU24" s="289" t="s">
        <v>178</v>
      </c>
      <c r="CV24" s="289" t="s">
        <v>179</v>
      </c>
      <c r="CW24" s="289" t="s">
        <v>180</v>
      </c>
      <c r="CX24" s="289" t="s">
        <v>181</v>
      </c>
      <c r="CY24" s="291" t="s">
        <v>182</v>
      </c>
      <c r="CZ24" s="291" t="s">
        <v>183</v>
      </c>
      <c r="DA24" s="290" t="s">
        <v>184</v>
      </c>
      <c r="DB24" s="290" t="s">
        <v>185</v>
      </c>
      <c r="DC24" s="290" t="s">
        <v>186</v>
      </c>
      <c r="DD24" s="290" t="s">
        <v>1070</v>
      </c>
      <c r="DE24" s="290" t="s">
        <v>1052</v>
      </c>
      <c r="DF24" s="292" t="s">
        <v>1067</v>
      </c>
      <c r="DG24" s="291" t="s">
        <v>1076</v>
      </c>
      <c r="DH24" s="290" t="s">
        <v>187</v>
      </c>
      <c r="DI24" s="290" t="s">
        <v>188</v>
      </c>
      <c r="DJ24" s="291" t="s">
        <v>189</v>
      </c>
      <c r="DK24" s="291" t="s">
        <v>190</v>
      </c>
      <c r="DL24" s="290" t="s">
        <v>191</v>
      </c>
      <c r="DM24" s="290" t="s">
        <v>1124</v>
      </c>
      <c r="DN24" s="293" t="s">
        <v>192</v>
      </c>
    </row>
    <row r="25" spans="1:118" x14ac:dyDescent="0.4">
      <c r="A25" s="166" t="s">
        <v>677</v>
      </c>
      <c r="B25" s="166" t="s">
        <v>678</v>
      </c>
      <c r="C25" s="35">
        <f>SUMIFS(ENTRADA[CANTIDAD],ENTRADA[COD],INVENTARIO[[#This Row],[COD]])</f>
        <v>31</v>
      </c>
      <c r="D25" s="34">
        <f>SUMIFS(SALIDA[CANTIDAD],SALIDA[COD],INVENTARIO[[#This Row],[COD]])</f>
        <v>9</v>
      </c>
      <c r="E25" s="33">
        <f>INVENTARIO[[#This Row],[ENTRADAS]]-INVENTARIO[[#This Row],[SALIDAS]]</f>
        <v>22</v>
      </c>
      <c r="F25" s="165" t="s">
        <v>667</v>
      </c>
      <c r="H25" s="38">
        <v>45675</v>
      </c>
      <c r="I25" s="32" t="s">
        <v>673</v>
      </c>
      <c r="J25" s="32" t="str">
        <f>_xlfn.XLOOKUP(ENTRADA[[#This Row],[COD]],INVENTARIO[COD],INVENTARIO[DETALLE],"DETALLAR")</f>
        <v>BUSO APOYO LOGISTICO M</v>
      </c>
      <c r="K25" s="35">
        <v>8</v>
      </c>
      <c r="L25" s="34" t="str">
        <f>_xlfn.XLOOKUP(ENTRADA[[#This Row],[COD]],INVENTARIO[COD],INVENTARIO[OBSERVACIONES])</f>
        <v>AUXILIAR</v>
      </c>
      <c r="M25" s="39">
        <v>45615</v>
      </c>
      <c r="N25" s="40" t="s">
        <v>679</v>
      </c>
      <c r="O25" s="32" t="str">
        <f>_xlfn.XLOOKUP(SALIDA[[#This Row],[COD]],INVENTARIO[COD],INVENTARIO[DETALLE],"DETALLAR")</f>
        <v>PANTALON TALLA 10</v>
      </c>
      <c r="P25" s="33">
        <v>1</v>
      </c>
      <c r="Q25" s="32" t="s">
        <v>675</v>
      </c>
      <c r="AU25" s="336"/>
      <c r="AV25" s="201"/>
      <c r="AW25" s="195"/>
      <c r="AX25" s="195"/>
      <c r="AY25" s="195"/>
      <c r="AZ25" s="211"/>
      <c r="BA25" s="329" t="s">
        <v>680</v>
      </c>
      <c r="BB25" s="329"/>
      <c r="BC25" s="329"/>
      <c r="BD25" s="329"/>
      <c r="BE25" s="194">
        <f t="shared" ref="BE25:BE36" si="4">AZ27</f>
        <v>8</v>
      </c>
      <c r="BF25" s="302">
        <f>BE25-AV27</f>
        <v>6</v>
      </c>
      <c r="BG25" s="36"/>
      <c r="BH25" s="36"/>
      <c r="BI25" s="36"/>
      <c r="BJ25" s="36"/>
      <c r="BK25" s="36"/>
      <c r="BL25" s="36"/>
      <c r="BM25" s="36"/>
      <c r="BN25" s="36"/>
      <c r="BO25" s="36"/>
      <c r="BP25" s="36"/>
      <c r="BQ25" s="36"/>
      <c r="BR25" s="36"/>
      <c r="BS25" s="36"/>
      <c r="BT25" s="36"/>
      <c r="BU25" s="36"/>
      <c r="BV25" s="36"/>
      <c r="BW25" s="36"/>
      <c r="BX25" s="36"/>
      <c r="BY25" s="36"/>
      <c r="BZ25" s="36"/>
      <c r="CA25" s="36"/>
      <c r="CB25" s="36"/>
      <c r="CE25" s="281"/>
      <c r="CF25" s="282"/>
      <c r="CG25" s="281"/>
      <c r="CH25" s="283"/>
      <c r="CI25" s="284"/>
      <c r="CJ25" s="283"/>
      <c r="CK25" s="283"/>
      <c r="CL25" s="285"/>
      <c r="CM25" s="283"/>
      <c r="CN25" s="283"/>
      <c r="CO25" s="283"/>
      <c r="CP25" s="284"/>
      <c r="CQ25" s="284"/>
      <c r="CR25" s="283"/>
      <c r="CS25" s="283" t="s">
        <v>22</v>
      </c>
      <c r="CT25" s="281" t="s">
        <v>201</v>
      </c>
      <c r="CU25" s="281" t="s">
        <v>10</v>
      </c>
      <c r="CV25" s="281"/>
      <c r="CW25" s="281"/>
      <c r="CX25" s="282"/>
      <c r="CY25" s="286"/>
      <c r="CZ25" s="284"/>
      <c r="DA25" s="283"/>
      <c r="DB25" s="283"/>
      <c r="DC25" s="283"/>
      <c r="DD25" s="283"/>
      <c r="DE25" s="283"/>
      <c r="DF25" s="287"/>
      <c r="DG25" s="284"/>
      <c r="DH25" s="284"/>
      <c r="DI25" s="283"/>
      <c r="DJ25" s="284"/>
      <c r="DK25" s="284"/>
      <c r="DL25" s="283"/>
      <c r="DM25" s="284"/>
      <c r="DN25" s="284"/>
    </row>
    <row r="26" spans="1:118" ht="16" thickBot="1" x14ac:dyDescent="0.45">
      <c r="A26" s="166" t="s">
        <v>681</v>
      </c>
      <c r="B26" s="166" t="s">
        <v>682</v>
      </c>
      <c r="C26" s="35">
        <f>SUMIFS(ENTRADA[CANTIDAD],ENTRADA[COD],INVENTARIO[[#This Row],[COD]])</f>
        <v>19</v>
      </c>
      <c r="D26" s="34">
        <f>SUMIFS(SALIDA[CANTIDAD],SALIDA[COD],INVENTARIO[[#This Row],[COD]])</f>
        <v>6</v>
      </c>
      <c r="E26" s="33">
        <f>INVENTARIO[[#This Row],[ENTRADAS]]-INVENTARIO[[#This Row],[SALIDAS]]</f>
        <v>13</v>
      </c>
      <c r="F26" s="165" t="s">
        <v>667</v>
      </c>
      <c r="H26" s="38">
        <v>45675</v>
      </c>
      <c r="I26" s="32" t="s">
        <v>677</v>
      </c>
      <c r="J26" s="32" t="str">
        <f>_xlfn.XLOOKUP(ENTRADA[[#This Row],[COD]],INVENTARIO[COD],INVENTARIO[DETALLE],"DETALLAR")</f>
        <v>BUSO APOYO LOGISTICO XL</v>
      </c>
      <c r="K26" s="35">
        <v>31</v>
      </c>
      <c r="L26" s="34" t="str">
        <f>_xlfn.XLOOKUP(ENTRADA[[#This Row],[COD]],INVENTARIO[COD],INVENTARIO[OBSERVACIONES])</f>
        <v>AUXILIAR</v>
      </c>
      <c r="M26" s="39">
        <v>45615</v>
      </c>
      <c r="N26" s="40" t="s">
        <v>639</v>
      </c>
      <c r="O26" s="32" t="str">
        <f>_xlfn.XLOOKUP(SALIDA[[#This Row],[COD]],INVENTARIO[COD],INVENTARIO[DETALLE],"DETALLAR")</f>
        <v>POLO BLANCA  XXL</v>
      </c>
      <c r="P26" s="33">
        <v>1</v>
      </c>
      <c r="Q26" s="32" t="s">
        <v>683</v>
      </c>
      <c r="AU26" s="335"/>
      <c r="AV26" s="213" t="s">
        <v>684</v>
      </c>
      <c r="AW26" s="212">
        <f>SUM(AV27:AV39)</f>
        <v>75</v>
      </c>
      <c r="AX26" s="297"/>
      <c r="AY26" s="297"/>
      <c r="AZ26" s="298"/>
      <c r="BA26" s="329" t="s">
        <v>685</v>
      </c>
      <c r="BB26" s="329"/>
      <c r="BC26" s="329"/>
      <c r="BD26" s="329"/>
      <c r="BE26" s="194">
        <f t="shared" si="4"/>
        <v>8</v>
      </c>
      <c r="BF26" s="302">
        <f>BE26-AV28</f>
        <v>6</v>
      </c>
      <c r="BG26" s="36"/>
      <c r="BH26" s="36"/>
      <c r="BI26" s="36"/>
      <c r="BJ26" s="36"/>
      <c r="BK26" s="36"/>
      <c r="BL26" s="36"/>
      <c r="BM26" s="36"/>
      <c r="BN26" s="36"/>
      <c r="BO26" s="36"/>
      <c r="BP26" s="36"/>
      <c r="BQ26" s="36"/>
      <c r="BR26" s="36"/>
      <c r="BS26" s="36"/>
      <c r="BT26" s="36"/>
      <c r="BU26" s="36"/>
      <c r="BV26" s="36"/>
      <c r="BW26" s="36"/>
      <c r="BX26" s="36"/>
      <c r="BY26" s="36"/>
      <c r="BZ26" s="36"/>
      <c r="CA26" s="36"/>
      <c r="CB26" s="36"/>
    </row>
    <row r="27" spans="1:118" ht="16" thickBot="1" x14ac:dyDescent="0.45">
      <c r="A27" s="166" t="s">
        <v>686</v>
      </c>
      <c r="B27" s="166" t="s">
        <v>687</v>
      </c>
      <c r="C27" s="35">
        <f>SUMIFS(ENTRADA[CANTIDAD],ENTRADA[COD],INVENTARIO[[#This Row],[COD]])</f>
        <v>17</v>
      </c>
      <c r="D27" s="34">
        <f>SUMIFS(SALIDA[CANTIDAD],SALIDA[COD],INVENTARIO[[#This Row],[COD]])</f>
        <v>13</v>
      </c>
      <c r="E27" s="33">
        <f>INVENTARIO[[#This Row],[ENTRADAS]]-INVENTARIO[[#This Row],[SALIDAS]]</f>
        <v>4</v>
      </c>
      <c r="F27" s="165" t="s">
        <v>667</v>
      </c>
      <c r="H27" s="38">
        <v>45675</v>
      </c>
      <c r="I27" s="32" t="s">
        <v>681</v>
      </c>
      <c r="J27" s="32" t="str">
        <f>_xlfn.XLOOKUP(ENTRADA[[#This Row],[COD]],INVENTARIO[COD],INVENTARIO[DETALLE],"DETALLAR")</f>
        <v>BUSO ISTHO  M</v>
      </c>
      <c r="K27" s="35">
        <v>19</v>
      </c>
      <c r="L27" s="34" t="str">
        <f>_xlfn.XLOOKUP(ENTRADA[[#This Row],[COD]],INVENTARIO[COD],INVENTARIO[OBSERVACIONES])</f>
        <v>AUXILIAR</v>
      </c>
      <c r="M27" s="39">
        <v>45615</v>
      </c>
      <c r="N27" s="40" t="s">
        <v>688</v>
      </c>
      <c r="O27" s="32" t="str">
        <f>_xlfn.XLOOKUP(SALIDA[[#This Row],[COD]],INVENTARIO[COD],INVENTARIO[DETALLE],"DETALLAR")</f>
        <v>PANTALON TALLA 36</v>
      </c>
      <c r="P27" s="33">
        <v>1</v>
      </c>
      <c r="Q27" s="32" t="s">
        <v>683</v>
      </c>
      <c r="AU27" s="335"/>
      <c r="AV27" s="193">
        <f>DCOUNTA(Activos[#All],Activos[[#Headers],[T.Pantalon ]],DOTACION!CE50:DN51)</f>
        <v>2</v>
      </c>
      <c r="AW27" s="167" t="s">
        <v>614</v>
      </c>
      <c r="AX27" s="36">
        <f t="shared" ref="AX27:AX38" si="5">(AV27*2)</f>
        <v>4</v>
      </c>
      <c r="AY27" s="198">
        <v>4</v>
      </c>
      <c r="AZ27" s="208">
        <f t="shared" ref="AZ27:AZ48" si="6">AX27+AY27</f>
        <v>8</v>
      </c>
      <c r="BA27" s="329" t="s">
        <v>689</v>
      </c>
      <c r="BB27" s="329"/>
      <c r="BC27" s="329"/>
      <c r="BD27" s="329"/>
      <c r="BE27" s="194">
        <f t="shared" si="4"/>
        <v>15</v>
      </c>
      <c r="BF27" s="302">
        <f>BE27-AV29</f>
        <v>10</v>
      </c>
      <c r="BG27" s="36"/>
      <c r="BH27" s="36"/>
      <c r="BI27" s="36"/>
      <c r="BJ27" s="36"/>
      <c r="BK27" s="36"/>
      <c r="BL27" s="36"/>
      <c r="BM27" s="36"/>
      <c r="BN27" s="36"/>
      <c r="BO27" s="36"/>
      <c r="BP27" s="36"/>
      <c r="BQ27" s="36"/>
      <c r="BR27" s="36"/>
      <c r="BS27" s="36"/>
      <c r="BT27" s="36"/>
      <c r="BU27" s="36"/>
      <c r="BV27" s="36"/>
      <c r="BW27" s="36"/>
      <c r="BX27" s="36"/>
      <c r="BY27" s="36"/>
      <c r="BZ27" s="36"/>
      <c r="CA27" s="36"/>
      <c r="CB27" s="36"/>
      <c r="CE27" s="288" t="s">
        <v>13</v>
      </c>
      <c r="CF27" s="289" t="s">
        <v>165</v>
      </c>
      <c r="CG27" s="289" t="s">
        <v>166</v>
      </c>
      <c r="CH27" s="290" t="s">
        <v>167</v>
      </c>
      <c r="CI27" s="291" t="s">
        <v>168</v>
      </c>
      <c r="CJ27" s="290" t="s">
        <v>1</v>
      </c>
      <c r="CK27" s="290" t="s">
        <v>169</v>
      </c>
      <c r="CL27" s="289" t="s">
        <v>170</v>
      </c>
      <c r="CM27" s="290" t="s">
        <v>171</v>
      </c>
      <c r="CN27" s="290" t="s">
        <v>172</v>
      </c>
      <c r="CO27" s="290" t="s">
        <v>173</v>
      </c>
      <c r="CP27" s="291" t="s">
        <v>174</v>
      </c>
      <c r="CQ27" s="291" t="s">
        <v>175</v>
      </c>
      <c r="CR27" s="290" t="s">
        <v>176</v>
      </c>
      <c r="CS27" s="290" t="s">
        <v>177</v>
      </c>
      <c r="CT27" s="289" t="s">
        <v>2</v>
      </c>
      <c r="CU27" s="289" t="s">
        <v>178</v>
      </c>
      <c r="CV27" s="289" t="s">
        <v>179</v>
      </c>
      <c r="CW27" s="289" t="s">
        <v>180</v>
      </c>
      <c r="CX27" s="289" t="s">
        <v>181</v>
      </c>
      <c r="CY27" s="291" t="s">
        <v>182</v>
      </c>
      <c r="CZ27" s="291" t="s">
        <v>183</v>
      </c>
      <c r="DA27" s="290" t="s">
        <v>184</v>
      </c>
      <c r="DB27" s="290" t="s">
        <v>185</v>
      </c>
      <c r="DC27" s="290" t="s">
        <v>186</v>
      </c>
      <c r="DD27" s="290" t="s">
        <v>1070</v>
      </c>
      <c r="DE27" s="290" t="s">
        <v>1052</v>
      </c>
      <c r="DF27" s="292" t="s">
        <v>1067</v>
      </c>
      <c r="DG27" s="291" t="s">
        <v>1076</v>
      </c>
      <c r="DH27" s="290" t="s">
        <v>187</v>
      </c>
      <c r="DI27" s="290" t="s">
        <v>188</v>
      </c>
      <c r="DJ27" s="291" t="s">
        <v>189</v>
      </c>
      <c r="DK27" s="291" t="s">
        <v>190</v>
      </c>
      <c r="DL27" s="290" t="s">
        <v>191</v>
      </c>
      <c r="DM27" s="290" t="s">
        <v>1124</v>
      </c>
      <c r="DN27" s="293" t="s">
        <v>192</v>
      </c>
    </row>
    <row r="28" spans="1:118" x14ac:dyDescent="0.4">
      <c r="A28" s="166" t="s">
        <v>690</v>
      </c>
      <c r="B28" s="166" t="s">
        <v>691</v>
      </c>
      <c r="C28" s="35">
        <f>SUMIFS(ENTRADA[CANTIDAD],ENTRADA[COD],INVENTARIO[[#This Row],[COD]])</f>
        <v>14</v>
      </c>
      <c r="D28" s="34">
        <f>SUMIFS(SALIDA[CANTIDAD],SALIDA[COD],INVENTARIO[[#This Row],[COD]])</f>
        <v>6</v>
      </c>
      <c r="E28" s="33">
        <f>INVENTARIO[[#This Row],[ENTRADAS]]-INVENTARIO[[#This Row],[SALIDAS]]</f>
        <v>8</v>
      </c>
      <c r="F28" s="165" t="s">
        <v>667</v>
      </c>
      <c r="H28" s="38">
        <v>45675</v>
      </c>
      <c r="I28" s="32" t="s">
        <v>686</v>
      </c>
      <c r="J28" s="32" t="str">
        <f>_xlfn.XLOOKUP(ENTRADA[[#This Row],[COD]],INVENTARIO[COD],INVENTARIO[DETALLE],"DETALLAR")</f>
        <v>BUSO ISTHO  L</v>
      </c>
      <c r="K28" s="35">
        <v>17</v>
      </c>
      <c r="L28" s="34" t="str">
        <f>_xlfn.XLOOKUP(ENTRADA[[#This Row],[COD]],INVENTARIO[COD],INVENTARIO[OBSERVACIONES])</f>
        <v>AUXILIAR</v>
      </c>
      <c r="M28" s="39">
        <v>45615</v>
      </c>
      <c r="N28" s="40" t="s">
        <v>631</v>
      </c>
      <c r="O28" s="32" t="str">
        <f>_xlfn.XLOOKUP(SALIDA[[#This Row],[COD]],INVENTARIO[COD],INVENTARIO[DETALLE],"DETALLAR")</f>
        <v>POLO BLANCA  L</v>
      </c>
      <c r="P28" s="33">
        <v>1</v>
      </c>
      <c r="Q28" s="32" t="s">
        <v>692</v>
      </c>
      <c r="AU28" s="335"/>
      <c r="AV28" s="193">
        <f>DCOUNTA(Activos[#All],Activos[[#Headers],[T.Pantalon ]],DOTACION!CE53:DN54)</f>
        <v>2</v>
      </c>
      <c r="AW28" s="167" t="s">
        <v>619</v>
      </c>
      <c r="AX28" s="36">
        <f t="shared" si="5"/>
        <v>4</v>
      </c>
      <c r="AY28" s="198">
        <v>4</v>
      </c>
      <c r="AZ28" s="208">
        <f t="shared" si="6"/>
        <v>8</v>
      </c>
      <c r="BA28" s="329" t="s">
        <v>693</v>
      </c>
      <c r="BB28" s="329"/>
      <c r="BC28" s="329"/>
      <c r="BD28" s="329"/>
      <c r="BE28" s="194">
        <f t="shared" si="4"/>
        <v>4</v>
      </c>
      <c r="BF28" s="200"/>
      <c r="BG28" s="36"/>
      <c r="BH28" s="36"/>
      <c r="BI28" s="36"/>
      <c r="BJ28" s="36"/>
      <c r="BK28" s="36"/>
      <c r="BL28" s="36"/>
      <c r="BM28" s="36"/>
      <c r="BN28" s="36"/>
      <c r="BO28" s="36"/>
      <c r="BP28" s="36"/>
      <c r="BQ28" s="36"/>
      <c r="BR28" s="36"/>
      <c r="BS28" s="36"/>
      <c r="BT28" s="36"/>
      <c r="BU28" s="36"/>
      <c r="BV28" s="36"/>
      <c r="BW28" s="36"/>
      <c r="BX28" s="36"/>
      <c r="BY28" s="36"/>
      <c r="BZ28" s="36"/>
      <c r="CA28" s="36"/>
      <c r="CB28" s="36"/>
      <c r="CE28" s="281"/>
      <c r="CF28" s="282"/>
      <c r="CG28" s="281"/>
      <c r="CH28" s="283"/>
      <c r="CI28" s="284"/>
      <c r="CJ28" s="283"/>
      <c r="CK28" s="283"/>
      <c r="CL28" s="285"/>
      <c r="CM28" s="283"/>
      <c r="CN28" s="283"/>
      <c r="CO28" s="283"/>
      <c r="CP28" s="284"/>
      <c r="CQ28" s="284"/>
      <c r="CR28" s="283"/>
      <c r="CS28" s="283" t="s">
        <v>22</v>
      </c>
      <c r="CT28" s="281" t="s">
        <v>201</v>
      </c>
      <c r="CU28" s="281" t="s">
        <v>214</v>
      </c>
      <c r="CV28" s="281"/>
      <c r="CW28" s="281"/>
      <c r="CX28" s="282"/>
      <c r="CY28" s="286"/>
      <c r="CZ28" s="284"/>
      <c r="DA28" s="283"/>
      <c r="DB28" s="283"/>
      <c r="DC28" s="283"/>
      <c r="DD28" s="283"/>
      <c r="DE28" s="283"/>
      <c r="DF28" s="287"/>
      <c r="DG28" s="284"/>
      <c r="DH28" s="284"/>
      <c r="DI28" s="283"/>
      <c r="DJ28" s="284"/>
      <c r="DK28" s="284"/>
      <c r="DL28" s="283"/>
      <c r="DM28" s="284"/>
      <c r="DN28" s="284"/>
    </row>
    <row r="29" spans="1:118" ht="16" thickBot="1" x14ac:dyDescent="0.45">
      <c r="A29" s="166" t="s">
        <v>694</v>
      </c>
      <c r="B29" s="166" t="s">
        <v>695</v>
      </c>
      <c r="C29" s="35">
        <f>SUMIFS(ENTRADA[CANTIDAD],ENTRADA[COD],INVENTARIO[[#This Row],[COD]])</f>
        <v>6</v>
      </c>
      <c r="D29" s="34">
        <f>SUMIFS(SALIDA[CANTIDAD],SALIDA[COD],INVENTARIO[[#This Row],[COD]])</f>
        <v>4</v>
      </c>
      <c r="E29" s="33">
        <f>INVENTARIO[[#This Row],[ENTRADAS]]-INVENTARIO[[#This Row],[SALIDAS]]</f>
        <v>2</v>
      </c>
      <c r="F29" s="165" t="s">
        <v>667</v>
      </c>
      <c r="H29" s="38">
        <v>45675</v>
      </c>
      <c r="I29" s="32" t="s">
        <v>690</v>
      </c>
      <c r="J29" s="32" t="str">
        <f>_xlfn.XLOOKUP(ENTRADA[[#This Row],[COD]],INVENTARIO[COD],INVENTARIO[DETALLE],"DETALLAR")</f>
        <v>BUSO ISTHO  XL</v>
      </c>
      <c r="K29" s="35">
        <v>14</v>
      </c>
      <c r="L29" s="34" t="str">
        <f>_xlfn.XLOOKUP(ENTRADA[[#This Row],[COD]],INVENTARIO[COD],INVENTARIO[OBSERVACIONES])</f>
        <v>AUXILIAR</v>
      </c>
      <c r="M29" s="39">
        <v>45615</v>
      </c>
      <c r="N29" s="40" t="s">
        <v>608</v>
      </c>
      <c r="O29" s="32" t="str">
        <f>_xlfn.XLOOKUP(SALIDA[[#This Row],[COD]],INVENTARIO[COD],INVENTARIO[DETALLE],"DETALLAR")</f>
        <v>PANTALON TALLA 34</v>
      </c>
      <c r="P29" s="33">
        <v>1</v>
      </c>
      <c r="Q29" s="32" t="s">
        <v>692</v>
      </c>
      <c r="AU29" s="335"/>
      <c r="AV29" s="193">
        <f>DCOUNTA(Activos[#All],Activos[[#Headers],[T.Pantalon ]],DOTACION!CE56:DN57)</f>
        <v>5</v>
      </c>
      <c r="AW29" s="167" t="s">
        <v>696</v>
      </c>
      <c r="AX29" s="36">
        <f t="shared" si="5"/>
        <v>10</v>
      </c>
      <c r="AY29" s="198">
        <v>5</v>
      </c>
      <c r="AZ29" s="208">
        <f t="shared" si="6"/>
        <v>15</v>
      </c>
      <c r="BA29" s="329" t="s">
        <v>697</v>
      </c>
      <c r="BB29" s="329"/>
      <c r="BC29" s="329"/>
      <c r="BD29" s="329"/>
      <c r="BE29" s="194">
        <f t="shared" si="4"/>
        <v>4</v>
      </c>
      <c r="BF29" s="200"/>
      <c r="BG29" s="36"/>
      <c r="BH29" s="36"/>
      <c r="BI29" s="36"/>
      <c r="BJ29" s="36"/>
      <c r="BK29" s="36"/>
      <c r="BL29" s="36"/>
      <c r="BM29" s="36"/>
      <c r="BN29" s="36"/>
      <c r="BO29" s="36"/>
      <c r="BP29" s="36"/>
      <c r="BQ29" s="36"/>
      <c r="BR29" s="36"/>
      <c r="BS29" s="36"/>
      <c r="BT29" s="36"/>
      <c r="BU29" s="36"/>
      <c r="BV29" s="36"/>
      <c r="BW29" s="36"/>
      <c r="BX29" s="36"/>
      <c r="BY29" s="36"/>
      <c r="BZ29" s="36"/>
      <c r="CA29" s="36"/>
      <c r="CB29" s="36"/>
    </row>
    <row r="30" spans="1:118" ht="16" thickBot="1" x14ac:dyDescent="0.45">
      <c r="A30" s="166" t="s">
        <v>698</v>
      </c>
      <c r="B30" s="166" t="s">
        <v>699</v>
      </c>
      <c r="C30" s="35">
        <f>SUMIFS(ENTRADA[CANTIDAD],ENTRADA[COD],INVENTARIO[[#This Row],[COD]])</f>
        <v>2</v>
      </c>
      <c r="D30" s="34">
        <f>SUMIFS(SALIDA[CANTIDAD],SALIDA[COD],INVENTARIO[[#This Row],[COD]])</f>
        <v>0</v>
      </c>
      <c r="E30" s="33">
        <f>INVENTARIO[[#This Row],[ENTRADAS]]-INVENTARIO[[#This Row],[SALIDAS]]</f>
        <v>2</v>
      </c>
      <c r="F30" s="165" t="s">
        <v>667</v>
      </c>
      <c r="H30" s="38">
        <v>45675</v>
      </c>
      <c r="I30" s="32" t="s">
        <v>694</v>
      </c>
      <c r="J30" s="32" t="str">
        <f>_xlfn.XLOOKUP(ENTRADA[[#This Row],[COD]],INVENTARIO[COD],INVENTARIO[DETALLE],"DETALLAR")</f>
        <v>BUSO ISTHO  XXL</v>
      </c>
      <c r="K30" s="35">
        <v>6</v>
      </c>
      <c r="L30" s="34" t="str">
        <f>_xlfn.XLOOKUP(ENTRADA[[#This Row],[COD]],INVENTARIO[COD],INVENTARIO[OBSERVACIONES])</f>
        <v>AUXILIAR</v>
      </c>
      <c r="M30" s="39">
        <v>45615</v>
      </c>
      <c r="N30" s="40" t="s">
        <v>597</v>
      </c>
      <c r="O30" s="32" t="str">
        <f>_xlfn.XLOOKUP(SALIDA[[#This Row],[COD]],INVENTARIO[COD],INVENTARIO[DETALLE],"DETALLAR")</f>
        <v>POLO BLANCA  (10)</v>
      </c>
      <c r="P30" s="33">
        <v>1</v>
      </c>
      <c r="Q30" s="32" t="s">
        <v>700</v>
      </c>
      <c r="AU30" s="335"/>
      <c r="AV30" s="193">
        <f>DCOUNTA(Activos[#All],Activos[[#Headers],[T.Pantalon ]],DOTACION!CE59:DN60)</f>
        <v>0</v>
      </c>
      <c r="AW30" s="196" t="s">
        <v>701</v>
      </c>
      <c r="AX30" s="194">
        <f t="shared" si="5"/>
        <v>0</v>
      </c>
      <c r="AY30" s="194">
        <v>4</v>
      </c>
      <c r="AZ30" s="208">
        <f t="shared" si="6"/>
        <v>4</v>
      </c>
      <c r="BA30" s="329" t="s">
        <v>702</v>
      </c>
      <c r="BB30" s="329"/>
      <c r="BC30" s="329"/>
      <c r="BD30" s="329"/>
      <c r="BE30" s="194">
        <f t="shared" si="4"/>
        <v>10</v>
      </c>
      <c r="BF30" s="302">
        <f>BE30-AV32</f>
        <v>8</v>
      </c>
      <c r="BG30" s="36"/>
      <c r="BH30" s="36"/>
      <c r="BI30" s="36"/>
      <c r="BJ30" s="36"/>
      <c r="BK30" s="36"/>
      <c r="BL30" s="36"/>
      <c r="BM30" s="36"/>
      <c r="BN30" s="36"/>
      <c r="BO30" s="36"/>
      <c r="BP30" s="36"/>
      <c r="BQ30" s="36"/>
      <c r="BR30" s="36"/>
      <c r="BS30" s="36"/>
      <c r="BT30" s="36"/>
      <c r="BU30" s="36"/>
      <c r="BV30" s="36"/>
      <c r="BW30" s="36"/>
      <c r="BX30" s="36"/>
      <c r="BY30" s="36"/>
      <c r="BZ30" s="36"/>
      <c r="CA30" s="36"/>
      <c r="CB30" s="36"/>
      <c r="CE30" s="288" t="s">
        <v>13</v>
      </c>
      <c r="CF30" s="289" t="s">
        <v>165</v>
      </c>
      <c r="CG30" s="289" t="s">
        <v>166</v>
      </c>
      <c r="CH30" s="290" t="s">
        <v>167</v>
      </c>
      <c r="CI30" s="291" t="s">
        <v>168</v>
      </c>
      <c r="CJ30" s="290" t="s">
        <v>1</v>
      </c>
      <c r="CK30" s="290" t="s">
        <v>169</v>
      </c>
      <c r="CL30" s="289" t="s">
        <v>170</v>
      </c>
      <c r="CM30" s="290" t="s">
        <v>171</v>
      </c>
      <c r="CN30" s="290" t="s">
        <v>172</v>
      </c>
      <c r="CO30" s="290" t="s">
        <v>173</v>
      </c>
      <c r="CP30" s="291" t="s">
        <v>174</v>
      </c>
      <c r="CQ30" s="291" t="s">
        <v>175</v>
      </c>
      <c r="CR30" s="290" t="s">
        <v>176</v>
      </c>
      <c r="CS30" s="290" t="s">
        <v>177</v>
      </c>
      <c r="CT30" s="289" t="s">
        <v>2</v>
      </c>
      <c r="CU30" s="289" t="s">
        <v>178</v>
      </c>
      <c r="CV30" s="289" t="s">
        <v>179</v>
      </c>
      <c r="CW30" s="289" t="s">
        <v>180</v>
      </c>
      <c r="CX30" s="289" t="s">
        <v>181</v>
      </c>
      <c r="CY30" s="291" t="s">
        <v>182</v>
      </c>
      <c r="CZ30" s="291" t="s">
        <v>183</v>
      </c>
      <c r="DA30" s="290" t="s">
        <v>184</v>
      </c>
      <c r="DB30" s="290" t="s">
        <v>185</v>
      </c>
      <c r="DC30" s="290" t="s">
        <v>186</v>
      </c>
      <c r="DD30" s="290" t="s">
        <v>1070</v>
      </c>
      <c r="DE30" s="290" t="s">
        <v>1052</v>
      </c>
      <c r="DF30" s="292" t="s">
        <v>1067</v>
      </c>
      <c r="DG30" s="291" t="s">
        <v>1076</v>
      </c>
      <c r="DH30" s="290" t="s">
        <v>187</v>
      </c>
      <c r="DI30" s="290" t="s">
        <v>188</v>
      </c>
      <c r="DJ30" s="291" t="s">
        <v>189</v>
      </c>
      <c r="DK30" s="291" t="s">
        <v>190</v>
      </c>
      <c r="DL30" s="290" t="s">
        <v>191</v>
      </c>
      <c r="DM30" s="290" t="s">
        <v>1124</v>
      </c>
      <c r="DN30" s="293" t="s">
        <v>192</v>
      </c>
    </row>
    <row r="31" spans="1:118" x14ac:dyDescent="0.4">
      <c r="A31" s="166" t="s">
        <v>703</v>
      </c>
      <c r="B31" s="166" t="s">
        <v>704</v>
      </c>
      <c r="C31" s="35">
        <f>SUMIFS(ENTRADA[CANTIDAD],ENTRADA[COD],INVENTARIO[[#This Row],[COD]])</f>
        <v>2</v>
      </c>
      <c r="D31" s="34">
        <f>SUMIFS(SALIDA[CANTIDAD],SALIDA[COD],INVENTARIO[[#This Row],[COD]])</f>
        <v>0</v>
      </c>
      <c r="E31" s="33">
        <f>INVENTARIO[[#This Row],[ENTRADAS]]-INVENTARIO[[#This Row],[SALIDAS]]</f>
        <v>2</v>
      </c>
      <c r="F31" s="165" t="s">
        <v>667</v>
      </c>
      <c r="H31" s="38">
        <v>45675</v>
      </c>
      <c r="I31" s="32" t="s">
        <v>698</v>
      </c>
      <c r="J31" s="32" t="str">
        <f>_xlfn.XLOOKUP(ENTRADA[[#This Row],[COD]],INVENTARIO[COD],INVENTARIO[DETALLE],"DETALLAR")</f>
        <v>BUSO SML  M</v>
      </c>
      <c r="K31" s="35">
        <v>2</v>
      </c>
      <c r="L31" s="34" t="str">
        <f>_xlfn.XLOOKUP(ENTRADA[[#This Row],[COD]],INVENTARIO[COD],INVENTARIO[OBSERVACIONES])</f>
        <v>AUXILIAR</v>
      </c>
      <c r="M31" s="39">
        <v>45615</v>
      </c>
      <c r="N31" s="40" t="s">
        <v>679</v>
      </c>
      <c r="O31" s="32" t="str">
        <f>_xlfn.XLOOKUP(SALIDA[[#This Row],[COD]],INVENTARIO[COD],INVENTARIO[DETALLE],"DETALLAR")</f>
        <v>PANTALON TALLA 10</v>
      </c>
      <c r="P31" s="33">
        <v>1</v>
      </c>
      <c r="Q31" s="32" t="s">
        <v>700</v>
      </c>
      <c r="AU31" s="335"/>
      <c r="AV31" s="193">
        <f>DCOUNTA(Activos[#All],Activos[[#Headers],[T.Camisa]],DOTACION!CE43:DN44)</f>
        <v>2</v>
      </c>
      <c r="AW31" s="196" t="s">
        <v>705</v>
      </c>
      <c r="AX31" s="194">
        <f t="shared" si="5"/>
        <v>4</v>
      </c>
      <c r="AY31" s="194">
        <v>0</v>
      </c>
      <c r="AZ31" s="208">
        <f t="shared" si="6"/>
        <v>4</v>
      </c>
      <c r="BA31" s="329" t="s">
        <v>706</v>
      </c>
      <c r="BB31" s="329"/>
      <c r="BC31" s="329"/>
      <c r="BD31" s="329"/>
      <c r="BE31" s="194">
        <f t="shared" si="4"/>
        <v>30</v>
      </c>
      <c r="BF31" s="302">
        <f>BE31-AV33</f>
        <v>22</v>
      </c>
      <c r="BG31" s="36"/>
      <c r="BH31" s="36"/>
      <c r="BI31" s="36"/>
      <c r="BJ31" s="36"/>
      <c r="BK31" s="36"/>
      <c r="BL31" s="36"/>
      <c r="BM31" s="36"/>
      <c r="BN31" s="36"/>
      <c r="BO31" s="36"/>
      <c r="BP31" s="36"/>
      <c r="BQ31" s="36"/>
      <c r="BR31" s="36"/>
      <c r="BS31" s="36"/>
      <c r="BT31" s="36"/>
      <c r="BU31" s="36"/>
      <c r="BV31" s="36"/>
      <c r="BW31" s="36"/>
      <c r="BX31" s="36"/>
      <c r="BY31" s="36"/>
      <c r="BZ31" s="36"/>
      <c r="CA31" s="36"/>
      <c r="CB31" s="36"/>
      <c r="CE31" s="281"/>
      <c r="CF31" s="282"/>
      <c r="CG31" s="281"/>
      <c r="CH31" s="283"/>
      <c r="CI31" s="284"/>
      <c r="CJ31" s="283"/>
      <c r="CK31" s="283"/>
      <c r="CL31" s="285"/>
      <c r="CM31" s="283"/>
      <c r="CN31" s="283"/>
      <c r="CO31" s="283"/>
      <c r="CP31" s="284"/>
      <c r="CQ31" s="284"/>
      <c r="CR31" s="283"/>
      <c r="CS31" s="283" t="s">
        <v>22</v>
      </c>
      <c r="CT31" s="281" t="s">
        <v>201</v>
      </c>
      <c r="CU31" s="281" t="s">
        <v>236</v>
      </c>
      <c r="CV31" s="281"/>
      <c r="CW31" s="281"/>
      <c r="CX31" s="282"/>
      <c r="CY31" s="286"/>
      <c r="CZ31" s="284"/>
      <c r="DA31" s="283"/>
      <c r="DB31" s="283"/>
      <c r="DC31" s="283"/>
      <c r="DD31" s="283"/>
      <c r="DE31" s="283"/>
      <c r="DF31" s="287"/>
      <c r="DG31" s="284"/>
      <c r="DH31" s="284"/>
      <c r="DI31" s="283"/>
      <c r="DJ31" s="284"/>
      <c r="DK31" s="284"/>
      <c r="DL31" s="283"/>
      <c r="DM31" s="284"/>
      <c r="DN31" s="284"/>
    </row>
    <row r="32" spans="1:118" ht="16" thickBot="1" x14ac:dyDescent="0.45">
      <c r="A32" s="166" t="s">
        <v>707</v>
      </c>
      <c r="B32" s="166" t="s">
        <v>708</v>
      </c>
      <c r="C32" s="35">
        <f>SUMIFS(ENTRADA[CANTIDAD],ENTRADA[COD],INVENTARIO[[#This Row],[COD]])</f>
        <v>0</v>
      </c>
      <c r="D32" s="34">
        <f>SUMIFS(SALIDA[CANTIDAD],SALIDA[COD],INVENTARIO[[#This Row],[COD]])</f>
        <v>0</v>
      </c>
      <c r="E32" s="33">
        <f>INVENTARIO[[#This Row],[ENTRADAS]]-INVENTARIO[[#This Row],[SALIDAS]]</f>
        <v>0</v>
      </c>
      <c r="F32" s="165" t="s">
        <v>667</v>
      </c>
      <c r="H32" s="38">
        <v>45675</v>
      </c>
      <c r="I32" s="32" t="s">
        <v>703</v>
      </c>
      <c r="J32" s="32" t="str">
        <f>_xlfn.XLOOKUP(ENTRADA[[#This Row],[COD]],INVENTARIO[COD],INVENTARIO[DETALLE],"DETALLAR")</f>
        <v>BUSO SML  L</v>
      </c>
      <c r="K32" s="35">
        <v>2</v>
      </c>
      <c r="L32" s="34" t="str">
        <f>_xlfn.XLOOKUP(ENTRADA[[#This Row],[COD]],INVENTARIO[COD],INVENTARIO[OBSERVACIONES])</f>
        <v>AUXILIAR</v>
      </c>
      <c r="M32" s="39">
        <v>45615</v>
      </c>
      <c r="N32" s="49" t="s">
        <v>694</v>
      </c>
      <c r="O32" s="32" t="str">
        <f>_xlfn.XLOOKUP(SALIDA[[#This Row],[COD]],INVENTARIO[COD],INVENTARIO[DETALLE],"DETALLAR")</f>
        <v>BUSO ISTHO  XXL</v>
      </c>
      <c r="P32" s="33">
        <v>2</v>
      </c>
      <c r="Q32" s="32" t="s">
        <v>464</v>
      </c>
      <c r="AU32" s="335"/>
      <c r="AV32" s="193">
        <f>DCOUNTA(Activos[#All],Activos[[#Headers],[T.Pantalon ]],DOTACION!CE65:DN66)</f>
        <v>2</v>
      </c>
      <c r="AW32" s="167" t="s">
        <v>709</v>
      </c>
      <c r="AX32" s="36">
        <f t="shared" si="5"/>
        <v>4</v>
      </c>
      <c r="AY32" s="198">
        <v>6</v>
      </c>
      <c r="AZ32" s="208">
        <f t="shared" si="6"/>
        <v>10</v>
      </c>
      <c r="BA32" s="329" t="s">
        <v>710</v>
      </c>
      <c r="BB32" s="329"/>
      <c r="BC32" s="329"/>
      <c r="BD32" s="329"/>
      <c r="BE32" s="194">
        <f t="shared" si="4"/>
        <v>40</v>
      </c>
      <c r="BF32" s="302">
        <f>BE32-AV34</f>
        <v>26</v>
      </c>
      <c r="BG32" s="36"/>
      <c r="BH32" s="36"/>
      <c r="BI32" s="36"/>
      <c r="BJ32" s="36"/>
      <c r="BK32" s="36"/>
      <c r="BL32" s="36"/>
      <c r="BM32" s="36"/>
      <c r="BN32" s="36"/>
      <c r="BO32" s="36"/>
      <c r="BP32" s="36"/>
      <c r="BQ32" s="36"/>
      <c r="BR32" s="36"/>
      <c r="BS32" s="36"/>
      <c r="BT32" s="36"/>
      <c r="BU32" s="36"/>
      <c r="BV32" s="36"/>
      <c r="BW32" s="36"/>
      <c r="BX32" s="36"/>
      <c r="BY32" s="36"/>
      <c r="BZ32" s="36"/>
      <c r="CA32" s="36"/>
      <c r="CB32" s="36"/>
    </row>
    <row r="33" spans="1:118" ht="16" thickBot="1" x14ac:dyDescent="0.45">
      <c r="A33" s="166" t="s">
        <v>711</v>
      </c>
      <c r="B33" s="166" t="s">
        <v>712</v>
      </c>
      <c r="C33" s="35">
        <f>SUMIFS(ENTRADA[CANTIDAD],ENTRADA[COD],INVENTARIO[[#This Row],[COD]])</f>
        <v>3</v>
      </c>
      <c r="D33" s="34">
        <f>SUMIFS(SALIDA[CANTIDAD],SALIDA[COD],INVENTARIO[[#This Row],[COD]])</f>
        <v>3</v>
      </c>
      <c r="E33" s="33">
        <f>INVENTARIO[[#This Row],[ENTRADAS]]-INVENTARIO[[#This Row],[SALIDAS]]</f>
        <v>0</v>
      </c>
      <c r="F33" s="165" t="s">
        <v>667</v>
      </c>
      <c r="H33" s="38">
        <v>45675</v>
      </c>
      <c r="I33" s="31" t="s">
        <v>707</v>
      </c>
      <c r="J33" s="32" t="str">
        <f>_xlfn.XLOOKUP(ENTRADA[[#This Row],[COD]],INVENTARIO[COD],INVENTARIO[DETALLE],"DETALLAR")</f>
        <v xml:space="preserve">BUSO SML </v>
      </c>
      <c r="K33" s="35">
        <v>0</v>
      </c>
      <c r="L33" s="34" t="str">
        <f>_xlfn.XLOOKUP(ENTRADA[[#This Row],[COD]],INVENTARIO[COD],INVENTARIO[OBSERVACIONES])</f>
        <v>AUXILIAR</v>
      </c>
      <c r="M33" s="39">
        <v>45615</v>
      </c>
      <c r="N33" s="49" t="s">
        <v>713</v>
      </c>
      <c r="O33" s="32" t="str">
        <f>_xlfn.XLOOKUP(SALIDA[[#This Row],[COD]],INVENTARIO[COD],INVENTARIO[DETALLE],"DETALLAR")</f>
        <v>PANTALON TALLA 40</v>
      </c>
      <c r="P33" s="33">
        <v>1</v>
      </c>
      <c r="Q33" s="32" t="s">
        <v>464</v>
      </c>
      <c r="AU33" s="335"/>
      <c r="AV33" s="193">
        <f>DCOUNTA(Activos[#All],Activos[[#Headers],[T.Pantalon ]],DOTACION!CE68:DN69)</f>
        <v>8</v>
      </c>
      <c r="AW33" s="167" t="s">
        <v>714</v>
      </c>
      <c r="AX33" s="36">
        <f t="shared" si="5"/>
        <v>16</v>
      </c>
      <c r="AY33" s="198">
        <v>14</v>
      </c>
      <c r="AZ33" s="208">
        <f t="shared" si="6"/>
        <v>30</v>
      </c>
      <c r="BA33" s="329" t="s">
        <v>715</v>
      </c>
      <c r="BB33" s="329"/>
      <c r="BC33" s="329"/>
      <c r="BD33" s="329"/>
      <c r="BE33" s="194">
        <f t="shared" si="4"/>
        <v>50</v>
      </c>
      <c r="BF33" s="302">
        <f>BE33-AV35</f>
        <v>26</v>
      </c>
      <c r="BG33" s="36"/>
      <c r="BH33" s="36"/>
      <c r="BI33" s="36"/>
      <c r="BJ33" s="36"/>
      <c r="BK33" s="36"/>
      <c r="BL33" s="36"/>
      <c r="BM33" s="36"/>
      <c r="BN33" s="36"/>
      <c r="BO33" s="36"/>
      <c r="BP33" s="36"/>
      <c r="BQ33" s="36"/>
      <c r="BR33" s="36"/>
      <c r="BS33" s="36"/>
      <c r="BT33" s="36"/>
      <c r="BU33" s="36"/>
      <c r="BV33" s="36"/>
      <c r="BW33" s="36"/>
      <c r="BX33" s="36"/>
      <c r="BY33" s="36"/>
      <c r="BZ33" s="36"/>
      <c r="CA33" s="36"/>
      <c r="CB33" s="36"/>
      <c r="CE33" s="288" t="s">
        <v>13</v>
      </c>
      <c r="CF33" s="289" t="s">
        <v>165</v>
      </c>
      <c r="CG33" s="289" t="s">
        <v>166</v>
      </c>
      <c r="CH33" s="290" t="s">
        <v>167</v>
      </c>
      <c r="CI33" s="291" t="s">
        <v>168</v>
      </c>
      <c r="CJ33" s="290" t="s">
        <v>1</v>
      </c>
      <c r="CK33" s="290" t="s">
        <v>169</v>
      </c>
      <c r="CL33" s="289" t="s">
        <v>170</v>
      </c>
      <c r="CM33" s="290" t="s">
        <v>171</v>
      </c>
      <c r="CN33" s="290" t="s">
        <v>172</v>
      </c>
      <c r="CO33" s="290" t="s">
        <v>173</v>
      </c>
      <c r="CP33" s="291" t="s">
        <v>174</v>
      </c>
      <c r="CQ33" s="291" t="s">
        <v>175</v>
      </c>
      <c r="CR33" s="290" t="s">
        <v>176</v>
      </c>
      <c r="CS33" s="290" t="s">
        <v>177</v>
      </c>
      <c r="CT33" s="289" t="s">
        <v>2</v>
      </c>
      <c r="CU33" s="289" t="s">
        <v>178</v>
      </c>
      <c r="CV33" s="289" t="s">
        <v>179</v>
      </c>
      <c r="CW33" s="289" t="s">
        <v>180</v>
      </c>
      <c r="CX33" s="289" t="s">
        <v>181</v>
      </c>
      <c r="CY33" s="291" t="s">
        <v>182</v>
      </c>
      <c r="CZ33" s="291" t="s">
        <v>183</v>
      </c>
      <c r="DA33" s="290" t="s">
        <v>184</v>
      </c>
      <c r="DB33" s="290" t="s">
        <v>185</v>
      </c>
      <c r="DC33" s="290" t="s">
        <v>186</v>
      </c>
      <c r="DD33" s="290" t="s">
        <v>1070</v>
      </c>
      <c r="DE33" s="290" t="s">
        <v>1052</v>
      </c>
      <c r="DF33" s="292" t="s">
        <v>1067</v>
      </c>
      <c r="DG33" s="291" t="s">
        <v>1076</v>
      </c>
      <c r="DH33" s="290" t="s">
        <v>187</v>
      </c>
      <c r="DI33" s="290" t="s">
        <v>188</v>
      </c>
      <c r="DJ33" s="291" t="s">
        <v>189</v>
      </c>
      <c r="DK33" s="291" t="s">
        <v>190</v>
      </c>
      <c r="DL33" s="290" t="s">
        <v>191</v>
      </c>
      <c r="DM33" s="290" t="s">
        <v>1124</v>
      </c>
      <c r="DN33" s="293" t="s">
        <v>192</v>
      </c>
    </row>
    <row r="34" spans="1:118" x14ac:dyDescent="0.4">
      <c r="A34" s="166" t="s">
        <v>716</v>
      </c>
      <c r="B34" s="166" t="s">
        <v>717</v>
      </c>
      <c r="C34" s="35">
        <f>SUMIFS(ENTRADA[CANTIDAD],ENTRADA[COD],INVENTARIO[[#This Row],[COD]])</f>
        <v>4</v>
      </c>
      <c r="D34" s="34">
        <f>SUMIFS(SALIDA[CANTIDAD],SALIDA[COD],INVENTARIO[[#This Row],[COD]])</f>
        <v>4</v>
      </c>
      <c r="E34" s="33">
        <f>INVENTARIO[[#This Row],[ENTRADAS]]-INVENTARIO[[#This Row],[SALIDAS]]</f>
        <v>0</v>
      </c>
      <c r="F34" s="165" t="s">
        <v>667</v>
      </c>
      <c r="H34" s="38">
        <v>45675</v>
      </c>
      <c r="I34" s="31" t="s">
        <v>711</v>
      </c>
      <c r="J34" s="32" t="str">
        <f>_xlfn.XLOOKUP(ENTRADA[[#This Row],[COD]],INVENTARIO[COD],INVENTARIO[DETALLE],"DETALLAR")</f>
        <v>BUSO GR.CLARO USADA</v>
      </c>
      <c r="K34" s="35">
        <v>3</v>
      </c>
      <c r="L34" s="34" t="str">
        <f>_xlfn.XLOOKUP(ENTRADA[[#This Row],[COD]],INVENTARIO[COD],INVENTARIO[OBSERVACIONES])</f>
        <v>AUXILIAR</v>
      </c>
      <c r="M34" s="39">
        <v>45615</v>
      </c>
      <c r="N34" s="49" t="s">
        <v>635</v>
      </c>
      <c r="O34" s="32" t="str">
        <f>_xlfn.XLOOKUP(SALIDA[[#This Row],[COD]],INVENTARIO[COD],INVENTARIO[DETALLE],"DETALLAR")</f>
        <v>POLO BLANCA  XL</v>
      </c>
      <c r="P34" s="33">
        <v>1</v>
      </c>
      <c r="Q34" s="40" t="s">
        <v>1078</v>
      </c>
      <c r="AU34" s="335"/>
      <c r="AV34" s="193">
        <f>DCOUNTA(Activos[#All],Activos[[#Headers],[T.Pantalon ]],DOTACION!CE71:DN72)</f>
        <v>14</v>
      </c>
      <c r="AW34" s="167" t="s">
        <v>719</v>
      </c>
      <c r="AX34" s="36">
        <f t="shared" si="5"/>
        <v>28</v>
      </c>
      <c r="AY34" s="198">
        <v>12</v>
      </c>
      <c r="AZ34" s="208">
        <f t="shared" si="6"/>
        <v>40</v>
      </c>
      <c r="BA34" s="329" t="s">
        <v>720</v>
      </c>
      <c r="BB34" s="329"/>
      <c r="BC34" s="329"/>
      <c r="BD34" s="329"/>
      <c r="BE34" s="194">
        <f t="shared" si="4"/>
        <v>30</v>
      </c>
      <c r="BF34" s="302">
        <f>BE34-AV36</f>
        <v>24</v>
      </c>
      <c r="BG34" s="36"/>
      <c r="BH34" s="36"/>
      <c r="BI34" s="36"/>
      <c r="BJ34" s="36"/>
      <c r="BK34" s="36"/>
      <c r="BL34" s="36"/>
      <c r="BM34" s="36"/>
      <c r="BN34" s="36"/>
      <c r="BO34" s="36"/>
      <c r="BP34" s="36"/>
      <c r="BQ34" s="36"/>
      <c r="BR34" s="36"/>
      <c r="BS34" s="36"/>
      <c r="BT34" s="36"/>
      <c r="BU34" s="36"/>
      <c r="BV34" s="36"/>
      <c r="BW34" s="36"/>
      <c r="BX34" s="36"/>
      <c r="BY34" s="36"/>
      <c r="BZ34" s="36"/>
      <c r="CA34" s="36"/>
      <c r="CB34" s="36"/>
      <c r="CE34" s="281"/>
      <c r="CF34" s="282"/>
      <c r="CG34" s="281"/>
      <c r="CH34" s="283"/>
      <c r="CI34" s="284"/>
      <c r="CJ34" s="283"/>
      <c r="CK34" s="283"/>
      <c r="CL34" s="285"/>
      <c r="CM34" s="283"/>
      <c r="CN34" s="283"/>
      <c r="CO34" s="283"/>
      <c r="CP34" s="284"/>
      <c r="CQ34" s="284"/>
      <c r="CR34" s="283"/>
      <c r="CS34" s="283" t="s">
        <v>22</v>
      </c>
      <c r="CT34" s="281" t="s">
        <v>201</v>
      </c>
      <c r="CU34" s="281" t="s">
        <v>202</v>
      </c>
      <c r="CV34" s="281"/>
      <c r="CW34" s="281"/>
      <c r="CX34" s="282"/>
      <c r="CY34" s="286"/>
      <c r="CZ34" s="284"/>
      <c r="DA34" s="283"/>
      <c r="DB34" s="283"/>
      <c r="DC34" s="283"/>
      <c r="DD34" s="283"/>
      <c r="DE34" s="283"/>
      <c r="DF34" s="287"/>
      <c r="DG34" s="284"/>
      <c r="DH34" s="284"/>
      <c r="DI34" s="283"/>
      <c r="DJ34" s="284"/>
      <c r="DK34" s="284"/>
      <c r="DL34" s="283"/>
      <c r="DM34" s="284"/>
      <c r="DN34" s="284"/>
    </row>
    <row r="35" spans="1:118" x14ac:dyDescent="0.4">
      <c r="A35" s="166" t="s">
        <v>618</v>
      </c>
      <c r="B35" s="166" t="s">
        <v>721</v>
      </c>
      <c r="C35" s="35">
        <f>SUMIFS(ENTRADA[CANTIDAD],ENTRADA[COD],INVENTARIO[[#This Row],[COD]])</f>
        <v>3</v>
      </c>
      <c r="D35" s="34">
        <f>SUMIFS(SALIDA[CANTIDAD],SALIDA[COD],INVENTARIO[[#This Row],[COD]])</f>
        <v>3</v>
      </c>
      <c r="E35" s="33">
        <f>INVENTARIO[[#This Row],[ENTRADAS]]-INVENTARIO[[#This Row],[SALIDAS]]</f>
        <v>0</v>
      </c>
      <c r="F35" s="165" t="s">
        <v>722</v>
      </c>
      <c r="H35" s="38">
        <v>45675</v>
      </c>
      <c r="I35" s="31" t="s">
        <v>716</v>
      </c>
      <c r="J35" s="32" t="str">
        <f>_xlfn.XLOOKUP(ENTRADA[[#This Row],[COD]],INVENTARIO[COD],INVENTARIO[DETALLE],"DETALLAR")</f>
        <v>BUSO GR.OBSCURO USADA</v>
      </c>
      <c r="K35" s="35">
        <v>4</v>
      </c>
      <c r="L35" s="34" t="str">
        <f>_xlfn.XLOOKUP(ENTRADA[[#This Row],[COD]],INVENTARIO[COD],INVENTARIO[OBSERVACIONES])</f>
        <v>AUXILIAR</v>
      </c>
      <c r="M35" s="39">
        <v>45615</v>
      </c>
      <c r="N35" s="49" t="s">
        <v>688</v>
      </c>
      <c r="O35" s="32" t="str">
        <f>_xlfn.XLOOKUP(SALIDA[[#This Row],[COD]],INVENTARIO[COD],INVENTARIO[DETALLE],"DETALLAR")</f>
        <v>PANTALON TALLA 36</v>
      </c>
      <c r="P35" s="33">
        <v>1</v>
      </c>
      <c r="Q35" s="40" t="s">
        <v>1078</v>
      </c>
      <c r="AU35" s="335"/>
      <c r="AV35" s="193">
        <f>DCOUNTA(Activos[#All],Activos[[#Headers],[T.Pantalon ]],DOTACION!CE74:DN75)</f>
        <v>24</v>
      </c>
      <c r="AW35" s="167" t="s">
        <v>723</v>
      </c>
      <c r="AX35" s="36">
        <f t="shared" si="5"/>
        <v>48</v>
      </c>
      <c r="AY35" s="198">
        <v>2</v>
      </c>
      <c r="AZ35" s="208">
        <f t="shared" si="6"/>
        <v>50</v>
      </c>
      <c r="BA35" s="329" t="s">
        <v>724</v>
      </c>
      <c r="BB35" s="329"/>
      <c r="BC35" s="329"/>
      <c r="BD35" s="329"/>
      <c r="BE35" s="194">
        <f t="shared" si="4"/>
        <v>12</v>
      </c>
      <c r="BF35" s="302">
        <f>AV37</f>
        <v>1</v>
      </c>
      <c r="BG35" s="36"/>
      <c r="BH35" s="36"/>
      <c r="BI35" s="36"/>
      <c r="BJ35" s="36"/>
      <c r="BK35" s="36"/>
      <c r="BL35" s="36"/>
      <c r="BM35" s="36"/>
      <c r="BN35" s="36"/>
      <c r="BO35" s="36"/>
      <c r="BP35" s="36"/>
      <c r="BQ35" s="36"/>
      <c r="BR35" s="36"/>
      <c r="BS35" s="36"/>
      <c r="BT35" s="36"/>
      <c r="BU35" s="36"/>
      <c r="BV35" s="36"/>
      <c r="BW35" s="36"/>
      <c r="BX35" s="36"/>
      <c r="BY35" s="36"/>
      <c r="BZ35" s="36"/>
      <c r="CA35" s="36"/>
      <c r="CB35" s="36"/>
    </row>
    <row r="36" spans="1:118" ht="16" thickBot="1" x14ac:dyDescent="0.45">
      <c r="A36" s="166" t="s">
        <v>679</v>
      </c>
      <c r="B36" s="166" t="s">
        <v>725</v>
      </c>
      <c r="C36" s="35">
        <f>SUMIFS(ENTRADA[CANTIDAD],ENTRADA[COD],INVENTARIO[[#This Row],[COD]])</f>
        <v>9</v>
      </c>
      <c r="D36" s="34">
        <f>SUMIFS(SALIDA[CANTIDAD],SALIDA[COD],INVENTARIO[[#This Row],[COD]])</f>
        <v>6</v>
      </c>
      <c r="E36" s="33">
        <f>INVENTARIO[[#This Row],[ENTRADAS]]-INVENTARIO[[#This Row],[SALIDAS]]</f>
        <v>3</v>
      </c>
      <c r="F36" s="165" t="s">
        <v>722</v>
      </c>
      <c r="H36" s="38">
        <v>45675</v>
      </c>
      <c r="I36" s="31" t="s">
        <v>618</v>
      </c>
      <c r="J36" s="32" t="str">
        <f>_xlfn.XLOOKUP(ENTRADA[[#This Row],[COD]],INVENTARIO[COD],INVENTARIO[DETALLE],"DETALLAR")</f>
        <v>PANTALON TALLA 8</v>
      </c>
      <c r="K36" s="35">
        <v>3</v>
      </c>
      <c r="L36" s="34" t="str">
        <f>_xlfn.XLOOKUP(ENTRADA[[#This Row],[COD]],INVENTARIO[COD],INVENTARIO[OBSERVACIONES])</f>
        <v xml:space="preserve">GENERAL ISTHO </v>
      </c>
      <c r="M36" s="39">
        <v>45615</v>
      </c>
      <c r="N36" s="49" t="s">
        <v>606</v>
      </c>
      <c r="O36" s="32" t="str">
        <f>_xlfn.XLOOKUP(SALIDA[[#This Row],[COD]],INVENTARIO[COD],INVENTARIO[DETALLE],"DETALLAR")</f>
        <v>POLO NEGRA  XL</v>
      </c>
      <c r="P36" s="33">
        <v>1</v>
      </c>
      <c r="Q36" s="32" t="s">
        <v>385</v>
      </c>
      <c r="AU36" s="335"/>
      <c r="AV36" s="193">
        <f>DCOUNTA(Activos[#All],Activos[[#Headers],[T.Pantalon ]],DOTACION!CE77:DN78)</f>
        <v>6</v>
      </c>
      <c r="AW36" s="167" t="s">
        <v>726</v>
      </c>
      <c r="AX36" s="36">
        <f t="shared" si="5"/>
        <v>12</v>
      </c>
      <c r="AY36" s="198">
        <v>18</v>
      </c>
      <c r="AZ36" s="208">
        <f t="shared" si="6"/>
        <v>30</v>
      </c>
      <c r="BA36" s="329" t="s">
        <v>727</v>
      </c>
      <c r="BB36" s="329"/>
      <c r="BC36" s="329"/>
      <c r="BD36" s="329"/>
      <c r="BE36" s="194">
        <f t="shared" si="4"/>
        <v>12</v>
      </c>
      <c r="BF36" s="302">
        <f>AV38</f>
        <v>3</v>
      </c>
      <c r="BG36" s="36"/>
      <c r="BH36" s="36"/>
      <c r="BI36" s="36"/>
      <c r="BJ36" s="36"/>
      <c r="BK36" s="36"/>
      <c r="BL36" s="36"/>
      <c r="BM36" s="36"/>
      <c r="BN36" s="36"/>
      <c r="BO36" s="36"/>
      <c r="BP36" s="36"/>
      <c r="BQ36" s="36"/>
      <c r="BR36" s="36"/>
      <c r="BS36" s="36"/>
      <c r="BT36" s="36"/>
      <c r="BU36" s="36"/>
      <c r="BV36" s="36"/>
      <c r="BW36" s="36"/>
      <c r="BX36" s="36"/>
      <c r="BY36" s="36"/>
      <c r="BZ36" s="36"/>
      <c r="CA36" s="36"/>
      <c r="CB36" s="36"/>
    </row>
    <row r="37" spans="1:118" ht="16" thickBot="1" x14ac:dyDescent="0.45">
      <c r="A37" s="166" t="s">
        <v>633</v>
      </c>
      <c r="B37" s="166" t="s">
        <v>728</v>
      </c>
      <c r="C37" s="35">
        <f>SUMIFS(ENTRADA[CANTIDAD],ENTRADA[COD],INVENTARIO[[#This Row],[COD]])</f>
        <v>8</v>
      </c>
      <c r="D37" s="34">
        <f>SUMIFS(SALIDA[CANTIDAD],SALIDA[COD],INVENTARIO[[#This Row],[COD]])</f>
        <v>6</v>
      </c>
      <c r="E37" s="33">
        <f>INVENTARIO[[#This Row],[ENTRADAS]]-INVENTARIO[[#This Row],[SALIDAS]]</f>
        <v>2</v>
      </c>
      <c r="F37" s="165" t="s">
        <v>722</v>
      </c>
      <c r="H37" s="38">
        <v>45675</v>
      </c>
      <c r="I37" s="31" t="s">
        <v>679</v>
      </c>
      <c r="J37" s="32" t="str">
        <f>_xlfn.XLOOKUP(ENTRADA[[#This Row],[COD]],INVENTARIO[COD],INVENTARIO[DETALLE],"DETALLAR")</f>
        <v>PANTALON TALLA 10</v>
      </c>
      <c r="K37" s="35">
        <v>9</v>
      </c>
      <c r="L37" s="34" t="str">
        <f>_xlfn.XLOOKUP(ENTRADA[[#This Row],[COD]],INVENTARIO[COD],INVENTARIO[OBSERVACIONES])</f>
        <v xml:space="preserve">GENERAL ISTHO </v>
      </c>
      <c r="M37" s="39">
        <v>45615</v>
      </c>
      <c r="N37" s="49" t="s">
        <v>592</v>
      </c>
      <c r="O37" s="32" t="str">
        <f>_xlfn.XLOOKUP(SALIDA[[#This Row],[COD]],INVENTARIO[COD],INVENTARIO[DETALLE],"DETALLAR")</f>
        <v>POLO NEGRA  M</v>
      </c>
      <c r="P37" s="33">
        <v>1</v>
      </c>
      <c r="Q37" s="32" t="s">
        <v>310</v>
      </c>
      <c r="AU37" s="335"/>
      <c r="AV37" s="193">
        <f>DCOUNTA(Activos[#All],Activos[[#Headers],[T.Pantalon ]],DOTACION!CE80:DN81)</f>
        <v>1</v>
      </c>
      <c r="AW37" s="167" t="s">
        <v>729</v>
      </c>
      <c r="AX37" s="36">
        <f t="shared" si="5"/>
        <v>2</v>
      </c>
      <c r="AY37" s="198">
        <v>10</v>
      </c>
      <c r="AZ37" s="208">
        <f t="shared" si="6"/>
        <v>12</v>
      </c>
      <c r="BA37" s="328" t="s">
        <v>1191</v>
      </c>
      <c r="BB37" s="329"/>
      <c r="BC37" s="329"/>
      <c r="BD37" s="329"/>
      <c r="BE37" s="194">
        <f t="shared" ref="BE37:BE43" si="7">AZ41</f>
        <v>6</v>
      </c>
      <c r="BF37" s="302">
        <f t="shared" ref="BF37:BF43" si="8">BE37-AV41</f>
        <v>4</v>
      </c>
      <c r="BG37" s="36"/>
      <c r="BH37" s="36"/>
      <c r="BI37" s="36"/>
      <c r="BJ37" s="36"/>
      <c r="BK37" s="36"/>
      <c r="BL37" s="36"/>
      <c r="BM37" s="36"/>
      <c r="BN37" s="36"/>
      <c r="BO37" s="36"/>
      <c r="BP37" s="36"/>
      <c r="BQ37" s="36"/>
      <c r="BR37" s="36"/>
      <c r="BS37" s="36"/>
      <c r="BT37" s="36"/>
      <c r="BU37" s="36"/>
      <c r="BV37" s="36"/>
      <c r="BW37" s="36"/>
      <c r="CE37" s="288" t="s">
        <v>13</v>
      </c>
      <c r="CF37" s="289" t="s">
        <v>165</v>
      </c>
      <c r="CG37" s="289" t="s">
        <v>166</v>
      </c>
      <c r="CH37" s="290" t="s">
        <v>167</v>
      </c>
      <c r="CI37" s="291" t="s">
        <v>168</v>
      </c>
      <c r="CJ37" s="290" t="s">
        <v>1</v>
      </c>
      <c r="CK37" s="290" t="s">
        <v>169</v>
      </c>
      <c r="CL37" s="289" t="s">
        <v>170</v>
      </c>
      <c r="CM37" s="290" t="s">
        <v>171</v>
      </c>
      <c r="CN37" s="290" t="s">
        <v>172</v>
      </c>
      <c r="CO37" s="290" t="s">
        <v>173</v>
      </c>
      <c r="CP37" s="291" t="s">
        <v>174</v>
      </c>
      <c r="CQ37" s="291" t="s">
        <v>175</v>
      </c>
      <c r="CR37" s="290" t="s">
        <v>176</v>
      </c>
      <c r="CS37" s="290" t="s">
        <v>177</v>
      </c>
      <c r="CT37" s="289" t="s">
        <v>2</v>
      </c>
      <c r="CU37" s="289" t="s">
        <v>178</v>
      </c>
      <c r="CV37" s="289" t="s">
        <v>179</v>
      </c>
      <c r="CW37" s="289" t="s">
        <v>180</v>
      </c>
      <c r="CX37" s="289" t="s">
        <v>181</v>
      </c>
      <c r="CY37" s="291" t="s">
        <v>182</v>
      </c>
      <c r="CZ37" s="291" t="s">
        <v>183</v>
      </c>
      <c r="DA37" s="290" t="s">
        <v>184</v>
      </c>
      <c r="DB37" s="290" t="s">
        <v>185</v>
      </c>
      <c r="DC37" s="290" t="s">
        <v>186</v>
      </c>
      <c r="DD37" s="290" t="s">
        <v>1070</v>
      </c>
      <c r="DE37" s="290" t="s">
        <v>1052</v>
      </c>
      <c r="DF37" s="292" t="s">
        <v>1067</v>
      </c>
      <c r="DG37" s="291" t="s">
        <v>1076</v>
      </c>
      <c r="DH37" s="290" t="s">
        <v>187</v>
      </c>
      <c r="DI37" s="290" t="s">
        <v>188</v>
      </c>
      <c r="DJ37" s="291" t="s">
        <v>189</v>
      </c>
      <c r="DK37" s="291" t="s">
        <v>190</v>
      </c>
      <c r="DL37" s="290" t="s">
        <v>191</v>
      </c>
      <c r="DM37" s="290" t="s">
        <v>1124</v>
      </c>
      <c r="DN37" s="293" t="s">
        <v>192</v>
      </c>
    </row>
    <row r="38" spans="1:118" x14ac:dyDescent="0.4">
      <c r="A38" s="166" t="s">
        <v>730</v>
      </c>
      <c r="B38" s="166" t="s">
        <v>731</v>
      </c>
      <c r="C38" s="35">
        <f>SUMIFS(ENTRADA[CANTIDAD],ENTRADA[COD],INVENTARIO[[#This Row],[COD]])</f>
        <v>4</v>
      </c>
      <c r="D38" s="34">
        <f>SUMIFS(SALIDA[CANTIDAD],SALIDA[COD],INVENTARIO[[#This Row],[COD]])</f>
        <v>0</v>
      </c>
      <c r="E38" s="33">
        <f>INVENTARIO[[#This Row],[ENTRADAS]]-INVENTARIO[[#This Row],[SALIDAS]]</f>
        <v>4</v>
      </c>
      <c r="F38" s="165" t="s">
        <v>722</v>
      </c>
      <c r="H38" s="38">
        <v>45675</v>
      </c>
      <c r="I38" s="31" t="s">
        <v>633</v>
      </c>
      <c r="J38" s="32" t="str">
        <f>_xlfn.XLOOKUP(ENTRADA[[#This Row],[COD]],INVENTARIO[COD],INVENTARIO[DETALLE],"DETALLAR")</f>
        <v>PANTALON TALLA 12</v>
      </c>
      <c r="K38" s="35">
        <v>8</v>
      </c>
      <c r="L38" s="34" t="str">
        <f>_xlfn.XLOOKUP(ENTRADA[[#This Row],[COD]],INVENTARIO[COD],INVENTARIO[OBSERVACIONES])</f>
        <v xml:space="preserve">GENERAL ISTHO </v>
      </c>
      <c r="M38" s="39">
        <v>45615</v>
      </c>
      <c r="N38" s="49" t="s">
        <v>584</v>
      </c>
      <c r="O38" s="32" t="str">
        <f>_xlfn.XLOOKUP(SALIDA[[#This Row],[COD]],INVENTARIO[COD],INVENTARIO[DETALLE],"DETALLAR")</f>
        <v>POLO NEGRA  (10)</v>
      </c>
      <c r="P38" s="33">
        <v>1</v>
      </c>
      <c r="Q38" s="32" t="s">
        <v>732</v>
      </c>
      <c r="AU38" s="335"/>
      <c r="AV38" s="193">
        <f>DCOUNTA(Activos[#All],Activos[[#Headers],[T.Pantalon ]],DOTACION!CE83:DN84)</f>
        <v>3</v>
      </c>
      <c r="AW38" s="167" t="s">
        <v>733</v>
      </c>
      <c r="AX38" s="36">
        <f t="shared" si="5"/>
        <v>6</v>
      </c>
      <c r="AY38" s="198">
        <v>6</v>
      </c>
      <c r="AZ38" s="208">
        <f t="shared" si="6"/>
        <v>12</v>
      </c>
      <c r="BA38" s="328" t="s">
        <v>1179</v>
      </c>
      <c r="BB38" s="329"/>
      <c r="BC38" s="329"/>
      <c r="BD38" s="329"/>
      <c r="BE38" s="194">
        <f t="shared" si="7"/>
        <v>15</v>
      </c>
      <c r="BF38" s="33">
        <f t="shared" si="8"/>
        <v>8</v>
      </c>
      <c r="BG38" s="36"/>
      <c r="BH38" s="36"/>
      <c r="BI38" s="36"/>
      <c r="BJ38" s="36"/>
      <c r="BK38" s="36"/>
      <c r="BL38" s="36"/>
      <c r="BM38" s="36"/>
      <c r="BN38" s="36"/>
      <c r="BO38" s="36"/>
      <c r="BP38" s="36"/>
      <c r="BQ38" s="36"/>
      <c r="BR38" s="36"/>
      <c r="BS38" s="36"/>
      <c r="BT38" s="36"/>
      <c r="BU38" s="36"/>
      <c r="BV38" s="36"/>
      <c r="BW38" s="36"/>
      <c r="CE38" s="281"/>
      <c r="CF38" s="282"/>
      <c r="CG38" s="281"/>
      <c r="CH38" s="283"/>
      <c r="CI38" s="284"/>
      <c r="CJ38" s="283"/>
      <c r="CK38" s="283"/>
      <c r="CL38" s="285"/>
      <c r="CM38" s="283"/>
      <c r="CN38" s="283"/>
      <c r="CO38" s="283"/>
      <c r="CP38" s="284"/>
      <c r="CQ38" s="284"/>
      <c r="CR38" s="283"/>
      <c r="CS38" s="283" t="s">
        <v>16</v>
      </c>
      <c r="CT38" s="281" t="s">
        <v>201</v>
      </c>
      <c r="CU38" s="281" t="s">
        <v>10</v>
      </c>
      <c r="CV38" s="281"/>
      <c r="CW38" s="281"/>
      <c r="CX38" s="282"/>
      <c r="CY38" s="286"/>
      <c r="CZ38" s="284"/>
      <c r="DA38" s="283"/>
      <c r="DB38" s="283"/>
      <c r="DC38" s="283"/>
      <c r="DD38" s="283"/>
      <c r="DE38" s="283"/>
      <c r="DF38" s="287"/>
      <c r="DG38" s="284"/>
      <c r="DH38" s="284"/>
      <c r="DI38" s="283"/>
      <c r="DJ38" s="284"/>
      <c r="DK38" s="284"/>
      <c r="DL38" s="283"/>
      <c r="DM38" s="284"/>
      <c r="DN38" s="284"/>
    </row>
    <row r="39" spans="1:118" ht="16" thickBot="1" x14ac:dyDescent="0.45">
      <c r="A39" s="166" t="s">
        <v>734</v>
      </c>
      <c r="B39" s="166" t="s">
        <v>735</v>
      </c>
      <c r="C39" s="35">
        <f>SUMIFS(ENTRADA[CANTIDAD],ENTRADA[COD],INVENTARIO[[#This Row],[COD]])</f>
        <v>3</v>
      </c>
      <c r="D39" s="34">
        <f>SUMIFS(SALIDA[CANTIDAD],SALIDA[COD],INVENTARIO[[#This Row],[COD]])</f>
        <v>0</v>
      </c>
      <c r="E39" s="33">
        <f>INVENTARIO[[#This Row],[ENTRADAS]]-INVENTARIO[[#This Row],[SALIDAS]]</f>
        <v>3</v>
      </c>
      <c r="F39" s="165" t="s">
        <v>722</v>
      </c>
      <c r="H39" s="38">
        <v>45675</v>
      </c>
      <c r="I39" s="31" t="s">
        <v>730</v>
      </c>
      <c r="J39" s="32" t="str">
        <f>_xlfn.XLOOKUP(ENTRADA[[#This Row],[COD]],INVENTARIO[COD],INVENTARIO[DETALLE],"DETALLAR")</f>
        <v>PANTALON TALLA 14</v>
      </c>
      <c r="K39" s="35">
        <v>4</v>
      </c>
      <c r="L39" s="34" t="str">
        <f>_xlfn.XLOOKUP(ENTRADA[[#This Row],[COD]],INVENTARIO[COD],INVENTARIO[OBSERVACIONES])</f>
        <v xml:space="preserve">GENERAL ISTHO </v>
      </c>
      <c r="M39" s="39">
        <v>45615</v>
      </c>
      <c r="N39" s="49" t="s">
        <v>627</v>
      </c>
      <c r="O39" s="32" t="str">
        <f>_xlfn.XLOOKUP(SALIDA[[#This Row],[COD]],INVENTARIO[COD],INVENTARIO[DETALLE],"DETALLAR")</f>
        <v>POLO BLANCA  M</v>
      </c>
      <c r="P39" s="33">
        <v>1</v>
      </c>
      <c r="Q39" s="32" t="s">
        <v>537</v>
      </c>
      <c r="AU39" s="335"/>
      <c r="AV39" s="201">
        <f>DCOUNTA(Activos[#All],Activos[[#Headers],[T.Pantalon ]],DOTACION!CE86:DN87)</f>
        <v>6</v>
      </c>
      <c r="AW39" s="294" t="s">
        <v>206</v>
      </c>
      <c r="AX39" s="206" t="str">
        <f>AW39</f>
        <v>N/A</v>
      </c>
      <c r="AY39" s="206"/>
      <c r="AZ39" s="208" t="e">
        <f t="shared" si="6"/>
        <v>#VALUE!</v>
      </c>
      <c r="BA39" s="328" t="s">
        <v>1180</v>
      </c>
      <c r="BB39" s="329"/>
      <c r="BC39" s="329"/>
      <c r="BD39" s="329"/>
      <c r="BE39" s="194">
        <f t="shared" si="7"/>
        <v>18</v>
      </c>
      <c r="BF39" s="35">
        <f t="shared" si="8"/>
        <v>9</v>
      </c>
      <c r="BG39" s="34"/>
      <c r="BH39" s="34"/>
      <c r="BI39" s="34"/>
      <c r="BJ39" s="34"/>
      <c r="BK39" s="34"/>
      <c r="BL39" s="34"/>
      <c r="BM39" s="34"/>
      <c r="BN39" s="34"/>
      <c r="BO39" s="34"/>
      <c r="BP39" s="34"/>
      <c r="BQ39" s="34"/>
      <c r="BR39" s="34"/>
      <c r="BS39" s="34"/>
      <c r="BT39" s="34"/>
      <c r="BU39" s="34"/>
      <c r="BV39" s="34"/>
      <c r="BW39" s="34"/>
    </row>
    <row r="40" spans="1:118" ht="16" thickBot="1" x14ac:dyDescent="0.45">
      <c r="A40" s="166" t="s">
        <v>656</v>
      </c>
      <c r="B40" s="166" t="s">
        <v>736</v>
      </c>
      <c r="C40" s="35">
        <f>SUMIFS(ENTRADA[CANTIDAD],ENTRADA[COD],INVENTARIO[[#This Row],[COD]])</f>
        <v>3</v>
      </c>
      <c r="D40" s="34">
        <f>SUMIFS(SALIDA[CANTIDAD],SALIDA[COD],INVENTARIO[[#This Row],[COD]])</f>
        <v>3</v>
      </c>
      <c r="E40" s="33">
        <f>INVENTARIO[[#This Row],[ENTRADAS]]-INVENTARIO[[#This Row],[SALIDAS]]</f>
        <v>0</v>
      </c>
      <c r="F40" s="165" t="s">
        <v>722</v>
      </c>
      <c r="H40" s="38">
        <v>45675</v>
      </c>
      <c r="I40" s="31" t="s">
        <v>734</v>
      </c>
      <c r="J40" s="32" t="str">
        <f>_xlfn.XLOOKUP(ENTRADA[[#This Row],[COD]],INVENTARIO[COD],INVENTARIO[DETALLE],"DETALLAR")</f>
        <v>PANTALON TALLA 18</v>
      </c>
      <c r="K40" s="35">
        <v>3</v>
      </c>
      <c r="L40" s="34" t="str">
        <f>_xlfn.XLOOKUP(ENTRADA[[#This Row],[COD]],INVENTARIO[COD],INVENTARIO[OBSERVACIONES])</f>
        <v xml:space="preserve">GENERAL ISTHO </v>
      </c>
      <c r="M40" s="39">
        <v>45615</v>
      </c>
      <c r="N40" s="49" t="s">
        <v>641</v>
      </c>
      <c r="O40" s="32" t="str">
        <f>_xlfn.XLOOKUP(SALIDA[[#This Row],[COD]],INVENTARIO[COD],INVENTARIO[DETALLE],"DETALLAR")</f>
        <v>PANTALON TALLA 32</v>
      </c>
      <c r="P40" s="33">
        <v>1</v>
      </c>
      <c r="Q40" s="32" t="s">
        <v>537</v>
      </c>
      <c r="AU40" s="299"/>
      <c r="AV40" s="213" t="s">
        <v>1186</v>
      </c>
      <c r="AW40" s="212">
        <f>SUM(AV41:AV48)</f>
        <v>73</v>
      </c>
      <c r="AX40" s="51"/>
      <c r="AY40" s="51"/>
      <c r="AZ40" s="51"/>
      <c r="BA40" s="328" t="s">
        <v>1181</v>
      </c>
      <c r="BB40" s="329"/>
      <c r="BC40" s="329"/>
      <c r="BD40" s="329"/>
      <c r="BE40" s="194">
        <f t="shared" si="7"/>
        <v>30</v>
      </c>
      <c r="BF40" s="35">
        <f t="shared" si="8"/>
        <v>12</v>
      </c>
      <c r="CE40" s="288" t="s">
        <v>13</v>
      </c>
      <c r="CF40" s="289" t="s">
        <v>165</v>
      </c>
      <c r="CG40" s="289" t="s">
        <v>166</v>
      </c>
      <c r="CH40" s="290" t="s">
        <v>167</v>
      </c>
      <c r="CI40" s="291" t="s">
        <v>168</v>
      </c>
      <c r="CJ40" s="290" t="s">
        <v>1</v>
      </c>
      <c r="CK40" s="290" t="s">
        <v>169</v>
      </c>
      <c r="CL40" s="289" t="s">
        <v>170</v>
      </c>
      <c r="CM40" s="290" t="s">
        <v>171</v>
      </c>
      <c r="CN40" s="290" t="s">
        <v>172</v>
      </c>
      <c r="CO40" s="290" t="s">
        <v>173</v>
      </c>
      <c r="CP40" s="291" t="s">
        <v>174</v>
      </c>
      <c r="CQ40" s="291" t="s">
        <v>175</v>
      </c>
      <c r="CR40" s="290" t="s">
        <v>176</v>
      </c>
      <c r="CS40" s="290" t="s">
        <v>177</v>
      </c>
      <c r="CT40" s="289" t="s">
        <v>2</v>
      </c>
      <c r="CU40" s="289" t="s">
        <v>178</v>
      </c>
      <c r="CV40" s="289" t="s">
        <v>179</v>
      </c>
      <c r="CW40" s="289" t="s">
        <v>180</v>
      </c>
      <c r="CX40" s="289" t="s">
        <v>181</v>
      </c>
      <c r="CY40" s="291" t="s">
        <v>182</v>
      </c>
      <c r="CZ40" s="291" t="s">
        <v>183</v>
      </c>
      <c r="DA40" s="290" t="s">
        <v>184</v>
      </c>
      <c r="DB40" s="290" t="s">
        <v>185</v>
      </c>
      <c r="DC40" s="290" t="s">
        <v>186</v>
      </c>
      <c r="DD40" s="290" t="s">
        <v>1070</v>
      </c>
      <c r="DE40" s="290" t="s">
        <v>1052</v>
      </c>
      <c r="DF40" s="292" t="s">
        <v>1067</v>
      </c>
      <c r="DG40" s="291" t="s">
        <v>1076</v>
      </c>
      <c r="DH40" s="290" t="s">
        <v>187</v>
      </c>
      <c r="DI40" s="290" t="s">
        <v>188</v>
      </c>
      <c r="DJ40" s="291" t="s">
        <v>189</v>
      </c>
      <c r="DK40" s="291" t="s">
        <v>190</v>
      </c>
      <c r="DL40" s="290" t="s">
        <v>191</v>
      </c>
      <c r="DM40" s="290" t="s">
        <v>1124</v>
      </c>
      <c r="DN40" s="293" t="s">
        <v>192</v>
      </c>
    </row>
    <row r="41" spans="1:118" x14ac:dyDescent="0.4">
      <c r="A41" s="166" t="s">
        <v>737</v>
      </c>
      <c r="B41" s="166" t="s">
        <v>738</v>
      </c>
      <c r="C41" s="35">
        <f>SUMIFS(ENTRADA[CANTIDAD],ENTRADA[COD],INVENTARIO[[#This Row],[COD]])</f>
        <v>9</v>
      </c>
      <c r="D41" s="34">
        <f>SUMIFS(SALIDA[CANTIDAD],SALIDA[COD],INVENTARIO[[#This Row],[COD]])</f>
        <v>8</v>
      </c>
      <c r="E41" s="33">
        <f>INVENTARIO[[#This Row],[ENTRADAS]]-INVENTARIO[[#This Row],[SALIDAS]]</f>
        <v>1</v>
      </c>
      <c r="F41" s="165" t="s">
        <v>722</v>
      </c>
      <c r="H41" s="38">
        <v>45675</v>
      </c>
      <c r="I41" s="31" t="s">
        <v>656</v>
      </c>
      <c r="J41" s="32" t="str">
        <f>_xlfn.XLOOKUP(ENTRADA[[#This Row],[COD]],INVENTARIO[COD],INVENTARIO[DETALLE],"DETALLAR")</f>
        <v>PANTALON TALLA 28</v>
      </c>
      <c r="K41" s="35">
        <v>3</v>
      </c>
      <c r="L41" s="34" t="str">
        <f>_xlfn.XLOOKUP(ENTRADA[[#This Row],[COD]],INVENTARIO[COD],INVENTARIO[OBSERVACIONES])</f>
        <v xml:space="preserve">GENERAL ISTHO </v>
      </c>
      <c r="M41" s="39">
        <v>45615</v>
      </c>
      <c r="N41" s="49" t="s">
        <v>616</v>
      </c>
      <c r="O41" s="32" t="str">
        <f>_xlfn.XLOOKUP(SALIDA[[#This Row],[COD]],INVENTARIO[COD],INVENTARIO[DETALLE],"DETALLAR")</f>
        <v>POLO BLANCA  (8)</v>
      </c>
      <c r="P41" s="33">
        <v>1</v>
      </c>
      <c r="Q41" s="32" t="s">
        <v>739</v>
      </c>
      <c r="AU41" s="299"/>
      <c r="AV41" s="193">
        <f>DCOUNTA(Activos[#All],Activos[[#Headers],[T.Botas]],CE90:DN91)</f>
        <v>2</v>
      </c>
      <c r="AW41" s="32" t="s">
        <v>726</v>
      </c>
      <c r="AX41" s="33">
        <f>(AV41)</f>
        <v>2</v>
      </c>
      <c r="AY41" s="198">
        <v>4</v>
      </c>
      <c r="AZ41" s="208">
        <f t="shared" si="6"/>
        <v>6</v>
      </c>
      <c r="BA41" s="328" t="s">
        <v>1182</v>
      </c>
      <c r="BB41" s="329"/>
      <c r="BC41" s="329"/>
      <c r="BD41" s="329"/>
      <c r="BE41" s="194">
        <f t="shared" si="7"/>
        <v>26</v>
      </c>
      <c r="BF41" s="35">
        <f t="shared" si="8"/>
        <v>13</v>
      </c>
      <c r="CE41" s="281"/>
      <c r="CF41" s="282"/>
      <c r="CG41" s="281"/>
      <c r="CH41" s="283"/>
      <c r="CI41" s="284"/>
      <c r="CJ41" s="283"/>
      <c r="CK41" s="283"/>
      <c r="CL41" s="285"/>
      <c r="CM41" s="283"/>
      <c r="CN41" s="283"/>
      <c r="CO41" s="283"/>
      <c r="CP41" s="284"/>
      <c r="CQ41" s="284"/>
      <c r="CR41" s="283"/>
      <c r="CS41" s="283" t="s">
        <v>16</v>
      </c>
      <c r="CT41" s="281" t="s">
        <v>201</v>
      </c>
      <c r="CU41" s="281" t="s">
        <v>214</v>
      </c>
      <c r="CV41" s="281"/>
      <c r="CW41" s="281"/>
      <c r="CX41" s="282"/>
      <c r="CY41" s="286"/>
      <c r="CZ41" s="284"/>
      <c r="DA41" s="283"/>
      <c r="DB41" s="283"/>
      <c r="DC41" s="283"/>
      <c r="DD41" s="283"/>
      <c r="DE41" s="283"/>
      <c r="DF41" s="287"/>
      <c r="DG41" s="284"/>
      <c r="DH41" s="284"/>
      <c r="DI41" s="283"/>
      <c r="DJ41" s="284"/>
      <c r="DK41" s="284"/>
      <c r="DL41" s="283"/>
      <c r="DM41" s="284"/>
      <c r="DN41" s="284"/>
    </row>
    <row r="42" spans="1:118" ht="16" thickBot="1" x14ac:dyDescent="0.45">
      <c r="A42" s="166" t="s">
        <v>641</v>
      </c>
      <c r="B42" s="166" t="s">
        <v>740</v>
      </c>
      <c r="C42" s="35">
        <f>SUMIFS(ENTRADA[CANTIDAD],ENTRADA[COD],INVENTARIO[[#This Row],[COD]])</f>
        <v>24</v>
      </c>
      <c r="D42" s="34">
        <f>SUMIFS(SALIDA[CANTIDAD],SALIDA[COD],INVENTARIO[[#This Row],[COD]])</f>
        <v>20</v>
      </c>
      <c r="E42" s="33">
        <f>INVENTARIO[[#This Row],[ENTRADAS]]-INVENTARIO[[#This Row],[SALIDAS]]</f>
        <v>4</v>
      </c>
      <c r="F42" s="165" t="s">
        <v>722</v>
      </c>
      <c r="H42" s="38">
        <v>45675</v>
      </c>
      <c r="I42" s="31" t="s">
        <v>737</v>
      </c>
      <c r="J42" s="32" t="str">
        <f>_xlfn.XLOOKUP(ENTRADA[[#This Row],[COD]],INVENTARIO[COD],INVENTARIO[DETALLE],"DETALLAR")</f>
        <v>PANTALON TALLA 30</v>
      </c>
      <c r="K42" s="35">
        <v>9</v>
      </c>
      <c r="L42" s="34" t="str">
        <f>_xlfn.XLOOKUP(ENTRADA[[#This Row],[COD]],INVENTARIO[COD],INVENTARIO[OBSERVACIONES])</f>
        <v xml:space="preserve">GENERAL ISTHO </v>
      </c>
      <c r="M42" s="39">
        <v>45615</v>
      </c>
      <c r="N42" s="49" t="s">
        <v>618</v>
      </c>
      <c r="O42" s="32" t="str">
        <f>_xlfn.XLOOKUP(SALIDA[[#This Row],[COD]],INVENTARIO[COD],INVENTARIO[DETALLE],"DETALLAR")</f>
        <v>PANTALON TALLA 8</v>
      </c>
      <c r="P42" s="33">
        <v>1</v>
      </c>
      <c r="Q42" s="32" t="s">
        <v>739</v>
      </c>
      <c r="AU42" s="299"/>
      <c r="AV42" s="193">
        <f>DCOUNTA(Activos[#All],Activos[[#Headers],[T.Botas]],DOTACION!CE93:DN94)</f>
        <v>7</v>
      </c>
      <c r="AW42" s="32" t="s">
        <v>729</v>
      </c>
      <c r="AX42" s="33">
        <f t="shared" ref="AX42:AX48" si="9">(AV42)</f>
        <v>7</v>
      </c>
      <c r="AY42" s="198">
        <v>8</v>
      </c>
      <c r="AZ42" s="208">
        <f t="shared" si="6"/>
        <v>15</v>
      </c>
      <c r="BA42" s="328" t="s">
        <v>1183</v>
      </c>
      <c r="BB42" s="329"/>
      <c r="BC42" s="329"/>
      <c r="BD42" s="329"/>
      <c r="BE42" s="194">
        <f t="shared" si="7"/>
        <v>15</v>
      </c>
      <c r="BF42" s="35">
        <f t="shared" si="8"/>
        <v>8</v>
      </c>
    </row>
    <row r="43" spans="1:118" ht="16" thickBot="1" x14ac:dyDescent="0.45">
      <c r="A43" s="166" t="s">
        <v>608</v>
      </c>
      <c r="B43" s="166" t="s">
        <v>741</v>
      </c>
      <c r="C43" s="35">
        <f>SUMIFS(ENTRADA[CANTIDAD],ENTRADA[COD],INVENTARIO[[#This Row],[COD]])</f>
        <v>32</v>
      </c>
      <c r="D43" s="34">
        <f>SUMIFS(SALIDA[CANTIDAD],SALIDA[COD],INVENTARIO[[#This Row],[COD]])</f>
        <v>27</v>
      </c>
      <c r="E43" s="33">
        <f>INVENTARIO[[#This Row],[ENTRADAS]]-INVENTARIO[[#This Row],[SALIDAS]]</f>
        <v>5</v>
      </c>
      <c r="F43" s="165" t="s">
        <v>722</v>
      </c>
      <c r="H43" s="38">
        <v>45675</v>
      </c>
      <c r="I43" s="31" t="s">
        <v>641</v>
      </c>
      <c r="J43" s="32" t="str">
        <f>_xlfn.XLOOKUP(ENTRADA[[#This Row],[COD]],INVENTARIO[COD],INVENTARIO[DETALLE],"DETALLAR")</f>
        <v>PANTALON TALLA 32</v>
      </c>
      <c r="K43" s="35">
        <v>12</v>
      </c>
      <c r="L43" s="34" t="str">
        <f>_xlfn.XLOOKUP(ENTRADA[[#This Row],[COD]],INVENTARIO[COD],INVENTARIO[OBSERVACIONES])</f>
        <v xml:space="preserve">GENERAL ISTHO </v>
      </c>
      <c r="M43" s="39">
        <v>45615</v>
      </c>
      <c r="N43" s="49" t="s">
        <v>601</v>
      </c>
      <c r="O43" s="32" t="str">
        <f>_xlfn.XLOOKUP(SALIDA[[#This Row],[COD]],INVENTARIO[COD],INVENTARIO[DETALLE],"DETALLAR")</f>
        <v>POLO NEGRA  L</v>
      </c>
      <c r="P43" s="33">
        <v>1</v>
      </c>
      <c r="Q43" s="32" t="s">
        <v>525</v>
      </c>
      <c r="AU43" s="299"/>
      <c r="AV43" s="193">
        <f>DCOUNTA(Activos[#All],Activos[[#Headers],[T.Botas]],DOTACION!CE96:DN97)</f>
        <v>9</v>
      </c>
      <c r="AW43" s="32" t="s">
        <v>1187</v>
      </c>
      <c r="AX43" s="33">
        <f t="shared" si="9"/>
        <v>9</v>
      </c>
      <c r="AY43" s="198">
        <v>9</v>
      </c>
      <c r="AZ43" s="208">
        <f t="shared" si="6"/>
        <v>18</v>
      </c>
      <c r="BA43" s="328" t="s">
        <v>1184</v>
      </c>
      <c r="BB43" s="329"/>
      <c r="BC43" s="329"/>
      <c r="BD43" s="329"/>
      <c r="BE43" s="194">
        <f t="shared" si="7"/>
        <v>11</v>
      </c>
      <c r="BF43" s="35">
        <f t="shared" si="8"/>
        <v>6</v>
      </c>
      <c r="CE43" s="288" t="s">
        <v>13</v>
      </c>
      <c r="CF43" s="289" t="s">
        <v>165</v>
      </c>
      <c r="CG43" s="289" t="s">
        <v>166</v>
      </c>
      <c r="CH43" s="290" t="s">
        <v>167</v>
      </c>
      <c r="CI43" s="291" t="s">
        <v>168</v>
      </c>
      <c r="CJ43" s="290" t="s">
        <v>1</v>
      </c>
      <c r="CK43" s="290" t="s">
        <v>169</v>
      </c>
      <c r="CL43" s="289" t="s">
        <v>170</v>
      </c>
      <c r="CM43" s="290" t="s">
        <v>171</v>
      </c>
      <c r="CN43" s="290" t="s">
        <v>172</v>
      </c>
      <c r="CO43" s="290" t="s">
        <v>173</v>
      </c>
      <c r="CP43" s="291" t="s">
        <v>174</v>
      </c>
      <c r="CQ43" s="291" t="s">
        <v>175</v>
      </c>
      <c r="CR43" s="290" t="s">
        <v>176</v>
      </c>
      <c r="CS43" s="290" t="s">
        <v>177</v>
      </c>
      <c r="CT43" s="289" t="s">
        <v>2</v>
      </c>
      <c r="CU43" s="289" t="s">
        <v>178</v>
      </c>
      <c r="CV43" s="289" t="s">
        <v>179</v>
      </c>
      <c r="CW43" s="289" t="s">
        <v>180</v>
      </c>
      <c r="CX43" s="289" t="s">
        <v>181</v>
      </c>
      <c r="CY43" s="291" t="s">
        <v>182</v>
      </c>
      <c r="CZ43" s="291" t="s">
        <v>183</v>
      </c>
      <c r="DA43" s="290" t="s">
        <v>184</v>
      </c>
      <c r="DB43" s="290" t="s">
        <v>185</v>
      </c>
      <c r="DC43" s="290" t="s">
        <v>186</v>
      </c>
      <c r="DD43" s="290" t="s">
        <v>1070</v>
      </c>
      <c r="DE43" s="290" t="s">
        <v>1052</v>
      </c>
      <c r="DF43" s="292" t="s">
        <v>1067</v>
      </c>
      <c r="DG43" s="291" t="s">
        <v>1076</v>
      </c>
      <c r="DH43" s="290" t="s">
        <v>187</v>
      </c>
      <c r="DI43" s="290" t="s">
        <v>188</v>
      </c>
      <c r="DJ43" s="291" t="s">
        <v>189</v>
      </c>
      <c r="DK43" s="291" t="s">
        <v>190</v>
      </c>
      <c r="DL43" s="290" t="s">
        <v>191</v>
      </c>
      <c r="DM43" s="290" t="s">
        <v>1124</v>
      </c>
      <c r="DN43" s="293" t="s">
        <v>192</v>
      </c>
    </row>
    <row r="44" spans="1:118" x14ac:dyDescent="0.4">
      <c r="A44" s="166" t="s">
        <v>688</v>
      </c>
      <c r="B44" s="166" t="s">
        <v>742</v>
      </c>
      <c r="C44" s="35">
        <f>SUMIFS(ENTRADA[CANTIDAD],ENTRADA[COD],INVENTARIO[[#This Row],[COD]])</f>
        <v>16</v>
      </c>
      <c r="D44" s="34">
        <f>SUMIFS(SALIDA[CANTIDAD],SALIDA[COD],INVENTARIO[[#This Row],[COD]])</f>
        <v>13</v>
      </c>
      <c r="E44" s="33">
        <f>INVENTARIO[[#This Row],[ENTRADAS]]-INVENTARIO[[#This Row],[SALIDAS]]</f>
        <v>3</v>
      </c>
      <c r="F44" s="165" t="s">
        <v>722</v>
      </c>
      <c r="H44" s="38">
        <v>45675</v>
      </c>
      <c r="I44" s="31" t="s">
        <v>608</v>
      </c>
      <c r="J44" s="32" t="str">
        <f>_xlfn.XLOOKUP(ENTRADA[[#This Row],[COD]],INVENTARIO[COD],INVENTARIO[DETALLE],"DETALLAR")</f>
        <v>PANTALON TALLA 34</v>
      </c>
      <c r="K44" s="35">
        <v>17</v>
      </c>
      <c r="L44" s="34" t="str">
        <f>_xlfn.XLOOKUP(ENTRADA[[#This Row],[COD]],INVENTARIO[COD],INVENTARIO[OBSERVACIONES])</f>
        <v xml:space="preserve">GENERAL ISTHO </v>
      </c>
      <c r="M44" s="39">
        <v>45615</v>
      </c>
      <c r="N44" s="49" t="s">
        <v>641</v>
      </c>
      <c r="O44" s="32" t="str">
        <f>_xlfn.XLOOKUP(SALIDA[[#This Row],[COD]],INVENTARIO[COD],INVENTARIO[DETALLE],"DETALLAR")</f>
        <v>PANTALON TALLA 32</v>
      </c>
      <c r="P44" s="33">
        <v>1</v>
      </c>
      <c r="Q44" s="32" t="s">
        <v>525</v>
      </c>
      <c r="AU44" s="299"/>
      <c r="AV44" s="193">
        <f>DCOUNTA(Activos[#All],Activos[[#Headers],[T.Botas]],DOTACION!CE99:DN100)</f>
        <v>18</v>
      </c>
      <c r="AW44" s="32" t="s">
        <v>733</v>
      </c>
      <c r="AX44" s="33">
        <f t="shared" si="9"/>
        <v>18</v>
      </c>
      <c r="AY44" s="198">
        <v>12</v>
      </c>
      <c r="AZ44" s="208">
        <f t="shared" si="6"/>
        <v>30</v>
      </c>
      <c r="CE44" s="281"/>
      <c r="CF44" s="282"/>
      <c r="CG44" s="281"/>
      <c r="CH44" s="283"/>
      <c r="CI44" s="284"/>
      <c r="CJ44" s="283"/>
      <c r="CK44" s="283"/>
      <c r="CL44" s="285"/>
      <c r="CM44" s="283"/>
      <c r="CN44" s="283"/>
      <c r="CO44" s="283"/>
      <c r="CP44" s="284"/>
      <c r="CQ44" s="284"/>
      <c r="CR44" s="283"/>
      <c r="CS44" s="283" t="s">
        <v>16</v>
      </c>
      <c r="CT44" s="281" t="s">
        <v>201</v>
      </c>
      <c r="CU44" s="281" t="s">
        <v>236</v>
      </c>
      <c r="CV44" s="281"/>
      <c r="CW44" s="281"/>
      <c r="CX44" s="282"/>
      <c r="CY44" s="286"/>
      <c r="CZ44" s="284"/>
      <c r="DA44" s="283"/>
      <c r="DB44" s="283"/>
      <c r="DC44" s="283"/>
      <c r="DD44" s="283"/>
      <c r="DE44" s="283"/>
      <c r="DF44" s="287"/>
      <c r="DG44" s="284"/>
      <c r="DH44" s="284"/>
      <c r="DI44" s="283"/>
      <c r="DJ44" s="284"/>
      <c r="DK44" s="284"/>
      <c r="DL44" s="283"/>
      <c r="DM44" s="284"/>
      <c r="DN44" s="284"/>
    </row>
    <row r="45" spans="1:118" ht="16" thickBot="1" x14ac:dyDescent="0.45">
      <c r="A45" s="166" t="s">
        <v>743</v>
      </c>
      <c r="B45" s="166" t="s">
        <v>744</v>
      </c>
      <c r="C45" s="35">
        <f>SUMIFS(ENTRADA[CANTIDAD],ENTRADA[COD],INVENTARIO[[#This Row],[COD]])</f>
        <v>20</v>
      </c>
      <c r="D45" s="34">
        <f>SUMIFS(SALIDA[CANTIDAD],SALIDA[COD],INVENTARIO[[#This Row],[COD]])</f>
        <v>3</v>
      </c>
      <c r="E45" s="33">
        <f>INVENTARIO[[#This Row],[ENTRADAS]]-INVENTARIO[[#This Row],[SALIDAS]]</f>
        <v>17</v>
      </c>
      <c r="F45" s="165" t="s">
        <v>722</v>
      </c>
      <c r="H45" s="38">
        <v>45675</v>
      </c>
      <c r="I45" s="32" t="s">
        <v>688</v>
      </c>
      <c r="J45" s="32" t="str">
        <f>_xlfn.XLOOKUP(ENTRADA[[#This Row],[COD]],INVENTARIO[COD],INVENTARIO[DETALLE],"DETALLAR")</f>
        <v>PANTALON TALLA 36</v>
      </c>
      <c r="K45" s="35">
        <v>11</v>
      </c>
      <c r="L45" s="34" t="str">
        <f>_xlfn.XLOOKUP(ENTRADA[[#This Row],[COD]],INVENTARIO[COD],INVENTARIO[OBSERVACIONES])</f>
        <v xml:space="preserve">GENERAL ISTHO </v>
      </c>
      <c r="M45" s="39">
        <v>45615</v>
      </c>
      <c r="N45" s="49" t="s">
        <v>606</v>
      </c>
      <c r="O45" s="32" t="str">
        <f>_xlfn.XLOOKUP(SALIDA[[#This Row],[COD]],INVENTARIO[COD],INVENTARIO[DETALLE],"DETALLAR")</f>
        <v>POLO NEGRA  XL</v>
      </c>
      <c r="P45" s="33">
        <v>1</v>
      </c>
      <c r="Q45" s="32" t="s">
        <v>745</v>
      </c>
      <c r="AU45" s="299"/>
      <c r="AV45" s="193">
        <f>DCOUNTA(Activos[#All],Activos[[#Headers],[T.Botas]],DOTACION!CE102:DN103)</f>
        <v>13</v>
      </c>
      <c r="AW45" s="32" t="s">
        <v>1188</v>
      </c>
      <c r="AX45" s="33">
        <f t="shared" si="9"/>
        <v>13</v>
      </c>
      <c r="AY45" s="198">
        <v>13</v>
      </c>
      <c r="AZ45" s="208">
        <f t="shared" si="6"/>
        <v>26</v>
      </c>
    </row>
    <row r="46" spans="1:118" ht="16" thickBot="1" x14ac:dyDescent="0.45">
      <c r="A46" s="166" t="s">
        <v>713</v>
      </c>
      <c r="B46" s="166" t="s">
        <v>746</v>
      </c>
      <c r="C46" s="35">
        <f>SUMIFS(ENTRADA[CANTIDAD],ENTRADA[COD],INVENTARIO[[#This Row],[COD]])</f>
        <v>5</v>
      </c>
      <c r="D46" s="34">
        <f>SUMIFS(SALIDA[CANTIDAD],SALIDA[COD],INVENTARIO[[#This Row],[COD]])</f>
        <v>3</v>
      </c>
      <c r="E46" s="33">
        <f>INVENTARIO[[#This Row],[ENTRADAS]]-INVENTARIO[[#This Row],[SALIDAS]]</f>
        <v>2</v>
      </c>
      <c r="F46" s="165" t="s">
        <v>722</v>
      </c>
      <c r="H46" s="38">
        <v>45675</v>
      </c>
      <c r="I46" s="31" t="s">
        <v>743</v>
      </c>
      <c r="J46" s="32" t="str">
        <f>_xlfn.XLOOKUP(ENTRADA[[#This Row],[COD]],INVENTARIO[COD],INVENTARIO[DETALLE],"DETALLAR")</f>
        <v>PANTALON TALLA 38</v>
      </c>
      <c r="K46" s="35">
        <v>20</v>
      </c>
      <c r="L46" s="34" t="str">
        <f>_xlfn.XLOOKUP(ENTRADA[[#This Row],[COD]],INVENTARIO[COD],INVENTARIO[OBSERVACIONES])</f>
        <v xml:space="preserve">GENERAL ISTHO </v>
      </c>
      <c r="M46" s="39">
        <v>45615</v>
      </c>
      <c r="N46" s="49" t="s">
        <v>688</v>
      </c>
      <c r="O46" s="32" t="str">
        <f>_xlfn.XLOOKUP(SALIDA[[#This Row],[COD]],INVENTARIO[COD],INVENTARIO[DETALLE],"DETALLAR")</f>
        <v>PANTALON TALLA 36</v>
      </c>
      <c r="P46" s="33">
        <v>2</v>
      </c>
      <c r="Q46" s="32" t="s">
        <v>745</v>
      </c>
      <c r="AU46" s="299"/>
      <c r="AV46" s="193">
        <f>DCOUNTA(Activos[#All],Activos[[#Headers],[T.Botas]],DOTACION!CE105:DN106)</f>
        <v>7</v>
      </c>
      <c r="AW46" s="32" t="s">
        <v>1189</v>
      </c>
      <c r="AX46" s="33">
        <f t="shared" si="9"/>
        <v>7</v>
      </c>
      <c r="AY46" s="198">
        <v>8</v>
      </c>
      <c r="AZ46" s="208">
        <f t="shared" si="6"/>
        <v>15</v>
      </c>
      <c r="CE46" s="288" t="s">
        <v>13</v>
      </c>
      <c r="CF46" s="289" t="s">
        <v>165</v>
      </c>
      <c r="CG46" s="289" t="s">
        <v>166</v>
      </c>
      <c r="CH46" s="290" t="s">
        <v>167</v>
      </c>
      <c r="CI46" s="291" t="s">
        <v>168</v>
      </c>
      <c r="CJ46" s="290" t="s">
        <v>1</v>
      </c>
      <c r="CK46" s="290" t="s">
        <v>169</v>
      </c>
      <c r="CL46" s="289" t="s">
        <v>170</v>
      </c>
      <c r="CM46" s="290" t="s">
        <v>171</v>
      </c>
      <c r="CN46" s="290" t="s">
        <v>172</v>
      </c>
      <c r="CO46" s="290" t="s">
        <v>173</v>
      </c>
      <c r="CP46" s="291" t="s">
        <v>174</v>
      </c>
      <c r="CQ46" s="291" t="s">
        <v>175</v>
      </c>
      <c r="CR46" s="290" t="s">
        <v>176</v>
      </c>
      <c r="CS46" s="290" t="s">
        <v>177</v>
      </c>
      <c r="CT46" s="289" t="s">
        <v>2</v>
      </c>
      <c r="CU46" s="289" t="s">
        <v>178</v>
      </c>
      <c r="CV46" s="289" t="s">
        <v>179</v>
      </c>
      <c r="CW46" s="289" t="s">
        <v>180</v>
      </c>
      <c r="CX46" s="289" t="s">
        <v>181</v>
      </c>
      <c r="CY46" s="291" t="s">
        <v>182</v>
      </c>
      <c r="CZ46" s="291" t="s">
        <v>183</v>
      </c>
      <c r="DA46" s="290" t="s">
        <v>184</v>
      </c>
      <c r="DB46" s="290" t="s">
        <v>185</v>
      </c>
      <c r="DC46" s="290" t="s">
        <v>186</v>
      </c>
      <c r="DD46" s="290" t="s">
        <v>1070</v>
      </c>
      <c r="DE46" s="290" t="s">
        <v>1052</v>
      </c>
      <c r="DF46" s="292" t="s">
        <v>1067</v>
      </c>
      <c r="DG46" s="291" t="s">
        <v>1076</v>
      </c>
      <c r="DH46" s="290" t="s">
        <v>187</v>
      </c>
      <c r="DI46" s="290" t="s">
        <v>188</v>
      </c>
      <c r="DJ46" s="291" t="s">
        <v>189</v>
      </c>
      <c r="DK46" s="291" t="s">
        <v>190</v>
      </c>
      <c r="DL46" s="290" t="s">
        <v>191</v>
      </c>
      <c r="DM46" s="290" t="s">
        <v>1124</v>
      </c>
      <c r="DN46" s="293" t="s">
        <v>192</v>
      </c>
    </row>
    <row r="47" spans="1:118" x14ac:dyDescent="0.4">
      <c r="A47" s="166" t="s">
        <v>747</v>
      </c>
      <c r="B47" s="166" t="s">
        <v>748</v>
      </c>
      <c r="C47" s="35">
        <f>SUMIFS(ENTRADA[CANTIDAD],ENTRADA[COD],INVENTARIO[[#This Row],[COD]])</f>
        <v>2</v>
      </c>
      <c r="D47" s="34">
        <f>SUMIFS(SALIDA[CANTIDAD],SALIDA[COD],INVENTARIO[[#This Row],[COD]])</f>
        <v>0</v>
      </c>
      <c r="E47" s="33">
        <f>INVENTARIO[[#This Row],[ENTRADAS]]-INVENTARIO[[#This Row],[SALIDAS]]</f>
        <v>2</v>
      </c>
      <c r="F47" s="165" t="s">
        <v>229</v>
      </c>
      <c r="H47" s="38">
        <v>45675</v>
      </c>
      <c r="I47" s="31" t="s">
        <v>713</v>
      </c>
      <c r="J47" s="32" t="str">
        <f>_xlfn.XLOOKUP(ENTRADA[[#This Row],[COD]],INVENTARIO[COD],INVENTARIO[DETALLE],"DETALLAR")</f>
        <v>PANTALON TALLA 40</v>
      </c>
      <c r="K47" s="35">
        <v>5</v>
      </c>
      <c r="L47" s="34" t="str">
        <f>_xlfn.XLOOKUP(ENTRADA[[#This Row],[COD]],INVENTARIO[COD],INVENTARIO[OBSERVACIONES])</f>
        <v xml:space="preserve">GENERAL ISTHO </v>
      </c>
      <c r="M47" s="39">
        <v>45615</v>
      </c>
      <c r="N47" s="49" t="s">
        <v>601</v>
      </c>
      <c r="O47" s="32" t="str">
        <f>_xlfn.XLOOKUP(SALIDA[[#This Row],[COD]],INVENTARIO[COD],INVENTARIO[DETALLE],"DETALLAR")</f>
        <v>POLO NEGRA  L</v>
      </c>
      <c r="P47" s="33">
        <v>1</v>
      </c>
      <c r="Q47" s="32" t="s">
        <v>749</v>
      </c>
      <c r="AU47" s="299"/>
      <c r="AV47" s="193">
        <f>DCOUNTA(Activos[#All],Activos[[#Headers],[T.Botas]],DOTACION!CE108:DN109)</f>
        <v>5</v>
      </c>
      <c r="AW47" s="32" t="s">
        <v>1190</v>
      </c>
      <c r="AX47" s="33">
        <f t="shared" si="9"/>
        <v>5</v>
      </c>
      <c r="AY47" s="198">
        <v>6</v>
      </c>
      <c r="AZ47" s="208">
        <f t="shared" si="6"/>
        <v>11</v>
      </c>
      <c r="CE47" s="281"/>
      <c r="CF47" s="282"/>
      <c r="CG47" s="281"/>
      <c r="CH47" s="283"/>
      <c r="CI47" s="284"/>
      <c r="CJ47" s="283"/>
      <c r="CK47" s="283"/>
      <c r="CL47" s="285"/>
      <c r="CM47" s="283"/>
      <c r="CN47" s="283"/>
      <c r="CO47" s="283"/>
      <c r="CP47" s="284"/>
      <c r="CQ47" s="284"/>
      <c r="CR47" s="283"/>
      <c r="CS47" s="283" t="s">
        <v>16</v>
      </c>
      <c r="CT47" s="281" t="s">
        <v>201</v>
      </c>
      <c r="CU47" s="281" t="s">
        <v>202</v>
      </c>
      <c r="CV47" s="281"/>
      <c r="CW47" s="281"/>
      <c r="CX47" s="282"/>
      <c r="CY47" s="286"/>
      <c r="CZ47" s="284"/>
      <c r="DA47" s="283"/>
      <c r="DB47" s="283"/>
      <c r="DC47" s="283"/>
      <c r="DD47" s="283"/>
      <c r="DE47" s="283"/>
      <c r="DF47" s="287"/>
      <c r="DG47" s="284"/>
      <c r="DH47" s="284"/>
      <c r="DI47" s="283"/>
      <c r="DJ47" s="284"/>
      <c r="DK47" s="284"/>
      <c r="DL47" s="283"/>
      <c r="DM47" s="284"/>
      <c r="DN47" s="284"/>
    </row>
    <row r="48" spans="1:118" x14ac:dyDescent="0.4">
      <c r="A48" s="166" t="s">
        <v>750</v>
      </c>
      <c r="B48" s="166" t="s">
        <v>751</v>
      </c>
      <c r="C48" s="35">
        <f>SUMIFS(ENTRADA[CANTIDAD],ENTRADA[COD],INVENTARIO[[#This Row],[COD]])</f>
        <v>1</v>
      </c>
      <c r="D48" s="34">
        <f>SUMIFS(SALIDA[CANTIDAD],SALIDA[COD],INVENTARIO[[#This Row],[COD]])</f>
        <v>0</v>
      </c>
      <c r="E48" s="33">
        <f>INVENTARIO[[#This Row],[ENTRADAS]]-INVENTARIO[[#This Row],[SALIDAS]]</f>
        <v>1</v>
      </c>
      <c r="F48" s="165" t="s">
        <v>229</v>
      </c>
      <c r="H48" s="38">
        <v>45675</v>
      </c>
      <c r="I48" s="32" t="s">
        <v>747</v>
      </c>
      <c r="J48" s="32" t="str">
        <f>_xlfn.XLOOKUP(ENTRADA[[#This Row],[COD]],INVENTARIO[COD],INVENTARIO[DETALLE],"DETALLAR")</f>
        <v>BASCULANTE PARA VISOR SOSEGA</v>
      </c>
      <c r="K48" s="35">
        <v>2</v>
      </c>
      <c r="L48" s="34" t="str">
        <f>_xlfn.XLOOKUP(ENTRADA[[#This Row],[COD]],INVENTARIO[COD],INVENTARIO[OBSERVACIONES])</f>
        <v>KLAR</v>
      </c>
      <c r="M48" s="39">
        <v>45615</v>
      </c>
      <c r="N48" s="49" t="s">
        <v>688</v>
      </c>
      <c r="O48" s="32" t="str">
        <f>_xlfn.XLOOKUP(SALIDA[[#This Row],[COD]],INVENTARIO[COD],INVENTARIO[DETALLE],"DETALLAR")</f>
        <v>PANTALON TALLA 36</v>
      </c>
      <c r="P48" s="33">
        <v>1</v>
      </c>
      <c r="Q48" s="32" t="s">
        <v>749</v>
      </c>
      <c r="AU48" s="299"/>
      <c r="AV48" s="201">
        <f>DCOUNTA(Activos[#All],Activos[[#Headers],[T.Botas]],DOTACION!CE111:DN112)</f>
        <v>12</v>
      </c>
      <c r="AW48" s="300" t="s">
        <v>206</v>
      </c>
      <c r="AX48" s="301">
        <f t="shared" si="9"/>
        <v>12</v>
      </c>
      <c r="AY48" s="204"/>
      <c r="AZ48" s="209">
        <f t="shared" si="6"/>
        <v>12</v>
      </c>
    </row>
    <row r="49" spans="1:118" ht="16" thickBot="1" x14ac:dyDescent="0.45">
      <c r="A49" s="166" t="s">
        <v>752</v>
      </c>
      <c r="B49" s="166" t="s">
        <v>753</v>
      </c>
      <c r="C49" s="35">
        <f>SUMIFS(ENTRADA[CANTIDAD],ENTRADA[COD],INVENTARIO[[#This Row],[COD]])</f>
        <v>23</v>
      </c>
      <c r="D49" s="34">
        <f>SUMIFS(SALIDA[CANTIDAD],SALIDA[COD],INVENTARIO[[#This Row],[COD]])</f>
        <v>13</v>
      </c>
      <c r="E49" s="33">
        <f>INVENTARIO[[#This Row],[ENTRADAS]]-INVENTARIO[[#This Row],[SALIDAS]]</f>
        <v>10</v>
      </c>
      <c r="F49" s="165" t="s">
        <v>722</v>
      </c>
      <c r="H49" s="38">
        <v>45675</v>
      </c>
      <c r="I49" s="32" t="s">
        <v>750</v>
      </c>
      <c r="J49" s="32" t="str">
        <f>_xlfn.XLOOKUP(ENTRADA[[#This Row],[COD]],INVENTARIO[COD],INVENTARIO[DETALLE],"DETALLAR")</f>
        <v>VISOR BORDE METALICO SOSEGA RPTO</v>
      </c>
      <c r="K49" s="35">
        <v>1</v>
      </c>
      <c r="L49" s="34" t="str">
        <f>_xlfn.XLOOKUP(ENTRADA[[#This Row],[COD]],INVENTARIO[COD],INVENTARIO[OBSERVACIONES])</f>
        <v>KLAR</v>
      </c>
      <c r="M49" s="39">
        <v>45615</v>
      </c>
      <c r="N49" s="49" t="s">
        <v>647</v>
      </c>
      <c r="O49" s="32" t="str">
        <f>_xlfn.XLOOKUP(SALIDA[[#This Row],[COD]],INVENTARIO[COD],INVENTARIO[DETALLE],"DETALLAR")</f>
        <v xml:space="preserve">POLO ISTHO GRIS  L </v>
      </c>
      <c r="P49" s="33">
        <v>1</v>
      </c>
      <c r="Q49" s="32" t="s">
        <v>754</v>
      </c>
      <c r="AU49" s="216"/>
      <c r="AV49" s="216"/>
      <c r="AW49" s="216"/>
      <c r="AX49" s="216"/>
      <c r="AY49" s="216"/>
      <c r="AZ49" s="216"/>
    </row>
    <row r="50" spans="1:118" ht="16" thickBot="1" x14ac:dyDescent="0.45">
      <c r="A50" s="166" t="s">
        <v>755</v>
      </c>
      <c r="B50" s="166" t="s">
        <v>756</v>
      </c>
      <c r="C50" s="35">
        <f>SUMIFS(ENTRADA[CANTIDAD],ENTRADA[COD],INVENTARIO[[#This Row],[COD]])</f>
        <v>4</v>
      </c>
      <c r="D50" s="34">
        <f>SUMIFS(SALIDA[CANTIDAD],SALIDA[COD],INVENTARIO[[#This Row],[COD]])</f>
        <v>1</v>
      </c>
      <c r="E50" s="33">
        <f>INVENTARIO[[#This Row],[ENTRADAS]]-INVENTARIO[[#This Row],[SALIDAS]]</f>
        <v>3</v>
      </c>
      <c r="F50" s="165" t="s">
        <v>722</v>
      </c>
      <c r="H50" s="38">
        <v>45675</v>
      </c>
      <c r="I50" s="32" t="s">
        <v>752</v>
      </c>
      <c r="J50" s="32" t="str">
        <f>_xlfn.XLOOKUP(ENTRADA[[#This Row],[COD]],INVENTARIO[COD],INVENTARIO[DETALLE],"DETALLAR")</f>
        <v xml:space="preserve">Casco rachet blanco INSAFE NUEVOS </v>
      </c>
      <c r="K50" s="35">
        <v>3</v>
      </c>
      <c r="L50" s="34" t="str">
        <f>_xlfn.XLOOKUP(ENTRADA[[#This Row],[COD]],INVENTARIO[COD],INVENTARIO[OBSERVACIONES])</f>
        <v xml:space="preserve">GENERAL ISTHO </v>
      </c>
      <c r="M50" s="39">
        <v>45615</v>
      </c>
      <c r="N50" s="49" t="s">
        <v>641</v>
      </c>
      <c r="O50" s="32" t="str">
        <f>_xlfn.XLOOKUP(SALIDA[[#This Row],[COD]],INVENTARIO[COD],INVENTARIO[DETALLE],"DETALLAR")</f>
        <v>PANTALON TALLA 32</v>
      </c>
      <c r="P50" s="33">
        <v>1</v>
      </c>
      <c r="Q50" s="32" t="s">
        <v>754</v>
      </c>
      <c r="CE50" s="288" t="s">
        <v>13</v>
      </c>
      <c r="CF50" s="289" t="s">
        <v>165</v>
      </c>
      <c r="CG50" s="289" t="s">
        <v>166</v>
      </c>
      <c r="CH50" s="290" t="s">
        <v>167</v>
      </c>
      <c r="CI50" s="291" t="s">
        <v>168</v>
      </c>
      <c r="CJ50" s="290" t="s">
        <v>1</v>
      </c>
      <c r="CK50" s="290" t="s">
        <v>169</v>
      </c>
      <c r="CL50" s="289" t="s">
        <v>170</v>
      </c>
      <c r="CM50" s="290" t="s">
        <v>171</v>
      </c>
      <c r="CN50" s="290" t="s">
        <v>172</v>
      </c>
      <c r="CO50" s="290" t="s">
        <v>173</v>
      </c>
      <c r="CP50" s="291" t="s">
        <v>174</v>
      </c>
      <c r="CQ50" s="291" t="s">
        <v>175</v>
      </c>
      <c r="CR50" s="290" t="s">
        <v>176</v>
      </c>
      <c r="CS50" s="290" t="s">
        <v>177</v>
      </c>
      <c r="CT50" s="289" t="s">
        <v>2</v>
      </c>
      <c r="CU50" s="289" t="s">
        <v>178</v>
      </c>
      <c r="CV50" s="289" t="s">
        <v>179</v>
      </c>
      <c r="CW50" s="289" t="s">
        <v>180</v>
      </c>
      <c r="CX50" s="289" t="s">
        <v>181</v>
      </c>
      <c r="CY50" s="291" t="s">
        <v>182</v>
      </c>
      <c r="CZ50" s="291" t="s">
        <v>183</v>
      </c>
      <c r="DA50" s="290" t="s">
        <v>184</v>
      </c>
      <c r="DB50" s="290" t="s">
        <v>185</v>
      </c>
      <c r="DC50" s="290" t="s">
        <v>186</v>
      </c>
      <c r="DD50" s="290" t="s">
        <v>1070</v>
      </c>
      <c r="DE50" s="290" t="s">
        <v>1052</v>
      </c>
      <c r="DF50" s="292" t="s">
        <v>1067</v>
      </c>
      <c r="DG50" s="291" t="s">
        <v>1076</v>
      </c>
      <c r="DH50" s="290" t="s">
        <v>187</v>
      </c>
      <c r="DI50" s="290" t="s">
        <v>188</v>
      </c>
      <c r="DJ50" s="291" t="s">
        <v>189</v>
      </c>
      <c r="DK50" s="291" t="s">
        <v>190</v>
      </c>
      <c r="DL50" s="290" t="s">
        <v>191</v>
      </c>
      <c r="DM50" s="290" t="s">
        <v>1124</v>
      </c>
      <c r="DN50" s="293" t="s">
        <v>192</v>
      </c>
    </row>
    <row r="51" spans="1:118" x14ac:dyDescent="0.4">
      <c r="A51" s="166" t="s">
        <v>757</v>
      </c>
      <c r="B51" s="166" t="s">
        <v>758</v>
      </c>
      <c r="C51" s="35">
        <f>SUMIFS(ENTRADA[CANTIDAD],ENTRADA[COD],INVENTARIO[[#This Row],[COD]])</f>
        <v>24</v>
      </c>
      <c r="D51" s="34">
        <f>SUMIFS(SALIDA[CANTIDAD],SALIDA[COD],INVENTARIO[[#This Row],[COD]])</f>
        <v>2</v>
      </c>
      <c r="E51" s="33">
        <f>INVENTARIO[[#This Row],[ENTRADAS]]-INVENTARIO[[#This Row],[SALIDAS]]</f>
        <v>22</v>
      </c>
      <c r="F51" s="165" t="s">
        <v>722</v>
      </c>
      <c r="H51" s="38">
        <v>45675</v>
      </c>
      <c r="I51" s="32" t="s">
        <v>755</v>
      </c>
      <c r="J51" s="32" t="str">
        <f>_xlfn.XLOOKUP(ENTRADA[[#This Row],[COD]],INVENTARIO[COD],INVENTARIO[DETALLE],"DETALLAR")</f>
        <v xml:space="preserve">Casco rachet blanco INSAFE VISITANTES </v>
      </c>
      <c r="K51" s="35">
        <v>4</v>
      </c>
      <c r="L51" s="34" t="str">
        <f>_xlfn.XLOOKUP(ENTRADA[[#This Row],[COD]],INVENTARIO[COD],INVENTARIO[OBSERVACIONES])</f>
        <v xml:space="preserve">GENERAL ISTHO </v>
      </c>
      <c r="M51" s="39">
        <v>45615</v>
      </c>
      <c r="N51" s="49" t="s">
        <v>616</v>
      </c>
      <c r="O51" s="32" t="str">
        <f>_xlfn.XLOOKUP(SALIDA[[#This Row],[COD]],INVENTARIO[COD],INVENTARIO[DETALLE],"DETALLAR")</f>
        <v>POLO BLANCA  (8)</v>
      </c>
      <c r="P51" s="33">
        <v>1</v>
      </c>
      <c r="Q51" s="32" t="s">
        <v>759</v>
      </c>
      <c r="CE51" s="281"/>
      <c r="CF51" s="282"/>
      <c r="CG51" s="281"/>
      <c r="CH51" s="283"/>
      <c r="CI51" s="284"/>
      <c r="CJ51" s="283"/>
      <c r="CK51" s="283"/>
      <c r="CL51" s="285"/>
      <c r="CM51" s="283"/>
      <c r="CN51" s="283"/>
      <c r="CO51" s="283"/>
      <c r="CP51" s="284"/>
      <c r="CQ51" s="284"/>
      <c r="CR51" s="283"/>
      <c r="CS51" s="283"/>
      <c r="CT51" s="281"/>
      <c r="CV51" s="281">
        <v>8</v>
      </c>
      <c r="CW51" s="281"/>
      <c r="CX51" s="282"/>
      <c r="CY51" s="286"/>
      <c r="CZ51" s="284"/>
      <c r="DA51" s="283"/>
      <c r="DB51" s="283"/>
      <c r="DC51" s="283"/>
      <c r="DD51" s="283"/>
      <c r="DE51" s="283"/>
      <c r="DF51" s="287"/>
      <c r="DG51" s="284"/>
      <c r="DH51" s="284"/>
      <c r="DI51" s="283"/>
      <c r="DJ51" s="284"/>
      <c r="DK51" s="284"/>
      <c r="DL51" s="283"/>
      <c r="DM51" s="284"/>
      <c r="DN51" s="284"/>
    </row>
    <row r="52" spans="1:118" ht="16" thickBot="1" x14ac:dyDescent="0.45">
      <c r="A52" s="166" t="s">
        <v>760</v>
      </c>
      <c r="B52" s="166" t="s">
        <v>761</v>
      </c>
      <c r="C52" s="35">
        <f>SUMIFS(ENTRADA[CANTIDAD],ENTRADA[COD],INVENTARIO[[#This Row],[COD]])</f>
        <v>41</v>
      </c>
      <c r="D52" s="34">
        <f>SUMIFS(SALIDA[CANTIDAD],SALIDA[COD],INVENTARIO[[#This Row],[COD]])</f>
        <v>10</v>
      </c>
      <c r="E52" s="33">
        <f>INVENTARIO[[#This Row],[ENTRADAS]]-INVENTARIO[[#This Row],[SALIDAS]]</f>
        <v>31</v>
      </c>
      <c r="F52" s="165" t="s">
        <v>722</v>
      </c>
      <c r="H52" s="38">
        <v>45675</v>
      </c>
      <c r="I52" s="32" t="s">
        <v>757</v>
      </c>
      <c r="J52" s="32" t="str">
        <f>_xlfn.XLOOKUP(ENTRADA[[#This Row],[COD]],INVENTARIO[COD],INVENTARIO[DETALLE],"DETALLAR")</f>
        <v>SUSPENSOR PARA CASCO 406-R INSAFE</v>
      </c>
      <c r="K52" s="35">
        <v>4</v>
      </c>
      <c r="L52" s="34" t="str">
        <f>_xlfn.XLOOKUP(ENTRADA[[#This Row],[COD]],INVENTARIO[COD],INVENTARIO[OBSERVACIONES])</f>
        <v xml:space="preserve">GENERAL ISTHO </v>
      </c>
      <c r="M52" s="39">
        <v>45615</v>
      </c>
      <c r="N52" s="49" t="s">
        <v>633</v>
      </c>
      <c r="O52" s="32" t="str">
        <f>_xlfn.XLOOKUP(SALIDA[[#This Row],[COD]],INVENTARIO[COD],INVENTARIO[DETALLE],"DETALLAR")</f>
        <v>PANTALON TALLA 12</v>
      </c>
      <c r="P52" s="33">
        <v>1</v>
      </c>
      <c r="Q52" s="32" t="s">
        <v>759</v>
      </c>
    </row>
    <row r="53" spans="1:118" ht="16" thickBot="1" x14ac:dyDescent="0.45">
      <c r="A53" s="166" t="s">
        <v>762</v>
      </c>
      <c r="B53" s="166" t="s">
        <v>763</v>
      </c>
      <c r="C53" s="35">
        <f>SUMIFS(ENTRADA[CANTIDAD],ENTRADA[COD],INVENTARIO[[#This Row],[COD]])</f>
        <v>3</v>
      </c>
      <c r="D53" s="34">
        <f>SUMIFS(SALIDA[CANTIDAD],SALIDA[COD],INVENTARIO[[#This Row],[COD]])</f>
        <v>0</v>
      </c>
      <c r="E53" s="33">
        <f>INVENTARIO[[#This Row],[ENTRADAS]]-INVENTARIO[[#This Row],[SALIDAS]]</f>
        <v>3</v>
      </c>
      <c r="F53" s="165" t="s">
        <v>722</v>
      </c>
      <c r="H53" s="38">
        <v>45675</v>
      </c>
      <c r="I53" s="32" t="s">
        <v>760</v>
      </c>
      <c r="J53" s="32" t="str">
        <f>_xlfn.XLOOKUP(ENTRADA[[#This Row],[COD]],INVENTARIO[COD],INVENTARIO[DETALLE],"DETALLAR")</f>
        <v>Barbuquejo 4 apoy os con gancho</v>
      </c>
      <c r="K53" s="35">
        <v>21</v>
      </c>
      <c r="L53" s="34" t="str">
        <f>_xlfn.XLOOKUP(ENTRADA[[#This Row],[COD]],INVENTARIO[COD],INVENTARIO[OBSERVACIONES])</f>
        <v xml:space="preserve">GENERAL ISTHO </v>
      </c>
      <c r="M53" s="39">
        <v>45615</v>
      </c>
      <c r="N53" s="49" t="s">
        <v>681</v>
      </c>
      <c r="O53" s="32" t="str">
        <f>_xlfn.XLOOKUP(SALIDA[[#This Row],[COD]],INVENTARIO[COD],INVENTARIO[DETALLE],"DETALLAR")</f>
        <v>BUSO ISTHO  M</v>
      </c>
      <c r="P53" s="33">
        <v>1</v>
      </c>
      <c r="Q53" s="32" t="s">
        <v>764</v>
      </c>
      <c r="CE53" s="288" t="s">
        <v>13</v>
      </c>
      <c r="CF53" s="289" t="s">
        <v>165</v>
      </c>
      <c r="CG53" s="289" t="s">
        <v>166</v>
      </c>
      <c r="CH53" s="290" t="s">
        <v>167</v>
      </c>
      <c r="CI53" s="291" t="s">
        <v>168</v>
      </c>
      <c r="CJ53" s="290" t="s">
        <v>1</v>
      </c>
      <c r="CK53" s="290" t="s">
        <v>169</v>
      </c>
      <c r="CL53" s="289" t="s">
        <v>170</v>
      </c>
      <c r="CM53" s="290" t="s">
        <v>171</v>
      </c>
      <c r="CN53" s="290" t="s">
        <v>172</v>
      </c>
      <c r="CO53" s="290" t="s">
        <v>173</v>
      </c>
      <c r="CP53" s="291" t="s">
        <v>174</v>
      </c>
      <c r="CQ53" s="291" t="s">
        <v>175</v>
      </c>
      <c r="CR53" s="290" t="s">
        <v>176</v>
      </c>
      <c r="CS53" s="290" t="s">
        <v>177</v>
      </c>
      <c r="CT53" s="289" t="s">
        <v>2</v>
      </c>
      <c r="CU53" s="289" t="s">
        <v>178</v>
      </c>
      <c r="CV53" s="289" t="s">
        <v>179</v>
      </c>
      <c r="CW53" s="289" t="s">
        <v>180</v>
      </c>
      <c r="CX53" s="289" t="s">
        <v>181</v>
      </c>
      <c r="CY53" s="291" t="s">
        <v>182</v>
      </c>
      <c r="CZ53" s="291" t="s">
        <v>183</v>
      </c>
      <c r="DA53" s="290" t="s">
        <v>184</v>
      </c>
      <c r="DB53" s="290" t="s">
        <v>185</v>
      </c>
      <c r="DC53" s="290" t="s">
        <v>186</v>
      </c>
      <c r="DD53" s="290" t="s">
        <v>1070</v>
      </c>
      <c r="DE53" s="290" t="s">
        <v>1052</v>
      </c>
      <c r="DF53" s="292" t="s">
        <v>1067</v>
      </c>
      <c r="DG53" s="291" t="s">
        <v>1076</v>
      </c>
      <c r="DH53" s="290" t="s">
        <v>187</v>
      </c>
      <c r="DI53" s="290" t="s">
        <v>188</v>
      </c>
      <c r="DJ53" s="291" t="s">
        <v>189</v>
      </c>
      <c r="DK53" s="291" t="s">
        <v>190</v>
      </c>
      <c r="DL53" s="290" t="s">
        <v>191</v>
      </c>
      <c r="DM53" s="290" t="s">
        <v>1124</v>
      </c>
      <c r="DN53" s="293" t="s">
        <v>192</v>
      </c>
    </row>
    <row r="54" spans="1:118" x14ac:dyDescent="0.4">
      <c r="A54" s="166" t="s">
        <v>765</v>
      </c>
      <c r="B54" s="166" t="s">
        <v>766</v>
      </c>
      <c r="C54" s="35">
        <f>SUMIFS(ENTRADA[CANTIDAD],ENTRADA[COD],INVENTARIO[[#This Row],[COD]])</f>
        <v>1</v>
      </c>
      <c r="D54" s="34">
        <f>SUMIFS(SALIDA[CANTIDAD],SALIDA[COD],INVENTARIO[[#This Row],[COD]])</f>
        <v>0</v>
      </c>
      <c r="E54" s="33">
        <f>INVENTARIO[[#This Row],[ENTRADAS]]-INVENTARIO[[#This Row],[SALIDAS]]</f>
        <v>1</v>
      </c>
      <c r="F54" s="165" t="s">
        <v>667</v>
      </c>
      <c r="H54" s="38">
        <v>45675</v>
      </c>
      <c r="I54" s="32" t="s">
        <v>762</v>
      </c>
      <c r="J54" s="32" t="str">
        <f>_xlfn.XLOOKUP(ENTRADA[[#This Row],[COD]],INVENTARIO[COD],INVENTARIO[DETALLE],"DETALLAR")</f>
        <v>Barbuquejo 3 apoy os con gancho</v>
      </c>
      <c r="K54" s="35">
        <v>3</v>
      </c>
      <c r="L54" s="34" t="str">
        <f>_xlfn.XLOOKUP(ENTRADA[[#This Row],[COD]],INVENTARIO[COD],INVENTARIO[OBSERVACIONES])</f>
        <v xml:space="preserve">GENERAL ISTHO </v>
      </c>
      <c r="M54" s="39">
        <v>45615</v>
      </c>
      <c r="N54" s="49" t="s">
        <v>656</v>
      </c>
      <c r="O54" s="32" t="str">
        <f>_xlfn.XLOOKUP(SALIDA[[#This Row],[COD]],INVENTARIO[COD],INVENTARIO[DETALLE],"DETALLAR")</f>
        <v>PANTALON TALLA 28</v>
      </c>
      <c r="P54" s="33">
        <v>1</v>
      </c>
      <c r="Q54" s="32" t="s">
        <v>764</v>
      </c>
      <c r="CE54" s="281"/>
      <c r="CF54" s="282"/>
      <c r="CG54" s="281"/>
      <c r="CH54" s="283"/>
      <c r="CI54" s="284"/>
      <c r="CJ54" s="283"/>
      <c r="CK54" s="283"/>
      <c r="CL54" s="285"/>
      <c r="CM54" s="283"/>
      <c r="CN54" s="283"/>
      <c r="CO54" s="283"/>
      <c r="CP54" s="284"/>
      <c r="CQ54" s="284"/>
      <c r="CR54" s="283"/>
      <c r="CS54" s="283"/>
      <c r="CT54" s="281"/>
      <c r="CV54" s="281">
        <v>10</v>
      </c>
      <c r="CW54" s="281"/>
      <c r="CX54" s="282"/>
      <c r="CY54" s="286"/>
      <c r="CZ54" s="284"/>
      <c r="DA54" s="283"/>
      <c r="DB54" s="283"/>
      <c r="DC54" s="283"/>
      <c r="DD54" s="283"/>
      <c r="DE54" s="283"/>
      <c r="DF54" s="287"/>
      <c r="DG54" s="284"/>
      <c r="DH54" s="284"/>
      <c r="DI54" s="283"/>
      <c r="DJ54" s="284"/>
      <c r="DK54" s="284"/>
      <c r="DL54" s="283"/>
      <c r="DM54" s="284"/>
      <c r="DN54" s="284"/>
    </row>
    <row r="55" spans="1:118" ht="16" thickBot="1" x14ac:dyDescent="0.45">
      <c r="A55" s="166" t="s">
        <v>767</v>
      </c>
      <c r="B55" s="166" t="s">
        <v>768</v>
      </c>
      <c r="C55" s="35">
        <f>SUMIFS(ENTRADA[CANTIDAD],ENTRADA[COD],INVENTARIO[[#This Row],[COD]])</f>
        <v>4</v>
      </c>
      <c r="D55" s="34">
        <f>SUMIFS(SALIDA[CANTIDAD],SALIDA[COD],INVENTARIO[[#This Row],[COD]])</f>
        <v>0</v>
      </c>
      <c r="E55" s="33">
        <f>INVENTARIO[[#This Row],[ENTRADAS]]-INVENTARIO[[#This Row],[SALIDAS]]</f>
        <v>4</v>
      </c>
      <c r="F55" s="165" t="s">
        <v>667</v>
      </c>
      <c r="H55" s="38">
        <v>45675</v>
      </c>
      <c r="I55" s="32" t="s">
        <v>765</v>
      </c>
      <c r="J55" s="32" t="str">
        <f>_xlfn.XLOOKUP(ENTRADA[[#This Row],[COD]],INVENTARIO[COD],INVENTARIO[DETALLE],"DETALLAR")</f>
        <v>GAFA MASTER SENCILLA CLEAR SOSEGA</v>
      </c>
      <c r="K55" s="35">
        <v>1</v>
      </c>
      <c r="L55" s="34" t="str">
        <f>_xlfn.XLOOKUP(ENTRADA[[#This Row],[COD]],INVENTARIO[COD],INVENTARIO[OBSERVACIONES])</f>
        <v>AUXILIAR</v>
      </c>
      <c r="M55" s="39">
        <v>45615</v>
      </c>
      <c r="N55" s="49" t="s">
        <v>641</v>
      </c>
      <c r="O55" s="32" t="str">
        <f>_xlfn.XLOOKUP(SALIDA[[#This Row],[COD]],INVENTARIO[COD],INVENTARIO[DETALLE],"DETALLAR")</f>
        <v>PANTALON TALLA 32</v>
      </c>
      <c r="P55" s="33">
        <v>1</v>
      </c>
      <c r="Q55" s="32" t="s">
        <v>769</v>
      </c>
    </row>
    <row r="56" spans="1:118" ht="16" thickBot="1" x14ac:dyDescent="0.45">
      <c r="A56" s="166" t="s">
        <v>770</v>
      </c>
      <c r="B56" s="166" t="s">
        <v>771</v>
      </c>
      <c r="C56" s="35">
        <f>SUMIFS(ENTRADA[CANTIDAD],ENTRADA[COD],INVENTARIO[[#This Row],[COD]])</f>
        <v>30</v>
      </c>
      <c r="D56" s="34">
        <f>SUMIFS(SALIDA[CANTIDAD],SALIDA[COD],INVENTARIO[[#This Row],[COD]])</f>
        <v>1</v>
      </c>
      <c r="E56" s="33">
        <f>INVENTARIO[[#This Row],[ENTRADAS]]-INVENTARIO[[#This Row],[SALIDAS]]</f>
        <v>29</v>
      </c>
      <c r="F56" s="165" t="s">
        <v>667</v>
      </c>
      <c r="H56" s="38">
        <v>45675</v>
      </c>
      <c r="I56" s="32" t="s">
        <v>767</v>
      </c>
      <c r="J56" s="32" t="str">
        <f>_xlfn.XLOOKUP(ENTRADA[[#This Row],[COD]],INVENTARIO[COD],INVENTARIO[DETALLE],"DETALLAR")</f>
        <v>GAFA MASTER SENCILLA GREY SOSEGA</v>
      </c>
      <c r="K56" s="35">
        <v>4</v>
      </c>
      <c r="L56" s="34" t="str">
        <f>_xlfn.XLOOKUP(ENTRADA[[#This Row],[COD]],INVENTARIO[COD],INVENTARIO[OBSERVACIONES])</f>
        <v>AUXILIAR</v>
      </c>
      <c r="M56" s="39">
        <v>45615</v>
      </c>
      <c r="N56" s="49" t="s">
        <v>643</v>
      </c>
      <c r="O56" s="32" t="str">
        <f>_xlfn.XLOOKUP(SALIDA[[#This Row],[COD]],INVENTARIO[COD],INVENTARIO[DETALLE],"DETALLAR")</f>
        <v>POLO ISTHO GRIS M</v>
      </c>
      <c r="P56" s="33">
        <v>1</v>
      </c>
      <c r="Q56" s="32" t="s">
        <v>772</v>
      </c>
      <c r="CE56" s="288" t="s">
        <v>13</v>
      </c>
      <c r="CF56" s="289" t="s">
        <v>165</v>
      </c>
      <c r="CG56" s="289" t="s">
        <v>166</v>
      </c>
      <c r="CH56" s="290" t="s">
        <v>167</v>
      </c>
      <c r="CI56" s="291" t="s">
        <v>168</v>
      </c>
      <c r="CJ56" s="290" t="s">
        <v>1</v>
      </c>
      <c r="CK56" s="290" t="s">
        <v>169</v>
      </c>
      <c r="CL56" s="289" t="s">
        <v>170</v>
      </c>
      <c r="CM56" s="290" t="s">
        <v>171</v>
      </c>
      <c r="CN56" s="290" t="s">
        <v>172</v>
      </c>
      <c r="CO56" s="290" t="s">
        <v>173</v>
      </c>
      <c r="CP56" s="291" t="s">
        <v>174</v>
      </c>
      <c r="CQ56" s="291" t="s">
        <v>175</v>
      </c>
      <c r="CR56" s="290" t="s">
        <v>176</v>
      </c>
      <c r="CS56" s="290" t="s">
        <v>177</v>
      </c>
      <c r="CT56" s="289" t="s">
        <v>2</v>
      </c>
      <c r="CU56" s="289" t="s">
        <v>178</v>
      </c>
      <c r="CV56" s="289" t="s">
        <v>179</v>
      </c>
      <c r="CW56" s="289" t="s">
        <v>180</v>
      </c>
      <c r="CX56" s="289" t="s">
        <v>181</v>
      </c>
      <c r="CY56" s="291" t="s">
        <v>182</v>
      </c>
      <c r="CZ56" s="291" t="s">
        <v>183</v>
      </c>
      <c r="DA56" s="290" t="s">
        <v>184</v>
      </c>
      <c r="DB56" s="290" t="s">
        <v>185</v>
      </c>
      <c r="DC56" s="290" t="s">
        <v>186</v>
      </c>
      <c r="DD56" s="290" t="s">
        <v>1070</v>
      </c>
      <c r="DE56" s="290" t="s">
        <v>1052</v>
      </c>
      <c r="DF56" s="292" t="s">
        <v>1067</v>
      </c>
      <c r="DG56" s="291" t="s">
        <v>1076</v>
      </c>
      <c r="DH56" s="290" t="s">
        <v>187</v>
      </c>
      <c r="DI56" s="290" t="s">
        <v>188</v>
      </c>
      <c r="DJ56" s="291" t="s">
        <v>189</v>
      </c>
      <c r="DK56" s="291" t="s">
        <v>190</v>
      </c>
      <c r="DL56" s="290" t="s">
        <v>191</v>
      </c>
      <c r="DM56" s="290" t="s">
        <v>1124</v>
      </c>
      <c r="DN56" s="293" t="s">
        <v>192</v>
      </c>
    </row>
    <row r="57" spans="1:118" x14ac:dyDescent="0.4">
      <c r="A57" s="166" t="s">
        <v>773</v>
      </c>
      <c r="B57" s="166" t="s">
        <v>774</v>
      </c>
      <c r="C57" s="35">
        <f>SUMIFS(ENTRADA[CANTIDAD],ENTRADA[COD],INVENTARIO[[#This Row],[COD]])</f>
        <v>1</v>
      </c>
      <c r="D57" s="34">
        <f>SUMIFS(SALIDA[CANTIDAD],SALIDA[COD],INVENTARIO[[#This Row],[COD]])</f>
        <v>0</v>
      </c>
      <c r="E57" s="33">
        <f>INVENTARIO[[#This Row],[ENTRADAS]]-INVENTARIO[[#This Row],[SALIDAS]]</f>
        <v>1</v>
      </c>
      <c r="F57" s="165" t="s">
        <v>667</v>
      </c>
      <c r="H57" s="38">
        <v>45675</v>
      </c>
      <c r="I57" s="32" t="s">
        <v>770</v>
      </c>
      <c r="J57" s="32" t="str">
        <f>_xlfn.XLOOKUP(ENTRADA[[#This Row],[COD]],INVENTARIO[COD],INVENTARIO[DETALLE],"DETALLAR")</f>
        <v>GAFA SQUARE SENCILLA CLARA SOSEGA</v>
      </c>
      <c r="K57" s="35">
        <v>30</v>
      </c>
      <c r="L57" s="34" t="str">
        <f>_xlfn.XLOOKUP(ENTRADA[[#This Row],[COD]],INVENTARIO[COD],INVENTARIO[OBSERVACIONES])</f>
        <v>AUXILIAR</v>
      </c>
      <c r="M57" s="39">
        <v>45615</v>
      </c>
      <c r="N57" s="49" t="s">
        <v>688</v>
      </c>
      <c r="O57" s="32" t="str">
        <f>_xlfn.XLOOKUP(SALIDA[[#This Row],[COD]],INVENTARIO[COD],INVENTARIO[DETALLE],"DETALLAR")</f>
        <v>PANTALON TALLA 36</v>
      </c>
      <c r="P57" s="33">
        <v>1</v>
      </c>
      <c r="Q57" s="32" t="s">
        <v>772</v>
      </c>
      <c r="CE57" s="281"/>
      <c r="CF57" s="282"/>
      <c r="CG57" s="281"/>
      <c r="CH57" s="283"/>
      <c r="CI57" s="284"/>
      <c r="CJ57" s="283"/>
      <c r="CK57" s="283"/>
      <c r="CL57" s="285"/>
      <c r="CM57" s="283"/>
      <c r="CN57" s="283"/>
      <c r="CO57" s="283"/>
      <c r="CP57" s="284"/>
      <c r="CQ57" s="284"/>
      <c r="CR57" s="283"/>
      <c r="CS57" s="283"/>
      <c r="CT57" s="281"/>
      <c r="CV57" s="281">
        <v>12</v>
      </c>
      <c r="CW57" s="281"/>
      <c r="CX57" s="282"/>
      <c r="CY57" s="286"/>
      <c r="CZ57" s="284"/>
      <c r="DA57" s="283"/>
      <c r="DB57" s="283"/>
      <c r="DC57" s="283"/>
      <c r="DD57" s="283"/>
      <c r="DE57" s="283"/>
      <c r="DF57" s="287"/>
      <c r="DG57" s="284"/>
      <c r="DH57" s="284"/>
      <c r="DI57" s="283"/>
      <c r="DJ57" s="284"/>
      <c r="DK57" s="284"/>
      <c r="DL57" s="283"/>
      <c r="DM57" s="284"/>
      <c r="DN57" s="284"/>
    </row>
    <row r="58" spans="1:118" ht="16" thickBot="1" x14ac:dyDescent="0.45">
      <c r="A58" s="166" t="s">
        <v>775</v>
      </c>
      <c r="B58" s="166" t="s">
        <v>776</v>
      </c>
      <c r="C58" s="35">
        <f>SUMIFS(ENTRADA[CANTIDAD],ENTRADA[COD],INVENTARIO[[#This Row],[COD]])</f>
        <v>1</v>
      </c>
      <c r="D58" s="34">
        <f>SUMIFS(SALIDA[CANTIDAD],SALIDA[COD],INVENTARIO[[#This Row],[COD]])</f>
        <v>0</v>
      </c>
      <c r="E58" s="33">
        <f>INVENTARIO[[#This Row],[ENTRADAS]]-INVENTARIO[[#This Row],[SALIDAS]]</f>
        <v>1</v>
      </c>
      <c r="F58" s="165" t="s">
        <v>667</v>
      </c>
      <c r="H58" s="38">
        <v>45675</v>
      </c>
      <c r="I58" s="32" t="s">
        <v>773</v>
      </c>
      <c r="J58" s="32" t="str">
        <f>_xlfn.XLOOKUP(ENTRADA[[#This Row],[COD]],INVENTARIO[COD],INVENTARIO[DETALLE],"DETALLAR")</f>
        <v>GAFA SPERIAN XV100 CLEAR LENS</v>
      </c>
      <c r="K58" s="35">
        <v>1</v>
      </c>
      <c r="L58" s="34" t="str">
        <f>_xlfn.XLOOKUP(ENTRADA[[#This Row],[COD]],INVENTARIO[COD],INVENTARIO[OBSERVACIONES])</f>
        <v>AUXILIAR</v>
      </c>
      <c r="M58" s="39">
        <v>45615</v>
      </c>
      <c r="N58" s="49" t="s">
        <v>681</v>
      </c>
      <c r="O58" s="32" t="str">
        <f>_xlfn.XLOOKUP(SALIDA[[#This Row],[COD]],INVENTARIO[COD],INVENTARIO[DETALLE],"DETALLAR")</f>
        <v>BUSO ISTHO  M</v>
      </c>
      <c r="P58" s="33">
        <v>1</v>
      </c>
      <c r="Q58" s="32" t="s">
        <v>469</v>
      </c>
    </row>
    <row r="59" spans="1:118" ht="16" thickBot="1" x14ac:dyDescent="0.45">
      <c r="A59" s="166" t="s">
        <v>777</v>
      </c>
      <c r="B59" s="166" t="s">
        <v>778</v>
      </c>
      <c r="C59" s="35">
        <f>SUMIFS(ENTRADA[CANTIDAD],ENTRADA[COD],INVENTARIO[[#This Row],[COD]])</f>
        <v>17</v>
      </c>
      <c r="D59" s="34">
        <f>SUMIFS(SALIDA[CANTIDAD],SALIDA[COD],INVENTARIO[[#This Row],[COD]])</f>
        <v>0</v>
      </c>
      <c r="E59" s="33">
        <f>INVENTARIO[[#This Row],[ENTRADAS]]-INVENTARIO[[#This Row],[SALIDAS]]</f>
        <v>17</v>
      </c>
      <c r="F59" s="165" t="s">
        <v>779</v>
      </c>
      <c r="H59" s="38">
        <v>45675</v>
      </c>
      <c r="I59" s="32" t="s">
        <v>775</v>
      </c>
      <c r="J59" s="32" t="str">
        <f>_xlfn.XLOOKUP(ENTRADA[[#This Row],[COD]],INVENTARIO[COD],INVENTARIO[DETALLE],"DETALLAR")</f>
        <v xml:space="preserve">GAFA C3KIM CLARO ANTIEMPAÑANTE </v>
      </c>
      <c r="K59" s="35">
        <v>1</v>
      </c>
      <c r="L59" s="34" t="str">
        <f>_xlfn.XLOOKUP(ENTRADA[[#This Row],[COD]],INVENTARIO[COD],INVENTARIO[OBSERVACIONES])</f>
        <v>AUXILIAR</v>
      </c>
      <c r="M59" s="39">
        <v>45615</v>
      </c>
      <c r="N59" s="49" t="s">
        <v>641</v>
      </c>
      <c r="O59" s="32" t="str">
        <f>_xlfn.XLOOKUP(SALIDA[[#This Row],[COD]],INVENTARIO[COD],INVENTARIO[DETALLE],"DETALLAR")</f>
        <v>PANTALON TALLA 32</v>
      </c>
      <c r="P59" s="33">
        <v>1</v>
      </c>
      <c r="Q59" s="32" t="s">
        <v>469</v>
      </c>
      <c r="CE59" s="288" t="s">
        <v>13</v>
      </c>
      <c r="CF59" s="289" t="s">
        <v>165</v>
      </c>
      <c r="CG59" s="289" t="s">
        <v>166</v>
      </c>
      <c r="CH59" s="290" t="s">
        <v>167</v>
      </c>
      <c r="CI59" s="291" t="s">
        <v>168</v>
      </c>
      <c r="CJ59" s="290" t="s">
        <v>1</v>
      </c>
      <c r="CK59" s="290" t="s">
        <v>169</v>
      </c>
      <c r="CL59" s="289" t="s">
        <v>170</v>
      </c>
      <c r="CM59" s="290" t="s">
        <v>171</v>
      </c>
      <c r="CN59" s="290" t="s">
        <v>172</v>
      </c>
      <c r="CO59" s="290" t="s">
        <v>173</v>
      </c>
      <c r="CP59" s="291" t="s">
        <v>174</v>
      </c>
      <c r="CQ59" s="291" t="s">
        <v>175</v>
      </c>
      <c r="CR59" s="290" t="s">
        <v>176</v>
      </c>
      <c r="CS59" s="290" t="s">
        <v>177</v>
      </c>
      <c r="CT59" s="289" t="s">
        <v>2</v>
      </c>
      <c r="CU59" s="289" t="s">
        <v>178</v>
      </c>
      <c r="CV59" s="289" t="s">
        <v>179</v>
      </c>
      <c r="CW59" s="289" t="s">
        <v>180</v>
      </c>
      <c r="CX59" s="289" t="s">
        <v>181</v>
      </c>
      <c r="CY59" s="291" t="s">
        <v>182</v>
      </c>
      <c r="CZ59" s="291" t="s">
        <v>183</v>
      </c>
      <c r="DA59" s="290" t="s">
        <v>184</v>
      </c>
      <c r="DB59" s="290" t="s">
        <v>185</v>
      </c>
      <c r="DC59" s="290" t="s">
        <v>186</v>
      </c>
      <c r="DD59" s="290" t="s">
        <v>1070</v>
      </c>
      <c r="DE59" s="290" t="s">
        <v>1052</v>
      </c>
      <c r="DF59" s="292" t="s">
        <v>1067</v>
      </c>
      <c r="DG59" s="291" t="s">
        <v>1076</v>
      </c>
      <c r="DH59" s="290" t="s">
        <v>187</v>
      </c>
      <c r="DI59" s="290" t="s">
        <v>188</v>
      </c>
      <c r="DJ59" s="291" t="s">
        <v>189</v>
      </c>
      <c r="DK59" s="291" t="s">
        <v>190</v>
      </c>
      <c r="DL59" s="290" t="s">
        <v>191</v>
      </c>
      <c r="DM59" s="290" t="s">
        <v>1124</v>
      </c>
      <c r="DN59" s="293" t="s">
        <v>192</v>
      </c>
    </row>
    <row r="60" spans="1:118" x14ac:dyDescent="0.4">
      <c r="A60" s="166" t="s">
        <v>780</v>
      </c>
      <c r="B60" s="166" t="s">
        <v>781</v>
      </c>
      <c r="C60" s="35">
        <f>SUMIFS(ENTRADA[CANTIDAD],ENTRADA[COD],INVENTARIO[[#This Row],[COD]])</f>
        <v>36</v>
      </c>
      <c r="D60" s="34">
        <f>SUMIFS(SALIDA[CANTIDAD],SALIDA[COD],INVENTARIO[[#This Row],[COD]])</f>
        <v>0</v>
      </c>
      <c r="E60" s="33">
        <f>INVENTARIO[[#This Row],[ENTRADAS]]-INVENTARIO[[#This Row],[SALIDAS]]</f>
        <v>36</v>
      </c>
      <c r="F60" s="165" t="s">
        <v>779</v>
      </c>
      <c r="H60" s="38">
        <v>45675</v>
      </c>
      <c r="I60" s="32" t="s">
        <v>777</v>
      </c>
      <c r="J60" s="32" t="str">
        <f>_xlfn.XLOOKUP(ENTRADA[[#This Row],[COD]],INVENTARIO[COD],INVENTARIO[DETALLE],"DETALLAR")</f>
        <v xml:space="preserve">PROTECTOR AUDITIVO EN SILICONA TP BLUE </v>
      </c>
      <c r="K60" s="35">
        <v>17</v>
      </c>
      <c r="L60" s="34" t="str">
        <f>_xlfn.XLOOKUP(ENTRADA[[#This Row],[COD]],INVENTARIO[COD],INVENTARIO[OBSERVACIONES])</f>
        <v>SIN AUTORIZACION</v>
      </c>
      <c r="M60" s="39">
        <v>45615</v>
      </c>
      <c r="N60" s="49" t="s">
        <v>647</v>
      </c>
      <c r="O60" s="32" t="str">
        <f>_xlfn.XLOOKUP(SALIDA[[#This Row],[COD]],INVENTARIO[COD],INVENTARIO[DETALLE],"DETALLAR")</f>
        <v xml:space="preserve">POLO ISTHO GRIS  L </v>
      </c>
      <c r="P60" s="33">
        <v>1</v>
      </c>
      <c r="Q60" s="32" t="s">
        <v>252</v>
      </c>
      <c r="CE60" s="281"/>
      <c r="CF60" s="282"/>
      <c r="CG60" s="281"/>
      <c r="CH60" s="283"/>
      <c r="CI60" s="284"/>
      <c r="CJ60" s="283"/>
      <c r="CK60" s="283"/>
      <c r="CL60" s="285"/>
      <c r="CM60" s="283"/>
      <c r="CN60" s="283"/>
      <c r="CO60" s="283"/>
      <c r="CP60" s="284"/>
      <c r="CQ60" s="284"/>
      <c r="CR60" s="283"/>
      <c r="CS60" s="283"/>
      <c r="CT60" s="281"/>
      <c r="CV60" s="281">
        <v>14</v>
      </c>
      <c r="CW60" s="281"/>
      <c r="CX60" s="282"/>
      <c r="CY60" s="286"/>
      <c r="CZ60" s="284"/>
      <c r="DA60" s="283"/>
      <c r="DB60" s="283"/>
      <c r="DC60" s="283"/>
      <c r="DD60" s="283"/>
      <c r="DE60" s="283"/>
      <c r="DF60" s="287"/>
      <c r="DG60" s="284"/>
      <c r="DH60" s="284"/>
      <c r="DI60" s="283"/>
      <c r="DJ60" s="284"/>
      <c r="DK60" s="284"/>
      <c r="DL60" s="283"/>
      <c r="DM60" s="284"/>
      <c r="DN60" s="284"/>
    </row>
    <row r="61" spans="1:118" ht="16" thickBot="1" x14ac:dyDescent="0.45">
      <c r="A61" s="166" t="s">
        <v>782</v>
      </c>
      <c r="B61" s="166" t="s">
        <v>783</v>
      </c>
      <c r="C61" s="35">
        <f>SUMIFS(ENTRADA[CANTIDAD],ENTRADA[COD],INVENTARIO[[#This Row],[COD]])</f>
        <v>10</v>
      </c>
      <c r="D61" s="34">
        <f>SUMIFS(SALIDA[CANTIDAD],SALIDA[COD],INVENTARIO[[#This Row],[COD]])</f>
        <v>0</v>
      </c>
      <c r="E61" s="33">
        <f>INVENTARIO[[#This Row],[ENTRADAS]]-INVENTARIO[[#This Row],[SALIDAS]]</f>
        <v>10</v>
      </c>
      <c r="F61" s="165" t="s">
        <v>779</v>
      </c>
      <c r="H61" s="38">
        <v>45675</v>
      </c>
      <c r="I61" s="32" t="s">
        <v>780</v>
      </c>
      <c r="J61" s="32" t="str">
        <f>_xlfn.XLOOKUP(ENTRADA[[#This Row],[COD]],INVENTARIO[COD],INVENTARIO[DETALLE],"DETALLAR")</f>
        <v>PROTECTOR AUDITIVO 3M AMARILLO</v>
      </c>
      <c r="K61" s="35">
        <v>36</v>
      </c>
      <c r="L61" s="34" t="str">
        <f>_xlfn.XLOOKUP(ENTRADA[[#This Row],[COD]],INVENTARIO[COD],INVENTARIO[OBSERVACIONES])</f>
        <v>SIN AUTORIZACION</v>
      </c>
      <c r="M61" s="39">
        <v>45615</v>
      </c>
      <c r="N61" s="49" t="s">
        <v>688</v>
      </c>
      <c r="O61" s="32" t="str">
        <f>_xlfn.XLOOKUP(SALIDA[[#This Row],[COD]],INVENTARIO[COD],INVENTARIO[DETALLE],"DETALLAR")</f>
        <v>PANTALON TALLA 36</v>
      </c>
      <c r="P61" s="33">
        <v>1</v>
      </c>
      <c r="Q61" s="32" t="s">
        <v>252</v>
      </c>
    </row>
    <row r="62" spans="1:118" ht="16" thickBot="1" x14ac:dyDescent="0.45">
      <c r="A62" s="166" t="s">
        <v>784</v>
      </c>
      <c r="B62" s="166" t="s">
        <v>785</v>
      </c>
      <c r="C62" s="35">
        <f>SUMIFS(ENTRADA[CANTIDAD],ENTRADA[COD],INVENTARIO[[#This Row],[COD]])</f>
        <v>1</v>
      </c>
      <c r="D62" s="34">
        <f>SUMIFS(SALIDA[CANTIDAD],SALIDA[COD],INVENTARIO[[#This Row],[COD]])</f>
        <v>0</v>
      </c>
      <c r="E62" s="33">
        <f>INVENTARIO[[#This Row],[ENTRADAS]]-INVENTARIO[[#This Row],[SALIDAS]]</f>
        <v>1</v>
      </c>
      <c r="F62" s="165" t="s">
        <v>779</v>
      </c>
      <c r="H62" s="38">
        <v>45675</v>
      </c>
      <c r="I62" s="32" t="s">
        <v>782</v>
      </c>
      <c r="J62" s="32" t="str">
        <f>_xlfn.XLOOKUP(ENTRADA[[#This Row],[COD]],INVENTARIO[COD],INVENTARIO[DETALLE],"DETALLAR")</f>
        <v>PROTECTOR AUDITIVO 3M 1100</v>
      </c>
      <c r="K62" s="35">
        <v>10</v>
      </c>
      <c r="L62" s="34" t="str">
        <f>_xlfn.XLOOKUP(ENTRADA[[#This Row],[COD]],INVENTARIO[COD],INVENTARIO[OBSERVACIONES])</f>
        <v>SIN AUTORIZACION</v>
      </c>
      <c r="M62" s="39">
        <v>45615</v>
      </c>
      <c r="N62" s="49" t="s">
        <v>690</v>
      </c>
      <c r="O62" s="32" t="str">
        <f>_xlfn.XLOOKUP(SALIDA[[#This Row],[COD]],INVENTARIO[COD],INVENTARIO[DETALLE],"DETALLAR")</f>
        <v>BUSO ISTHO  XL</v>
      </c>
      <c r="P62" s="33">
        <v>1</v>
      </c>
      <c r="Q62" s="32" t="s">
        <v>1079</v>
      </c>
      <c r="CE62" s="288" t="s">
        <v>13</v>
      </c>
      <c r="CF62" s="289" t="s">
        <v>165</v>
      </c>
      <c r="CG62" s="289" t="s">
        <v>166</v>
      </c>
      <c r="CH62" s="290" t="s">
        <v>167</v>
      </c>
      <c r="CI62" s="291" t="s">
        <v>168</v>
      </c>
      <c r="CJ62" s="290" t="s">
        <v>1</v>
      </c>
      <c r="CK62" s="290" t="s">
        <v>169</v>
      </c>
      <c r="CL62" s="289" t="s">
        <v>170</v>
      </c>
      <c r="CM62" s="290" t="s">
        <v>171</v>
      </c>
      <c r="CN62" s="290" t="s">
        <v>172</v>
      </c>
      <c r="CO62" s="290" t="s">
        <v>173</v>
      </c>
      <c r="CP62" s="291" t="s">
        <v>174</v>
      </c>
      <c r="CQ62" s="291" t="s">
        <v>175</v>
      </c>
      <c r="CR62" s="290" t="s">
        <v>176</v>
      </c>
      <c r="CS62" s="290" t="s">
        <v>177</v>
      </c>
      <c r="CT62" s="289" t="s">
        <v>2</v>
      </c>
      <c r="CU62" s="289" t="s">
        <v>178</v>
      </c>
      <c r="CV62" s="289" t="s">
        <v>179</v>
      </c>
      <c r="CW62" s="289" t="s">
        <v>180</v>
      </c>
      <c r="CX62" s="289" t="s">
        <v>181</v>
      </c>
      <c r="CY62" s="291" t="s">
        <v>182</v>
      </c>
      <c r="CZ62" s="291" t="s">
        <v>183</v>
      </c>
      <c r="DA62" s="290" t="s">
        <v>184</v>
      </c>
      <c r="DB62" s="290" t="s">
        <v>185</v>
      </c>
      <c r="DC62" s="290" t="s">
        <v>186</v>
      </c>
      <c r="DD62" s="290" t="s">
        <v>1070</v>
      </c>
      <c r="DE62" s="290" t="s">
        <v>1052</v>
      </c>
      <c r="DF62" s="292" t="s">
        <v>1067</v>
      </c>
      <c r="DG62" s="291" t="s">
        <v>1076</v>
      </c>
      <c r="DH62" s="290" t="s">
        <v>187</v>
      </c>
      <c r="DI62" s="290" t="s">
        <v>188</v>
      </c>
      <c r="DJ62" s="291" t="s">
        <v>189</v>
      </c>
      <c r="DK62" s="291" t="s">
        <v>190</v>
      </c>
      <c r="DL62" s="290" t="s">
        <v>191</v>
      </c>
      <c r="DM62" s="290" t="s">
        <v>1124</v>
      </c>
      <c r="DN62" s="293" t="s">
        <v>192</v>
      </c>
    </row>
    <row r="63" spans="1:118" x14ac:dyDescent="0.4">
      <c r="A63" s="166" t="s">
        <v>786</v>
      </c>
      <c r="B63" s="166" t="s">
        <v>787</v>
      </c>
      <c r="C63" s="35">
        <f>SUMIFS(ENTRADA[CANTIDAD],ENTRADA[COD],INVENTARIO[[#This Row],[COD]])</f>
        <v>6</v>
      </c>
      <c r="D63" s="34">
        <f>SUMIFS(SALIDA[CANTIDAD],SALIDA[COD],INVENTARIO[[#This Row],[COD]])</f>
        <v>0</v>
      </c>
      <c r="E63" s="33">
        <f>INVENTARIO[[#This Row],[ENTRADAS]]-INVENTARIO[[#This Row],[SALIDAS]]</f>
        <v>6</v>
      </c>
      <c r="F63" s="165" t="s">
        <v>779</v>
      </c>
      <c r="H63" s="38">
        <v>45675</v>
      </c>
      <c r="I63" s="32" t="s">
        <v>784</v>
      </c>
      <c r="J63" s="32" t="str">
        <f>_xlfn.XLOOKUP(ENTRADA[[#This Row],[COD]],INVENTARIO[COD],INVENTARIO[DETALLE],"DETALLAR")</f>
        <v xml:space="preserve">PROTECTOR AUDITIVO RADIANS </v>
      </c>
      <c r="K63" s="35">
        <v>1</v>
      </c>
      <c r="L63" s="34" t="str">
        <f>_xlfn.XLOOKUP(ENTRADA[[#This Row],[COD]],INVENTARIO[COD],INVENTARIO[OBSERVACIONES])</f>
        <v>SIN AUTORIZACION</v>
      </c>
      <c r="M63" s="39">
        <v>45615</v>
      </c>
      <c r="N63" s="49" t="s">
        <v>608</v>
      </c>
      <c r="O63" s="32" t="str">
        <f>_xlfn.XLOOKUP(SALIDA[[#This Row],[COD]],INVENTARIO[COD],INVENTARIO[DETALLE],"DETALLAR")</f>
        <v>PANTALON TALLA 34</v>
      </c>
      <c r="P63" s="33">
        <v>1</v>
      </c>
      <c r="Q63" s="32" t="s">
        <v>1079</v>
      </c>
      <c r="CE63" s="281"/>
      <c r="CF63" s="282"/>
      <c r="CG63" s="281"/>
      <c r="CH63" s="283"/>
      <c r="CI63" s="284"/>
      <c r="CJ63" s="283"/>
      <c r="CK63" s="283"/>
      <c r="CL63" s="285"/>
      <c r="CM63" s="283"/>
      <c r="CN63" s="283"/>
      <c r="CO63" s="283"/>
      <c r="CP63" s="284"/>
      <c r="CQ63" s="284"/>
      <c r="CR63" s="283"/>
      <c r="CS63" s="283"/>
      <c r="CT63" s="281"/>
      <c r="CV63" s="281">
        <v>18</v>
      </c>
      <c r="CW63" s="281"/>
      <c r="CX63" s="282"/>
      <c r="CY63" s="286"/>
      <c r="CZ63" s="284"/>
      <c r="DA63" s="283"/>
      <c r="DB63" s="283"/>
      <c r="DC63" s="283"/>
      <c r="DD63" s="283"/>
      <c r="DE63" s="283"/>
      <c r="DF63" s="287"/>
      <c r="DG63" s="284"/>
      <c r="DH63" s="284"/>
      <c r="DI63" s="283"/>
      <c r="DJ63" s="284"/>
      <c r="DK63" s="284"/>
      <c r="DL63" s="283"/>
      <c r="DM63" s="284"/>
      <c r="DN63" s="284"/>
    </row>
    <row r="64" spans="1:118" ht="16" thickBot="1" x14ac:dyDescent="0.45">
      <c r="A64" s="166" t="s">
        <v>788</v>
      </c>
      <c r="B64" s="166" t="s">
        <v>789</v>
      </c>
      <c r="C64" s="35">
        <f>SUMIFS(ENTRADA[CANTIDAD],ENTRADA[COD],INVENTARIO[[#This Row],[COD]])</f>
        <v>42</v>
      </c>
      <c r="D64" s="34">
        <f>SUMIFS(SALIDA[CANTIDAD],SALIDA[COD],INVENTARIO[[#This Row],[COD]])</f>
        <v>5</v>
      </c>
      <c r="E64" s="33">
        <f>INVENTARIO[[#This Row],[ENTRADAS]]-INVENTARIO[[#This Row],[SALIDAS]]</f>
        <v>37</v>
      </c>
      <c r="F64" s="165" t="s">
        <v>201</v>
      </c>
      <c r="H64" s="38">
        <v>45675</v>
      </c>
      <c r="I64" s="32" t="s">
        <v>786</v>
      </c>
      <c r="J64" s="32" t="str">
        <f>_xlfn.XLOOKUP(ENTRADA[[#This Row],[COD]],INVENTARIO[COD],INVENTARIO[DETALLE],"DETALLAR")</f>
        <v xml:space="preserve">PROTECTOR AUDITIVO FIT HA EARPLUGS </v>
      </c>
      <c r="K64" s="35">
        <v>6</v>
      </c>
      <c r="L64" s="34" t="str">
        <f>_xlfn.XLOOKUP(ENTRADA[[#This Row],[COD]],INVENTARIO[COD],INVENTARIO[OBSERVACIONES])</f>
        <v>SIN AUTORIZACION</v>
      </c>
      <c r="M64" s="39">
        <v>45615</v>
      </c>
      <c r="N64" s="49" t="s">
        <v>575</v>
      </c>
      <c r="O64" s="32" t="str">
        <f>_xlfn.XLOOKUP(SALIDA[[#This Row],[COD]],INVENTARIO[COD],INVENTARIO[DETALLE],"DETALLAR")</f>
        <v>POLO NEGRA  (8)</v>
      </c>
      <c r="P64" s="33">
        <v>2</v>
      </c>
      <c r="Q64" s="32" t="s">
        <v>438</v>
      </c>
    </row>
    <row r="65" spans="1:118" ht="16" thickBot="1" x14ac:dyDescent="0.45">
      <c r="A65" s="166" t="s">
        <v>790</v>
      </c>
      <c r="B65" s="166" t="s">
        <v>791</v>
      </c>
      <c r="C65" s="35">
        <f>SUMIFS(ENTRADA[CANTIDAD],ENTRADA[COD],INVENTARIO[[#This Row],[COD]])</f>
        <v>45</v>
      </c>
      <c r="D65" s="34">
        <f>SUMIFS(SALIDA[CANTIDAD],SALIDA[COD],INVENTARIO[[#This Row],[COD]])</f>
        <v>5</v>
      </c>
      <c r="E65" s="33">
        <f>INVENTARIO[[#This Row],[ENTRADAS]]-INVENTARIO[[#This Row],[SALIDAS]]</f>
        <v>40</v>
      </c>
      <c r="F65" s="165" t="s">
        <v>792</v>
      </c>
      <c r="H65" s="38">
        <v>45675</v>
      </c>
      <c r="I65" s="32" t="s">
        <v>788</v>
      </c>
      <c r="J65" s="32" t="str">
        <f>_xlfn.XLOOKUP(ENTRADA[[#This Row],[COD]],INVENTARIO[COD],INVENTARIO[DETALLE],"DETALLAR")</f>
        <v>Manga en algodon azul</v>
      </c>
      <c r="K65" s="35">
        <v>42</v>
      </c>
      <c r="L65" s="34" t="str">
        <f>_xlfn.XLOOKUP(ENTRADA[[#This Row],[COD]],INVENTARIO[COD],INVENTARIO[OBSERVACIONES])</f>
        <v>OPERACIONES</v>
      </c>
      <c r="M65" s="39">
        <v>45615</v>
      </c>
      <c r="N65" s="49" t="s">
        <v>584</v>
      </c>
      <c r="O65" s="32" t="str">
        <f>_xlfn.XLOOKUP(SALIDA[[#This Row],[COD]],INVENTARIO[COD],INVENTARIO[DETALLE],"DETALLAR")</f>
        <v>POLO NEGRA  (10)</v>
      </c>
      <c r="P65" s="33">
        <v>2</v>
      </c>
      <c r="Q65" s="32" t="s">
        <v>793</v>
      </c>
      <c r="CE65" s="288" t="s">
        <v>13</v>
      </c>
      <c r="CF65" s="289" t="s">
        <v>165</v>
      </c>
      <c r="CG65" s="289" t="s">
        <v>166</v>
      </c>
      <c r="CH65" s="290" t="s">
        <v>167</v>
      </c>
      <c r="CI65" s="291" t="s">
        <v>168</v>
      </c>
      <c r="CJ65" s="290" t="s">
        <v>1</v>
      </c>
      <c r="CK65" s="290" t="s">
        <v>169</v>
      </c>
      <c r="CL65" s="289" t="s">
        <v>170</v>
      </c>
      <c r="CM65" s="290" t="s">
        <v>171</v>
      </c>
      <c r="CN65" s="290" t="s">
        <v>172</v>
      </c>
      <c r="CO65" s="290" t="s">
        <v>173</v>
      </c>
      <c r="CP65" s="291" t="s">
        <v>174</v>
      </c>
      <c r="CQ65" s="291" t="s">
        <v>175</v>
      </c>
      <c r="CR65" s="290" t="s">
        <v>176</v>
      </c>
      <c r="CS65" s="290" t="s">
        <v>177</v>
      </c>
      <c r="CT65" s="289" t="s">
        <v>2</v>
      </c>
      <c r="CU65" s="289" t="s">
        <v>178</v>
      </c>
      <c r="CV65" s="289" t="s">
        <v>179</v>
      </c>
      <c r="CW65" s="289" t="s">
        <v>180</v>
      </c>
      <c r="CX65" s="289" t="s">
        <v>181</v>
      </c>
      <c r="CY65" s="291" t="s">
        <v>182</v>
      </c>
      <c r="CZ65" s="291" t="s">
        <v>183</v>
      </c>
      <c r="DA65" s="290" t="s">
        <v>184</v>
      </c>
      <c r="DB65" s="290" t="s">
        <v>185</v>
      </c>
      <c r="DC65" s="290" t="s">
        <v>186</v>
      </c>
      <c r="DD65" s="290" t="s">
        <v>1070</v>
      </c>
      <c r="DE65" s="290" t="s">
        <v>1052</v>
      </c>
      <c r="DF65" s="292" t="s">
        <v>1067</v>
      </c>
      <c r="DG65" s="291" t="s">
        <v>1076</v>
      </c>
      <c r="DH65" s="290" t="s">
        <v>187</v>
      </c>
      <c r="DI65" s="290" t="s">
        <v>188</v>
      </c>
      <c r="DJ65" s="291" t="s">
        <v>189</v>
      </c>
      <c r="DK65" s="291" t="s">
        <v>190</v>
      </c>
      <c r="DL65" s="290" t="s">
        <v>191</v>
      </c>
      <c r="DM65" s="290" t="s">
        <v>1124</v>
      </c>
      <c r="DN65" s="293" t="s">
        <v>192</v>
      </c>
    </row>
    <row r="66" spans="1:118" x14ac:dyDescent="0.4">
      <c r="A66" s="166" t="s">
        <v>794</v>
      </c>
      <c r="B66" s="166" t="s">
        <v>795</v>
      </c>
      <c r="C66" s="35">
        <f>SUMIFS(ENTRADA[CANTIDAD],ENTRADA[COD],INVENTARIO[[#This Row],[COD]])</f>
        <v>10</v>
      </c>
      <c r="D66" s="34">
        <f>SUMIFS(SALIDA[CANTIDAD],SALIDA[COD],INVENTARIO[[#This Row],[COD]])</f>
        <v>2</v>
      </c>
      <c r="E66" s="33">
        <f>INVENTARIO[[#This Row],[ENTRADAS]]-INVENTARIO[[#This Row],[SALIDAS]]</f>
        <v>8</v>
      </c>
      <c r="F66" s="165" t="s">
        <v>792</v>
      </c>
      <c r="H66" s="38">
        <v>45675</v>
      </c>
      <c r="I66" s="32" t="s">
        <v>790</v>
      </c>
      <c r="J66" s="32" t="str">
        <f>_xlfn.XLOOKUP(ENTRADA[[#This Row],[COD]],INVENTARIO[COD],INVENTARIO[DETALLE],"DETALLAR")</f>
        <v>Capucha monja algodon plus Kastako</v>
      </c>
      <c r="K66" s="35">
        <v>45</v>
      </c>
      <c r="L66" s="34" t="str">
        <f>_xlfn.XLOOKUP(ENTRADA[[#This Row],[COD]],INVENTARIO[COD],INVENTARIO[OBSERVACIONES])</f>
        <v>KLAR-ETERNIT</v>
      </c>
      <c r="M66" s="39">
        <v>45615</v>
      </c>
      <c r="N66" s="49" t="s">
        <v>633</v>
      </c>
      <c r="O66" s="32" t="str">
        <f>_xlfn.XLOOKUP(SALIDA[[#This Row],[COD]],INVENTARIO[COD],INVENTARIO[DETALLE],"DETALLAR")</f>
        <v>PANTALON TALLA 12</v>
      </c>
      <c r="P66" s="33">
        <v>2</v>
      </c>
      <c r="Q66" s="32" t="s">
        <v>793</v>
      </c>
      <c r="CE66" s="281"/>
      <c r="CF66" s="282"/>
      <c r="CG66" s="281"/>
      <c r="CH66" s="283"/>
      <c r="CI66" s="284"/>
      <c r="CJ66" s="283"/>
      <c r="CK66" s="283"/>
      <c r="CL66" s="285"/>
      <c r="CM66" s="283"/>
      <c r="CN66" s="283"/>
      <c r="CO66" s="283"/>
      <c r="CP66" s="284"/>
      <c r="CQ66" s="284"/>
      <c r="CR66" s="283"/>
      <c r="CS66" s="283"/>
      <c r="CT66" s="281"/>
      <c r="CV66" s="281">
        <v>28</v>
      </c>
      <c r="CW66" s="281"/>
      <c r="CX66" s="282"/>
      <c r="CY66" s="286"/>
      <c r="CZ66" s="284"/>
      <c r="DA66" s="283"/>
      <c r="DB66" s="283"/>
      <c r="DC66" s="283"/>
      <c r="DD66" s="283"/>
      <c r="DE66" s="283"/>
      <c r="DF66" s="287"/>
      <c r="DG66" s="284"/>
      <c r="DH66" s="284"/>
      <c r="DI66" s="283"/>
      <c r="DJ66" s="284"/>
      <c r="DK66" s="284"/>
      <c r="DL66" s="283"/>
      <c r="DM66" s="284"/>
      <c r="DN66" s="284"/>
    </row>
    <row r="67" spans="1:118" ht="16" thickBot="1" x14ac:dyDescent="0.45">
      <c r="A67" s="166" t="s">
        <v>796</v>
      </c>
      <c r="B67" s="166" t="s">
        <v>797</v>
      </c>
      <c r="C67" s="35">
        <f>SUMIFS(ENTRADA[CANTIDAD],ENTRADA[COD],INVENTARIO[[#This Row],[COD]])</f>
        <v>10</v>
      </c>
      <c r="D67" s="34">
        <f>SUMIFS(SALIDA[CANTIDAD],SALIDA[COD],INVENTARIO[[#This Row],[COD]])</f>
        <v>0</v>
      </c>
      <c r="E67" s="33">
        <f>INVENTARIO[[#This Row],[ENTRADAS]]-INVENTARIO[[#This Row],[SALIDAS]]</f>
        <v>10</v>
      </c>
      <c r="F67" s="165" t="s">
        <v>792</v>
      </c>
      <c r="H67" s="38">
        <v>45675</v>
      </c>
      <c r="I67" s="32" t="s">
        <v>794</v>
      </c>
      <c r="J67" s="32" t="str">
        <f>_xlfn.XLOOKUP(ENTRADA[[#This Row],[COD]],INVENTARIO[COD],INVENTARIO[DETALLE],"DETALLAR")</f>
        <v>suf ridor ambidiestra KASTAKO</v>
      </c>
      <c r="K67" s="35">
        <v>2</v>
      </c>
      <c r="L67" s="34" t="str">
        <f>_xlfn.XLOOKUP(ENTRADA[[#This Row],[COD]],INVENTARIO[COD],INVENTARIO[OBSERVACIONES])</f>
        <v>KLAR-ETERNIT</v>
      </c>
      <c r="M67" s="39">
        <v>45615</v>
      </c>
      <c r="N67" s="49" t="s">
        <v>608</v>
      </c>
      <c r="O67" s="32" t="str">
        <f>_xlfn.XLOOKUP(SALIDA[[#This Row],[COD]],INVENTARIO[COD],INVENTARIO[DETALLE],"DETALLAR")</f>
        <v>PANTALON TALLA 34</v>
      </c>
      <c r="P67" s="33">
        <v>1</v>
      </c>
      <c r="Q67" s="32" t="s">
        <v>798</v>
      </c>
    </row>
    <row r="68" spans="1:118" ht="16" thickBot="1" x14ac:dyDescent="0.45">
      <c r="A68" s="166" t="s">
        <v>799</v>
      </c>
      <c r="B68" s="166" t="s">
        <v>800</v>
      </c>
      <c r="C68" s="35">
        <f>SUMIFS(ENTRADA[CANTIDAD],ENTRADA[COD],INVENTARIO[[#This Row],[COD]])</f>
        <v>20</v>
      </c>
      <c r="D68" s="34">
        <f>SUMIFS(SALIDA[CANTIDAD],SALIDA[COD],INVENTARIO[[#This Row],[COD]])</f>
        <v>0</v>
      </c>
      <c r="E68" s="33">
        <f>INVENTARIO[[#This Row],[ENTRADAS]]-INVENTARIO[[#This Row],[SALIDAS]]</f>
        <v>20</v>
      </c>
      <c r="F68" s="165" t="s">
        <v>792</v>
      </c>
      <c r="H68" s="38">
        <v>45675</v>
      </c>
      <c r="I68" s="32" t="s">
        <v>796</v>
      </c>
      <c r="J68" s="32" t="str">
        <f>_xlfn.XLOOKUP(ENTRADA[[#This Row],[COD]],INVENTARIO[COD],INVENTARIO[DETALLE],"DETALLAR")</f>
        <v>RIÑONERA NEGRA KASTAKO</v>
      </c>
      <c r="K68" s="35">
        <v>10</v>
      </c>
      <c r="L68" s="34" t="str">
        <f>_xlfn.XLOOKUP(ENTRADA[[#This Row],[COD]],INVENTARIO[COD],INVENTARIO[OBSERVACIONES])</f>
        <v>KLAR-ETERNIT</v>
      </c>
      <c r="M68" s="39">
        <v>45615</v>
      </c>
      <c r="N68" s="49" t="s">
        <v>586</v>
      </c>
      <c r="O68" s="32" t="str">
        <f>_xlfn.XLOOKUP(SALIDA[[#This Row],[COD]],INVENTARIO[COD],INVENTARIO[DETALLE],"DETALLAR")</f>
        <v>POLO BLANCA  S</v>
      </c>
      <c r="P68" s="33">
        <v>1</v>
      </c>
      <c r="Q68" s="32" t="s">
        <v>801</v>
      </c>
      <c r="CE68" s="288" t="s">
        <v>13</v>
      </c>
      <c r="CF68" s="289" t="s">
        <v>165</v>
      </c>
      <c r="CG68" s="289" t="s">
        <v>166</v>
      </c>
      <c r="CH68" s="290" t="s">
        <v>167</v>
      </c>
      <c r="CI68" s="291" t="s">
        <v>168</v>
      </c>
      <c r="CJ68" s="290" t="s">
        <v>1</v>
      </c>
      <c r="CK68" s="290" t="s">
        <v>169</v>
      </c>
      <c r="CL68" s="289" t="s">
        <v>170</v>
      </c>
      <c r="CM68" s="290" t="s">
        <v>171</v>
      </c>
      <c r="CN68" s="290" t="s">
        <v>172</v>
      </c>
      <c r="CO68" s="290" t="s">
        <v>173</v>
      </c>
      <c r="CP68" s="291" t="s">
        <v>174</v>
      </c>
      <c r="CQ68" s="291" t="s">
        <v>175</v>
      </c>
      <c r="CR68" s="290" t="s">
        <v>176</v>
      </c>
      <c r="CS68" s="290" t="s">
        <v>177</v>
      </c>
      <c r="CT68" s="289" t="s">
        <v>2</v>
      </c>
      <c r="CU68" s="289" t="s">
        <v>178</v>
      </c>
      <c r="CV68" s="289" t="s">
        <v>179</v>
      </c>
      <c r="CW68" s="289" t="s">
        <v>180</v>
      </c>
      <c r="CX68" s="289" t="s">
        <v>181</v>
      </c>
      <c r="CY68" s="291" t="s">
        <v>182</v>
      </c>
      <c r="CZ68" s="291" t="s">
        <v>183</v>
      </c>
      <c r="DA68" s="290" t="s">
        <v>184</v>
      </c>
      <c r="DB68" s="290" t="s">
        <v>185</v>
      </c>
      <c r="DC68" s="290" t="s">
        <v>186</v>
      </c>
      <c r="DD68" s="290" t="s">
        <v>1070</v>
      </c>
      <c r="DE68" s="290" t="s">
        <v>1052</v>
      </c>
      <c r="DF68" s="292" t="s">
        <v>1067</v>
      </c>
      <c r="DG68" s="291" t="s">
        <v>1076</v>
      </c>
      <c r="DH68" s="290" t="s">
        <v>187</v>
      </c>
      <c r="DI68" s="290" t="s">
        <v>188</v>
      </c>
      <c r="DJ68" s="291" t="s">
        <v>189</v>
      </c>
      <c r="DK68" s="291" t="s">
        <v>190</v>
      </c>
      <c r="DL68" s="290" t="s">
        <v>191</v>
      </c>
      <c r="DM68" s="290" t="s">
        <v>1124</v>
      </c>
      <c r="DN68" s="293" t="s">
        <v>192</v>
      </c>
    </row>
    <row r="69" spans="1:118" x14ac:dyDescent="0.4">
      <c r="A69" s="166" t="s">
        <v>802</v>
      </c>
      <c r="B69" s="166" t="s">
        <v>803</v>
      </c>
      <c r="C69" s="35">
        <f>SUMIFS(ENTRADA[CANTIDAD],ENTRADA[COD],INVENTARIO[[#This Row],[COD]])</f>
        <v>29</v>
      </c>
      <c r="D69" s="34">
        <f>SUMIFS(SALIDA[CANTIDAD],SALIDA[COD],INVENTARIO[[#This Row],[COD]])</f>
        <v>11</v>
      </c>
      <c r="E69" s="33">
        <f>INVENTARIO[[#This Row],[ENTRADAS]]-INVENTARIO[[#This Row],[SALIDAS]]</f>
        <v>18</v>
      </c>
      <c r="F69" s="165" t="s">
        <v>779</v>
      </c>
      <c r="H69" s="38">
        <v>45675</v>
      </c>
      <c r="I69" s="32" t="s">
        <v>799</v>
      </c>
      <c r="J69" s="32" t="str">
        <f>_xlfn.XLOOKUP(ENTRADA[[#This Row],[COD]],INVENTARIO[COD],INVENTARIO[DETALLE],"DETALLAR")</f>
        <v>Rodillera par KASTAKO</v>
      </c>
      <c r="K69" s="35">
        <v>20</v>
      </c>
      <c r="L69" s="34" t="str">
        <f>_xlfn.XLOOKUP(ENTRADA[[#This Row],[COD]],INVENTARIO[COD],INVENTARIO[OBSERVACIONES])</f>
        <v>KLAR-ETERNIT</v>
      </c>
      <c r="M69" s="39">
        <v>45637</v>
      </c>
      <c r="N69" s="49" t="s">
        <v>673</v>
      </c>
      <c r="O69" s="32" t="str">
        <f>_xlfn.XLOOKUP(SALIDA[[#This Row],[COD]],INVENTARIO[COD],INVENTARIO[DETALLE],"DETALLAR")</f>
        <v>BUSO APOYO LOGISTICO M</v>
      </c>
      <c r="P69" s="33">
        <v>1</v>
      </c>
      <c r="Q69" s="32" t="s">
        <v>1080</v>
      </c>
      <c r="CE69" s="281"/>
      <c r="CF69" s="282"/>
      <c r="CG69" s="281"/>
      <c r="CH69" s="283"/>
      <c r="CI69" s="284"/>
      <c r="CJ69" s="283"/>
      <c r="CK69" s="283"/>
      <c r="CL69" s="285"/>
      <c r="CM69" s="283"/>
      <c r="CN69" s="283"/>
      <c r="CO69" s="283"/>
      <c r="CP69" s="284"/>
      <c r="CQ69" s="284"/>
      <c r="CR69" s="283"/>
      <c r="CS69" s="283"/>
      <c r="CT69" s="281"/>
      <c r="CV69" s="281">
        <v>30</v>
      </c>
      <c r="CW69" s="281"/>
      <c r="CX69" s="282"/>
      <c r="CY69" s="286"/>
      <c r="CZ69" s="284"/>
      <c r="DA69" s="283"/>
      <c r="DB69" s="283"/>
      <c r="DC69" s="283"/>
      <c r="DD69" s="283"/>
      <c r="DE69" s="283"/>
      <c r="DF69" s="287"/>
      <c r="DG69" s="284"/>
      <c r="DH69" s="284"/>
      <c r="DI69" s="283"/>
      <c r="DJ69" s="284"/>
      <c r="DK69" s="284"/>
      <c r="DL69" s="283"/>
      <c r="DM69" s="284"/>
      <c r="DN69" s="284"/>
    </row>
    <row r="70" spans="1:118" ht="16" thickBot="1" x14ac:dyDescent="0.45">
      <c r="A70" s="166" t="s">
        <v>805</v>
      </c>
      <c r="B70" s="166" t="s">
        <v>806</v>
      </c>
      <c r="C70" s="35">
        <f>SUMIFS(ENTRADA[CANTIDAD],ENTRADA[COD],INVENTARIO[[#This Row],[COD]])</f>
        <v>36</v>
      </c>
      <c r="D70" s="34">
        <f>SUMIFS(SALIDA[CANTIDAD],SALIDA[COD],INVENTARIO[[#This Row],[COD]])</f>
        <v>11</v>
      </c>
      <c r="E70" s="33">
        <f>INVENTARIO[[#This Row],[ENTRADAS]]-INVENTARIO[[#This Row],[SALIDAS]]</f>
        <v>25</v>
      </c>
      <c r="F70" s="165" t="s">
        <v>201</v>
      </c>
      <c r="H70" s="38">
        <v>45675</v>
      </c>
      <c r="I70" s="32" t="s">
        <v>802</v>
      </c>
      <c r="J70" s="32" t="str">
        <f>_xlfn.XLOOKUP(ENTRADA[[#This Row],[COD]],INVENTARIO[COD],INVENTARIO[DETALLE],"DETALLAR")</f>
        <v xml:space="preserve">PAVA NEGRA ISTHO </v>
      </c>
      <c r="K70" s="35">
        <v>29</v>
      </c>
      <c r="L70" s="34" t="str">
        <f>_xlfn.XLOOKUP(ENTRADA[[#This Row],[COD]],INVENTARIO[COD],INVENTARIO[OBSERVACIONES])</f>
        <v>SIN AUTORIZACION</v>
      </c>
      <c r="M70" s="39">
        <v>45637</v>
      </c>
      <c r="N70" s="49" t="s">
        <v>641</v>
      </c>
      <c r="O70" s="32" t="str">
        <f>_xlfn.XLOOKUP(SALIDA[[#This Row],[COD]],INVENTARIO[COD],INVENTARIO[DETALLE],"DETALLAR")</f>
        <v>PANTALON TALLA 32</v>
      </c>
      <c r="P70" s="33">
        <v>1</v>
      </c>
      <c r="Q70" s="32" t="s">
        <v>1080</v>
      </c>
    </row>
    <row r="71" spans="1:118" ht="16" thickBot="1" x14ac:dyDescent="0.45">
      <c r="A71" s="166" t="s">
        <v>807</v>
      </c>
      <c r="B71" s="166" t="s">
        <v>808</v>
      </c>
      <c r="C71" s="35">
        <f>SUMIFS(ENTRADA[CANTIDAD],ENTRADA[COD],INVENTARIO[[#This Row],[COD]])</f>
        <v>50</v>
      </c>
      <c r="D71" s="34">
        <f>SUMIFS(SALIDA[CANTIDAD],SALIDA[COD],INVENTARIO[[#This Row],[COD]])</f>
        <v>2</v>
      </c>
      <c r="E71" s="33">
        <f>INVENTARIO[[#This Row],[ENTRADAS]]-INVENTARIO[[#This Row],[SALIDAS]]</f>
        <v>48</v>
      </c>
      <c r="F71" s="165" t="s">
        <v>201</v>
      </c>
      <c r="H71" s="38">
        <v>45675</v>
      </c>
      <c r="I71" s="32" t="s">
        <v>805</v>
      </c>
      <c r="J71" s="32" t="str">
        <f>_xlfn.XLOOKUP(ENTRADA[[#This Row],[COD]],INVENTARIO[COD],INVENTARIO[DETALLE],"DETALLAR")</f>
        <v>Gte en Jean Con Ref uerzo en Carnaza larg</v>
      </c>
      <c r="K71" s="35">
        <v>36</v>
      </c>
      <c r="L71" s="34" t="str">
        <f>_xlfn.XLOOKUP(ENTRADA[[#This Row],[COD]],INVENTARIO[COD],INVENTARIO[OBSERVACIONES])</f>
        <v>OPERACIONES</v>
      </c>
      <c r="M71" s="39">
        <v>45637</v>
      </c>
      <c r="N71" s="49" t="s">
        <v>670</v>
      </c>
      <c r="O71" s="32" t="str">
        <f>_xlfn.XLOOKUP(SALIDA[[#This Row],[COD]],INVENTARIO[COD],INVENTARIO[DETALLE],"DETALLAR")</f>
        <v>BUSO APOYO LOGISTICO L</v>
      </c>
      <c r="P71" s="33">
        <v>1</v>
      </c>
      <c r="Q71" s="32" t="s">
        <v>1081</v>
      </c>
      <c r="CE71" s="288" t="s">
        <v>13</v>
      </c>
      <c r="CF71" s="289" t="s">
        <v>165</v>
      </c>
      <c r="CG71" s="289" t="s">
        <v>166</v>
      </c>
      <c r="CH71" s="290" t="s">
        <v>167</v>
      </c>
      <c r="CI71" s="291" t="s">
        <v>168</v>
      </c>
      <c r="CJ71" s="290" t="s">
        <v>1</v>
      </c>
      <c r="CK71" s="290" t="s">
        <v>169</v>
      </c>
      <c r="CL71" s="289" t="s">
        <v>170</v>
      </c>
      <c r="CM71" s="290" t="s">
        <v>171</v>
      </c>
      <c r="CN71" s="290" t="s">
        <v>172</v>
      </c>
      <c r="CO71" s="290" t="s">
        <v>173</v>
      </c>
      <c r="CP71" s="291" t="s">
        <v>174</v>
      </c>
      <c r="CQ71" s="291" t="s">
        <v>175</v>
      </c>
      <c r="CR71" s="290" t="s">
        <v>176</v>
      </c>
      <c r="CS71" s="290" t="s">
        <v>177</v>
      </c>
      <c r="CT71" s="289" t="s">
        <v>2</v>
      </c>
      <c r="CU71" s="289" t="s">
        <v>178</v>
      </c>
      <c r="CV71" s="289" t="s">
        <v>179</v>
      </c>
      <c r="CW71" s="289" t="s">
        <v>180</v>
      </c>
      <c r="CX71" s="289" t="s">
        <v>181</v>
      </c>
      <c r="CY71" s="291" t="s">
        <v>182</v>
      </c>
      <c r="CZ71" s="291" t="s">
        <v>183</v>
      </c>
      <c r="DA71" s="290" t="s">
        <v>184</v>
      </c>
      <c r="DB71" s="290" t="s">
        <v>185</v>
      </c>
      <c r="DC71" s="290" t="s">
        <v>186</v>
      </c>
      <c r="DD71" s="290" t="s">
        <v>1070</v>
      </c>
      <c r="DE71" s="290" t="s">
        <v>1052</v>
      </c>
      <c r="DF71" s="292" t="s">
        <v>1067</v>
      </c>
      <c r="DG71" s="291" t="s">
        <v>1076</v>
      </c>
      <c r="DH71" s="290" t="s">
        <v>187</v>
      </c>
      <c r="DI71" s="290" t="s">
        <v>188</v>
      </c>
      <c r="DJ71" s="291" t="s">
        <v>189</v>
      </c>
      <c r="DK71" s="291" t="s">
        <v>190</v>
      </c>
      <c r="DL71" s="290" t="s">
        <v>191</v>
      </c>
      <c r="DM71" s="290" t="s">
        <v>1124</v>
      </c>
      <c r="DN71" s="293" t="s">
        <v>192</v>
      </c>
    </row>
    <row r="72" spans="1:118" x14ac:dyDescent="0.4">
      <c r="A72" s="166" t="s">
        <v>809</v>
      </c>
      <c r="B72" s="166" t="s">
        <v>810</v>
      </c>
      <c r="C72" s="35">
        <f>SUMIFS(ENTRADA[CANTIDAD],ENTRADA[COD],INVENTARIO[[#This Row],[COD]])</f>
        <v>24</v>
      </c>
      <c r="D72" s="34">
        <f>SUMIFS(SALIDA[CANTIDAD],SALIDA[COD],INVENTARIO[[#This Row],[COD]])</f>
        <v>2</v>
      </c>
      <c r="E72" s="33">
        <f>INVENTARIO[[#This Row],[ENTRADAS]]-INVENTARIO[[#This Row],[SALIDAS]]</f>
        <v>22</v>
      </c>
      <c r="F72" s="165" t="s">
        <v>201</v>
      </c>
      <c r="H72" s="38">
        <v>45675</v>
      </c>
      <c r="I72" s="32" t="s">
        <v>807</v>
      </c>
      <c r="J72" s="32" t="str">
        <f>_xlfn.XLOOKUP(ENTRADA[[#This Row],[COD]],INVENTARIO[COD],INVENTARIO[DETALLE],"DETALLAR")</f>
        <v>Gte carnaza ref orzado corto</v>
      </c>
      <c r="K72" s="35">
        <v>50</v>
      </c>
      <c r="L72" s="34" t="str">
        <f>_xlfn.XLOOKUP(ENTRADA[[#This Row],[COD]],INVENTARIO[COD],INVENTARIO[OBSERVACIONES])</f>
        <v>OPERACIONES</v>
      </c>
      <c r="M72" s="39">
        <v>45637</v>
      </c>
      <c r="N72" s="49" t="s">
        <v>608</v>
      </c>
      <c r="O72" s="32" t="str">
        <f>_xlfn.XLOOKUP(SALIDA[[#This Row],[COD]],INVENTARIO[COD],INVENTARIO[DETALLE],"DETALLAR")</f>
        <v>PANTALON TALLA 34</v>
      </c>
      <c r="P72" s="33">
        <v>1</v>
      </c>
      <c r="Q72" s="32" t="s">
        <v>1081</v>
      </c>
      <c r="CE72" s="281"/>
      <c r="CF72" s="282"/>
      <c r="CG72" s="281"/>
      <c r="CH72" s="283"/>
      <c r="CI72" s="284"/>
      <c r="CJ72" s="283"/>
      <c r="CK72" s="283"/>
      <c r="CL72" s="285"/>
      <c r="CM72" s="283"/>
      <c r="CN72" s="283"/>
      <c r="CO72" s="283"/>
      <c r="CP72" s="284"/>
      <c r="CQ72" s="284"/>
      <c r="CR72" s="283"/>
      <c r="CS72" s="283"/>
      <c r="CT72" s="281"/>
      <c r="CV72" s="281">
        <v>32</v>
      </c>
      <c r="CW72" s="281"/>
      <c r="CX72" s="282"/>
      <c r="CY72" s="286"/>
      <c r="CZ72" s="284"/>
      <c r="DA72" s="283"/>
      <c r="DB72" s="283"/>
      <c r="DC72" s="283"/>
      <c r="DD72" s="283"/>
      <c r="DE72" s="283"/>
      <c r="DF72" s="287"/>
      <c r="DG72" s="284"/>
      <c r="DH72" s="284"/>
      <c r="DI72" s="283"/>
      <c r="DJ72" s="284"/>
      <c r="DK72" s="284"/>
      <c r="DL72" s="283"/>
      <c r="DM72" s="284"/>
      <c r="DN72" s="284"/>
    </row>
    <row r="73" spans="1:118" ht="16" thickBot="1" x14ac:dyDescent="0.45">
      <c r="A73" s="166" t="s">
        <v>811</v>
      </c>
      <c r="B73" s="166" t="s">
        <v>812</v>
      </c>
      <c r="C73" s="35">
        <f>SUMIFS(ENTRADA[CANTIDAD],ENTRADA[COD],INVENTARIO[[#This Row],[COD]])</f>
        <v>21</v>
      </c>
      <c r="D73" s="34">
        <f>SUMIFS(SALIDA[CANTIDAD],SALIDA[COD],INVENTARIO[[#This Row],[COD]])</f>
        <v>1</v>
      </c>
      <c r="E73" s="33">
        <f>INVENTARIO[[#This Row],[ENTRADAS]]-INVENTARIO[[#This Row],[SALIDAS]]</f>
        <v>20</v>
      </c>
      <c r="F73" s="165" t="s">
        <v>201</v>
      </c>
      <c r="H73" s="38">
        <v>45675</v>
      </c>
      <c r="I73" s="32" t="s">
        <v>809</v>
      </c>
      <c r="J73" s="32" t="str">
        <f>_xlfn.XLOOKUP(ENTRADA[[#This Row],[COD]],INVENTARIO[COD],INVENTARIO[DETALLE],"DETALLAR")</f>
        <v>Gte crusher glove nitrile sosega</v>
      </c>
      <c r="K73" s="35">
        <v>24</v>
      </c>
      <c r="L73" s="34" t="str">
        <f>_xlfn.XLOOKUP(ENTRADA[[#This Row],[COD]],INVENTARIO[COD],INVENTARIO[OBSERVACIONES])</f>
        <v>OPERACIONES</v>
      </c>
      <c r="M73" s="39">
        <v>45637</v>
      </c>
      <c r="N73" s="49" t="s">
        <v>677</v>
      </c>
      <c r="O73" s="32" t="str">
        <f>_xlfn.XLOOKUP(SALIDA[[#This Row],[COD]],INVENTARIO[COD],INVENTARIO[DETALLE],"DETALLAR")</f>
        <v>BUSO APOYO LOGISTICO XL</v>
      </c>
      <c r="P73" s="33">
        <v>1</v>
      </c>
      <c r="Q73" s="32" t="s">
        <v>1082</v>
      </c>
    </row>
    <row r="74" spans="1:118" ht="16" thickBot="1" x14ac:dyDescent="0.45">
      <c r="A74" s="166" t="s">
        <v>813</v>
      </c>
      <c r="B74" s="166" t="s">
        <v>814</v>
      </c>
      <c r="C74" s="56">
        <f>SUMIFS(ENTRADA[CANTIDAD],ENTRADA[COD],INVENTARIO[[#This Row],[COD]])</f>
        <v>5</v>
      </c>
      <c r="D74" s="57">
        <f>SUMIFS(SALIDA[CANTIDAD],SALIDA[COD],INVENTARIO[[#This Row],[COD]])</f>
        <v>3</v>
      </c>
      <c r="E74" s="33">
        <f>INVENTARIO[[#This Row],[ENTRADAS]]-INVENTARIO[[#This Row],[SALIDAS]]</f>
        <v>2</v>
      </c>
      <c r="F74" s="165" t="s">
        <v>201</v>
      </c>
      <c r="H74" s="38">
        <v>45675</v>
      </c>
      <c r="I74" s="32" t="s">
        <v>811</v>
      </c>
      <c r="J74" s="32" t="str">
        <f>_xlfn.XLOOKUP(ENTRADA[[#This Row],[COD]],INVENTARIO[COD],INVENTARIO[DETALLE],"DETALLAR")</f>
        <v xml:space="preserve">GUANTE BEE SOSEGA </v>
      </c>
      <c r="K74" s="35">
        <v>21</v>
      </c>
      <c r="L74" s="34" t="str">
        <f>_xlfn.XLOOKUP(ENTRADA[[#This Row],[COD]],INVENTARIO[COD],INVENTARIO[OBSERVACIONES])</f>
        <v>OPERACIONES</v>
      </c>
      <c r="M74" s="39">
        <v>45637</v>
      </c>
      <c r="N74" s="49" t="s">
        <v>688</v>
      </c>
      <c r="O74" s="32" t="str">
        <f>_xlfn.XLOOKUP(SALIDA[[#This Row],[COD]],INVENTARIO[COD],INVENTARIO[DETALLE],"DETALLAR")</f>
        <v>PANTALON TALLA 36</v>
      </c>
      <c r="P74" s="33">
        <v>1</v>
      </c>
      <c r="Q74" s="32" t="s">
        <v>1082</v>
      </c>
      <c r="CE74" s="288" t="s">
        <v>13</v>
      </c>
      <c r="CF74" s="289" t="s">
        <v>165</v>
      </c>
      <c r="CG74" s="289" t="s">
        <v>166</v>
      </c>
      <c r="CH74" s="290" t="s">
        <v>167</v>
      </c>
      <c r="CI74" s="291" t="s">
        <v>168</v>
      </c>
      <c r="CJ74" s="290" t="s">
        <v>1</v>
      </c>
      <c r="CK74" s="290" t="s">
        <v>169</v>
      </c>
      <c r="CL74" s="289" t="s">
        <v>170</v>
      </c>
      <c r="CM74" s="290" t="s">
        <v>171</v>
      </c>
      <c r="CN74" s="290" t="s">
        <v>172</v>
      </c>
      <c r="CO74" s="290" t="s">
        <v>173</v>
      </c>
      <c r="CP74" s="291" t="s">
        <v>174</v>
      </c>
      <c r="CQ74" s="291" t="s">
        <v>175</v>
      </c>
      <c r="CR74" s="290" t="s">
        <v>176</v>
      </c>
      <c r="CS74" s="290" t="s">
        <v>177</v>
      </c>
      <c r="CT74" s="289" t="s">
        <v>2</v>
      </c>
      <c r="CU74" s="289" t="s">
        <v>178</v>
      </c>
      <c r="CV74" s="289" t="s">
        <v>179</v>
      </c>
      <c r="CW74" s="289" t="s">
        <v>180</v>
      </c>
      <c r="CX74" s="289" t="s">
        <v>181</v>
      </c>
      <c r="CY74" s="291" t="s">
        <v>182</v>
      </c>
      <c r="CZ74" s="291" t="s">
        <v>183</v>
      </c>
      <c r="DA74" s="290" t="s">
        <v>184</v>
      </c>
      <c r="DB74" s="290" t="s">
        <v>185</v>
      </c>
      <c r="DC74" s="290" t="s">
        <v>186</v>
      </c>
      <c r="DD74" s="290" t="s">
        <v>1070</v>
      </c>
      <c r="DE74" s="290" t="s">
        <v>1052</v>
      </c>
      <c r="DF74" s="292" t="s">
        <v>1067</v>
      </c>
      <c r="DG74" s="291" t="s">
        <v>1076</v>
      </c>
      <c r="DH74" s="290" t="s">
        <v>187</v>
      </c>
      <c r="DI74" s="290" t="s">
        <v>188</v>
      </c>
      <c r="DJ74" s="291" t="s">
        <v>189</v>
      </c>
      <c r="DK74" s="291" t="s">
        <v>190</v>
      </c>
      <c r="DL74" s="290" t="s">
        <v>191</v>
      </c>
      <c r="DM74" s="290" t="s">
        <v>1124</v>
      </c>
      <c r="DN74" s="293" t="s">
        <v>192</v>
      </c>
    </row>
    <row r="75" spans="1:118" x14ac:dyDescent="0.4">
      <c r="A75" s="166" t="s">
        <v>815</v>
      </c>
      <c r="B75" s="166" t="s">
        <v>816</v>
      </c>
      <c r="C75" s="35">
        <f>SUMIFS(ENTRADA[CANTIDAD],ENTRADA[COD],INVENTARIO[[#This Row],[COD]])</f>
        <v>55</v>
      </c>
      <c r="D75" s="34">
        <f>SUMIFS(SALIDA[CANTIDAD],SALIDA[COD],INVENTARIO[[#This Row],[COD]])</f>
        <v>39</v>
      </c>
      <c r="E75" s="33">
        <f>INVENTARIO[[#This Row],[ENTRADAS]]-INVENTARIO[[#This Row],[SALIDAS]]</f>
        <v>16</v>
      </c>
      <c r="F75" s="165" t="s">
        <v>201</v>
      </c>
      <c r="H75" s="38">
        <v>45675</v>
      </c>
      <c r="I75" s="32" t="s">
        <v>813</v>
      </c>
      <c r="J75" s="32" t="str">
        <f>_xlfn.XLOOKUP(ENTRADA[[#This Row],[COD]],INVENTARIO[COD],INVENTARIO[DETALLE],"DETALLAR")</f>
        <v>GTE AURORA TALLA 9 KASTAKO</v>
      </c>
      <c r="K75" s="35">
        <v>5</v>
      </c>
      <c r="L75" s="34" t="str">
        <f>_xlfn.XLOOKUP(ENTRADA[[#This Row],[COD]],INVENTARIO[COD],INVENTARIO[OBSERVACIONES])</f>
        <v>OPERACIONES</v>
      </c>
      <c r="M75" s="39">
        <v>45637</v>
      </c>
      <c r="N75" s="49" t="s">
        <v>677</v>
      </c>
      <c r="O75" s="32" t="str">
        <f>_xlfn.XLOOKUP(SALIDA[[#This Row],[COD]],INVENTARIO[COD],INVENTARIO[DETALLE],"DETALLAR")</f>
        <v>BUSO APOYO LOGISTICO XL</v>
      </c>
      <c r="P75" s="33">
        <v>1</v>
      </c>
      <c r="Q75" s="32" t="s">
        <v>1083</v>
      </c>
      <c r="CE75" s="281"/>
      <c r="CF75" s="282"/>
      <c r="CG75" s="281"/>
      <c r="CH75" s="283"/>
      <c r="CI75" s="284"/>
      <c r="CJ75" s="283"/>
      <c r="CK75" s="283"/>
      <c r="CL75" s="285"/>
      <c r="CM75" s="283"/>
      <c r="CN75" s="283"/>
      <c r="CO75" s="283"/>
      <c r="CP75" s="284"/>
      <c r="CQ75" s="284"/>
      <c r="CR75" s="283"/>
      <c r="CS75" s="283"/>
      <c r="CT75" s="281"/>
      <c r="CV75" s="281">
        <v>34</v>
      </c>
      <c r="CW75" s="281"/>
      <c r="CX75" s="282"/>
      <c r="CY75" s="286"/>
      <c r="CZ75" s="284"/>
      <c r="DA75" s="283"/>
      <c r="DB75" s="283"/>
      <c r="DC75" s="283"/>
      <c r="DD75" s="283"/>
      <c r="DE75" s="283"/>
      <c r="DF75" s="287"/>
      <c r="DG75" s="284"/>
      <c r="DH75" s="284"/>
      <c r="DI75" s="283"/>
      <c r="DJ75" s="284"/>
      <c r="DK75" s="284"/>
      <c r="DL75" s="283"/>
      <c r="DM75" s="284"/>
      <c r="DN75" s="284"/>
    </row>
    <row r="76" spans="1:118" ht="16" thickBot="1" x14ac:dyDescent="0.45">
      <c r="A76" s="166" t="s">
        <v>817</v>
      </c>
      <c r="B76" s="166" t="s">
        <v>818</v>
      </c>
      <c r="C76" s="35">
        <f>SUMIFS(ENTRADA[CANTIDAD],ENTRADA[COD],INVENTARIO[[#This Row],[COD]])</f>
        <v>3</v>
      </c>
      <c r="D76" s="34">
        <f>SUMIFS(SALIDA[CANTIDAD],SALIDA[COD],INVENTARIO[[#This Row],[COD]])</f>
        <v>2</v>
      </c>
      <c r="E76" s="33">
        <f>INVENTARIO[[#This Row],[ENTRADAS]]-INVENTARIO[[#This Row],[SALIDAS]]</f>
        <v>1</v>
      </c>
      <c r="F76" s="165" t="s">
        <v>201</v>
      </c>
      <c r="H76" s="38">
        <v>45675</v>
      </c>
      <c r="I76" s="32" t="s">
        <v>815</v>
      </c>
      <c r="J76" s="32" t="str">
        <f>_xlfn.XLOOKUP(ENTRADA[[#This Row],[COD]],INVENTARIO[COD],INVENTARIO[DETALLE],"DETALLAR")</f>
        <v>GTE ANTICORTE NITRILO REF INDICE</v>
      </c>
      <c r="K76" s="35">
        <v>5</v>
      </c>
      <c r="L76" s="34" t="str">
        <f>_xlfn.XLOOKUP(ENTRADA[[#This Row],[COD]],INVENTARIO[COD],INVENTARIO[OBSERVACIONES])</f>
        <v>OPERACIONES</v>
      </c>
      <c r="M76" s="39">
        <v>45637</v>
      </c>
      <c r="N76" s="49" t="s">
        <v>641</v>
      </c>
      <c r="O76" s="32" t="str">
        <f>_xlfn.XLOOKUP(SALIDA[[#This Row],[COD]],INVENTARIO[COD],INVENTARIO[DETALLE],"DETALLAR")</f>
        <v>PANTALON TALLA 32</v>
      </c>
      <c r="P76" s="33">
        <v>1</v>
      </c>
      <c r="Q76" s="32" t="s">
        <v>1083</v>
      </c>
    </row>
    <row r="77" spans="1:118" ht="16" thickBot="1" x14ac:dyDescent="0.45">
      <c r="A77" s="166" t="s">
        <v>819</v>
      </c>
      <c r="B77" s="166" t="s">
        <v>820</v>
      </c>
      <c r="C77" s="35">
        <f>SUMIFS(ENTRADA[CANTIDAD],ENTRADA[COD],INVENTARIO[[#This Row],[COD]])</f>
        <v>4</v>
      </c>
      <c r="D77" s="34">
        <f>SUMIFS(SALIDA[CANTIDAD],SALIDA[COD],INVENTARIO[[#This Row],[COD]])</f>
        <v>3</v>
      </c>
      <c r="E77" s="33">
        <f>INVENTARIO[[#This Row],[ENTRADAS]]-INVENTARIO[[#This Row],[SALIDAS]]</f>
        <v>1</v>
      </c>
      <c r="F77" s="165" t="s">
        <v>722</v>
      </c>
      <c r="H77" s="38">
        <v>45675</v>
      </c>
      <c r="I77" s="32" t="s">
        <v>817</v>
      </c>
      <c r="J77" s="32" t="str">
        <f>_xlfn.XLOOKUP(ENTRADA[[#This Row],[COD]],INVENTARIO[COD],INVENTARIO[DETALLE],"DETALLAR")</f>
        <v>Gte carnaza AMARILLO CORTO</v>
      </c>
      <c r="K77" s="35">
        <v>3</v>
      </c>
      <c r="L77" s="34" t="str">
        <f>_xlfn.XLOOKUP(ENTRADA[[#This Row],[COD]],INVENTARIO[COD],INVENTARIO[OBSERVACIONES])</f>
        <v>OPERACIONES</v>
      </c>
      <c r="M77" s="39">
        <v>45637</v>
      </c>
      <c r="N77" s="49" t="s">
        <v>677</v>
      </c>
      <c r="O77" s="32" t="str">
        <f>_xlfn.XLOOKUP(SALIDA[[#This Row],[COD]],INVENTARIO[COD],INVENTARIO[DETALLE],"DETALLAR")</f>
        <v>BUSO APOYO LOGISTICO XL</v>
      </c>
      <c r="P77" s="33">
        <v>1</v>
      </c>
      <c r="Q77" s="32" t="s">
        <v>1084</v>
      </c>
      <c r="CE77" s="288" t="s">
        <v>13</v>
      </c>
      <c r="CF77" s="289" t="s">
        <v>165</v>
      </c>
      <c r="CG77" s="289" t="s">
        <v>166</v>
      </c>
      <c r="CH77" s="290" t="s">
        <v>167</v>
      </c>
      <c r="CI77" s="291" t="s">
        <v>168</v>
      </c>
      <c r="CJ77" s="290" t="s">
        <v>1</v>
      </c>
      <c r="CK77" s="290" t="s">
        <v>169</v>
      </c>
      <c r="CL77" s="289" t="s">
        <v>170</v>
      </c>
      <c r="CM77" s="290" t="s">
        <v>171</v>
      </c>
      <c r="CN77" s="290" t="s">
        <v>172</v>
      </c>
      <c r="CO77" s="290" t="s">
        <v>173</v>
      </c>
      <c r="CP77" s="291" t="s">
        <v>174</v>
      </c>
      <c r="CQ77" s="291" t="s">
        <v>175</v>
      </c>
      <c r="CR77" s="290" t="s">
        <v>176</v>
      </c>
      <c r="CS77" s="290" t="s">
        <v>177</v>
      </c>
      <c r="CT77" s="289" t="s">
        <v>2</v>
      </c>
      <c r="CU77" s="289" t="s">
        <v>178</v>
      </c>
      <c r="CV77" s="289" t="s">
        <v>179</v>
      </c>
      <c r="CW77" s="289" t="s">
        <v>180</v>
      </c>
      <c r="CX77" s="289" t="s">
        <v>181</v>
      </c>
      <c r="CY77" s="291" t="s">
        <v>182</v>
      </c>
      <c r="CZ77" s="291" t="s">
        <v>183</v>
      </c>
      <c r="DA77" s="290" t="s">
        <v>184</v>
      </c>
      <c r="DB77" s="290" t="s">
        <v>185</v>
      </c>
      <c r="DC77" s="290" t="s">
        <v>186</v>
      </c>
      <c r="DD77" s="290" t="s">
        <v>1070</v>
      </c>
      <c r="DE77" s="290" t="s">
        <v>1052</v>
      </c>
      <c r="DF77" s="292" t="s">
        <v>1067</v>
      </c>
      <c r="DG77" s="291" t="s">
        <v>1076</v>
      </c>
      <c r="DH77" s="290" t="s">
        <v>187</v>
      </c>
      <c r="DI77" s="290" t="s">
        <v>188</v>
      </c>
      <c r="DJ77" s="291" t="s">
        <v>189</v>
      </c>
      <c r="DK77" s="291" t="s">
        <v>190</v>
      </c>
      <c r="DL77" s="290" t="s">
        <v>191</v>
      </c>
      <c r="DM77" s="290" t="s">
        <v>1124</v>
      </c>
      <c r="DN77" s="293" t="s">
        <v>192</v>
      </c>
    </row>
    <row r="78" spans="1:118" x14ac:dyDescent="0.4">
      <c r="A78" s="166" t="s">
        <v>821</v>
      </c>
      <c r="B78" s="166" t="s">
        <v>822</v>
      </c>
      <c r="C78" s="35">
        <f>SUMIFS(ENTRADA[CANTIDAD],ENTRADA[COD],INVENTARIO[[#This Row],[COD]])</f>
        <v>6</v>
      </c>
      <c r="D78" s="34">
        <f>SUMIFS(SALIDA[CANTIDAD],SALIDA[COD],INVENTARIO[[#This Row],[COD]])</f>
        <v>6</v>
      </c>
      <c r="E78" s="33">
        <f>INVENTARIO[[#This Row],[ENTRADAS]]-INVENTARIO[[#This Row],[SALIDAS]]</f>
        <v>0</v>
      </c>
      <c r="F78" s="165" t="s">
        <v>722</v>
      </c>
      <c r="H78" s="38">
        <v>45675</v>
      </c>
      <c r="I78" s="32" t="s">
        <v>819</v>
      </c>
      <c r="J78" s="32" t="str">
        <f>_xlfn.XLOOKUP(ENTRADA[[#This Row],[COD]],INVENTARIO[COD],INVENTARIO[DETALLE],"DETALLAR")</f>
        <v>BOTAS DE SEGURIDAD T.38</v>
      </c>
      <c r="K78" s="35">
        <v>4</v>
      </c>
      <c r="L78" s="34" t="str">
        <f>_xlfn.XLOOKUP(ENTRADA[[#This Row],[COD]],INVENTARIO[COD],INVENTARIO[OBSERVACIONES])</f>
        <v xml:space="preserve">GENERAL ISTHO </v>
      </c>
      <c r="M78" s="39">
        <v>45637</v>
      </c>
      <c r="N78" s="49" t="s">
        <v>641</v>
      </c>
      <c r="O78" s="32" t="str">
        <f>_xlfn.XLOOKUP(SALIDA[[#This Row],[COD]],INVENTARIO[COD],INVENTARIO[DETALLE],"DETALLAR")</f>
        <v>PANTALON TALLA 32</v>
      </c>
      <c r="P78" s="33">
        <v>1</v>
      </c>
      <c r="Q78" s="32" t="s">
        <v>1084</v>
      </c>
      <c r="CE78" s="281"/>
      <c r="CF78" s="282"/>
      <c r="CG78" s="281"/>
      <c r="CH78" s="283"/>
      <c r="CI78" s="284"/>
      <c r="CJ78" s="283"/>
      <c r="CK78" s="283"/>
      <c r="CL78" s="285"/>
      <c r="CM78" s="283"/>
      <c r="CN78" s="283"/>
      <c r="CO78" s="283"/>
      <c r="CP78" s="284"/>
      <c r="CQ78" s="284"/>
      <c r="CR78" s="283"/>
      <c r="CS78" s="283"/>
      <c r="CT78" s="281"/>
      <c r="CV78" s="281">
        <v>36</v>
      </c>
      <c r="CW78" s="281"/>
      <c r="CX78" s="282"/>
      <c r="CY78" s="286"/>
      <c r="CZ78" s="284"/>
      <c r="DA78" s="283"/>
      <c r="DB78" s="283"/>
      <c r="DC78" s="283"/>
      <c r="DD78" s="283"/>
      <c r="DE78" s="283"/>
      <c r="DF78" s="287"/>
      <c r="DG78" s="284"/>
      <c r="DH78" s="284"/>
      <c r="DI78" s="283"/>
      <c r="DJ78" s="284"/>
      <c r="DK78" s="284"/>
      <c r="DL78" s="283"/>
      <c r="DM78" s="284"/>
      <c r="DN78" s="284"/>
    </row>
    <row r="79" spans="1:118" ht="16" thickBot="1" x14ac:dyDescent="0.45">
      <c r="A79" s="166" t="s">
        <v>823</v>
      </c>
      <c r="B79" s="166" t="s">
        <v>824</v>
      </c>
      <c r="C79" s="35">
        <f>SUMIFS(ENTRADA[CANTIDAD],ENTRADA[COD],INVENTARIO[[#This Row],[COD]])</f>
        <v>11</v>
      </c>
      <c r="D79" s="34">
        <f>SUMIFS(SALIDA[CANTIDAD],SALIDA[COD],INVENTARIO[[#This Row],[COD]])</f>
        <v>9</v>
      </c>
      <c r="E79" s="33">
        <f>INVENTARIO[[#This Row],[ENTRADAS]]-INVENTARIO[[#This Row],[SALIDAS]]</f>
        <v>2</v>
      </c>
      <c r="F79" s="165" t="s">
        <v>722</v>
      </c>
      <c r="H79" s="38">
        <v>45675</v>
      </c>
      <c r="I79" s="32" t="s">
        <v>821</v>
      </c>
      <c r="J79" s="32" t="str">
        <f>_xlfn.XLOOKUP(ENTRADA[[#This Row],[COD]],INVENTARIO[COD],INVENTARIO[DETALLE],"DETALLAR")</f>
        <v>BOTAS DE SEGURIDAD T.39</v>
      </c>
      <c r="K79" s="35">
        <v>3</v>
      </c>
      <c r="L79" s="34" t="str">
        <f>_xlfn.XLOOKUP(ENTRADA[[#This Row],[COD]],INVENTARIO[COD],INVENTARIO[OBSERVACIONES])</f>
        <v xml:space="preserve">GENERAL ISTHO </v>
      </c>
      <c r="M79" s="39">
        <v>45637</v>
      </c>
      <c r="N79" s="49" t="s">
        <v>677</v>
      </c>
      <c r="O79" s="32" t="str">
        <f>_xlfn.XLOOKUP(SALIDA[[#This Row],[COD]],INVENTARIO[COD],INVENTARIO[DETALLE],"DETALLAR")</f>
        <v>BUSO APOYO LOGISTICO XL</v>
      </c>
      <c r="P79" s="33">
        <v>1</v>
      </c>
      <c r="Q79" s="32" t="s">
        <v>1085</v>
      </c>
    </row>
    <row r="80" spans="1:118" ht="16" thickBot="1" x14ac:dyDescent="0.45">
      <c r="A80" s="166" t="s">
        <v>825</v>
      </c>
      <c r="B80" s="166" t="s">
        <v>826</v>
      </c>
      <c r="C80" s="35">
        <f>SUMIFS(ENTRADA[CANTIDAD],ENTRADA[COD],INVENTARIO[[#This Row],[COD]])</f>
        <v>10</v>
      </c>
      <c r="D80" s="34">
        <f>SUMIFS(SALIDA[CANTIDAD],SALIDA[COD],INVENTARIO[[#This Row],[COD]])</f>
        <v>9</v>
      </c>
      <c r="E80" s="33">
        <f>INVENTARIO[[#This Row],[ENTRADAS]]-INVENTARIO[[#This Row],[SALIDAS]]</f>
        <v>1</v>
      </c>
      <c r="F80" s="165" t="s">
        <v>722</v>
      </c>
      <c r="H80" s="38">
        <v>45675</v>
      </c>
      <c r="I80" s="32" t="s">
        <v>823</v>
      </c>
      <c r="J80" s="32" t="str">
        <f>_xlfn.XLOOKUP(ENTRADA[[#This Row],[COD]],INVENTARIO[COD],INVENTARIO[DETALLE],"DETALLAR")</f>
        <v>BOTAS DE SEGURIDAD T.40</v>
      </c>
      <c r="K80" s="35">
        <v>5</v>
      </c>
      <c r="L80" s="34" t="str">
        <f>_xlfn.XLOOKUP(ENTRADA[[#This Row],[COD]],INVENTARIO[COD],INVENTARIO[OBSERVACIONES])</f>
        <v xml:space="preserve">GENERAL ISTHO </v>
      </c>
      <c r="M80" s="39">
        <v>45637</v>
      </c>
      <c r="N80" s="49" t="s">
        <v>608</v>
      </c>
      <c r="O80" s="32" t="str">
        <f>_xlfn.XLOOKUP(SALIDA[[#This Row],[COD]],INVENTARIO[COD],INVENTARIO[DETALLE],"DETALLAR")</f>
        <v>PANTALON TALLA 34</v>
      </c>
      <c r="P80" s="33">
        <v>1</v>
      </c>
      <c r="Q80" s="32" t="s">
        <v>1085</v>
      </c>
      <c r="CE80" s="288" t="s">
        <v>13</v>
      </c>
      <c r="CF80" s="289" t="s">
        <v>165</v>
      </c>
      <c r="CG80" s="289" t="s">
        <v>166</v>
      </c>
      <c r="CH80" s="290" t="s">
        <v>167</v>
      </c>
      <c r="CI80" s="291" t="s">
        <v>168</v>
      </c>
      <c r="CJ80" s="290" t="s">
        <v>1</v>
      </c>
      <c r="CK80" s="290" t="s">
        <v>169</v>
      </c>
      <c r="CL80" s="289" t="s">
        <v>170</v>
      </c>
      <c r="CM80" s="290" t="s">
        <v>171</v>
      </c>
      <c r="CN80" s="290" t="s">
        <v>172</v>
      </c>
      <c r="CO80" s="290" t="s">
        <v>173</v>
      </c>
      <c r="CP80" s="291" t="s">
        <v>174</v>
      </c>
      <c r="CQ80" s="291" t="s">
        <v>175</v>
      </c>
      <c r="CR80" s="290" t="s">
        <v>176</v>
      </c>
      <c r="CS80" s="290" t="s">
        <v>177</v>
      </c>
      <c r="CT80" s="289" t="s">
        <v>2</v>
      </c>
      <c r="CU80" s="289" t="s">
        <v>178</v>
      </c>
      <c r="CV80" s="289" t="s">
        <v>179</v>
      </c>
      <c r="CW80" s="289" t="s">
        <v>180</v>
      </c>
      <c r="CX80" s="289" t="s">
        <v>181</v>
      </c>
      <c r="CY80" s="291" t="s">
        <v>182</v>
      </c>
      <c r="CZ80" s="291" t="s">
        <v>183</v>
      </c>
      <c r="DA80" s="290" t="s">
        <v>184</v>
      </c>
      <c r="DB80" s="290" t="s">
        <v>185</v>
      </c>
      <c r="DC80" s="290" t="s">
        <v>186</v>
      </c>
      <c r="DD80" s="290" t="s">
        <v>1070</v>
      </c>
      <c r="DE80" s="290" t="s">
        <v>1052</v>
      </c>
      <c r="DF80" s="292" t="s">
        <v>1067</v>
      </c>
      <c r="DG80" s="291" t="s">
        <v>1076</v>
      </c>
      <c r="DH80" s="290" t="s">
        <v>187</v>
      </c>
      <c r="DI80" s="290" t="s">
        <v>188</v>
      </c>
      <c r="DJ80" s="291" t="s">
        <v>189</v>
      </c>
      <c r="DK80" s="291" t="s">
        <v>190</v>
      </c>
      <c r="DL80" s="290" t="s">
        <v>191</v>
      </c>
      <c r="DM80" s="290" t="s">
        <v>1124</v>
      </c>
      <c r="DN80" s="293" t="s">
        <v>192</v>
      </c>
    </row>
    <row r="81" spans="1:118" x14ac:dyDescent="0.4">
      <c r="A81" s="166" t="s">
        <v>827</v>
      </c>
      <c r="B81" s="166" t="s">
        <v>828</v>
      </c>
      <c r="C81" s="35">
        <f>SUMIFS(ENTRADA[CANTIDAD],ENTRADA[COD],INVENTARIO[[#This Row],[COD]])</f>
        <v>10</v>
      </c>
      <c r="D81" s="34">
        <f>SUMIFS(SALIDA[CANTIDAD],SALIDA[COD],INVENTARIO[[#This Row],[COD]])</f>
        <v>7</v>
      </c>
      <c r="E81" s="33">
        <f>INVENTARIO[[#This Row],[ENTRADAS]]-INVENTARIO[[#This Row],[SALIDAS]]</f>
        <v>3</v>
      </c>
      <c r="F81" s="165" t="s">
        <v>722</v>
      </c>
      <c r="H81" s="38">
        <v>45675</v>
      </c>
      <c r="I81" s="32" t="s">
        <v>825</v>
      </c>
      <c r="J81" s="32" t="str">
        <f>_xlfn.XLOOKUP(ENTRADA[[#This Row],[COD]],INVENTARIO[COD],INVENTARIO[DETALLE],"DETALLAR")</f>
        <v>BOTAS DE SEGURIDAD T.41</v>
      </c>
      <c r="K81" s="35">
        <v>3</v>
      </c>
      <c r="L81" s="34" t="str">
        <f>_xlfn.XLOOKUP(ENTRADA[[#This Row],[COD]],INVENTARIO[COD],INVENTARIO[OBSERVACIONES])</f>
        <v xml:space="preserve">GENERAL ISTHO </v>
      </c>
      <c r="M81" s="39">
        <v>45637</v>
      </c>
      <c r="N81" s="49" t="s">
        <v>673</v>
      </c>
      <c r="O81" s="32" t="str">
        <f>_xlfn.XLOOKUP(SALIDA[[#This Row],[COD]],INVENTARIO[COD],INVENTARIO[DETALLE],"DETALLAR")</f>
        <v>BUSO APOYO LOGISTICO M</v>
      </c>
      <c r="P81" s="33">
        <v>1</v>
      </c>
      <c r="Q81" s="32" t="s">
        <v>1086</v>
      </c>
      <c r="CE81" s="281"/>
      <c r="CF81" s="282"/>
      <c r="CG81" s="281"/>
      <c r="CH81" s="283"/>
      <c r="CI81" s="284"/>
      <c r="CJ81" s="283"/>
      <c r="CK81" s="283"/>
      <c r="CL81" s="285"/>
      <c r="CM81" s="283"/>
      <c r="CN81" s="283"/>
      <c r="CO81" s="283"/>
      <c r="CP81" s="284"/>
      <c r="CQ81" s="284"/>
      <c r="CR81" s="283"/>
      <c r="CS81" s="283"/>
      <c r="CT81" s="281"/>
      <c r="CV81" s="281">
        <v>38</v>
      </c>
      <c r="CW81" s="281"/>
      <c r="CX81" s="282"/>
      <c r="CY81" s="286"/>
      <c r="CZ81" s="284"/>
      <c r="DA81" s="283"/>
      <c r="DB81" s="283"/>
      <c r="DC81" s="283"/>
      <c r="DD81" s="283"/>
      <c r="DE81" s="283"/>
      <c r="DF81" s="287"/>
      <c r="DG81" s="284"/>
      <c r="DH81" s="284"/>
      <c r="DI81" s="283"/>
      <c r="DJ81" s="284"/>
      <c r="DK81" s="284"/>
      <c r="DL81" s="283"/>
      <c r="DM81" s="284"/>
      <c r="DN81" s="284"/>
    </row>
    <row r="82" spans="1:118" ht="16" thickBot="1" x14ac:dyDescent="0.45">
      <c r="A82" s="166" t="s">
        <v>829</v>
      </c>
      <c r="B82" s="166" t="s">
        <v>830</v>
      </c>
      <c r="C82" s="35">
        <f>SUMIFS(ENTRADA[CANTIDAD],ENTRADA[COD],INVENTARIO[[#This Row],[COD]])</f>
        <v>3</v>
      </c>
      <c r="D82" s="34">
        <f>SUMIFS(SALIDA[CANTIDAD],SALIDA[COD],INVENTARIO[[#This Row],[COD]])</f>
        <v>0</v>
      </c>
      <c r="E82" s="33">
        <f>INVENTARIO[[#This Row],[ENTRADAS]]-INVENTARIO[[#This Row],[SALIDAS]]</f>
        <v>3</v>
      </c>
      <c r="F82" s="165" t="s">
        <v>42</v>
      </c>
      <c r="H82" s="38">
        <v>45675</v>
      </c>
      <c r="I82" s="32" t="s">
        <v>827</v>
      </c>
      <c r="J82" s="32" t="str">
        <f>_xlfn.XLOOKUP(ENTRADA[[#This Row],[COD]],INVENTARIO[COD],INVENTARIO[DETALLE],"DETALLAR")</f>
        <v>BOTAS DE SEGURIDAD T.42</v>
      </c>
      <c r="K82" s="35">
        <v>4</v>
      </c>
      <c r="L82" s="34" t="str">
        <f>_xlfn.XLOOKUP(ENTRADA[[#This Row],[COD]],INVENTARIO[COD],INVENTARIO[OBSERVACIONES])</f>
        <v xml:space="preserve">GENERAL ISTHO </v>
      </c>
      <c r="M82" s="39">
        <v>45637</v>
      </c>
      <c r="N82" s="49" t="s">
        <v>608</v>
      </c>
      <c r="O82" s="32" t="str">
        <f>_xlfn.XLOOKUP(SALIDA[[#This Row],[COD]],INVENTARIO[COD],INVENTARIO[DETALLE],"DETALLAR")</f>
        <v>PANTALON TALLA 34</v>
      </c>
      <c r="P82" s="33">
        <v>1</v>
      </c>
      <c r="Q82" s="32" t="s">
        <v>1086</v>
      </c>
    </row>
    <row r="83" spans="1:118" ht="16" thickBot="1" x14ac:dyDescent="0.45">
      <c r="A83" s="166" t="s">
        <v>831</v>
      </c>
      <c r="B83" s="166" t="s">
        <v>832</v>
      </c>
      <c r="C83" s="35">
        <f>SUMIFS(ENTRADA[CANTIDAD],ENTRADA[COD],INVENTARIO[[#This Row],[COD]])</f>
        <v>8</v>
      </c>
      <c r="D83" s="34">
        <f>SUMIFS(SALIDA[CANTIDAD],SALIDA[COD],INVENTARIO[[#This Row],[COD]])</f>
        <v>4</v>
      </c>
      <c r="E83" s="33">
        <f>INVENTARIO[[#This Row],[ENTRADAS]]-INVENTARIO[[#This Row],[SALIDAS]]</f>
        <v>4</v>
      </c>
      <c r="F83" s="165" t="s">
        <v>722</v>
      </c>
      <c r="H83" s="38">
        <v>45675</v>
      </c>
      <c r="I83" s="32" t="s">
        <v>829</v>
      </c>
      <c r="J83" s="32" t="str">
        <f>_xlfn.XLOOKUP(ENTRADA[[#This Row],[COD]],INVENTARIO[COD],INVENTARIO[DETALLE],"DETALLAR")</f>
        <v xml:space="preserve">BOLSO ROJO PRIMEROS AUXILIOS </v>
      </c>
      <c r="K83" s="35">
        <v>3</v>
      </c>
      <c r="L83" s="34" t="str">
        <f>_xlfn.XLOOKUP(ENTRADA[[#This Row],[COD]],INVENTARIO[COD],INVENTARIO[OBSERVACIONES])</f>
        <v>SGI</v>
      </c>
      <c r="M83" s="39">
        <v>45637</v>
      </c>
      <c r="N83" s="49" t="s">
        <v>677</v>
      </c>
      <c r="O83" s="32" t="str">
        <f>_xlfn.XLOOKUP(SALIDA[[#This Row],[COD]],INVENTARIO[COD],INVENTARIO[DETALLE],"DETALLAR")</f>
        <v>BUSO APOYO LOGISTICO XL</v>
      </c>
      <c r="P83" s="33">
        <v>1</v>
      </c>
      <c r="Q83" s="32" t="s">
        <v>1087</v>
      </c>
      <c r="CE83" s="288" t="s">
        <v>13</v>
      </c>
      <c r="CF83" s="289" t="s">
        <v>165</v>
      </c>
      <c r="CG83" s="289" t="s">
        <v>166</v>
      </c>
      <c r="CH83" s="290" t="s">
        <v>167</v>
      </c>
      <c r="CI83" s="291" t="s">
        <v>168</v>
      </c>
      <c r="CJ83" s="290" t="s">
        <v>1</v>
      </c>
      <c r="CK83" s="290" t="s">
        <v>169</v>
      </c>
      <c r="CL83" s="289" t="s">
        <v>170</v>
      </c>
      <c r="CM83" s="290" t="s">
        <v>171</v>
      </c>
      <c r="CN83" s="290" t="s">
        <v>172</v>
      </c>
      <c r="CO83" s="290" t="s">
        <v>173</v>
      </c>
      <c r="CP83" s="291" t="s">
        <v>174</v>
      </c>
      <c r="CQ83" s="291" t="s">
        <v>175</v>
      </c>
      <c r="CR83" s="290" t="s">
        <v>176</v>
      </c>
      <c r="CS83" s="290" t="s">
        <v>177</v>
      </c>
      <c r="CT83" s="289" t="s">
        <v>2</v>
      </c>
      <c r="CU83" s="289" t="s">
        <v>178</v>
      </c>
      <c r="CV83" s="289" t="s">
        <v>179</v>
      </c>
      <c r="CW83" s="289" t="s">
        <v>180</v>
      </c>
      <c r="CX83" s="289" t="s">
        <v>181</v>
      </c>
      <c r="CY83" s="291" t="s">
        <v>182</v>
      </c>
      <c r="CZ83" s="291" t="s">
        <v>183</v>
      </c>
      <c r="DA83" s="290" t="s">
        <v>184</v>
      </c>
      <c r="DB83" s="290" t="s">
        <v>185</v>
      </c>
      <c r="DC83" s="290" t="s">
        <v>186</v>
      </c>
      <c r="DD83" s="290" t="s">
        <v>1070</v>
      </c>
      <c r="DE83" s="290" t="s">
        <v>1052</v>
      </c>
      <c r="DF83" s="292" t="s">
        <v>1067</v>
      </c>
      <c r="DG83" s="291" t="s">
        <v>1076</v>
      </c>
      <c r="DH83" s="290" t="s">
        <v>187</v>
      </c>
      <c r="DI83" s="290" t="s">
        <v>188</v>
      </c>
      <c r="DJ83" s="291" t="s">
        <v>189</v>
      </c>
      <c r="DK83" s="291" t="s">
        <v>190</v>
      </c>
      <c r="DL83" s="290" t="s">
        <v>191</v>
      </c>
      <c r="DM83" s="290" t="s">
        <v>1124</v>
      </c>
      <c r="DN83" s="293" t="s">
        <v>192</v>
      </c>
    </row>
    <row r="84" spans="1:118" x14ac:dyDescent="0.4">
      <c r="A84" s="166" t="s">
        <v>833</v>
      </c>
      <c r="B84" s="166" t="s">
        <v>834</v>
      </c>
      <c r="C84" s="35">
        <f>SUMIFS(ENTRADA[CANTIDAD],ENTRADA[COD],INVENTARIO[[#This Row],[COD]])</f>
        <v>1</v>
      </c>
      <c r="D84" s="34">
        <f>SUMIFS(SALIDA[CANTIDAD],SALIDA[COD],INVENTARIO[[#This Row],[COD]])</f>
        <v>0</v>
      </c>
      <c r="E84" s="33">
        <f>INVENTARIO[[#This Row],[ENTRADAS]]-INVENTARIO[[#This Row],[SALIDAS]]</f>
        <v>1</v>
      </c>
      <c r="F84" s="165" t="s">
        <v>722</v>
      </c>
      <c r="H84" s="38">
        <v>45675</v>
      </c>
      <c r="I84" s="32" t="s">
        <v>584</v>
      </c>
      <c r="J84" s="32" t="str">
        <f>_xlfn.XLOOKUP(ENTRADA[[#This Row],[COD]],INVENTARIO[COD],INVENTARIO[DETALLE],"DETALLAR")</f>
        <v>POLO NEGRA  (10)</v>
      </c>
      <c r="K84" s="35">
        <v>3</v>
      </c>
      <c r="L84" s="34" t="s">
        <v>835</v>
      </c>
      <c r="M84" s="39">
        <v>45637</v>
      </c>
      <c r="N84" s="49" t="s">
        <v>608</v>
      </c>
      <c r="O84" s="32" t="str">
        <f>_xlfn.XLOOKUP(SALIDA[[#This Row],[COD]],INVENTARIO[COD],INVENTARIO[DETALLE],"DETALLAR")</f>
        <v>PANTALON TALLA 34</v>
      </c>
      <c r="P84" s="33">
        <v>1</v>
      </c>
      <c r="Q84" s="32" t="s">
        <v>1087</v>
      </c>
      <c r="CE84" s="281"/>
      <c r="CF84" s="282"/>
      <c r="CG84" s="281"/>
      <c r="CH84" s="283"/>
      <c r="CI84" s="284"/>
      <c r="CJ84" s="283"/>
      <c r="CK84" s="283"/>
      <c r="CL84" s="285"/>
      <c r="CM84" s="283"/>
      <c r="CN84" s="283"/>
      <c r="CO84" s="283"/>
      <c r="CP84" s="284"/>
      <c r="CQ84" s="284"/>
      <c r="CR84" s="283"/>
      <c r="CS84" s="283"/>
      <c r="CT84" s="281"/>
      <c r="CV84" s="281">
        <v>40</v>
      </c>
      <c r="CW84" s="281"/>
      <c r="CX84" s="282"/>
      <c r="CY84" s="286"/>
      <c r="CZ84" s="284"/>
      <c r="DA84" s="283"/>
      <c r="DB84" s="283"/>
      <c r="DC84" s="283"/>
      <c r="DD84" s="283"/>
      <c r="DE84" s="283"/>
      <c r="DF84" s="287"/>
      <c r="DG84" s="284"/>
      <c r="DH84" s="284"/>
      <c r="DI84" s="283"/>
      <c r="DJ84" s="284"/>
      <c r="DK84" s="284"/>
      <c r="DL84" s="283"/>
      <c r="DM84" s="284"/>
      <c r="DN84" s="284"/>
    </row>
    <row r="85" spans="1:118" ht="16" thickBot="1" x14ac:dyDescent="0.45">
      <c r="A85" s="166" t="s">
        <v>836</v>
      </c>
      <c r="B85" s="166" t="s">
        <v>837</v>
      </c>
      <c r="C85" s="35">
        <f>SUMIFS(ENTRADA[CANTIDAD],ENTRADA[COD],INVENTARIO[[#This Row],[COD]])</f>
        <v>22</v>
      </c>
      <c r="D85" s="34">
        <f>SUMIFS(SALIDA[CANTIDAD],SALIDA[COD],INVENTARIO[[#This Row],[COD]])</f>
        <v>9</v>
      </c>
      <c r="E85" s="33">
        <f>INVENTARIO[[#This Row],[ENTRADAS]]-INVENTARIO[[#This Row],[SALIDAS]]</f>
        <v>13</v>
      </c>
      <c r="F85" s="165" t="s">
        <v>42</v>
      </c>
      <c r="H85" s="38">
        <v>45675</v>
      </c>
      <c r="I85" s="32" t="s">
        <v>627</v>
      </c>
      <c r="J85" s="32" t="str">
        <f>_xlfn.XLOOKUP(ENTRADA[[#This Row],[COD]],INVENTARIO[COD],INVENTARIO[DETALLE],"DETALLAR")</f>
        <v>POLO BLANCA  M</v>
      </c>
      <c r="K85" s="35">
        <v>5</v>
      </c>
      <c r="L85" s="34" t="s">
        <v>835</v>
      </c>
      <c r="M85" s="39">
        <v>45637</v>
      </c>
      <c r="N85" s="49" t="s">
        <v>673</v>
      </c>
      <c r="O85" s="32" t="str">
        <f>_xlfn.XLOOKUP(SALIDA[[#This Row],[COD]],INVENTARIO[COD],INVENTARIO[DETALLE],"DETALLAR")</f>
        <v>BUSO APOYO LOGISTICO M</v>
      </c>
      <c r="P85" s="33">
        <v>1</v>
      </c>
      <c r="Q85" s="32" t="s">
        <v>1088</v>
      </c>
    </row>
    <row r="86" spans="1:118" ht="16" thickBot="1" x14ac:dyDescent="0.45">
      <c r="A86" s="166" t="s">
        <v>838</v>
      </c>
      <c r="B86" s="166" t="s">
        <v>839</v>
      </c>
      <c r="C86" s="35">
        <f>SUMIFS(ENTRADA[CANTIDAD],ENTRADA[COD],INVENTARIO[[#This Row],[COD]])</f>
        <v>4</v>
      </c>
      <c r="D86" s="34">
        <f>SUMIFS(SALIDA[CANTIDAD],SALIDA[COD],INVENTARIO[[#This Row],[COD]])</f>
        <v>0</v>
      </c>
      <c r="E86" s="33">
        <f>INVENTARIO[[#This Row],[ENTRADAS]]-INVENTARIO[[#This Row],[SALIDAS]]</f>
        <v>4</v>
      </c>
      <c r="F86" s="165" t="s">
        <v>42</v>
      </c>
      <c r="H86" s="38">
        <v>45675</v>
      </c>
      <c r="I86" s="32" t="s">
        <v>641</v>
      </c>
      <c r="J86" s="32" t="str">
        <f>_xlfn.XLOOKUP(ENTRADA[[#This Row],[COD]],INVENTARIO[COD],INVENTARIO[DETALLE],"DETALLAR")</f>
        <v>PANTALON TALLA 32</v>
      </c>
      <c r="K86" s="35">
        <v>7</v>
      </c>
      <c r="L86" s="34" t="s">
        <v>840</v>
      </c>
      <c r="M86" s="39">
        <v>45637</v>
      </c>
      <c r="N86" s="49" t="s">
        <v>641</v>
      </c>
      <c r="O86" s="32" t="str">
        <f>_xlfn.XLOOKUP(SALIDA[[#This Row],[COD]],INVENTARIO[COD],INVENTARIO[DETALLE],"DETALLAR")</f>
        <v>PANTALON TALLA 32</v>
      </c>
      <c r="P86" s="33">
        <v>1</v>
      </c>
      <c r="Q86" s="32" t="s">
        <v>1088</v>
      </c>
      <c r="CE86" s="288" t="s">
        <v>13</v>
      </c>
      <c r="CF86" s="289" t="s">
        <v>165</v>
      </c>
      <c r="CG86" s="289" t="s">
        <v>166</v>
      </c>
      <c r="CH86" s="290" t="s">
        <v>167</v>
      </c>
      <c r="CI86" s="291" t="s">
        <v>168</v>
      </c>
      <c r="CJ86" s="290" t="s">
        <v>1</v>
      </c>
      <c r="CK86" s="290" t="s">
        <v>169</v>
      </c>
      <c r="CL86" s="289" t="s">
        <v>170</v>
      </c>
      <c r="CM86" s="290" t="s">
        <v>171</v>
      </c>
      <c r="CN86" s="290" t="s">
        <v>172</v>
      </c>
      <c r="CO86" s="290" t="s">
        <v>173</v>
      </c>
      <c r="CP86" s="291" t="s">
        <v>174</v>
      </c>
      <c r="CQ86" s="291" t="s">
        <v>175</v>
      </c>
      <c r="CR86" s="290" t="s">
        <v>176</v>
      </c>
      <c r="CS86" s="290" t="s">
        <v>177</v>
      </c>
      <c r="CT86" s="289" t="s">
        <v>2</v>
      </c>
      <c r="CU86" s="289" t="s">
        <v>178</v>
      </c>
      <c r="CV86" s="289" t="s">
        <v>179</v>
      </c>
      <c r="CW86" s="289" t="s">
        <v>180</v>
      </c>
      <c r="CX86" s="289" t="s">
        <v>181</v>
      </c>
      <c r="CY86" s="291" t="s">
        <v>182</v>
      </c>
      <c r="CZ86" s="291" t="s">
        <v>183</v>
      </c>
      <c r="DA86" s="290" t="s">
        <v>184</v>
      </c>
      <c r="DB86" s="290" t="s">
        <v>185</v>
      </c>
      <c r="DC86" s="290" t="s">
        <v>186</v>
      </c>
      <c r="DD86" s="290" t="s">
        <v>1070</v>
      </c>
      <c r="DE86" s="290" t="s">
        <v>1052</v>
      </c>
      <c r="DF86" s="292" t="s">
        <v>1067</v>
      </c>
      <c r="DG86" s="291" t="s">
        <v>1076</v>
      </c>
      <c r="DH86" s="290" t="s">
        <v>187</v>
      </c>
      <c r="DI86" s="290" t="s">
        <v>188</v>
      </c>
      <c r="DJ86" s="291" t="s">
        <v>189</v>
      </c>
      <c r="DK86" s="291" t="s">
        <v>190</v>
      </c>
      <c r="DL86" s="290" t="s">
        <v>191</v>
      </c>
      <c r="DM86" s="290" t="s">
        <v>1124</v>
      </c>
      <c r="DN86" s="293" t="s">
        <v>192</v>
      </c>
    </row>
    <row r="87" spans="1:118" x14ac:dyDescent="0.4">
      <c r="A87" s="166" t="s">
        <v>841</v>
      </c>
      <c r="B87" s="166" t="s">
        <v>842</v>
      </c>
      <c r="C87" s="35">
        <f>SUMIFS(ENTRADA[CANTIDAD],ENTRADA[COD],INVENTARIO[[#This Row],[COD]])</f>
        <v>1</v>
      </c>
      <c r="D87" s="34">
        <f>SUMIFS(SALIDA[CANTIDAD],SALIDA[COD],INVENTARIO[[#This Row],[COD]])</f>
        <v>0</v>
      </c>
      <c r="E87" s="33">
        <f>INVENTARIO[[#This Row],[ENTRADAS]]-INVENTARIO[[#This Row],[SALIDAS]]</f>
        <v>1</v>
      </c>
      <c r="F87" s="165" t="s">
        <v>42</v>
      </c>
      <c r="H87" s="38">
        <v>45675</v>
      </c>
      <c r="I87" s="32" t="s">
        <v>608</v>
      </c>
      <c r="J87" s="32" t="str">
        <f>_xlfn.XLOOKUP(ENTRADA[[#This Row],[COD]],INVENTARIO[COD],INVENTARIO[DETALLE],"DETALLAR")</f>
        <v>PANTALON TALLA 34</v>
      </c>
      <c r="K87" s="35">
        <v>8</v>
      </c>
      <c r="L87" s="34" t="s">
        <v>840</v>
      </c>
      <c r="M87" s="39">
        <v>45640</v>
      </c>
      <c r="N87" s="49" t="s">
        <v>713</v>
      </c>
      <c r="O87" s="32" t="str">
        <f>_xlfn.XLOOKUP(SALIDA[[#This Row],[COD]],INVENTARIO[COD],INVENTARIO[DETALLE],"DETALLAR")</f>
        <v>PANTALON TALLA 40</v>
      </c>
      <c r="P87" s="33">
        <v>1</v>
      </c>
      <c r="Q87" s="32" t="s">
        <v>843</v>
      </c>
      <c r="CE87" s="281"/>
      <c r="CF87" s="282"/>
      <c r="CG87" s="281"/>
      <c r="CH87" s="283"/>
      <c r="CI87" s="284"/>
      <c r="CJ87" s="283"/>
      <c r="CK87" s="283"/>
      <c r="CL87" s="285"/>
      <c r="CM87" s="283"/>
      <c r="CN87" s="283"/>
      <c r="CO87" s="283"/>
      <c r="CP87" s="284"/>
      <c r="CQ87" s="284"/>
      <c r="CR87" s="283"/>
      <c r="CS87" s="283"/>
      <c r="CT87" s="281"/>
      <c r="CV87" s="281" t="s">
        <v>206</v>
      </c>
      <c r="CW87" s="281"/>
      <c r="CX87" s="282"/>
      <c r="CY87" s="286"/>
      <c r="CZ87" s="284"/>
      <c r="DA87" s="283"/>
      <c r="DB87" s="283"/>
      <c r="DC87" s="283"/>
      <c r="DD87" s="283"/>
      <c r="DE87" s="283"/>
      <c r="DF87" s="287"/>
      <c r="DG87" s="284"/>
      <c r="DH87" s="284"/>
      <c r="DI87" s="283"/>
      <c r="DJ87" s="284"/>
      <c r="DK87" s="284"/>
      <c r="DL87" s="283"/>
      <c r="DM87" s="284"/>
      <c r="DN87" s="284"/>
    </row>
    <row r="88" spans="1:118" x14ac:dyDescent="0.4">
      <c r="A88" s="166" t="s">
        <v>844</v>
      </c>
      <c r="B88" s="166" t="s">
        <v>845</v>
      </c>
      <c r="C88" s="35">
        <f>SUMIFS(ENTRADA[CANTIDAD],ENTRADA[COD],INVENTARIO[[#This Row],[COD]])</f>
        <v>1</v>
      </c>
      <c r="D88" s="34">
        <f>SUMIFS(SALIDA[CANTIDAD],SALIDA[COD],INVENTARIO[[#This Row],[COD]])</f>
        <v>0</v>
      </c>
      <c r="E88" s="33">
        <f>INVENTARIO[[#This Row],[ENTRADAS]]-INVENTARIO[[#This Row],[SALIDAS]]</f>
        <v>1</v>
      </c>
      <c r="F88" s="165" t="s">
        <v>42</v>
      </c>
      <c r="H88" s="38">
        <v>45675</v>
      </c>
      <c r="I88" s="32" t="s">
        <v>688</v>
      </c>
      <c r="J88" s="32" t="str">
        <f>_xlfn.XLOOKUP(ENTRADA[[#This Row],[COD]],INVENTARIO[COD],INVENTARIO[DETALLE],"DETALLAR")</f>
        <v>PANTALON TALLA 36</v>
      </c>
      <c r="K88" s="35">
        <v>2</v>
      </c>
      <c r="L88" s="34" t="s">
        <v>835</v>
      </c>
      <c r="M88" s="39">
        <v>45640</v>
      </c>
      <c r="N88" s="49" t="s">
        <v>694</v>
      </c>
      <c r="O88" s="32" t="str">
        <f>_xlfn.XLOOKUP(SALIDA[[#This Row],[COD]],INVENTARIO[COD],INVENTARIO[DETALLE],"DETALLAR")</f>
        <v>BUSO ISTHO  XXL</v>
      </c>
      <c r="P88" s="33">
        <v>1</v>
      </c>
      <c r="Q88" s="32" t="s">
        <v>843</v>
      </c>
    </row>
    <row r="89" spans="1:118" ht="16" thickBot="1" x14ac:dyDescent="0.45">
      <c r="A89" s="166" t="s">
        <v>846</v>
      </c>
      <c r="B89" s="166" t="s">
        <v>847</v>
      </c>
      <c r="C89" s="35">
        <f>SUMIFS(ENTRADA[CANTIDAD],ENTRADA[COD],INVENTARIO[[#This Row],[COD]])</f>
        <v>2</v>
      </c>
      <c r="D89" s="34">
        <f>SUMIFS(SALIDA[CANTIDAD],SALIDA[COD],INVENTARIO[[#This Row],[COD]])</f>
        <v>0</v>
      </c>
      <c r="E89" s="33">
        <f>INVENTARIO[[#This Row],[ENTRADAS]]-INVENTARIO[[#This Row],[SALIDAS]]</f>
        <v>2</v>
      </c>
      <c r="F89" s="165" t="s">
        <v>42</v>
      </c>
      <c r="H89" s="38">
        <v>45678</v>
      </c>
      <c r="I89" s="32" t="s">
        <v>831</v>
      </c>
      <c r="J89" s="32" t="str">
        <f>_xlfn.XLOOKUP(ENTRADA[[#This Row],[COD]],INVENTARIO[COD],INVENTARIO[DETALLE],"DETALLAR")</f>
        <v>BOTAS DE SEGURIDAD T.43</v>
      </c>
      <c r="K89" s="35">
        <v>8</v>
      </c>
      <c r="L89" s="34" t="str">
        <f>_xlfn.XLOOKUP(ENTRADA[[#This Row],[COD]],INVENTARIO[COD],INVENTARIO[OBSERVACIONES])</f>
        <v xml:space="preserve">GENERAL ISTHO </v>
      </c>
      <c r="M89" s="39">
        <v>45643</v>
      </c>
      <c r="N89" s="49" t="s">
        <v>670</v>
      </c>
      <c r="O89" s="32" t="str">
        <f>_xlfn.XLOOKUP(SALIDA[[#This Row],[COD]],INVENTARIO[COD],INVENTARIO[DETALLE],"DETALLAR")</f>
        <v>BUSO APOYO LOGISTICO L</v>
      </c>
      <c r="P89" s="33">
        <v>1</v>
      </c>
      <c r="Q89" s="32" t="s">
        <v>848</v>
      </c>
    </row>
    <row r="90" spans="1:118" ht="16" thickBot="1" x14ac:dyDescent="0.45">
      <c r="A90" s="166" t="s">
        <v>849</v>
      </c>
      <c r="B90" s="166" t="s">
        <v>850</v>
      </c>
      <c r="C90" s="35">
        <f>SUMIFS(ENTRADA[CANTIDAD],ENTRADA[COD],INVENTARIO[[#This Row],[COD]])</f>
        <v>12</v>
      </c>
      <c r="D90" s="34">
        <f>SUMIFS(SALIDA[CANTIDAD],SALIDA[COD],INVENTARIO[[#This Row],[COD]])</f>
        <v>0</v>
      </c>
      <c r="E90" s="33">
        <f>INVENTARIO[[#This Row],[ENTRADAS]]-INVENTARIO[[#This Row],[SALIDAS]]</f>
        <v>12</v>
      </c>
      <c r="F90" s="165" t="s">
        <v>42</v>
      </c>
      <c r="H90" s="38">
        <v>45678</v>
      </c>
      <c r="I90" s="32" t="s">
        <v>833</v>
      </c>
      <c r="J90" s="32" t="str">
        <f>_xlfn.XLOOKUP(ENTRADA[[#This Row],[COD]],INVENTARIO[COD],INVENTARIO[DETALLE],"DETALLAR")</f>
        <v>BOTAS DE SEGURIDAD T.44</v>
      </c>
      <c r="K90" s="35">
        <v>1</v>
      </c>
      <c r="L90" s="34" t="str">
        <f>_xlfn.XLOOKUP(ENTRADA[[#This Row],[COD]],INVENTARIO[COD],INVENTARIO[OBSERVACIONES])</f>
        <v xml:space="preserve">GENERAL ISTHO </v>
      </c>
      <c r="M90" s="39">
        <v>45643</v>
      </c>
      <c r="N90" s="49" t="s">
        <v>694</v>
      </c>
      <c r="O90" s="32" t="str">
        <f>_xlfn.XLOOKUP(SALIDA[[#This Row],[COD]],INVENTARIO[COD],INVENTARIO[DETALLE],"DETALLAR")</f>
        <v>BUSO ISTHO  XXL</v>
      </c>
      <c r="P90" s="33">
        <v>1</v>
      </c>
      <c r="Q90" s="32" t="s">
        <v>851</v>
      </c>
      <c r="CE90" s="288" t="s">
        <v>13</v>
      </c>
      <c r="CF90" s="289" t="s">
        <v>165</v>
      </c>
      <c r="CG90" s="289" t="s">
        <v>166</v>
      </c>
      <c r="CH90" s="290" t="s">
        <v>167</v>
      </c>
      <c r="CI90" s="291" t="s">
        <v>168</v>
      </c>
      <c r="CJ90" s="290" t="s">
        <v>1</v>
      </c>
      <c r="CK90" s="290" t="s">
        <v>169</v>
      </c>
      <c r="CL90" s="289" t="s">
        <v>170</v>
      </c>
      <c r="CM90" s="290" t="s">
        <v>171</v>
      </c>
      <c r="CN90" s="290" t="s">
        <v>172</v>
      </c>
      <c r="CO90" s="290" t="s">
        <v>173</v>
      </c>
      <c r="CP90" s="291" t="s">
        <v>174</v>
      </c>
      <c r="CQ90" s="291" t="s">
        <v>175</v>
      </c>
      <c r="CR90" s="290" t="s">
        <v>176</v>
      </c>
      <c r="CS90" s="290" t="s">
        <v>177</v>
      </c>
      <c r="CT90" s="289" t="s">
        <v>2</v>
      </c>
      <c r="CU90" s="289" t="s">
        <v>178</v>
      </c>
      <c r="CV90" s="289" t="s">
        <v>179</v>
      </c>
      <c r="CW90" s="289" t="s">
        <v>180</v>
      </c>
      <c r="CX90" s="289" t="s">
        <v>181</v>
      </c>
      <c r="CY90" s="291" t="s">
        <v>182</v>
      </c>
      <c r="CZ90" s="291" t="s">
        <v>183</v>
      </c>
      <c r="DA90" s="290" t="s">
        <v>184</v>
      </c>
      <c r="DB90" s="290" t="s">
        <v>185</v>
      </c>
      <c r="DC90" s="290" t="s">
        <v>186</v>
      </c>
      <c r="DD90" s="290" t="s">
        <v>1070</v>
      </c>
      <c r="DE90" s="290" t="s">
        <v>1052</v>
      </c>
      <c r="DF90" s="292" t="s">
        <v>1067</v>
      </c>
      <c r="DG90" s="291" t="s">
        <v>1076</v>
      </c>
      <c r="DH90" s="290" t="s">
        <v>187</v>
      </c>
      <c r="DI90" s="290" t="s">
        <v>188</v>
      </c>
      <c r="DJ90" s="291" t="s">
        <v>189</v>
      </c>
      <c r="DK90" s="291" t="s">
        <v>190</v>
      </c>
      <c r="DL90" s="290" t="s">
        <v>191</v>
      </c>
      <c r="DM90" s="290" t="s">
        <v>1124</v>
      </c>
      <c r="DN90" s="293" t="s">
        <v>192</v>
      </c>
    </row>
    <row r="91" spans="1:118" x14ac:dyDescent="0.4">
      <c r="A91" s="166" t="s">
        <v>852</v>
      </c>
      <c r="B91" s="166" t="s">
        <v>853</v>
      </c>
      <c r="C91" s="35">
        <f>SUMIFS(ENTRADA[CANTIDAD],ENTRADA[COD],INVENTARIO[[#This Row],[COD]])</f>
        <v>9</v>
      </c>
      <c r="D91" s="34">
        <f>SUMIFS(SALIDA[CANTIDAD],SALIDA[COD],INVENTARIO[[#This Row],[COD]])</f>
        <v>0</v>
      </c>
      <c r="E91" s="33">
        <f>INVENTARIO[[#This Row],[ENTRADAS]]-INVENTARIO[[#This Row],[SALIDAS]]</f>
        <v>9</v>
      </c>
      <c r="F91" s="165" t="s">
        <v>42</v>
      </c>
      <c r="H91" s="38">
        <v>45678</v>
      </c>
      <c r="I91" s="32" t="s">
        <v>836</v>
      </c>
      <c r="J91" s="32" t="s">
        <v>837</v>
      </c>
      <c r="K91" s="35">
        <v>22</v>
      </c>
      <c r="L91" s="34" t="str">
        <f>_xlfn.XLOOKUP(ENTRADA[[#This Row],[COD]],INVENTARIO[COD],INVENTARIO[OBSERVACIONES])</f>
        <v>SGI</v>
      </c>
      <c r="M91" s="39">
        <v>45643</v>
      </c>
      <c r="N91" s="49" t="s">
        <v>743</v>
      </c>
      <c r="O91" s="32" t="str">
        <f>_xlfn.XLOOKUP(SALIDA[[#This Row],[COD]],INVENTARIO[COD],INVENTARIO[DETALLE],"DETALLAR")</f>
        <v>PANTALON TALLA 38</v>
      </c>
      <c r="P91" s="33">
        <v>1</v>
      </c>
      <c r="Q91" s="32" t="s">
        <v>851</v>
      </c>
      <c r="CE91" s="281"/>
      <c r="CF91" s="282"/>
      <c r="CG91" s="281"/>
      <c r="CH91" s="283"/>
      <c r="CI91" s="284"/>
      <c r="CJ91" s="283"/>
      <c r="CK91" s="283"/>
      <c r="CL91" s="285"/>
      <c r="CM91" s="283"/>
      <c r="CN91" s="283"/>
      <c r="CO91" s="283"/>
      <c r="CP91" s="284"/>
      <c r="CQ91" s="284"/>
      <c r="CR91" s="283"/>
      <c r="CS91" s="283"/>
      <c r="CT91" s="281"/>
      <c r="CV91" s="281"/>
      <c r="CW91" s="281">
        <v>36</v>
      </c>
      <c r="CX91" s="282"/>
      <c r="CY91" s="286"/>
      <c r="CZ91" s="284"/>
      <c r="DA91" s="283"/>
      <c r="DB91" s="283"/>
      <c r="DC91" s="283"/>
      <c r="DD91" s="283"/>
      <c r="DE91" s="283"/>
      <c r="DF91" s="287"/>
      <c r="DG91" s="284"/>
      <c r="DH91" s="284"/>
      <c r="DI91" s="283"/>
      <c r="DJ91" s="284"/>
      <c r="DK91" s="284"/>
      <c r="DL91" s="283"/>
      <c r="DM91" s="284"/>
      <c r="DN91" s="284"/>
    </row>
    <row r="92" spans="1:118" ht="16" thickBot="1" x14ac:dyDescent="0.45">
      <c r="A92" s="166" t="s">
        <v>854</v>
      </c>
      <c r="B92" s="166" t="s">
        <v>855</v>
      </c>
      <c r="C92" s="35">
        <f>SUMIFS(ENTRADA[CANTIDAD],ENTRADA[COD],INVENTARIO[[#This Row],[COD]])</f>
        <v>2</v>
      </c>
      <c r="D92" s="34">
        <f>SUMIFS(SALIDA[CANTIDAD],SALIDA[COD],INVENTARIO[[#This Row],[COD]])</f>
        <v>0</v>
      </c>
      <c r="E92" s="33">
        <f>INVENTARIO[[#This Row],[ENTRADAS]]-INVENTARIO[[#This Row],[SALIDAS]]</f>
        <v>2</v>
      </c>
      <c r="F92" s="165" t="s">
        <v>42</v>
      </c>
      <c r="H92" s="38">
        <v>45678</v>
      </c>
      <c r="I92" s="32" t="s">
        <v>838</v>
      </c>
      <c r="J92" s="32" t="str">
        <f>_xlfn.XLOOKUP(ENTRADA[[#This Row],[COD]],INVENTARIO[COD],INVENTARIO[DETALLE],"DETALLAR")</f>
        <v>SEÑALIZACION.EXTINT-ABC MULT PROPOS</v>
      </c>
      <c r="K92" s="35">
        <v>4</v>
      </c>
      <c r="L92" s="34" t="str">
        <f>_xlfn.XLOOKUP(ENTRADA[[#This Row],[COD]],INVENTARIO[COD],INVENTARIO[OBSERVACIONES])</f>
        <v>SGI</v>
      </c>
      <c r="M92" s="39">
        <v>45645</v>
      </c>
      <c r="N92" s="49" t="s">
        <v>681</v>
      </c>
      <c r="O92" s="32" t="str">
        <f>_xlfn.XLOOKUP(SALIDA[[#This Row],[COD]],INVENTARIO[COD],INVENTARIO[DETALLE],"DETALLAR")</f>
        <v>BUSO ISTHO  M</v>
      </c>
      <c r="P92" s="33">
        <v>1</v>
      </c>
      <c r="Q92" s="32" t="s">
        <v>856</v>
      </c>
    </row>
    <row r="93" spans="1:118" ht="16" thickBot="1" x14ac:dyDescent="0.45">
      <c r="A93" s="166" t="s">
        <v>857</v>
      </c>
      <c r="B93" s="166" t="s">
        <v>858</v>
      </c>
      <c r="C93" s="35">
        <f>SUMIFS(ENTRADA[CANTIDAD],ENTRADA[COD],INVENTARIO[[#This Row],[COD]])</f>
        <v>1</v>
      </c>
      <c r="D93" s="34">
        <f>SUMIFS(SALIDA[CANTIDAD],SALIDA[COD],INVENTARIO[[#This Row],[COD]])</f>
        <v>0</v>
      </c>
      <c r="E93" s="33">
        <f>INVENTARIO[[#This Row],[ENTRADAS]]-INVENTARIO[[#This Row],[SALIDAS]]</f>
        <v>1</v>
      </c>
      <c r="F93" s="165" t="s">
        <v>42</v>
      </c>
      <c r="H93" s="38">
        <v>45678</v>
      </c>
      <c r="I93" s="32" t="s">
        <v>841</v>
      </c>
      <c r="J93" s="32" t="str">
        <f>_xlfn.XLOOKUP(ENTRADA[[#This Row],[COD]],INVENTARIO[COD],INVENTARIO[DETALLE],"DETALLAR")</f>
        <v>SEÑALIZACION.EXTINT-SOLKAFLAM 123</v>
      </c>
      <c r="K93" s="35">
        <v>1</v>
      </c>
      <c r="L93" s="34" t="str">
        <f>_xlfn.XLOOKUP(ENTRADA[[#This Row],[COD]],INVENTARIO[COD],INVENTARIO[OBSERVACIONES])</f>
        <v>SGI</v>
      </c>
      <c r="M93" s="39">
        <v>45645</v>
      </c>
      <c r="N93" s="49" t="s">
        <v>608</v>
      </c>
      <c r="O93" s="32" t="str">
        <f>_xlfn.XLOOKUP(SALIDA[[#This Row],[COD]],INVENTARIO[COD],INVENTARIO[DETALLE],"DETALLAR")</f>
        <v>PANTALON TALLA 34</v>
      </c>
      <c r="P93" s="33">
        <v>1</v>
      </c>
      <c r="Q93" s="32" t="s">
        <v>856</v>
      </c>
      <c r="CE93" s="288" t="s">
        <v>13</v>
      </c>
      <c r="CF93" s="289" t="s">
        <v>165</v>
      </c>
      <c r="CG93" s="289" t="s">
        <v>166</v>
      </c>
      <c r="CH93" s="290" t="s">
        <v>167</v>
      </c>
      <c r="CI93" s="291" t="s">
        <v>168</v>
      </c>
      <c r="CJ93" s="290" t="s">
        <v>1</v>
      </c>
      <c r="CK93" s="290" t="s">
        <v>169</v>
      </c>
      <c r="CL93" s="289" t="s">
        <v>170</v>
      </c>
      <c r="CM93" s="290" t="s">
        <v>171</v>
      </c>
      <c r="CN93" s="290" t="s">
        <v>172</v>
      </c>
      <c r="CO93" s="290" t="s">
        <v>173</v>
      </c>
      <c r="CP93" s="291" t="s">
        <v>174</v>
      </c>
      <c r="CQ93" s="291" t="s">
        <v>175</v>
      </c>
      <c r="CR93" s="290" t="s">
        <v>176</v>
      </c>
      <c r="CS93" s="290" t="s">
        <v>177</v>
      </c>
      <c r="CT93" s="289" t="s">
        <v>2</v>
      </c>
      <c r="CU93" s="289" t="s">
        <v>178</v>
      </c>
      <c r="CV93" s="289" t="s">
        <v>179</v>
      </c>
      <c r="CW93" s="289" t="s">
        <v>180</v>
      </c>
      <c r="CX93" s="289" t="s">
        <v>181</v>
      </c>
      <c r="CY93" s="291" t="s">
        <v>182</v>
      </c>
      <c r="CZ93" s="291" t="s">
        <v>183</v>
      </c>
      <c r="DA93" s="290" t="s">
        <v>184</v>
      </c>
      <c r="DB93" s="290" t="s">
        <v>185</v>
      </c>
      <c r="DC93" s="290" t="s">
        <v>186</v>
      </c>
      <c r="DD93" s="290" t="s">
        <v>1070</v>
      </c>
      <c r="DE93" s="290" t="s">
        <v>1052</v>
      </c>
      <c r="DF93" s="292" t="s">
        <v>1067</v>
      </c>
      <c r="DG93" s="291" t="s">
        <v>1076</v>
      </c>
      <c r="DH93" s="290" t="s">
        <v>187</v>
      </c>
      <c r="DI93" s="290" t="s">
        <v>188</v>
      </c>
      <c r="DJ93" s="291" t="s">
        <v>189</v>
      </c>
      <c r="DK93" s="291" t="s">
        <v>190</v>
      </c>
      <c r="DL93" s="290" t="s">
        <v>191</v>
      </c>
      <c r="DM93" s="290" t="s">
        <v>1124</v>
      </c>
      <c r="DN93" s="293" t="s">
        <v>192</v>
      </c>
    </row>
    <row r="94" spans="1:118" x14ac:dyDescent="0.4">
      <c r="A94" s="166" t="s">
        <v>859</v>
      </c>
      <c r="B94" s="166" t="s">
        <v>860</v>
      </c>
      <c r="C94" s="35">
        <f>SUMIFS(ENTRADA[CANTIDAD],ENTRADA[COD],INVENTARIO[[#This Row],[COD]])</f>
        <v>1</v>
      </c>
      <c r="D94" s="34">
        <f>SUMIFS(SALIDA[CANTIDAD],SALIDA[COD],INVENTARIO[[#This Row],[COD]])</f>
        <v>0</v>
      </c>
      <c r="E94" s="33">
        <f>INVENTARIO[[#This Row],[ENTRADAS]]-INVENTARIO[[#This Row],[SALIDAS]]</f>
        <v>1</v>
      </c>
      <c r="F94" s="165" t="s">
        <v>42</v>
      </c>
      <c r="H94" s="38">
        <v>45678</v>
      </c>
      <c r="I94" s="32" t="s">
        <v>844</v>
      </c>
      <c r="J94" s="32" t="str">
        <f>_xlfn.XLOOKUP(ENTRADA[[#This Row],[COD]],INVENTARIO[COD],INVENTARIO[DETALLE],"DETALLAR")</f>
        <v>SEÑALIZACION.EXTINT-GAS CARBONICO CO2</v>
      </c>
      <c r="K94" s="35">
        <v>1</v>
      </c>
      <c r="L94" s="34" t="str">
        <f>_xlfn.XLOOKUP(ENTRADA[[#This Row],[COD]],INVENTARIO[COD],INVENTARIO[OBSERVACIONES])</f>
        <v>SGI</v>
      </c>
      <c r="M94" s="39">
        <v>45645</v>
      </c>
      <c r="N94" s="49" t="s">
        <v>686</v>
      </c>
      <c r="O94" s="32" t="str">
        <f>_xlfn.XLOOKUP(SALIDA[[#This Row],[COD]],INVENTARIO[COD],INVENTARIO[DETALLE],"DETALLAR")</f>
        <v>BUSO ISTHO  L</v>
      </c>
      <c r="P94" s="33">
        <v>1</v>
      </c>
      <c r="Q94" s="32" t="s">
        <v>411</v>
      </c>
      <c r="CE94" s="281"/>
      <c r="CF94" s="282"/>
      <c r="CG94" s="281"/>
      <c r="CH94" s="283"/>
      <c r="CI94" s="284"/>
      <c r="CJ94" s="283"/>
      <c r="CK94" s="283"/>
      <c r="CL94" s="285"/>
      <c r="CM94" s="283"/>
      <c r="CN94" s="283"/>
      <c r="CO94" s="283"/>
      <c r="CP94" s="284"/>
      <c r="CQ94" s="284"/>
      <c r="CR94" s="283"/>
      <c r="CS94" s="283"/>
      <c r="CT94" s="281"/>
      <c r="CV94" s="281"/>
      <c r="CW94" s="281">
        <v>38</v>
      </c>
      <c r="CX94" s="282"/>
      <c r="CY94" s="286"/>
      <c r="CZ94" s="284"/>
      <c r="DA94" s="283"/>
      <c r="DB94" s="283"/>
      <c r="DC94" s="283"/>
      <c r="DD94" s="283"/>
      <c r="DE94" s="283"/>
      <c r="DF94" s="287"/>
      <c r="DG94" s="284"/>
      <c r="DH94" s="284"/>
      <c r="DI94" s="283"/>
      <c r="DJ94" s="284"/>
      <c r="DK94" s="284"/>
      <c r="DL94" s="283"/>
      <c r="DM94" s="284"/>
      <c r="DN94" s="284"/>
    </row>
    <row r="95" spans="1:118" ht="16" thickBot="1" x14ac:dyDescent="0.45">
      <c r="A95" s="166" t="s">
        <v>861</v>
      </c>
      <c r="B95" s="166" t="s">
        <v>862</v>
      </c>
      <c r="C95" s="35">
        <f>SUMIFS(ENTRADA[CANTIDAD],ENTRADA[COD],INVENTARIO[[#This Row],[COD]])</f>
        <v>2</v>
      </c>
      <c r="D95" s="34">
        <f>SUMIFS(SALIDA[CANTIDAD],SALIDA[COD],INVENTARIO[[#This Row],[COD]])</f>
        <v>0</v>
      </c>
      <c r="E95" s="33">
        <f>INVENTARIO[[#This Row],[ENTRADAS]]-INVENTARIO[[#This Row],[SALIDAS]]</f>
        <v>2</v>
      </c>
      <c r="F95" s="165" t="s">
        <v>42</v>
      </c>
      <c r="H95" s="38">
        <v>45678</v>
      </c>
      <c r="I95" s="32" t="s">
        <v>846</v>
      </c>
      <c r="J95" s="32" t="str">
        <f>_xlfn.XLOOKUP(ENTRADA[[#This Row],[COD]],INVENTARIO[COD],INVENTARIO[DETALLE],"DETALLAR")</f>
        <v xml:space="preserve">SEÑALIZACION-PELIG CUARTO ELECTRICO </v>
      </c>
      <c r="K95" s="35">
        <v>2</v>
      </c>
      <c r="L95" s="34" t="str">
        <f>_xlfn.XLOOKUP(ENTRADA[[#This Row],[COD]],INVENTARIO[COD],INVENTARIO[OBSERVACIONES])</f>
        <v>SGI</v>
      </c>
      <c r="M95" s="39">
        <v>45645</v>
      </c>
      <c r="N95" s="49" t="s">
        <v>743</v>
      </c>
      <c r="O95" s="32" t="str">
        <f>_xlfn.XLOOKUP(SALIDA[[#This Row],[COD]],INVENTARIO[COD],INVENTARIO[DETALLE],"DETALLAR")</f>
        <v>PANTALON TALLA 38</v>
      </c>
      <c r="P95" s="33">
        <v>1</v>
      </c>
      <c r="Q95" s="32" t="s">
        <v>411</v>
      </c>
    </row>
    <row r="96" spans="1:118" ht="16" thickBot="1" x14ac:dyDescent="0.45">
      <c r="A96" s="166" t="s">
        <v>863</v>
      </c>
      <c r="B96" s="166" t="s">
        <v>864</v>
      </c>
      <c r="C96" s="35">
        <f>SUMIFS(ENTRADA[CANTIDAD],ENTRADA[COD],INVENTARIO[[#This Row],[COD]])</f>
        <v>3</v>
      </c>
      <c r="D96" s="34">
        <f>SUMIFS(SALIDA[CANTIDAD],SALIDA[COD],INVENTARIO[[#This Row],[COD]])</f>
        <v>0</v>
      </c>
      <c r="E96" s="33">
        <f>INVENTARIO[[#This Row],[ENTRADAS]]-INVENTARIO[[#This Row],[SALIDAS]]</f>
        <v>3</v>
      </c>
      <c r="F96" s="165" t="s">
        <v>42</v>
      </c>
      <c r="H96" s="38">
        <v>45678</v>
      </c>
      <c r="I96" s="32" t="s">
        <v>849</v>
      </c>
      <c r="J96" s="32" t="str">
        <f>_xlfn.XLOOKUP(ENTRADA[[#This Row],[COD]],INVENTARIO[COD],INVENTARIO[DETALLE],"DETALLAR")</f>
        <v>SEÑALIZACION-RUTA DE EVACUACION GRANDE</v>
      </c>
      <c r="K96" s="35">
        <v>12</v>
      </c>
      <c r="L96" s="34" t="str">
        <f>_xlfn.XLOOKUP(ENTRADA[[#This Row],[COD]],INVENTARIO[COD],INVENTARIO[OBSERVACIONES])</f>
        <v>SGI</v>
      </c>
      <c r="M96" s="39">
        <v>45646</v>
      </c>
      <c r="N96" s="49" t="s">
        <v>670</v>
      </c>
      <c r="O96" s="32" t="str">
        <f>_xlfn.XLOOKUP(SALIDA[[#This Row],[COD]],INVENTARIO[COD],INVENTARIO[DETALLE],"DETALLAR")</f>
        <v>BUSO APOYO LOGISTICO L</v>
      </c>
      <c r="P96" s="33">
        <v>1</v>
      </c>
      <c r="Q96" s="32" t="s">
        <v>865</v>
      </c>
      <c r="CE96" s="288" t="s">
        <v>13</v>
      </c>
      <c r="CF96" s="289" t="s">
        <v>165</v>
      </c>
      <c r="CG96" s="289" t="s">
        <v>166</v>
      </c>
      <c r="CH96" s="290" t="s">
        <v>167</v>
      </c>
      <c r="CI96" s="291" t="s">
        <v>168</v>
      </c>
      <c r="CJ96" s="290" t="s">
        <v>1</v>
      </c>
      <c r="CK96" s="290" t="s">
        <v>169</v>
      </c>
      <c r="CL96" s="289" t="s">
        <v>170</v>
      </c>
      <c r="CM96" s="290" t="s">
        <v>171</v>
      </c>
      <c r="CN96" s="290" t="s">
        <v>172</v>
      </c>
      <c r="CO96" s="290" t="s">
        <v>173</v>
      </c>
      <c r="CP96" s="291" t="s">
        <v>174</v>
      </c>
      <c r="CQ96" s="291" t="s">
        <v>175</v>
      </c>
      <c r="CR96" s="290" t="s">
        <v>176</v>
      </c>
      <c r="CS96" s="290" t="s">
        <v>177</v>
      </c>
      <c r="CT96" s="289" t="s">
        <v>2</v>
      </c>
      <c r="CU96" s="289" t="s">
        <v>178</v>
      </c>
      <c r="CV96" s="289" t="s">
        <v>179</v>
      </c>
      <c r="CW96" s="289" t="s">
        <v>180</v>
      </c>
      <c r="CX96" s="289" t="s">
        <v>181</v>
      </c>
      <c r="CY96" s="291" t="s">
        <v>182</v>
      </c>
      <c r="CZ96" s="291" t="s">
        <v>183</v>
      </c>
      <c r="DA96" s="290" t="s">
        <v>184</v>
      </c>
      <c r="DB96" s="290" t="s">
        <v>185</v>
      </c>
      <c r="DC96" s="290" t="s">
        <v>186</v>
      </c>
      <c r="DD96" s="290" t="s">
        <v>1070</v>
      </c>
      <c r="DE96" s="290" t="s">
        <v>1052</v>
      </c>
      <c r="DF96" s="292" t="s">
        <v>1067</v>
      </c>
      <c r="DG96" s="291" t="s">
        <v>1076</v>
      </c>
      <c r="DH96" s="290" t="s">
        <v>187</v>
      </c>
      <c r="DI96" s="290" t="s">
        <v>188</v>
      </c>
      <c r="DJ96" s="291" t="s">
        <v>189</v>
      </c>
      <c r="DK96" s="291" t="s">
        <v>190</v>
      </c>
      <c r="DL96" s="290" t="s">
        <v>191</v>
      </c>
      <c r="DM96" s="290" t="s">
        <v>1124</v>
      </c>
      <c r="DN96" s="293" t="s">
        <v>192</v>
      </c>
    </row>
    <row r="97" spans="1:118" x14ac:dyDescent="0.4">
      <c r="A97" s="166" t="s">
        <v>866</v>
      </c>
      <c r="B97" s="166" t="s">
        <v>867</v>
      </c>
      <c r="C97" s="35">
        <f>SUMIFS(ENTRADA[CANTIDAD],ENTRADA[COD],INVENTARIO[[#This Row],[COD]])</f>
        <v>1</v>
      </c>
      <c r="D97" s="34">
        <f>SUMIFS(SALIDA[CANTIDAD],SALIDA[COD],INVENTARIO[[#This Row],[COD]])</f>
        <v>0</v>
      </c>
      <c r="E97" s="33">
        <f>INVENTARIO[[#This Row],[ENTRADAS]]-INVENTARIO[[#This Row],[SALIDAS]]</f>
        <v>1</v>
      </c>
      <c r="F97" s="165" t="s">
        <v>42</v>
      </c>
      <c r="H97" s="38">
        <v>45678</v>
      </c>
      <c r="I97" s="32" t="s">
        <v>852</v>
      </c>
      <c r="J97" s="32" t="str">
        <f>_xlfn.XLOOKUP(ENTRADA[[#This Row],[COD]],INVENTARIO[COD],INVENTARIO[DETALLE],"DETALLAR")</f>
        <v>SEÑALIZACION-RUTA DE EVACUACION PEQU</v>
      </c>
      <c r="K97" s="35">
        <v>9</v>
      </c>
      <c r="L97" s="34" t="str">
        <f>_xlfn.XLOOKUP(ENTRADA[[#This Row],[COD]],INVENTARIO[COD],INVENTARIO[OBSERVACIONES])</f>
        <v>SGI</v>
      </c>
      <c r="M97" s="39">
        <v>45646</v>
      </c>
      <c r="N97" s="49" t="s">
        <v>608</v>
      </c>
      <c r="O97" s="32" t="str">
        <f>_xlfn.XLOOKUP(SALIDA[[#This Row],[COD]],INVENTARIO[COD],INVENTARIO[DETALLE],"DETALLAR")</f>
        <v>PANTALON TALLA 34</v>
      </c>
      <c r="P97" s="33">
        <v>1</v>
      </c>
      <c r="Q97" s="32" t="s">
        <v>865</v>
      </c>
      <c r="CE97" s="281"/>
      <c r="CF97" s="282"/>
      <c r="CG97" s="281"/>
      <c r="CH97" s="283"/>
      <c r="CI97" s="284"/>
      <c r="CJ97" s="283"/>
      <c r="CK97" s="283"/>
      <c r="CL97" s="285"/>
      <c r="CM97" s="283"/>
      <c r="CN97" s="283"/>
      <c r="CO97" s="283"/>
      <c r="CP97" s="284"/>
      <c r="CQ97" s="284"/>
      <c r="CR97" s="283"/>
      <c r="CS97" s="283"/>
      <c r="CT97" s="281"/>
      <c r="CV97" s="281"/>
      <c r="CW97" s="281">
        <v>39</v>
      </c>
      <c r="CX97" s="282"/>
      <c r="CY97" s="286"/>
      <c r="CZ97" s="284"/>
      <c r="DA97" s="283"/>
      <c r="DB97" s="283"/>
      <c r="DC97" s="283"/>
      <c r="DD97" s="283"/>
      <c r="DE97" s="283"/>
      <c r="DF97" s="287"/>
      <c r="DG97" s="284"/>
      <c r="DH97" s="284"/>
      <c r="DI97" s="283"/>
      <c r="DJ97" s="284"/>
      <c r="DK97" s="284"/>
      <c r="DL97" s="283"/>
      <c r="DM97" s="284"/>
      <c r="DN97" s="284"/>
    </row>
    <row r="98" spans="1:118" ht="16" thickBot="1" x14ac:dyDescent="0.45">
      <c r="A98" s="166" t="s">
        <v>868</v>
      </c>
      <c r="B98" s="166" t="s">
        <v>869</v>
      </c>
      <c r="C98" s="35">
        <f>SUMIFS(ENTRADA[CANTIDAD],ENTRADA[COD],INVENTARIO[[#This Row],[COD]])</f>
        <v>1</v>
      </c>
      <c r="D98" s="34">
        <f>SUMIFS(SALIDA[CANTIDAD],SALIDA[COD],INVENTARIO[[#This Row],[COD]])</f>
        <v>0</v>
      </c>
      <c r="E98" s="33">
        <f>INVENTARIO[[#This Row],[ENTRADAS]]-INVENTARIO[[#This Row],[SALIDAS]]</f>
        <v>1</v>
      </c>
      <c r="F98" s="165" t="s">
        <v>42</v>
      </c>
      <c r="H98" s="38">
        <v>45678</v>
      </c>
      <c r="I98" s="32" t="s">
        <v>854</v>
      </c>
      <c r="J98" s="32" t="str">
        <f>_xlfn.XLOOKUP(ENTRADA[[#This Row],[COD]],INVENTARIO[COD],INVENTARIO[DETALLE],"DETALLAR")</f>
        <v>SEÑALIZACION-BOTIQUIN</v>
      </c>
      <c r="K98" s="35">
        <v>2</v>
      </c>
      <c r="L98" s="34" t="str">
        <f>_xlfn.XLOOKUP(ENTRADA[[#This Row],[COD]],INVENTARIO[COD],INVENTARIO[OBSERVACIONES])</f>
        <v>SGI</v>
      </c>
      <c r="M98" s="39">
        <v>45660</v>
      </c>
      <c r="N98" s="49" t="s">
        <v>608</v>
      </c>
      <c r="O98" s="32" t="str">
        <f>_xlfn.XLOOKUP(SALIDA[[#This Row],[COD]],INVENTARIO[COD],INVENTARIO[DETALLE],"DETALLAR")</f>
        <v>PANTALON TALLA 34</v>
      </c>
      <c r="P98" s="33">
        <v>1</v>
      </c>
      <c r="Q98" s="32" t="s">
        <v>865</v>
      </c>
    </row>
    <row r="99" spans="1:118" ht="16" thickBot="1" x14ac:dyDescent="0.45">
      <c r="A99" s="166" t="s">
        <v>870</v>
      </c>
      <c r="B99" s="166" t="s">
        <v>871</v>
      </c>
      <c r="C99" s="35">
        <f>SUMIFS(ENTRADA[CANTIDAD],ENTRADA[COD],INVENTARIO[[#This Row],[COD]])</f>
        <v>1</v>
      </c>
      <c r="D99" s="34">
        <f>SUMIFS(SALIDA[CANTIDAD],SALIDA[COD],INVENTARIO[[#This Row],[COD]])</f>
        <v>0</v>
      </c>
      <c r="E99" s="33">
        <f>INVENTARIO[[#This Row],[ENTRADAS]]-INVENTARIO[[#This Row],[SALIDAS]]</f>
        <v>1</v>
      </c>
      <c r="F99" s="165" t="s">
        <v>42</v>
      </c>
      <c r="H99" s="38">
        <v>45678</v>
      </c>
      <c r="I99" s="32" t="s">
        <v>857</v>
      </c>
      <c r="J99" s="32" t="str">
        <f>_xlfn.XLOOKUP(ENTRADA[[#This Row],[COD]],INVENTARIO[COD],INVENTARIO[DETALLE],"DETALLAR")</f>
        <v>SEÑALIZACION-PELIG CAIDA OBJETO</v>
      </c>
      <c r="K99" s="35">
        <v>1</v>
      </c>
      <c r="L99" s="34" t="str">
        <f>_xlfn.XLOOKUP(ENTRADA[[#This Row],[COD]],INVENTARIO[COD],INVENTARIO[OBSERVACIONES])</f>
        <v>SGI</v>
      </c>
      <c r="M99" s="39">
        <v>45660</v>
      </c>
      <c r="N99" s="49" t="s">
        <v>608</v>
      </c>
      <c r="O99" s="32" t="str">
        <f>_xlfn.XLOOKUP(SALIDA[[#This Row],[COD]],INVENTARIO[COD],INVENTARIO[DETALLE],"DETALLAR")</f>
        <v>PANTALON TALLA 34</v>
      </c>
      <c r="P99" s="33">
        <v>1</v>
      </c>
      <c r="Q99" s="32" t="s">
        <v>411</v>
      </c>
      <c r="CE99" s="288" t="s">
        <v>13</v>
      </c>
      <c r="CF99" s="289" t="s">
        <v>165</v>
      </c>
      <c r="CG99" s="289" t="s">
        <v>166</v>
      </c>
      <c r="CH99" s="290" t="s">
        <v>167</v>
      </c>
      <c r="CI99" s="291" t="s">
        <v>168</v>
      </c>
      <c r="CJ99" s="290" t="s">
        <v>1</v>
      </c>
      <c r="CK99" s="290" t="s">
        <v>169</v>
      </c>
      <c r="CL99" s="289" t="s">
        <v>170</v>
      </c>
      <c r="CM99" s="290" t="s">
        <v>171</v>
      </c>
      <c r="CN99" s="290" t="s">
        <v>172</v>
      </c>
      <c r="CO99" s="290" t="s">
        <v>173</v>
      </c>
      <c r="CP99" s="291" t="s">
        <v>174</v>
      </c>
      <c r="CQ99" s="291" t="s">
        <v>175</v>
      </c>
      <c r="CR99" s="290" t="s">
        <v>176</v>
      </c>
      <c r="CS99" s="290" t="s">
        <v>177</v>
      </c>
      <c r="CT99" s="289" t="s">
        <v>2</v>
      </c>
      <c r="CU99" s="289" t="s">
        <v>178</v>
      </c>
      <c r="CV99" s="289" t="s">
        <v>179</v>
      </c>
      <c r="CW99" s="289" t="s">
        <v>180</v>
      </c>
      <c r="CX99" s="289" t="s">
        <v>181</v>
      </c>
      <c r="CY99" s="291" t="s">
        <v>182</v>
      </c>
      <c r="CZ99" s="291" t="s">
        <v>183</v>
      </c>
      <c r="DA99" s="290" t="s">
        <v>184</v>
      </c>
      <c r="DB99" s="290" t="s">
        <v>185</v>
      </c>
      <c r="DC99" s="290" t="s">
        <v>186</v>
      </c>
      <c r="DD99" s="290" t="s">
        <v>1070</v>
      </c>
      <c r="DE99" s="290" t="s">
        <v>1052</v>
      </c>
      <c r="DF99" s="292" t="s">
        <v>1067</v>
      </c>
      <c r="DG99" s="291" t="s">
        <v>1076</v>
      </c>
      <c r="DH99" s="290" t="s">
        <v>187</v>
      </c>
      <c r="DI99" s="290" t="s">
        <v>188</v>
      </c>
      <c r="DJ99" s="291" t="s">
        <v>189</v>
      </c>
      <c r="DK99" s="291" t="s">
        <v>190</v>
      </c>
      <c r="DL99" s="290" t="s">
        <v>191</v>
      </c>
      <c r="DM99" s="290" t="s">
        <v>1124</v>
      </c>
      <c r="DN99" s="293" t="s">
        <v>192</v>
      </c>
    </row>
    <row r="100" spans="1:118" x14ac:dyDescent="0.4">
      <c r="A100" s="166" t="s">
        <v>872</v>
      </c>
      <c r="B100" s="166" t="s">
        <v>873</v>
      </c>
      <c r="C100" s="35">
        <f>SUMIFS(ENTRADA[CANTIDAD],ENTRADA[COD],INVENTARIO[[#This Row],[COD]])</f>
        <v>1</v>
      </c>
      <c r="D100" s="34">
        <f>SUMIFS(SALIDA[CANTIDAD],SALIDA[COD],INVENTARIO[[#This Row],[COD]])</f>
        <v>0</v>
      </c>
      <c r="E100" s="33">
        <f>INVENTARIO[[#This Row],[ENTRADAS]]-INVENTARIO[[#This Row],[SALIDAS]]</f>
        <v>1</v>
      </c>
      <c r="F100" s="165" t="s">
        <v>42</v>
      </c>
      <c r="H100" s="38">
        <v>45678</v>
      </c>
      <c r="I100" s="32" t="s">
        <v>859</v>
      </c>
      <c r="J100" s="32" t="str">
        <f>_xlfn.XLOOKUP(ENTRADA[[#This Row],[COD]],INVENTARIO[COD],INVENTARIO[DETALLE],"DETALLAR")</f>
        <v>SEÑALIZACION-RESPIRE TRANQUILO</v>
      </c>
      <c r="K100" s="35">
        <v>1</v>
      </c>
      <c r="L100" s="34" t="str">
        <f>_xlfn.XLOOKUP(ENTRADA[[#This Row],[COD]],INVENTARIO[COD],INVENTARIO[OBSERVACIONES])</f>
        <v>SGI</v>
      </c>
      <c r="M100" s="39">
        <v>45660</v>
      </c>
      <c r="N100" s="49" t="s">
        <v>608</v>
      </c>
      <c r="O100" s="32" t="str">
        <f>_xlfn.XLOOKUP(SALIDA[[#This Row],[COD]],INVENTARIO[COD],INVENTARIO[DETALLE],"DETALLAR")</f>
        <v>PANTALON TALLA 34</v>
      </c>
      <c r="P100" s="33">
        <v>1</v>
      </c>
      <c r="Q100" s="32" t="s">
        <v>874</v>
      </c>
      <c r="CE100" s="281"/>
      <c r="CF100" s="282"/>
      <c r="CG100" s="281"/>
      <c r="CH100" s="283"/>
      <c r="CI100" s="284"/>
      <c r="CJ100" s="283"/>
      <c r="CK100" s="283"/>
      <c r="CL100" s="285"/>
      <c r="CM100" s="283"/>
      <c r="CN100" s="283"/>
      <c r="CO100" s="283"/>
      <c r="CP100" s="284"/>
      <c r="CQ100" s="284"/>
      <c r="CR100" s="283"/>
      <c r="CS100" s="283"/>
      <c r="CT100" s="281"/>
      <c r="CV100" s="281"/>
      <c r="CW100" s="281">
        <v>40</v>
      </c>
      <c r="CX100" s="282"/>
      <c r="CY100" s="286"/>
      <c r="CZ100" s="284"/>
      <c r="DA100" s="283"/>
      <c r="DB100" s="283"/>
      <c r="DC100" s="283"/>
      <c r="DD100" s="283"/>
      <c r="DE100" s="283"/>
      <c r="DF100" s="287"/>
      <c r="DG100" s="284"/>
      <c r="DH100" s="284"/>
      <c r="DI100" s="283"/>
      <c r="DJ100" s="284"/>
      <c r="DK100" s="284"/>
      <c r="DL100" s="283"/>
      <c r="DM100" s="284"/>
      <c r="DN100" s="284"/>
    </row>
    <row r="101" spans="1:118" ht="16" thickBot="1" x14ac:dyDescent="0.45">
      <c r="A101" s="166" t="s">
        <v>875</v>
      </c>
      <c r="B101" s="166" t="s">
        <v>876</v>
      </c>
      <c r="C101" s="35">
        <f>SUMIFS(ENTRADA[CANTIDAD],ENTRADA[COD],INVENTARIO[[#This Row],[COD]])</f>
        <v>2</v>
      </c>
      <c r="D101" s="34">
        <f>SUMIFS(SALIDA[CANTIDAD],SALIDA[COD],INVENTARIO[[#This Row],[COD]])</f>
        <v>0</v>
      </c>
      <c r="E101" s="33">
        <f>INVENTARIO[[#This Row],[ENTRADAS]]-INVENTARIO[[#This Row],[SALIDAS]]</f>
        <v>2</v>
      </c>
      <c r="F101" s="165" t="s">
        <v>42</v>
      </c>
      <c r="H101" s="38">
        <v>45678</v>
      </c>
      <c r="I101" s="32" t="s">
        <v>861</v>
      </c>
      <c r="J101" s="32" t="str">
        <f>_xlfn.XLOOKUP(ENTRADA[[#This Row],[COD]],INVENTARIO[COD],INVENTARIO[DETALLE],"DETALLAR")</f>
        <v>SEÑALIZACION-ESCALERAS</v>
      </c>
      <c r="K101" s="35">
        <v>2</v>
      </c>
      <c r="L101" s="34" t="str">
        <f>_xlfn.XLOOKUP(ENTRADA[[#This Row],[COD]],INVENTARIO[COD],INVENTARIO[OBSERVACIONES])</f>
        <v>SGI</v>
      </c>
      <c r="M101" s="39">
        <v>45660</v>
      </c>
      <c r="N101" s="49" t="s">
        <v>608</v>
      </c>
      <c r="O101" s="32" t="str">
        <f>_xlfn.XLOOKUP(SALIDA[[#This Row],[COD]],INVENTARIO[COD],INVENTARIO[DETALLE],"DETALLAR")</f>
        <v>PANTALON TALLA 34</v>
      </c>
      <c r="P101" s="33">
        <v>1</v>
      </c>
      <c r="Q101" s="32" t="s">
        <v>877</v>
      </c>
    </row>
    <row r="102" spans="1:118" ht="16" thickBot="1" x14ac:dyDescent="0.45">
      <c r="A102" s="166" t="s">
        <v>878</v>
      </c>
      <c r="B102" s="166" t="s">
        <v>879</v>
      </c>
      <c r="C102" s="35">
        <f>SUMIFS(ENTRADA[CANTIDAD],ENTRADA[COD],INVENTARIO[[#This Row],[COD]])</f>
        <v>2</v>
      </c>
      <c r="D102" s="34">
        <f>SUMIFS(SALIDA[CANTIDAD],SALIDA[COD],INVENTARIO[[#This Row],[COD]])</f>
        <v>0</v>
      </c>
      <c r="E102" s="33">
        <f>INVENTARIO[[#This Row],[ENTRADAS]]-INVENTARIO[[#This Row],[SALIDAS]]</f>
        <v>2</v>
      </c>
      <c r="F102" s="165" t="s">
        <v>42</v>
      </c>
      <c r="H102" s="38">
        <v>45678</v>
      </c>
      <c r="I102" s="32" t="s">
        <v>863</v>
      </c>
      <c r="J102" s="32" t="str">
        <f>_xlfn.XLOOKUP(ENTRADA[[#This Row],[COD]],INVENTARIO[COD],INVENTARIO[DETALLE],"DETALLAR")</f>
        <v>SEÑALIZACION-SALIDA EMERGENCIA</v>
      </c>
      <c r="K102" s="35">
        <v>3</v>
      </c>
      <c r="L102" s="34" t="str">
        <f>_xlfn.XLOOKUP(ENTRADA[[#This Row],[COD]],INVENTARIO[COD],INVENTARIO[OBSERVACIONES])</f>
        <v>SGI</v>
      </c>
      <c r="M102" s="39">
        <v>45660</v>
      </c>
      <c r="N102" s="49" t="s">
        <v>608</v>
      </c>
      <c r="O102" s="32" t="str">
        <f>_xlfn.XLOOKUP(SALIDA[[#This Row],[COD]],INVENTARIO[COD],INVENTARIO[DETALLE],"DETALLAR")</f>
        <v>PANTALON TALLA 34</v>
      </c>
      <c r="P102" s="33">
        <v>1</v>
      </c>
      <c r="Q102" s="32" t="s">
        <v>1089</v>
      </c>
      <c r="CE102" s="288" t="s">
        <v>13</v>
      </c>
      <c r="CF102" s="289" t="s">
        <v>165</v>
      </c>
      <c r="CG102" s="289" t="s">
        <v>166</v>
      </c>
      <c r="CH102" s="290" t="s">
        <v>167</v>
      </c>
      <c r="CI102" s="291" t="s">
        <v>168</v>
      </c>
      <c r="CJ102" s="290" t="s">
        <v>1</v>
      </c>
      <c r="CK102" s="290" t="s">
        <v>169</v>
      </c>
      <c r="CL102" s="289" t="s">
        <v>170</v>
      </c>
      <c r="CM102" s="290" t="s">
        <v>171</v>
      </c>
      <c r="CN102" s="290" t="s">
        <v>172</v>
      </c>
      <c r="CO102" s="290" t="s">
        <v>173</v>
      </c>
      <c r="CP102" s="291" t="s">
        <v>174</v>
      </c>
      <c r="CQ102" s="291" t="s">
        <v>175</v>
      </c>
      <c r="CR102" s="290" t="s">
        <v>176</v>
      </c>
      <c r="CS102" s="290" t="s">
        <v>177</v>
      </c>
      <c r="CT102" s="289" t="s">
        <v>2</v>
      </c>
      <c r="CU102" s="289" t="s">
        <v>178</v>
      </c>
      <c r="CV102" s="289" t="s">
        <v>179</v>
      </c>
      <c r="CW102" s="289" t="s">
        <v>180</v>
      </c>
      <c r="CX102" s="289" t="s">
        <v>181</v>
      </c>
      <c r="CY102" s="291" t="s">
        <v>182</v>
      </c>
      <c r="CZ102" s="291" t="s">
        <v>183</v>
      </c>
      <c r="DA102" s="290" t="s">
        <v>184</v>
      </c>
      <c r="DB102" s="290" t="s">
        <v>185</v>
      </c>
      <c r="DC102" s="290" t="s">
        <v>186</v>
      </c>
      <c r="DD102" s="290" t="s">
        <v>1070</v>
      </c>
      <c r="DE102" s="290" t="s">
        <v>1052</v>
      </c>
      <c r="DF102" s="292" t="s">
        <v>1067</v>
      </c>
      <c r="DG102" s="291" t="s">
        <v>1076</v>
      </c>
      <c r="DH102" s="290" t="s">
        <v>187</v>
      </c>
      <c r="DI102" s="290" t="s">
        <v>188</v>
      </c>
      <c r="DJ102" s="291" t="s">
        <v>189</v>
      </c>
      <c r="DK102" s="291" t="s">
        <v>190</v>
      </c>
      <c r="DL102" s="290" t="s">
        <v>191</v>
      </c>
      <c r="DM102" s="290" t="s">
        <v>1124</v>
      </c>
      <c r="DN102" s="293" t="s">
        <v>192</v>
      </c>
    </row>
    <row r="103" spans="1:118" x14ac:dyDescent="0.4">
      <c r="A103" s="166" t="s">
        <v>880</v>
      </c>
      <c r="B103" s="166" t="s">
        <v>881</v>
      </c>
      <c r="C103" s="35">
        <f>SUMIFS(ENTRADA[CANTIDAD],ENTRADA[COD],INVENTARIO[[#This Row],[COD]])</f>
        <v>1</v>
      </c>
      <c r="D103" s="34">
        <f>SUMIFS(SALIDA[CANTIDAD],SALIDA[COD],INVENTARIO[[#This Row],[COD]])</f>
        <v>0</v>
      </c>
      <c r="E103" s="33">
        <f>INVENTARIO[[#This Row],[ENTRADAS]]-INVENTARIO[[#This Row],[SALIDAS]]</f>
        <v>1</v>
      </c>
      <c r="F103" s="165" t="s">
        <v>42</v>
      </c>
      <c r="H103" s="38">
        <v>45678</v>
      </c>
      <c r="I103" s="32" t="s">
        <v>866</v>
      </c>
      <c r="J103" s="32" t="str">
        <f>_xlfn.XLOOKUP(ENTRADA[[#This Row],[COD]],INVENTARIO[COD],INVENTARIO[DETALLE],"DETALLAR")</f>
        <v>SEÑALIZACION-USAR ALCOHOL EN GEL</v>
      </c>
      <c r="K103" s="35">
        <v>1</v>
      </c>
      <c r="L103" s="34" t="str">
        <f>_xlfn.XLOOKUP(ENTRADA[[#This Row],[COD]],INVENTARIO[COD],INVENTARIO[OBSERVACIONES])</f>
        <v>SGI</v>
      </c>
      <c r="M103" s="39">
        <v>45660</v>
      </c>
      <c r="N103" s="49" t="s">
        <v>608</v>
      </c>
      <c r="O103" s="32" t="str">
        <f>_xlfn.XLOOKUP(SALIDA[[#This Row],[COD]],INVENTARIO[COD],INVENTARIO[DETALLE],"DETALLAR")</f>
        <v>PANTALON TALLA 34</v>
      </c>
      <c r="P103" s="33">
        <v>1</v>
      </c>
      <c r="Q103" s="32" t="s">
        <v>882</v>
      </c>
      <c r="CE103" s="281"/>
      <c r="CF103" s="282"/>
      <c r="CG103" s="281"/>
      <c r="CH103" s="283"/>
      <c r="CI103" s="284"/>
      <c r="CJ103" s="283"/>
      <c r="CK103" s="283"/>
      <c r="CL103" s="285"/>
      <c r="CM103" s="283"/>
      <c r="CN103" s="283"/>
      <c r="CO103" s="283"/>
      <c r="CP103" s="284"/>
      <c r="CQ103" s="284"/>
      <c r="CR103" s="283"/>
      <c r="CS103" s="283"/>
      <c r="CT103" s="281"/>
      <c r="CV103" s="281"/>
      <c r="CW103" s="281">
        <v>41</v>
      </c>
      <c r="CX103" s="282"/>
      <c r="CY103" s="286"/>
      <c r="CZ103" s="284"/>
      <c r="DA103" s="283"/>
      <c r="DB103" s="283"/>
      <c r="DC103" s="283"/>
      <c r="DD103" s="283"/>
      <c r="DE103" s="283"/>
      <c r="DF103" s="287"/>
      <c r="DG103" s="284"/>
      <c r="DH103" s="284"/>
      <c r="DI103" s="283"/>
      <c r="DJ103" s="284"/>
      <c r="DK103" s="284"/>
      <c r="DL103" s="283"/>
      <c r="DM103" s="284"/>
      <c r="DN103" s="284"/>
    </row>
    <row r="104" spans="1:118" ht="16" thickBot="1" x14ac:dyDescent="0.45">
      <c r="A104" s="166" t="s">
        <v>883</v>
      </c>
      <c r="B104" s="166" t="s">
        <v>884</v>
      </c>
      <c r="C104" s="35">
        <f>SUMIFS(ENTRADA[CANTIDAD],ENTRADA[COD],INVENTARIO[[#This Row],[COD]])</f>
        <v>1</v>
      </c>
      <c r="D104" s="34">
        <f>SUMIFS(SALIDA[CANTIDAD],SALIDA[COD],INVENTARIO[[#This Row],[COD]])</f>
        <v>0</v>
      </c>
      <c r="E104" s="33">
        <f>INVENTARIO[[#This Row],[ENTRADAS]]-INVENTARIO[[#This Row],[SALIDAS]]</f>
        <v>1</v>
      </c>
      <c r="F104" s="165" t="s">
        <v>42</v>
      </c>
      <c r="H104" s="38">
        <v>45678</v>
      </c>
      <c r="I104" s="32" t="s">
        <v>868</v>
      </c>
      <c r="J104" s="32" t="str">
        <f>_xlfn.XLOOKUP(ENTRADA[[#This Row],[COD]],INVENTARIO[COD],INVENTARIO[DETALLE],"DETALLAR")</f>
        <v>SEÑALIZACION-PROHIB OBSTRU PUERTA</v>
      </c>
      <c r="K104" s="35">
        <v>1</v>
      </c>
      <c r="L104" s="34" t="str">
        <f>_xlfn.XLOOKUP(ENTRADA[[#This Row],[COD]],INVENTARIO[COD],INVENTARIO[OBSERVACIONES])</f>
        <v>SGI</v>
      </c>
      <c r="M104" s="39">
        <v>45660</v>
      </c>
      <c r="N104" s="49" t="s">
        <v>686</v>
      </c>
      <c r="O104" s="32" t="str">
        <f>_xlfn.XLOOKUP(SALIDA[[#This Row],[COD]],INVENTARIO[COD],INVENTARIO[DETALLE],"DETALLAR")</f>
        <v>BUSO ISTHO  L</v>
      </c>
      <c r="P104" s="33">
        <v>2</v>
      </c>
      <c r="Q104" s="32" t="s">
        <v>1089</v>
      </c>
    </row>
    <row r="105" spans="1:118" ht="16" thickBot="1" x14ac:dyDescent="0.45">
      <c r="A105" s="166" t="s">
        <v>885</v>
      </c>
      <c r="B105" s="166" t="s">
        <v>886</v>
      </c>
      <c r="C105" s="35">
        <f>SUMIFS(ENTRADA[CANTIDAD],ENTRADA[COD],INVENTARIO[[#This Row],[COD]])</f>
        <v>11</v>
      </c>
      <c r="D105" s="34">
        <f>SUMIFS(SALIDA[CANTIDAD],SALIDA[COD],INVENTARIO[[#This Row],[COD]])</f>
        <v>10</v>
      </c>
      <c r="E105" s="33">
        <f>INVENTARIO[[#This Row],[ENTRADAS]]-INVENTARIO[[#This Row],[SALIDAS]]</f>
        <v>1</v>
      </c>
      <c r="F105" s="165" t="s">
        <v>887</v>
      </c>
      <c r="H105" s="38">
        <v>45678</v>
      </c>
      <c r="I105" s="32" t="s">
        <v>870</v>
      </c>
      <c r="J105" s="32" t="str">
        <f>_xlfn.XLOOKUP(ENTRADA[[#This Row],[COD]],INVENTARIO[COD],INVENTARIO[DETALLE],"DETALLAR")</f>
        <v>SEÑALIZACION-PELIGRO MATERIAL INFLAMABLE</v>
      </c>
      <c r="K105" s="35">
        <v>1</v>
      </c>
      <c r="L105" s="34" t="str">
        <f>_xlfn.XLOOKUP(ENTRADA[[#This Row],[COD]],INVENTARIO[COD],INVENTARIO[OBSERVACIONES])</f>
        <v>SGI</v>
      </c>
      <c r="M105" s="39">
        <v>45660</v>
      </c>
      <c r="N105" s="49" t="s">
        <v>686</v>
      </c>
      <c r="O105" s="32" t="str">
        <f>_xlfn.XLOOKUP(SALIDA[[#This Row],[COD]],INVENTARIO[COD],INVENTARIO[DETALLE],"DETALLAR")</f>
        <v>BUSO ISTHO  L</v>
      </c>
      <c r="P105" s="33">
        <v>2</v>
      </c>
      <c r="Q105" s="32" t="s">
        <v>882</v>
      </c>
      <c r="CE105" s="288" t="s">
        <v>13</v>
      </c>
      <c r="CF105" s="289" t="s">
        <v>165</v>
      </c>
      <c r="CG105" s="289" t="s">
        <v>166</v>
      </c>
      <c r="CH105" s="290" t="s">
        <v>167</v>
      </c>
      <c r="CI105" s="291" t="s">
        <v>168</v>
      </c>
      <c r="CJ105" s="290" t="s">
        <v>1</v>
      </c>
      <c r="CK105" s="290" t="s">
        <v>169</v>
      </c>
      <c r="CL105" s="289" t="s">
        <v>170</v>
      </c>
      <c r="CM105" s="290" t="s">
        <v>171</v>
      </c>
      <c r="CN105" s="290" t="s">
        <v>172</v>
      </c>
      <c r="CO105" s="290" t="s">
        <v>173</v>
      </c>
      <c r="CP105" s="291" t="s">
        <v>174</v>
      </c>
      <c r="CQ105" s="291" t="s">
        <v>175</v>
      </c>
      <c r="CR105" s="290" t="s">
        <v>176</v>
      </c>
      <c r="CS105" s="290" t="s">
        <v>177</v>
      </c>
      <c r="CT105" s="289" t="s">
        <v>2</v>
      </c>
      <c r="CU105" s="289" t="s">
        <v>178</v>
      </c>
      <c r="CV105" s="289" t="s">
        <v>179</v>
      </c>
      <c r="CW105" s="289" t="s">
        <v>180</v>
      </c>
      <c r="CX105" s="289" t="s">
        <v>181</v>
      </c>
      <c r="CY105" s="291" t="s">
        <v>182</v>
      </c>
      <c r="CZ105" s="291" t="s">
        <v>183</v>
      </c>
      <c r="DA105" s="290" t="s">
        <v>184</v>
      </c>
      <c r="DB105" s="290" t="s">
        <v>185</v>
      </c>
      <c r="DC105" s="290" t="s">
        <v>186</v>
      </c>
      <c r="DD105" s="290" t="s">
        <v>1070</v>
      </c>
      <c r="DE105" s="290" t="s">
        <v>1052</v>
      </c>
      <c r="DF105" s="292" t="s">
        <v>1067</v>
      </c>
      <c r="DG105" s="291" t="s">
        <v>1076</v>
      </c>
      <c r="DH105" s="290" t="s">
        <v>187</v>
      </c>
      <c r="DI105" s="290" t="s">
        <v>188</v>
      </c>
      <c r="DJ105" s="291" t="s">
        <v>189</v>
      </c>
      <c r="DK105" s="291" t="s">
        <v>190</v>
      </c>
      <c r="DL105" s="290" t="s">
        <v>191</v>
      </c>
      <c r="DM105" s="290" t="s">
        <v>1124</v>
      </c>
      <c r="DN105" s="293" t="s">
        <v>192</v>
      </c>
    </row>
    <row r="106" spans="1:118" x14ac:dyDescent="0.4">
      <c r="A106" s="166" t="s">
        <v>888</v>
      </c>
      <c r="B106" s="166" t="s">
        <v>889</v>
      </c>
      <c r="C106" s="35">
        <f>SUMIFS(ENTRADA[CANTIDAD],ENTRADA[COD],INVENTARIO[[#This Row],[COD]])</f>
        <v>1</v>
      </c>
      <c r="D106" s="34">
        <f>SUMIFS(SALIDA[CANTIDAD],SALIDA[COD],INVENTARIO[[#This Row],[COD]])</f>
        <v>1</v>
      </c>
      <c r="E106" s="33">
        <f>INVENTARIO[[#This Row],[ENTRADAS]]-INVENTARIO[[#This Row],[SALIDAS]]</f>
        <v>0</v>
      </c>
      <c r="F106" s="165" t="s">
        <v>887</v>
      </c>
      <c r="H106" s="38">
        <v>45678</v>
      </c>
      <c r="I106" s="32" t="s">
        <v>872</v>
      </c>
      <c r="J106" s="32" t="str">
        <f>_xlfn.XLOOKUP(ENTRADA[[#This Row],[COD]],INVENTARIO[COD],INVENTARIO[DETALLE],"DETALLAR")</f>
        <v>SEÑALIZACION-LAVADO DE MANOS</v>
      </c>
      <c r="K106" s="35">
        <v>1</v>
      </c>
      <c r="L106" s="34" t="str">
        <f>_xlfn.XLOOKUP(ENTRADA[[#This Row],[COD]],INVENTARIO[COD],INVENTARIO[OBSERVACIONES])</f>
        <v>SGI</v>
      </c>
      <c r="M106" s="39">
        <v>45660</v>
      </c>
      <c r="N106" s="49" t="s">
        <v>631</v>
      </c>
      <c r="O106" s="32" t="str">
        <f>_xlfn.XLOOKUP(SALIDA[[#This Row],[COD]],INVENTARIO[COD],INVENTARIO[DETALLE],"DETALLAR")</f>
        <v>POLO BLANCA  L</v>
      </c>
      <c r="P106" s="33">
        <v>2</v>
      </c>
      <c r="Q106" s="32" t="s">
        <v>1090</v>
      </c>
      <c r="CE106" s="281"/>
      <c r="CF106" s="282"/>
      <c r="CG106" s="281"/>
      <c r="CH106" s="283"/>
      <c r="CI106" s="284"/>
      <c r="CJ106" s="283"/>
      <c r="CK106" s="283"/>
      <c r="CL106" s="285"/>
      <c r="CM106" s="283"/>
      <c r="CN106" s="283"/>
      <c r="CO106" s="283"/>
      <c r="CP106" s="284"/>
      <c r="CQ106" s="284"/>
      <c r="CR106" s="283"/>
      <c r="CS106" s="283"/>
      <c r="CT106" s="281"/>
      <c r="CV106" s="281"/>
      <c r="CW106" s="281">
        <v>42</v>
      </c>
      <c r="CX106" s="282"/>
      <c r="CY106" s="286"/>
      <c r="CZ106" s="284"/>
      <c r="DA106" s="283"/>
      <c r="DB106" s="283"/>
      <c r="DC106" s="283"/>
      <c r="DD106" s="283"/>
      <c r="DE106" s="283"/>
      <c r="DF106" s="287"/>
      <c r="DG106" s="284"/>
      <c r="DH106" s="284"/>
      <c r="DI106" s="283"/>
      <c r="DJ106" s="284"/>
      <c r="DK106" s="284"/>
      <c r="DL106" s="283"/>
      <c r="DM106" s="284"/>
      <c r="DN106" s="284"/>
    </row>
    <row r="107" spans="1:118" ht="16" thickBot="1" x14ac:dyDescent="0.45">
      <c r="A107" s="166" t="s">
        <v>890</v>
      </c>
      <c r="B107" s="166" t="s">
        <v>891</v>
      </c>
      <c r="C107" s="35">
        <f>SUMIFS(ENTRADA[CANTIDAD],ENTRADA[COD],INVENTARIO[[#This Row],[COD]])</f>
        <v>5</v>
      </c>
      <c r="D107" s="34">
        <f>SUMIFS(SALIDA[CANTIDAD],SALIDA[COD],INVENTARIO[[#This Row],[COD]])</f>
        <v>5</v>
      </c>
      <c r="E107" s="33">
        <f>INVENTARIO[[#This Row],[ENTRADAS]]-INVENTARIO[[#This Row],[SALIDAS]]</f>
        <v>0</v>
      </c>
      <c r="F107" s="165" t="s">
        <v>887</v>
      </c>
      <c r="H107" s="38">
        <v>45678</v>
      </c>
      <c r="I107" s="32" t="s">
        <v>875</v>
      </c>
      <c r="J107" s="32" t="str">
        <f>_xlfn.XLOOKUP(ENTRADA[[#This Row],[COD]],INVENTARIO[COD],INVENTARIO[DETALLE],"DETALLAR")</f>
        <v>SEÑALIZACION- 2 METROS</v>
      </c>
      <c r="K107" s="35">
        <v>2</v>
      </c>
      <c r="L107" s="34" t="str">
        <f>_xlfn.XLOOKUP(ENTRADA[[#This Row],[COD]],INVENTARIO[COD],INVENTARIO[OBSERVACIONES])</f>
        <v>SGI</v>
      </c>
      <c r="M107" s="39">
        <v>45660</v>
      </c>
      <c r="N107" s="49" t="s">
        <v>633</v>
      </c>
      <c r="O107" s="32" t="str">
        <f>_xlfn.XLOOKUP(SALIDA[[#This Row],[COD]],INVENTARIO[COD],INVENTARIO[DETALLE],"DETALLAR")</f>
        <v>PANTALON TALLA 12</v>
      </c>
      <c r="P107" s="33">
        <v>2</v>
      </c>
      <c r="Q107" s="32" t="s">
        <v>1090</v>
      </c>
    </row>
    <row r="108" spans="1:118" ht="16" thickBot="1" x14ac:dyDescent="0.45">
      <c r="A108" s="166" t="s">
        <v>892</v>
      </c>
      <c r="B108" s="166" t="s">
        <v>893</v>
      </c>
      <c r="C108" s="35">
        <f>SUMIFS(ENTRADA[CANTIDAD],ENTRADA[COD],INVENTARIO[[#This Row],[COD]])</f>
        <v>1</v>
      </c>
      <c r="D108" s="34">
        <f>SUMIFS(SALIDA[CANTIDAD],SALIDA[COD],INVENTARIO[[#This Row],[COD]])</f>
        <v>1</v>
      </c>
      <c r="E108" s="33">
        <f>INVENTARIO[[#This Row],[ENTRADAS]]-INVENTARIO[[#This Row],[SALIDAS]]</f>
        <v>0</v>
      </c>
      <c r="F108" s="165" t="s">
        <v>887</v>
      </c>
      <c r="H108" s="38">
        <v>45678</v>
      </c>
      <c r="I108" s="32" t="s">
        <v>878</v>
      </c>
      <c r="J108" s="32" t="str">
        <f>_xlfn.XLOOKUP(ENTRADA[[#This Row],[COD]],INVENTARIO[COD],INVENTARIO[DETALLE],"DETALLAR")</f>
        <v>SEÑALIZACION- USO MASCARILLA</v>
      </c>
      <c r="K108" s="35">
        <v>2</v>
      </c>
      <c r="L108" s="34" t="str">
        <f>_xlfn.XLOOKUP(ENTRADA[[#This Row],[COD]],INVENTARIO[COD],INVENTARIO[OBSERVACIONES])</f>
        <v>SGI</v>
      </c>
      <c r="M108" s="39">
        <v>45660</v>
      </c>
      <c r="N108" s="49" t="s">
        <v>802</v>
      </c>
      <c r="O108" s="32" t="str">
        <f>_xlfn.XLOOKUP(SALIDA[[#This Row],[COD]],INVENTARIO[COD],INVENTARIO[DETALLE],"DETALLAR")</f>
        <v xml:space="preserve">PAVA NEGRA ISTHO </v>
      </c>
      <c r="P108" s="33">
        <v>1</v>
      </c>
      <c r="Q108" s="32" t="s">
        <v>411</v>
      </c>
      <c r="CE108" s="288" t="s">
        <v>13</v>
      </c>
      <c r="CF108" s="289" t="s">
        <v>165</v>
      </c>
      <c r="CG108" s="289" t="s">
        <v>166</v>
      </c>
      <c r="CH108" s="290" t="s">
        <v>167</v>
      </c>
      <c r="CI108" s="291" t="s">
        <v>168</v>
      </c>
      <c r="CJ108" s="290" t="s">
        <v>1</v>
      </c>
      <c r="CK108" s="290" t="s">
        <v>169</v>
      </c>
      <c r="CL108" s="289" t="s">
        <v>170</v>
      </c>
      <c r="CM108" s="290" t="s">
        <v>171</v>
      </c>
      <c r="CN108" s="290" t="s">
        <v>172</v>
      </c>
      <c r="CO108" s="290" t="s">
        <v>173</v>
      </c>
      <c r="CP108" s="291" t="s">
        <v>174</v>
      </c>
      <c r="CQ108" s="291" t="s">
        <v>175</v>
      </c>
      <c r="CR108" s="290" t="s">
        <v>176</v>
      </c>
      <c r="CS108" s="290" t="s">
        <v>177</v>
      </c>
      <c r="CT108" s="289" t="s">
        <v>2</v>
      </c>
      <c r="CU108" s="289" t="s">
        <v>178</v>
      </c>
      <c r="CV108" s="289" t="s">
        <v>179</v>
      </c>
      <c r="CW108" s="289" t="s">
        <v>180</v>
      </c>
      <c r="CX108" s="289" t="s">
        <v>181</v>
      </c>
      <c r="CY108" s="291" t="s">
        <v>182</v>
      </c>
      <c r="CZ108" s="291" t="s">
        <v>183</v>
      </c>
      <c r="DA108" s="290" t="s">
        <v>184</v>
      </c>
      <c r="DB108" s="290" t="s">
        <v>185</v>
      </c>
      <c r="DC108" s="290" t="s">
        <v>186</v>
      </c>
      <c r="DD108" s="290" t="s">
        <v>1070</v>
      </c>
      <c r="DE108" s="290" t="s">
        <v>1052</v>
      </c>
      <c r="DF108" s="292" t="s">
        <v>1067</v>
      </c>
      <c r="DG108" s="291" t="s">
        <v>1076</v>
      </c>
      <c r="DH108" s="290" t="s">
        <v>187</v>
      </c>
      <c r="DI108" s="290" t="s">
        <v>188</v>
      </c>
      <c r="DJ108" s="291" t="s">
        <v>189</v>
      </c>
      <c r="DK108" s="291" t="s">
        <v>190</v>
      </c>
      <c r="DL108" s="290" t="s">
        <v>191</v>
      </c>
      <c r="DM108" s="290" t="s">
        <v>1124</v>
      </c>
      <c r="DN108" s="293" t="s">
        <v>192</v>
      </c>
    </row>
    <row r="109" spans="1:118" x14ac:dyDescent="0.4">
      <c r="H109" s="38">
        <v>45678</v>
      </c>
      <c r="I109" s="32" t="s">
        <v>880</v>
      </c>
      <c r="J109" s="32" t="str">
        <f>_xlfn.XLOOKUP(ENTRADA[[#This Row],[COD]],INVENTARIO[COD],INVENTARIO[DETALLE],"DETALLAR")</f>
        <v>SEÑALIZACION- DESINFECCION</v>
      </c>
      <c r="K109" s="35">
        <v>1</v>
      </c>
      <c r="L109" s="34" t="str">
        <f>_xlfn.XLOOKUP(ENTRADA[[#This Row],[COD]],INVENTARIO[COD],INVENTARIO[OBSERVACIONES])</f>
        <v>SGI</v>
      </c>
      <c r="M109" s="39">
        <v>45664</v>
      </c>
      <c r="N109" s="49" t="s">
        <v>647</v>
      </c>
      <c r="O109" s="32" t="str">
        <f>_xlfn.XLOOKUP(SALIDA[[#This Row],[COD]],INVENTARIO[COD],INVENTARIO[DETALLE],"DETALLAR")</f>
        <v xml:space="preserve">POLO ISTHO GRIS  L </v>
      </c>
      <c r="P109" s="33">
        <v>1</v>
      </c>
      <c r="Q109" s="32" t="s">
        <v>332</v>
      </c>
      <c r="CE109" s="281"/>
      <c r="CF109" s="282"/>
      <c r="CG109" s="281"/>
      <c r="CH109" s="283"/>
      <c r="CI109" s="284"/>
      <c r="CJ109" s="283"/>
      <c r="CK109" s="283"/>
      <c r="CL109" s="285"/>
      <c r="CM109" s="283"/>
      <c r="CN109" s="283"/>
      <c r="CO109" s="283"/>
      <c r="CP109" s="284"/>
      <c r="CQ109" s="284"/>
      <c r="CR109" s="283"/>
      <c r="CS109" s="283"/>
      <c r="CT109" s="281"/>
      <c r="CV109" s="281"/>
      <c r="CW109" s="281">
        <v>43</v>
      </c>
      <c r="CX109" s="282"/>
      <c r="CY109" s="286"/>
      <c r="CZ109" s="284"/>
      <c r="DA109" s="283"/>
      <c r="DB109" s="283"/>
      <c r="DC109" s="283"/>
      <c r="DD109" s="283"/>
      <c r="DE109" s="283"/>
      <c r="DF109" s="287"/>
      <c r="DG109" s="284"/>
      <c r="DH109" s="284"/>
      <c r="DI109" s="283"/>
      <c r="DJ109" s="284"/>
      <c r="DK109" s="284"/>
      <c r="DL109" s="283"/>
      <c r="DM109" s="284"/>
      <c r="DN109" s="284"/>
    </row>
    <row r="110" spans="1:118" ht="16" thickBot="1" x14ac:dyDescent="0.45">
      <c r="F110" s="165" t="s">
        <v>894</v>
      </c>
      <c r="H110" s="38">
        <v>45678</v>
      </c>
      <c r="I110" s="32" t="s">
        <v>883</v>
      </c>
      <c r="J110" s="32" t="str">
        <f>_xlfn.XLOOKUP(ENTRADA[[#This Row],[COD]],INVENTARIO[COD],INVENTARIO[DETALLE],"DETALLAR")</f>
        <v>SEÑALIZACION- CONTROL TEMPÉRATURA</v>
      </c>
      <c r="K110" s="35">
        <v>1</v>
      </c>
      <c r="L110" s="34" t="str">
        <f>_xlfn.XLOOKUP(ENTRADA[[#This Row],[COD]],INVENTARIO[COD],INVENTARIO[OBSERVACIONES])</f>
        <v>SGI</v>
      </c>
      <c r="M110" s="39">
        <v>45664</v>
      </c>
      <c r="N110" s="49" t="s">
        <v>688</v>
      </c>
      <c r="O110" s="32" t="str">
        <f>_xlfn.XLOOKUP(SALIDA[[#This Row],[COD]],INVENTARIO[COD],INVENTARIO[DETALLE],"DETALLAR")</f>
        <v>PANTALON TALLA 36</v>
      </c>
      <c r="P110" s="33">
        <v>1</v>
      </c>
      <c r="Q110" s="32" t="s">
        <v>332</v>
      </c>
    </row>
    <row r="111" spans="1:118" ht="16" thickBot="1" x14ac:dyDescent="0.45">
      <c r="H111" s="38">
        <v>45693</v>
      </c>
      <c r="I111" s="32" t="s">
        <v>821</v>
      </c>
      <c r="J111" s="32" t="str">
        <f>_xlfn.XLOOKUP(ENTRADA[[#This Row],[COD]],INVENTARIO[COD],INVENTARIO[DETALLE],"DETALLAR")</f>
        <v>BOTAS DE SEGURIDAD T.39</v>
      </c>
      <c r="K111" s="35">
        <v>3</v>
      </c>
      <c r="L111" s="34" t="str">
        <f>_xlfn.XLOOKUP(ENTRADA[[#This Row],[COD]],INVENTARIO[COD],INVENTARIO[OBSERVACIONES])</f>
        <v xml:space="preserve">GENERAL ISTHO </v>
      </c>
      <c r="M111" s="39">
        <v>45665</v>
      </c>
      <c r="N111" s="49" t="s">
        <v>737</v>
      </c>
      <c r="O111" s="32" t="str">
        <f>_xlfn.XLOOKUP(SALIDA[[#This Row],[COD]],INVENTARIO[COD],INVENTARIO[DETALLE],"DETALLAR")</f>
        <v>PANTALON TALLA 30</v>
      </c>
      <c r="P111" s="33">
        <v>1</v>
      </c>
      <c r="Q111" s="32" t="s">
        <v>593</v>
      </c>
      <c r="CE111" s="288" t="s">
        <v>13</v>
      </c>
      <c r="CF111" s="289" t="s">
        <v>165</v>
      </c>
      <c r="CG111" s="289" t="s">
        <v>166</v>
      </c>
      <c r="CH111" s="290" t="s">
        <v>167</v>
      </c>
      <c r="CI111" s="291" t="s">
        <v>168</v>
      </c>
      <c r="CJ111" s="290" t="s">
        <v>1</v>
      </c>
      <c r="CK111" s="290" t="s">
        <v>169</v>
      </c>
      <c r="CL111" s="289" t="s">
        <v>170</v>
      </c>
      <c r="CM111" s="290" t="s">
        <v>171</v>
      </c>
      <c r="CN111" s="290" t="s">
        <v>172</v>
      </c>
      <c r="CO111" s="290" t="s">
        <v>173</v>
      </c>
      <c r="CP111" s="291" t="s">
        <v>174</v>
      </c>
      <c r="CQ111" s="291" t="s">
        <v>175</v>
      </c>
      <c r="CR111" s="290" t="s">
        <v>176</v>
      </c>
      <c r="CS111" s="290" t="s">
        <v>177</v>
      </c>
      <c r="CT111" s="289" t="s">
        <v>2</v>
      </c>
      <c r="CU111" s="289" t="s">
        <v>178</v>
      </c>
      <c r="CV111" s="289" t="s">
        <v>179</v>
      </c>
      <c r="CW111" s="289" t="s">
        <v>180</v>
      </c>
      <c r="CX111" s="289" t="s">
        <v>181</v>
      </c>
      <c r="CY111" s="291" t="s">
        <v>182</v>
      </c>
      <c r="CZ111" s="291" t="s">
        <v>183</v>
      </c>
      <c r="DA111" s="290" t="s">
        <v>184</v>
      </c>
      <c r="DB111" s="290" t="s">
        <v>185</v>
      </c>
      <c r="DC111" s="290" t="s">
        <v>186</v>
      </c>
      <c r="DD111" s="290" t="s">
        <v>1070</v>
      </c>
      <c r="DE111" s="290" t="s">
        <v>1052</v>
      </c>
      <c r="DF111" s="292" t="s">
        <v>1067</v>
      </c>
      <c r="DG111" s="291" t="s">
        <v>1076</v>
      </c>
      <c r="DH111" s="290" t="s">
        <v>187</v>
      </c>
      <c r="DI111" s="290" t="s">
        <v>188</v>
      </c>
      <c r="DJ111" s="291" t="s">
        <v>189</v>
      </c>
      <c r="DK111" s="291" t="s">
        <v>190</v>
      </c>
      <c r="DL111" s="290" t="s">
        <v>191</v>
      </c>
      <c r="DM111" s="290" t="s">
        <v>1124</v>
      </c>
      <c r="DN111" s="293" t="s">
        <v>192</v>
      </c>
    </row>
    <row r="112" spans="1:118" x14ac:dyDescent="0.4">
      <c r="H112" s="38">
        <v>45693</v>
      </c>
      <c r="I112" s="32" t="s">
        <v>823</v>
      </c>
      <c r="J112" s="32" t="str">
        <f>_xlfn.XLOOKUP(ENTRADA[[#This Row],[COD]],INVENTARIO[COD],INVENTARIO[DETALLE],"DETALLAR")</f>
        <v>BOTAS DE SEGURIDAD T.40</v>
      </c>
      <c r="K112" s="35">
        <v>6</v>
      </c>
      <c r="L112" s="34" t="str">
        <f>_xlfn.XLOOKUP(ENTRADA[[#This Row],[COD]],INVENTARIO[COD],INVENTARIO[OBSERVACIONES])</f>
        <v xml:space="preserve">GENERAL ISTHO </v>
      </c>
      <c r="M112" s="39">
        <v>45665</v>
      </c>
      <c r="N112" s="49" t="s">
        <v>688</v>
      </c>
      <c r="O112" s="32" t="str">
        <f>_xlfn.XLOOKUP(SALIDA[[#This Row],[COD]],INVENTARIO[COD],INVENTARIO[DETALLE],"DETALLAR")</f>
        <v>PANTALON TALLA 36</v>
      </c>
      <c r="P112" s="33">
        <v>1</v>
      </c>
      <c r="Q112" s="32" t="s">
        <v>895</v>
      </c>
      <c r="CE112" s="281"/>
      <c r="CF112" s="282"/>
      <c r="CG112" s="281"/>
      <c r="CH112" s="283"/>
      <c r="CI112" s="284"/>
      <c r="CJ112" s="283"/>
      <c r="CK112" s="283"/>
      <c r="CL112" s="285"/>
      <c r="CM112" s="283"/>
      <c r="CN112" s="283"/>
      <c r="CO112" s="283"/>
      <c r="CP112" s="284"/>
      <c r="CQ112" s="284"/>
      <c r="CR112" s="283"/>
      <c r="CS112" s="283"/>
      <c r="CT112" s="281"/>
      <c r="CV112" s="281"/>
      <c r="CW112" s="281" t="s">
        <v>206</v>
      </c>
      <c r="CX112" s="282"/>
      <c r="CY112" s="286"/>
      <c r="CZ112" s="284"/>
      <c r="DA112" s="283"/>
      <c r="DB112" s="283"/>
      <c r="DC112" s="283"/>
      <c r="DD112" s="283"/>
      <c r="DE112" s="283"/>
      <c r="DF112" s="287"/>
      <c r="DG112" s="284"/>
      <c r="DH112" s="284"/>
      <c r="DI112" s="283"/>
      <c r="DJ112" s="284"/>
      <c r="DK112" s="284"/>
      <c r="DL112" s="283"/>
      <c r="DM112" s="284"/>
      <c r="DN112" s="284"/>
    </row>
    <row r="113" spans="8:17" x14ac:dyDescent="0.4">
      <c r="H113" s="38">
        <v>45693</v>
      </c>
      <c r="I113" s="32" t="s">
        <v>825</v>
      </c>
      <c r="J113" s="32" t="str">
        <f>_xlfn.XLOOKUP(ENTRADA[[#This Row],[COD]],INVENTARIO[COD],INVENTARIO[DETALLE],"DETALLAR")</f>
        <v>BOTAS DE SEGURIDAD T.41</v>
      </c>
      <c r="K113" s="35">
        <v>7</v>
      </c>
      <c r="L113" s="34" t="str">
        <f>_xlfn.XLOOKUP(ENTRADA[[#This Row],[COD]],INVENTARIO[COD],INVENTARIO[OBSERVACIONES])</f>
        <v xml:space="preserve">GENERAL ISTHO </v>
      </c>
      <c r="M113" s="39">
        <v>45665</v>
      </c>
      <c r="N113" s="49" t="s">
        <v>670</v>
      </c>
      <c r="O113" s="32" t="str">
        <f>_xlfn.XLOOKUP(SALIDA[[#This Row],[COD]],INVENTARIO[COD],INVENTARIO[DETALLE],"DETALLAR")</f>
        <v>BUSO APOYO LOGISTICO L</v>
      </c>
      <c r="P113" s="33">
        <v>2</v>
      </c>
      <c r="Q113" s="32" t="s">
        <v>895</v>
      </c>
    </row>
    <row r="114" spans="8:17" x14ac:dyDescent="0.4">
      <c r="H114" s="38">
        <v>45693</v>
      </c>
      <c r="I114" s="32" t="s">
        <v>827</v>
      </c>
      <c r="J114" s="32" t="str">
        <f>_xlfn.XLOOKUP(ENTRADA[[#This Row],[COD]],INVENTARIO[COD],INVENTARIO[DETALLE],"DETALLAR")</f>
        <v>BOTAS DE SEGURIDAD T.42</v>
      </c>
      <c r="K114" s="35">
        <v>6</v>
      </c>
      <c r="L114" s="34" t="str">
        <f>_xlfn.XLOOKUP(ENTRADA[[#This Row],[COD]],INVENTARIO[COD],INVENTARIO[OBSERVACIONES])</f>
        <v xml:space="preserve">GENERAL ISTHO </v>
      </c>
      <c r="M114" s="39">
        <v>45665</v>
      </c>
      <c r="N114" s="49" t="s">
        <v>737</v>
      </c>
      <c r="O114" s="32" t="str">
        <f>_xlfn.XLOOKUP(SALIDA[[#This Row],[COD]],INVENTARIO[COD],INVENTARIO[DETALLE],"DETALLAR")</f>
        <v>PANTALON TALLA 30</v>
      </c>
      <c r="P114" s="33">
        <v>1</v>
      </c>
      <c r="Q114" s="32" t="s">
        <v>295</v>
      </c>
    </row>
    <row r="115" spans="8:17" x14ac:dyDescent="0.4">
      <c r="H115" s="38">
        <v>45693</v>
      </c>
      <c r="I115" s="32" t="s">
        <v>752</v>
      </c>
      <c r="J115" s="32" t="str">
        <f>_xlfn.XLOOKUP(ENTRADA[[#This Row],[COD]],INVENTARIO[COD],INVENTARIO[DETALLE],"DETALLAR")</f>
        <v xml:space="preserve">Casco rachet blanco INSAFE NUEVOS </v>
      </c>
      <c r="K115" s="35">
        <v>20</v>
      </c>
      <c r="L115" s="34" t="str">
        <f>_xlfn.XLOOKUP(ENTRADA[[#This Row],[COD]],INVENTARIO[COD],INVENTARIO[OBSERVACIONES])</f>
        <v xml:space="preserve">GENERAL ISTHO </v>
      </c>
      <c r="M115" s="39">
        <v>45665</v>
      </c>
      <c r="N115" s="49" t="s">
        <v>670</v>
      </c>
      <c r="O115" s="32" t="str">
        <f>_xlfn.XLOOKUP(SALIDA[[#This Row],[COD]],INVENTARIO[COD],INVENTARIO[DETALLE],"DETALLAR")</f>
        <v>BUSO APOYO LOGISTICO L</v>
      </c>
      <c r="P115" s="33">
        <v>2</v>
      </c>
      <c r="Q115" s="32" t="s">
        <v>295</v>
      </c>
    </row>
    <row r="116" spans="8:17" x14ac:dyDescent="0.4">
      <c r="H116" s="38">
        <v>45693</v>
      </c>
      <c r="I116" s="32" t="s">
        <v>757</v>
      </c>
      <c r="J116" s="32" t="str">
        <f>_xlfn.XLOOKUP(ENTRADA[[#This Row],[COD]],INVENTARIO[COD],INVENTARIO[DETALLE],"DETALLAR")</f>
        <v>SUSPENSOR PARA CASCO 406-R INSAFE</v>
      </c>
      <c r="K116" s="35">
        <v>20</v>
      </c>
      <c r="L116" s="34" t="str">
        <f>_xlfn.XLOOKUP(ENTRADA[[#This Row],[COD]],INVENTARIO[COD],INVENTARIO[OBSERVACIONES])</f>
        <v xml:space="preserve">GENERAL ISTHO </v>
      </c>
      <c r="M116" s="39">
        <v>45667</v>
      </c>
      <c r="N116" s="49" t="s">
        <v>686</v>
      </c>
      <c r="O116" s="32" t="str">
        <f>_xlfn.XLOOKUP(SALIDA[[#This Row],[COD]],INVENTARIO[COD],INVENTARIO[DETALLE],"DETALLAR")</f>
        <v>BUSO ISTHO  L</v>
      </c>
      <c r="P116" s="33">
        <v>1</v>
      </c>
      <c r="Q116" s="32" t="s">
        <v>240</v>
      </c>
    </row>
    <row r="117" spans="8:17" x14ac:dyDescent="0.4">
      <c r="H117" s="38">
        <v>45693</v>
      </c>
      <c r="I117" s="31" t="s">
        <v>760</v>
      </c>
      <c r="J117" s="32" t="str">
        <f>_xlfn.XLOOKUP(ENTRADA[[#This Row],[COD]],INVENTARIO[COD],INVENTARIO[DETALLE],"DETALLAR")</f>
        <v>Barbuquejo 4 apoy os con gancho</v>
      </c>
      <c r="K117" s="35">
        <v>20</v>
      </c>
      <c r="L117" s="34" t="str">
        <f>_xlfn.XLOOKUP(ENTRADA[[#This Row],[COD]],INVENTARIO[COD],INVENTARIO[OBSERVACIONES])</f>
        <v xml:space="preserve">GENERAL ISTHO </v>
      </c>
      <c r="M117" s="39">
        <v>45667</v>
      </c>
      <c r="N117" s="49" t="s">
        <v>670</v>
      </c>
      <c r="O117" s="32" t="str">
        <f>_xlfn.XLOOKUP(SALIDA[[#This Row],[COD]],INVENTARIO[COD],INVENTARIO[DETALLE],"DETALLAR")</f>
        <v>BUSO APOYO LOGISTICO L</v>
      </c>
      <c r="P117" s="33">
        <v>1</v>
      </c>
      <c r="Q117" s="32" t="s">
        <v>240</v>
      </c>
    </row>
    <row r="118" spans="8:17" x14ac:dyDescent="0.4">
      <c r="H118" s="38">
        <v>45693</v>
      </c>
      <c r="I118" s="31" t="s">
        <v>815</v>
      </c>
      <c r="J118" s="32" t="str">
        <f>_xlfn.XLOOKUP(ENTRADA[[#This Row],[COD]],INVENTARIO[COD],INVENTARIO[DETALLE],"DETALLAR")</f>
        <v>GTE ANTICORTE NITRILO REF INDICE</v>
      </c>
      <c r="K118" s="35">
        <v>50</v>
      </c>
      <c r="L118" s="34" t="str">
        <f>_xlfn.XLOOKUP(ENTRADA[[#This Row],[COD]],INVENTARIO[COD],INVENTARIO[OBSERVACIONES])</f>
        <v>OPERACIONES</v>
      </c>
      <c r="M118" s="39">
        <v>45667</v>
      </c>
      <c r="N118" s="49" t="s">
        <v>737</v>
      </c>
      <c r="O118" s="32" t="str">
        <f>_xlfn.XLOOKUP(SALIDA[[#This Row],[COD]],INVENTARIO[COD],INVENTARIO[DETALLE],"DETALLAR")</f>
        <v>PANTALON TALLA 30</v>
      </c>
      <c r="P118" s="33">
        <v>2</v>
      </c>
      <c r="Q118" s="32" t="s">
        <v>240</v>
      </c>
    </row>
    <row r="119" spans="8:17" x14ac:dyDescent="0.4">
      <c r="H119" s="38">
        <v>45693</v>
      </c>
      <c r="I119" s="31" t="s">
        <v>794</v>
      </c>
      <c r="J119" s="32" t="str">
        <f>_xlfn.XLOOKUP(ENTRADA[[#This Row],[COD]],INVENTARIO[COD],INVENTARIO[DETALLE],"DETALLAR")</f>
        <v>suf ridor ambidiestra KASTAKO</v>
      </c>
      <c r="K119" s="35">
        <v>8</v>
      </c>
      <c r="L119" s="34" t="str">
        <f>_xlfn.XLOOKUP(ENTRADA[[#This Row],[COD]],INVENTARIO[COD],INVENTARIO[OBSERVACIONES])</f>
        <v>KLAR-ETERNIT</v>
      </c>
      <c r="M119" s="39">
        <v>45670</v>
      </c>
      <c r="N119" s="49" t="s">
        <v>805</v>
      </c>
      <c r="O119" s="32" t="str">
        <f>_xlfn.XLOOKUP(SALIDA[[#This Row],[COD]],INVENTARIO[COD],INVENTARIO[DETALLE],"DETALLAR")</f>
        <v>Gte en Jean Con Ref uerzo en Carnaza larg</v>
      </c>
      <c r="P119" s="33">
        <v>1</v>
      </c>
      <c r="Q119" s="32" t="s">
        <v>896</v>
      </c>
    </row>
    <row r="120" spans="8:17" x14ac:dyDescent="0.4">
      <c r="H120" s="38">
        <v>45733</v>
      </c>
      <c r="I120" s="32" t="s">
        <v>885</v>
      </c>
      <c r="J120" s="32" t="str">
        <f>_xlfn.XLOOKUP(ENTRADA[[#This Row],[COD]],INVENTARIO[COD],INVENTARIO[DETALLE],"DETALLAR")</f>
        <v>BUSO ISTHO GRIS  XXL</v>
      </c>
      <c r="K120" s="33">
        <v>11</v>
      </c>
      <c r="L120" s="36" t="s">
        <v>887</v>
      </c>
      <c r="M120" s="39">
        <v>45670</v>
      </c>
      <c r="N120" s="49" t="s">
        <v>815</v>
      </c>
      <c r="O120" s="32" t="str">
        <f>_xlfn.XLOOKUP(SALIDA[[#This Row],[COD]],INVENTARIO[COD],INVENTARIO[DETALLE],"DETALLAR")</f>
        <v>GTE ANTICORTE NITRILO REF INDICE</v>
      </c>
      <c r="P120" s="33">
        <v>1</v>
      </c>
      <c r="Q120" s="32" t="s">
        <v>525</v>
      </c>
    </row>
    <row r="121" spans="8:17" x14ac:dyDescent="0.4">
      <c r="H121" s="38">
        <v>45733</v>
      </c>
      <c r="I121" s="32" t="s">
        <v>888</v>
      </c>
      <c r="J121" s="32" t="str">
        <f>_xlfn.XLOOKUP(ENTRADA[[#This Row],[COD]],INVENTARIO[COD],INVENTARIO[DETALLE],"DETALLAR")</f>
        <v>BUSO ISTHO GRIS  XL-F</v>
      </c>
      <c r="K121" s="33">
        <v>1</v>
      </c>
      <c r="L121" s="36" t="s">
        <v>887</v>
      </c>
      <c r="M121" s="39">
        <v>45671</v>
      </c>
      <c r="N121" s="49" t="s">
        <v>805</v>
      </c>
      <c r="O121" s="32" t="str">
        <f>_xlfn.XLOOKUP(SALIDA[[#This Row],[COD]],INVENTARIO[COD],INVENTARIO[DETALLE],"DETALLAR")</f>
        <v>Gte en Jean Con Ref uerzo en Carnaza larg</v>
      </c>
      <c r="P121" s="33">
        <v>1</v>
      </c>
      <c r="Q121" s="32" t="s">
        <v>294</v>
      </c>
    </row>
    <row r="122" spans="8:17" x14ac:dyDescent="0.4">
      <c r="H122" s="38">
        <v>45733</v>
      </c>
      <c r="I122" s="32" t="s">
        <v>890</v>
      </c>
      <c r="J122" s="32" t="str">
        <f>_xlfn.XLOOKUP(ENTRADA[[#This Row],[COD]],INVENTARIO[COD],INVENTARIO[DETALLE],"DETALLAR")</f>
        <v>BUSO ISTHO GRIS  L</v>
      </c>
      <c r="K122" s="33">
        <v>5</v>
      </c>
      <c r="L122" s="36" t="s">
        <v>887</v>
      </c>
      <c r="M122" s="39">
        <v>45671</v>
      </c>
      <c r="N122" s="49" t="s">
        <v>802</v>
      </c>
      <c r="O122" s="32" t="str">
        <f>_xlfn.XLOOKUP(SALIDA[[#This Row],[COD]],INVENTARIO[COD],INVENTARIO[DETALLE],"DETALLAR")</f>
        <v xml:space="preserve">PAVA NEGRA ISTHO </v>
      </c>
      <c r="P122" s="33">
        <v>1</v>
      </c>
      <c r="Q122" s="32" t="s">
        <v>294</v>
      </c>
    </row>
    <row r="123" spans="8:17" x14ac:dyDescent="0.4">
      <c r="H123" s="38">
        <v>45733</v>
      </c>
      <c r="I123" s="32" t="s">
        <v>892</v>
      </c>
      <c r="J123" s="32" t="str">
        <f>_xlfn.XLOOKUP(ENTRADA[[#This Row],[COD]],INVENTARIO[COD],INVENTARIO[DETALLE],"DETALLAR")</f>
        <v>BUSO ISTHO GRIS  M</v>
      </c>
      <c r="K123" s="33">
        <v>1</v>
      </c>
      <c r="L123" s="36" t="s">
        <v>887</v>
      </c>
      <c r="M123" s="39">
        <v>45671</v>
      </c>
      <c r="N123" s="49" t="s">
        <v>737</v>
      </c>
      <c r="O123" s="32" t="str">
        <f>_xlfn.XLOOKUP(SALIDA[[#This Row],[COD]],INVENTARIO[COD],INVENTARIO[DETALLE],"DETALLAR")</f>
        <v>PANTALON TALLA 30</v>
      </c>
      <c r="P123" s="33">
        <v>1</v>
      </c>
      <c r="Q123" s="32" t="s">
        <v>897</v>
      </c>
    </row>
    <row r="124" spans="8:17" x14ac:dyDescent="0.4">
      <c r="H124" s="257">
        <v>45757</v>
      </c>
      <c r="I124" s="256" t="s">
        <v>641</v>
      </c>
      <c r="J124" s="32" t="str">
        <f>_xlfn.XLOOKUP(ENTRADA[[#This Row],[COD]],INVENTARIO[COD],INVENTARIO[DETALLE],"DETALLAR")</f>
        <v>PANTALON TALLA 32</v>
      </c>
      <c r="K124" s="35">
        <v>5</v>
      </c>
      <c r="M124" s="39">
        <v>45671</v>
      </c>
      <c r="N124" s="49" t="s">
        <v>790</v>
      </c>
      <c r="O124" s="32" t="str">
        <f>_xlfn.XLOOKUP(SALIDA[[#This Row],[COD]],INVENTARIO[COD],INVENTARIO[DETALLE],"DETALLAR")</f>
        <v>Capucha monja algodon plus Kastako</v>
      </c>
      <c r="P124" s="33">
        <v>1</v>
      </c>
      <c r="Q124" s="32" t="s">
        <v>897</v>
      </c>
    </row>
    <row r="125" spans="8:17" x14ac:dyDescent="0.4">
      <c r="H125" s="257">
        <v>45757</v>
      </c>
      <c r="I125" s="256" t="s">
        <v>608</v>
      </c>
      <c r="J125" s="32" t="str">
        <f>_xlfn.XLOOKUP(ENTRADA[[#This Row],[COD]],INVENTARIO[COD],INVENTARIO[DETALLE],"DETALLAR")</f>
        <v>PANTALON TALLA 34</v>
      </c>
      <c r="K125" s="35">
        <v>7</v>
      </c>
      <c r="M125" s="39">
        <v>45673</v>
      </c>
      <c r="N125" s="49" t="s">
        <v>647</v>
      </c>
      <c r="O125" s="32" t="str">
        <f>_xlfn.XLOOKUP(SALIDA[[#This Row],[COD]],INVENTARIO[COD],INVENTARIO[DETALLE],"DETALLAR")</f>
        <v xml:space="preserve">POLO ISTHO GRIS  L </v>
      </c>
      <c r="P125" s="33">
        <v>1</v>
      </c>
      <c r="Q125" s="32" t="s">
        <v>898</v>
      </c>
    </row>
    <row r="126" spans="8:17" x14ac:dyDescent="0.4">
      <c r="H126" s="257">
        <v>45757</v>
      </c>
      <c r="I126" s="256" t="s">
        <v>688</v>
      </c>
      <c r="J126" s="32" t="str">
        <f>_xlfn.XLOOKUP(ENTRADA[[#This Row],[COD]],INVENTARIO[COD],INVENTARIO[DETALLE],"DETALLAR")</f>
        <v>PANTALON TALLA 36</v>
      </c>
      <c r="K126" s="35">
        <v>3</v>
      </c>
      <c r="M126" s="39">
        <v>45673</v>
      </c>
      <c r="N126" s="49" t="s">
        <v>788</v>
      </c>
      <c r="O126" s="32" t="str">
        <f>_xlfn.XLOOKUP(SALIDA[[#This Row],[COD]],INVENTARIO[COD],INVENTARIO[DETALLE],"DETALLAR")</f>
        <v>Manga en algodon azul</v>
      </c>
      <c r="P126" s="33">
        <v>1</v>
      </c>
      <c r="Q126" s="32" t="s">
        <v>898</v>
      </c>
    </row>
    <row r="127" spans="8:17" x14ac:dyDescent="0.4">
      <c r="M127" s="39">
        <v>45674</v>
      </c>
      <c r="N127" s="49" t="s">
        <v>686</v>
      </c>
      <c r="O127" s="32" t="str">
        <f>_xlfn.XLOOKUP(SALIDA[[#This Row],[COD]],INVENTARIO[COD],INVENTARIO[DETALLE],"DETALLAR")</f>
        <v>BUSO ISTHO  L</v>
      </c>
      <c r="P127" s="33">
        <v>1</v>
      </c>
      <c r="Q127" s="32" t="s">
        <v>899</v>
      </c>
    </row>
    <row r="128" spans="8:17" x14ac:dyDescent="0.4">
      <c r="M128" s="39">
        <v>45674</v>
      </c>
      <c r="N128" s="49" t="s">
        <v>641</v>
      </c>
      <c r="O128" s="32" t="str">
        <f>_xlfn.XLOOKUP(SALIDA[[#This Row],[COD]],INVENTARIO[COD],INVENTARIO[DETALLE],"DETALLAR")</f>
        <v>PANTALON TALLA 32</v>
      </c>
      <c r="P128" s="33">
        <v>1</v>
      </c>
      <c r="Q128" s="32" t="s">
        <v>899</v>
      </c>
    </row>
    <row r="129" spans="13:17" x14ac:dyDescent="0.4">
      <c r="M129" s="39">
        <v>45675</v>
      </c>
      <c r="N129" s="49" t="s">
        <v>575</v>
      </c>
      <c r="O129" s="32" t="str">
        <f>_xlfn.XLOOKUP(SALIDA[[#This Row],[COD]],INVENTARIO[COD],INVENTARIO[DETALLE],"DETALLAR")</f>
        <v>POLO NEGRA  (8)</v>
      </c>
      <c r="P129" s="33">
        <v>1</v>
      </c>
      <c r="Q129" s="32" t="s">
        <v>438</v>
      </c>
    </row>
    <row r="130" spans="13:17" x14ac:dyDescent="0.4">
      <c r="M130" s="39">
        <v>45673</v>
      </c>
      <c r="N130" s="49" t="s">
        <v>592</v>
      </c>
      <c r="O130" s="32" t="str">
        <f>_xlfn.XLOOKUP(SALIDA[[#This Row],[COD]],INVENTARIO[COD],INVENTARIO[DETALLE],"DETALLAR")</f>
        <v>POLO NEGRA  M</v>
      </c>
      <c r="P130" s="33">
        <v>2</v>
      </c>
      <c r="Q130" s="32" t="s">
        <v>718</v>
      </c>
    </row>
    <row r="131" spans="13:17" x14ac:dyDescent="0.4">
      <c r="M131" s="39">
        <v>45673</v>
      </c>
      <c r="N131" s="49" t="s">
        <v>606</v>
      </c>
      <c r="O131" s="32" t="str">
        <f>_xlfn.XLOOKUP(SALIDA[[#This Row],[COD]],INVENTARIO[COD],INVENTARIO[DETALLE],"DETALLAR")</f>
        <v>POLO NEGRA  XL</v>
      </c>
      <c r="P131" s="33">
        <v>1</v>
      </c>
      <c r="Q131" s="32" t="s">
        <v>900</v>
      </c>
    </row>
    <row r="132" spans="13:17" x14ac:dyDescent="0.4">
      <c r="M132" s="39">
        <v>45673</v>
      </c>
      <c r="N132" s="49" t="s">
        <v>711</v>
      </c>
      <c r="O132" s="32" t="str">
        <f>_xlfn.XLOOKUP(SALIDA[[#This Row],[COD]],INVENTARIO[COD],INVENTARIO[DETALLE],"DETALLAR")</f>
        <v>BUSO GR.CLARO USADA</v>
      </c>
      <c r="P132" s="33">
        <v>3</v>
      </c>
      <c r="Q132" s="32" t="s">
        <v>637</v>
      </c>
    </row>
    <row r="133" spans="13:17" x14ac:dyDescent="0.4">
      <c r="M133" s="39">
        <v>45673</v>
      </c>
      <c r="N133" s="49" t="s">
        <v>716</v>
      </c>
      <c r="O133" s="32" t="str">
        <f>_xlfn.XLOOKUP(SALIDA[[#This Row],[COD]],INVENTARIO[COD],INVENTARIO[DETALLE],"DETALLAR")</f>
        <v>BUSO GR.OBSCURO USADA</v>
      </c>
      <c r="P133" s="33">
        <v>4</v>
      </c>
      <c r="Q133" s="32" t="s">
        <v>637</v>
      </c>
    </row>
    <row r="134" spans="13:17" x14ac:dyDescent="0.4">
      <c r="M134" s="39">
        <v>45709</v>
      </c>
      <c r="N134" s="49" t="s">
        <v>601</v>
      </c>
      <c r="O134" s="32" t="str">
        <f>_xlfn.XLOOKUP(SALIDA[[#This Row],[COD]],INVENTARIO[COD],INVENTARIO[DETALLE],"DETALLAR")</f>
        <v>POLO NEGRA  L</v>
      </c>
      <c r="P134" s="33">
        <v>1</v>
      </c>
      <c r="Q134" s="32" t="s">
        <v>1091</v>
      </c>
    </row>
    <row r="135" spans="13:17" x14ac:dyDescent="0.4">
      <c r="M135" s="39">
        <v>45709</v>
      </c>
      <c r="N135" s="49" t="s">
        <v>631</v>
      </c>
      <c r="O135" s="32" t="str">
        <f>_xlfn.XLOOKUP(SALIDA[[#This Row],[COD]],INVENTARIO[COD],INVENTARIO[DETALLE],"DETALLAR")</f>
        <v>POLO BLANCA  L</v>
      </c>
      <c r="P135" s="33">
        <v>1</v>
      </c>
      <c r="Q135" s="32" t="s">
        <v>1091</v>
      </c>
    </row>
    <row r="136" spans="13:17" x14ac:dyDescent="0.4">
      <c r="M136" s="39">
        <v>45709</v>
      </c>
      <c r="N136" s="49" t="s">
        <v>641</v>
      </c>
      <c r="O136" s="32" t="str">
        <f>_xlfn.XLOOKUP(SALIDA[[#This Row],[COD]],INVENTARIO[COD],INVENTARIO[DETALLE],"DETALLAR")</f>
        <v>PANTALON TALLA 32</v>
      </c>
      <c r="P136" s="33">
        <v>2</v>
      </c>
      <c r="Q136" s="32" t="s">
        <v>1091</v>
      </c>
    </row>
    <row r="137" spans="13:17" x14ac:dyDescent="0.4">
      <c r="M137" s="39">
        <v>45673</v>
      </c>
      <c r="N137" s="49" t="s">
        <v>681</v>
      </c>
      <c r="O137" s="32" t="str">
        <f>_xlfn.XLOOKUP(SALIDA[[#This Row],[COD]],INVENTARIO[COD],INVENTARIO[DETALLE],"DETALLAR")</f>
        <v>BUSO ISTHO  M</v>
      </c>
      <c r="P137" s="33">
        <v>2</v>
      </c>
      <c r="Q137" s="32" t="s">
        <v>901</v>
      </c>
    </row>
    <row r="138" spans="13:17" x14ac:dyDescent="0.4">
      <c r="M138" s="39">
        <v>45673</v>
      </c>
      <c r="N138" s="49" t="s">
        <v>608</v>
      </c>
      <c r="O138" s="32" t="str">
        <f>_xlfn.XLOOKUP(SALIDA[[#This Row],[COD]],INVENTARIO[COD],INVENTARIO[DETALLE],"DETALLAR")</f>
        <v>PANTALON TALLA 34</v>
      </c>
      <c r="P138" s="33">
        <v>1</v>
      </c>
      <c r="Q138" s="32" t="s">
        <v>901</v>
      </c>
    </row>
    <row r="139" spans="13:17" x14ac:dyDescent="0.4">
      <c r="M139" s="39">
        <v>45673</v>
      </c>
      <c r="N139" s="49" t="s">
        <v>752</v>
      </c>
      <c r="O139" s="32" t="str">
        <f>_xlfn.XLOOKUP(SALIDA[[#This Row],[COD]],INVENTARIO[COD],INVENTARIO[DETALLE],"DETALLAR")</f>
        <v xml:space="preserve">Casco rachet blanco INSAFE NUEVOS </v>
      </c>
      <c r="P139" s="33">
        <v>1</v>
      </c>
      <c r="Q139" s="32" t="s">
        <v>1091</v>
      </c>
    </row>
    <row r="140" spans="13:17" x14ac:dyDescent="0.4">
      <c r="M140" s="39">
        <v>45673</v>
      </c>
      <c r="N140" s="49" t="s">
        <v>752</v>
      </c>
      <c r="O140" s="32" t="str">
        <f>_xlfn.XLOOKUP(SALIDA[[#This Row],[COD]],INVENTARIO[COD],INVENTARIO[DETALLE],"DETALLAR")</f>
        <v xml:space="preserve">Casco rachet blanco INSAFE NUEVOS </v>
      </c>
      <c r="P140" s="33">
        <v>1</v>
      </c>
      <c r="Q140" s="32" t="s">
        <v>901</v>
      </c>
    </row>
    <row r="141" spans="13:17" x14ac:dyDescent="0.4">
      <c r="M141" s="39">
        <v>45673</v>
      </c>
      <c r="N141" s="49" t="s">
        <v>757</v>
      </c>
      <c r="O141" s="32" t="str">
        <f>_xlfn.XLOOKUP(SALIDA[[#This Row],[COD]],INVENTARIO[COD],INVENTARIO[DETALLE],"DETALLAR")</f>
        <v>SUSPENSOR PARA CASCO 406-R INSAFE</v>
      </c>
      <c r="P141" s="33">
        <v>1</v>
      </c>
      <c r="Q141" s="32" t="s">
        <v>1091</v>
      </c>
    </row>
    <row r="142" spans="13:17" x14ac:dyDescent="0.4">
      <c r="M142" s="39">
        <v>45673</v>
      </c>
      <c r="N142" s="49" t="s">
        <v>757</v>
      </c>
      <c r="O142" s="32" t="str">
        <f>_xlfn.XLOOKUP(SALIDA[[#This Row],[COD]],INVENTARIO[COD],INVENTARIO[DETALLE],"DETALLAR")</f>
        <v>SUSPENSOR PARA CASCO 406-R INSAFE</v>
      </c>
      <c r="P142" s="33">
        <v>1</v>
      </c>
      <c r="Q142" s="32" t="s">
        <v>901</v>
      </c>
    </row>
    <row r="143" spans="13:17" x14ac:dyDescent="0.4">
      <c r="M143" s="39">
        <v>45673</v>
      </c>
      <c r="N143" s="49" t="s">
        <v>813</v>
      </c>
      <c r="O143" s="32" t="str">
        <f>_xlfn.XLOOKUP(SALIDA[[#This Row],[COD]],INVENTARIO[COD],INVENTARIO[DETALLE],"DETALLAR")</f>
        <v>GTE AURORA TALLA 9 KASTAKO</v>
      </c>
      <c r="P143" s="33">
        <v>1</v>
      </c>
      <c r="Q143" s="32" t="s">
        <v>1091</v>
      </c>
    </row>
    <row r="144" spans="13:17" x14ac:dyDescent="0.4">
      <c r="M144" s="39">
        <v>45673</v>
      </c>
      <c r="N144" s="49" t="s">
        <v>813</v>
      </c>
      <c r="O144" s="32" t="str">
        <f>_xlfn.XLOOKUP(SALIDA[[#This Row],[COD]],INVENTARIO[COD],INVENTARIO[DETALLE],"DETALLAR")</f>
        <v>GTE AURORA TALLA 9 KASTAKO</v>
      </c>
      <c r="P144" s="33">
        <v>1</v>
      </c>
      <c r="Q144" s="32" t="s">
        <v>901</v>
      </c>
    </row>
    <row r="145" spans="13:17" x14ac:dyDescent="0.4">
      <c r="M145" s="39">
        <v>45673</v>
      </c>
      <c r="N145" s="49" t="s">
        <v>827</v>
      </c>
      <c r="O145" s="32" t="str">
        <f>_xlfn.XLOOKUP(SALIDA[[#This Row],[COD]],INVENTARIO[COD],INVENTARIO[DETALLE],"DETALLAR")</f>
        <v>BOTAS DE SEGURIDAD T.42</v>
      </c>
      <c r="P145" s="33">
        <v>1</v>
      </c>
      <c r="Q145" s="32" t="s">
        <v>1091</v>
      </c>
    </row>
    <row r="146" spans="13:17" x14ac:dyDescent="0.4">
      <c r="M146" s="39">
        <v>45673</v>
      </c>
      <c r="N146" s="49" t="s">
        <v>686</v>
      </c>
      <c r="O146" s="32" t="str">
        <f>_xlfn.XLOOKUP(SALIDA[[#This Row],[COD]],INVENTARIO[COD],INVENTARIO[DETALLE],"DETALLAR")</f>
        <v>BUSO ISTHO  L</v>
      </c>
      <c r="P146" s="33">
        <v>4</v>
      </c>
      <c r="Q146" s="32" t="s">
        <v>902</v>
      </c>
    </row>
    <row r="147" spans="13:17" x14ac:dyDescent="0.4">
      <c r="M147" s="39">
        <v>45673</v>
      </c>
      <c r="N147" s="49" t="s">
        <v>823</v>
      </c>
      <c r="O147" s="32" t="str">
        <f>_xlfn.XLOOKUP(SALIDA[[#This Row],[COD]],INVENTARIO[COD],INVENTARIO[DETALLE],"DETALLAR")</f>
        <v>BOTAS DE SEGURIDAD T.40</v>
      </c>
      <c r="P147" s="33">
        <v>1</v>
      </c>
      <c r="Q147" s="32" t="s">
        <v>901</v>
      </c>
    </row>
    <row r="148" spans="13:17" x14ac:dyDescent="0.4">
      <c r="M148" s="39">
        <v>45680</v>
      </c>
      <c r="N148" s="49" t="s">
        <v>836</v>
      </c>
      <c r="O148" s="32" t="str">
        <f>_xlfn.XLOOKUP(SALIDA[[#This Row],[COD]],INVENTARIO[COD],INVENTARIO[DETALLE],"DETALLAR")</f>
        <v>CHALECOS REFLECTIVOS</v>
      </c>
      <c r="P148" s="33">
        <v>1</v>
      </c>
      <c r="Q148" s="32" t="s">
        <v>843</v>
      </c>
    </row>
    <row r="149" spans="13:17" x14ac:dyDescent="0.4">
      <c r="M149" s="39">
        <v>45680</v>
      </c>
      <c r="N149" s="49" t="s">
        <v>690</v>
      </c>
      <c r="O149" s="32" t="str">
        <f>_xlfn.XLOOKUP(SALIDA[[#This Row],[COD]],INVENTARIO[COD],INVENTARIO[DETALLE],"DETALLAR")</f>
        <v>BUSO ISTHO  XL</v>
      </c>
      <c r="P149" s="33">
        <v>1</v>
      </c>
      <c r="Q149" s="32" t="s">
        <v>843</v>
      </c>
    </row>
    <row r="150" spans="13:17" x14ac:dyDescent="0.4">
      <c r="M150" s="39">
        <v>45680</v>
      </c>
      <c r="N150" s="49" t="s">
        <v>836</v>
      </c>
      <c r="O150" s="32" t="str">
        <f>_xlfn.XLOOKUP(SALIDA[[#This Row],[COD]],INVENTARIO[COD],INVENTARIO[DETALLE],"DETALLAR")</f>
        <v>CHALECOS REFLECTIVOS</v>
      </c>
      <c r="P150" s="33">
        <v>1</v>
      </c>
      <c r="Q150" s="32" t="s">
        <v>411</v>
      </c>
    </row>
    <row r="151" spans="13:17" x14ac:dyDescent="0.4">
      <c r="M151" s="39">
        <v>45680</v>
      </c>
      <c r="N151" s="49" t="s">
        <v>836</v>
      </c>
      <c r="O151" s="32" t="str">
        <f>_xlfn.XLOOKUP(SALIDA[[#This Row],[COD]],INVENTARIO[COD],INVENTARIO[DETALLE],"DETALLAR")</f>
        <v>CHALECOS REFLECTIVOS</v>
      </c>
      <c r="P151" s="33">
        <v>1</v>
      </c>
      <c r="Q151" s="32" t="s">
        <v>903</v>
      </c>
    </row>
    <row r="152" spans="13:17" x14ac:dyDescent="0.4">
      <c r="M152" s="39">
        <v>45680</v>
      </c>
      <c r="N152" s="49" t="s">
        <v>836</v>
      </c>
      <c r="O152" s="32" t="str">
        <f>_xlfn.XLOOKUP(SALIDA[[#This Row],[COD]],INVENTARIO[COD],INVENTARIO[DETALLE],"DETALLAR")</f>
        <v>CHALECOS REFLECTIVOS</v>
      </c>
      <c r="P152" s="33">
        <v>1</v>
      </c>
      <c r="Q152" s="32" t="s">
        <v>904</v>
      </c>
    </row>
    <row r="153" spans="13:17" x14ac:dyDescent="0.4">
      <c r="M153" s="39">
        <v>45680</v>
      </c>
      <c r="N153" s="49" t="s">
        <v>836</v>
      </c>
      <c r="O153" s="32" t="str">
        <f>_xlfn.XLOOKUP(SALIDA[[#This Row],[COD]],INVENTARIO[COD],INVENTARIO[DETALLE],"DETALLAR")</f>
        <v>CHALECOS REFLECTIVOS</v>
      </c>
      <c r="P153" s="33">
        <v>1</v>
      </c>
      <c r="Q153" s="32" t="s">
        <v>294</v>
      </c>
    </row>
    <row r="154" spans="13:17" x14ac:dyDescent="0.4">
      <c r="M154" s="39">
        <v>45680</v>
      </c>
      <c r="N154" s="49" t="s">
        <v>802</v>
      </c>
      <c r="O154" s="32" t="str">
        <f>_xlfn.XLOOKUP(SALIDA[[#This Row],[COD]],INVENTARIO[COD],INVENTARIO[DETALLE],"DETALLAR")</f>
        <v xml:space="preserve">PAVA NEGRA ISTHO </v>
      </c>
      <c r="P154" s="33">
        <v>1</v>
      </c>
      <c r="Q154" s="32" t="s">
        <v>905</v>
      </c>
    </row>
    <row r="155" spans="13:17" x14ac:dyDescent="0.4">
      <c r="M155" s="39">
        <v>45680</v>
      </c>
      <c r="N155" s="49" t="s">
        <v>807</v>
      </c>
      <c r="O155" s="32" t="str">
        <f>_xlfn.XLOOKUP(SALIDA[[#This Row],[COD]],INVENTARIO[COD],INVENTARIO[DETALLE],"DETALLAR")</f>
        <v>Gte carnaza ref orzado corto</v>
      </c>
      <c r="P155" s="33">
        <v>1</v>
      </c>
      <c r="Q155" s="32" t="s">
        <v>905</v>
      </c>
    </row>
    <row r="156" spans="13:17" x14ac:dyDescent="0.4">
      <c r="M156" s="39">
        <v>45680</v>
      </c>
      <c r="N156" s="49" t="s">
        <v>813</v>
      </c>
      <c r="O156" s="32" t="str">
        <f>_xlfn.XLOOKUP(SALIDA[[#This Row],[COD]],INVENTARIO[COD],INVENTARIO[DETALLE],"DETALLAR")</f>
        <v>GTE AURORA TALLA 9 KASTAKO</v>
      </c>
      <c r="P156" s="33">
        <v>1</v>
      </c>
      <c r="Q156" s="32" t="s">
        <v>906</v>
      </c>
    </row>
    <row r="157" spans="13:17" x14ac:dyDescent="0.4">
      <c r="M157" s="39">
        <v>45684</v>
      </c>
      <c r="N157" s="49" t="s">
        <v>590</v>
      </c>
      <c r="O157" s="32" t="str">
        <f>_xlfn.XLOOKUP(SALIDA[[#This Row],[COD]],INVENTARIO[COD],INVENTARIO[DETALLE],"DETALLAR")</f>
        <v>POLO NEGRA  S</v>
      </c>
      <c r="P157" s="33">
        <v>1</v>
      </c>
      <c r="Q157" s="32" t="s">
        <v>652</v>
      </c>
    </row>
    <row r="158" spans="13:17" x14ac:dyDescent="0.4">
      <c r="M158" s="39">
        <v>45684</v>
      </c>
      <c r="N158" s="49" t="s">
        <v>737</v>
      </c>
      <c r="O158" s="32" t="str">
        <f>_xlfn.XLOOKUP(SALIDA[[#This Row],[COD]],INVENTARIO[COD],INVENTARIO[DETALLE],"DETALLAR")</f>
        <v>PANTALON TALLA 30</v>
      </c>
      <c r="P158" s="33">
        <v>1</v>
      </c>
      <c r="Q158" s="32" t="s">
        <v>652</v>
      </c>
    </row>
    <row r="159" spans="13:17" x14ac:dyDescent="0.4">
      <c r="M159" s="39">
        <v>45684</v>
      </c>
      <c r="N159" s="49" t="s">
        <v>805</v>
      </c>
      <c r="O159" s="32" t="str">
        <f>_xlfn.XLOOKUP(SALIDA[[#This Row],[COD]],INVENTARIO[COD],INVENTARIO[DETALLE],"DETALLAR")</f>
        <v>Gte en Jean Con Ref uerzo en Carnaza larg</v>
      </c>
      <c r="P159" s="33">
        <v>1</v>
      </c>
      <c r="Q159" s="32" t="s">
        <v>907</v>
      </c>
    </row>
    <row r="160" spans="13:17" x14ac:dyDescent="0.4">
      <c r="M160" s="39">
        <v>45686</v>
      </c>
      <c r="N160" s="49" t="s">
        <v>802</v>
      </c>
      <c r="O160" s="32" t="str">
        <f>_xlfn.XLOOKUP(SALIDA[[#This Row],[COD]],INVENTARIO[COD],INVENTARIO[DETALLE],"DETALLAR")</f>
        <v xml:space="preserve">PAVA NEGRA ISTHO </v>
      </c>
      <c r="P160" s="33">
        <v>1</v>
      </c>
      <c r="Q160" s="32" t="s">
        <v>895</v>
      </c>
    </row>
    <row r="161" spans="13:17" x14ac:dyDescent="0.4">
      <c r="M161" s="39">
        <v>45686</v>
      </c>
      <c r="N161" s="49" t="s">
        <v>811</v>
      </c>
      <c r="O161" s="32" t="str">
        <f>_xlfn.XLOOKUP(SALIDA[[#This Row],[COD]],INVENTARIO[COD],INVENTARIO[DETALLE],"DETALLAR")</f>
        <v xml:space="preserve">GUANTE BEE SOSEGA </v>
      </c>
      <c r="P161" s="33">
        <v>1</v>
      </c>
      <c r="Q161" s="32" t="s">
        <v>895</v>
      </c>
    </row>
    <row r="162" spans="13:17" x14ac:dyDescent="0.4">
      <c r="M162" s="39">
        <v>45686</v>
      </c>
      <c r="N162" s="49" t="s">
        <v>815</v>
      </c>
      <c r="O162" s="32" t="str">
        <f>_xlfn.XLOOKUP(SALIDA[[#This Row],[COD]],INVENTARIO[COD],INVENTARIO[DETALLE],"DETALLAR")</f>
        <v>GTE ANTICORTE NITRILO REF INDICE</v>
      </c>
      <c r="P162" s="33">
        <v>1</v>
      </c>
      <c r="Q162" s="32" t="s">
        <v>240</v>
      </c>
    </row>
    <row r="163" spans="13:17" x14ac:dyDescent="0.4">
      <c r="M163" s="39">
        <v>45686</v>
      </c>
      <c r="N163" s="49" t="s">
        <v>641</v>
      </c>
      <c r="O163" s="32" t="str">
        <f>_xlfn.XLOOKUP(SALIDA[[#This Row],[COD]],INVENTARIO[COD],INVENTARIO[DETALLE],"DETALLAR")</f>
        <v>PANTALON TALLA 32</v>
      </c>
      <c r="P163" s="33">
        <v>1</v>
      </c>
      <c r="Q163" s="32" t="s">
        <v>1077</v>
      </c>
    </row>
    <row r="164" spans="13:17" x14ac:dyDescent="0.4">
      <c r="M164" s="39">
        <v>45689</v>
      </c>
      <c r="N164" s="49" t="s">
        <v>831</v>
      </c>
      <c r="O164" s="32" t="str">
        <f>_xlfn.XLOOKUP(SALIDA[[#This Row],[COD]],INVENTARIO[COD],INVENTARIO[DETALLE],"DETALLAR")</f>
        <v>BOTAS DE SEGURIDAD T.43</v>
      </c>
      <c r="P164" s="33">
        <v>1</v>
      </c>
      <c r="Q164" s="32" t="s">
        <v>908</v>
      </c>
    </row>
    <row r="165" spans="13:17" x14ac:dyDescent="0.4">
      <c r="M165" s="39">
        <v>45689</v>
      </c>
      <c r="N165" s="49" t="s">
        <v>815</v>
      </c>
      <c r="O165" s="32" t="str">
        <f>_xlfn.XLOOKUP(SALIDA[[#This Row],[COD]],INVENTARIO[COD],INVENTARIO[DETALLE],"DETALLAR")</f>
        <v>GTE ANTICORTE NITRILO REF INDICE</v>
      </c>
      <c r="P165" s="33">
        <v>1</v>
      </c>
      <c r="Q165" s="32" t="s">
        <v>908</v>
      </c>
    </row>
    <row r="166" spans="13:17" x14ac:dyDescent="0.4">
      <c r="M166" s="39">
        <v>45689</v>
      </c>
      <c r="N166" s="49" t="s">
        <v>641</v>
      </c>
      <c r="O166" s="32" t="str">
        <f>_xlfn.XLOOKUP(SALIDA[[#This Row],[COD]],INVENTARIO[COD],INVENTARIO[DETALLE],"DETALLAR")</f>
        <v>PANTALON TALLA 32</v>
      </c>
      <c r="P166" s="33">
        <v>1</v>
      </c>
      <c r="Q166" s="32" t="s">
        <v>909</v>
      </c>
    </row>
    <row r="167" spans="13:17" x14ac:dyDescent="0.4">
      <c r="M167" s="39">
        <v>45689</v>
      </c>
      <c r="N167" s="49" t="s">
        <v>815</v>
      </c>
      <c r="O167" s="32" t="str">
        <f>_xlfn.XLOOKUP(SALIDA[[#This Row],[COD]],INVENTARIO[COD],INVENTARIO[DETALLE],"DETALLAR")</f>
        <v>GTE ANTICORTE NITRILO REF INDICE</v>
      </c>
      <c r="P167" s="33">
        <v>1</v>
      </c>
      <c r="Q167" s="32" t="s">
        <v>909</v>
      </c>
    </row>
    <row r="168" spans="13:17" x14ac:dyDescent="0.4">
      <c r="M168" s="39">
        <v>45689</v>
      </c>
      <c r="N168" s="49" t="s">
        <v>815</v>
      </c>
      <c r="O168" s="32" t="str">
        <f>_xlfn.XLOOKUP(SALIDA[[#This Row],[COD]],INVENTARIO[COD],INVENTARIO[DETALLE],"DETALLAR")</f>
        <v>GTE ANTICORTE NITRILO REF INDICE</v>
      </c>
      <c r="P168" s="33">
        <v>1</v>
      </c>
      <c r="Q168" s="32" t="s">
        <v>294</v>
      </c>
    </row>
    <row r="169" spans="13:17" x14ac:dyDescent="0.4">
      <c r="M169" s="39">
        <v>45689</v>
      </c>
      <c r="N169" s="49" t="s">
        <v>654</v>
      </c>
      <c r="O169" s="32" t="str">
        <f>_xlfn.XLOOKUP(SALIDA[[#This Row],[COD]],INVENTARIO[COD],INVENTARIO[DETALLE],"DETALLAR")</f>
        <v>POLO ISTHO GRIS  XL</v>
      </c>
      <c r="P169" s="33">
        <v>1</v>
      </c>
      <c r="Q169" s="32" t="s">
        <v>772</v>
      </c>
    </row>
    <row r="170" spans="13:17" x14ac:dyDescent="0.4">
      <c r="M170" s="39">
        <v>45689</v>
      </c>
      <c r="N170" s="49" t="s">
        <v>662</v>
      </c>
      <c r="O170" s="32" t="str">
        <f>_xlfn.XLOOKUP(SALIDA[[#This Row],[COD]],INVENTARIO[COD],INVENTARIO[DETALLE],"DETALLAR")</f>
        <v>CAMI.BUSO POLO  L</v>
      </c>
      <c r="P170" s="33">
        <v>1</v>
      </c>
      <c r="Q170" s="32" t="s">
        <v>772</v>
      </c>
    </row>
    <row r="171" spans="13:17" x14ac:dyDescent="0.4">
      <c r="M171" s="39">
        <v>45689</v>
      </c>
      <c r="N171" s="49" t="s">
        <v>688</v>
      </c>
      <c r="O171" s="32" t="str">
        <f>_xlfn.XLOOKUP(SALIDA[[#This Row],[COD]],INVENTARIO[COD],INVENTARIO[DETALLE],"DETALLAR")</f>
        <v>PANTALON TALLA 36</v>
      </c>
      <c r="P171" s="33">
        <v>1</v>
      </c>
      <c r="Q171" s="32" t="s">
        <v>772</v>
      </c>
    </row>
    <row r="172" spans="13:17" x14ac:dyDescent="0.4">
      <c r="M172" s="39">
        <v>45689</v>
      </c>
      <c r="N172" s="49" t="s">
        <v>788</v>
      </c>
      <c r="O172" s="32" t="str">
        <f>_xlfn.XLOOKUP(SALIDA[[#This Row],[COD]],INVENTARIO[COD],INVENTARIO[DETALLE],"DETALLAR")</f>
        <v>Manga en algodon azul</v>
      </c>
      <c r="P172" s="33">
        <v>1</v>
      </c>
      <c r="Q172" s="32" t="s">
        <v>772</v>
      </c>
    </row>
    <row r="173" spans="13:17" x14ac:dyDescent="0.4">
      <c r="M173" s="39">
        <v>45689</v>
      </c>
      <c r="N173" s="49" t="s">
        <v>817</v>
      </c>
      <c r="O173" s="32" t="str">
        <f>_xlfn.XLOOKUP(SALIDA[[#This Row],[COD]],INVENTARIO[COD],INVENTARIO[DETALLE],"DETALLAR")</f>
        <v>Gte carnaza AMARILLO CORTO</v>
      </c>
      <c r="P173" s="33">
        <v>1</v>
      </c>
      <c r="Q173" s="32" t="s">
        <v>772</v>
      </c>
    </row>
    <row r="174" spans="13:17" x14ac:dyDescent="0.4">
      <c r="M174" s="39">
        <v>45692</v>
      </c>
      <c r="N174" s="49" t="s">
        <v>817</v>
      </c>
      <c r="O174" s="32" t="str">
        <f>_xlfn.XLOOKUP(SALIDA[[#This Row],[COD]],INVENTARIO[COD],INVENTARIO[DETALLE],"DETALLAR")</f>
        <v>Gte carnaza AMARILLO CORTO</v>
      </c>
      <c r="P174" s="33">
        <v>1</v>
      </c>
      <c r="Q174" s="32" t="s">
        <v>332</v>
      </c>
    </row>
    <row r="175" spans="13:17" x14ac:dyDescent="0.4">
      <c r="M175" s="39">
        <v>45693</v>
      </c>
      <c r="N175" s="49" t="s">
        <v>805</v>
      </c>
      <c r="O175" s="32" t="str">
        <f>_xlfn.XLOOKUP(SALIDA[[#This Row],[COD]],INVENTARIO[COD],INVENTARIO[DETALLE],"DETALLAR")</f>
        <v>Gte en Jean Con Ref uerzo en Carnaza larg</v>
      </c>
      <c r="P175" s="33">
        <v>1</v>
      </c>
      <c r="Q175" s="32" t="s">
        <v>896</v>
      </c>
    </row>
    <row r="176" spans="13:17" x14ac:dyDescent="0.4">
      <c r="M176" s="39">
        <v>45693</v>
      </c>
      <c r="N176" s="49" t="s">
        <v>815</v>
      </c>
      <c r="O176" s="32" t="str">
        <f>_xlfn.XLOOKUP(SALIDA[[#This Row],[COD]],INVENTARIO[COD],INVENTARIO[DETALLE],"DETALLAR")</f>
        <v>GTE ANTICORTE NITRILO REF INDICE</v>
      </c>
      <c r="P176" s="33">
        <v>1</v>
      </c>
      <c r="Q176" s="32" t="s">
        <v>652</v>
      </c>
    </row>
    <row r="177" spans="13:17" x14ac:dyDescent="0.4">
      <c r="M177" s="39">
        <v>45695</v>
      </c>
      <c r="N177" s="49" t="s">
        <v>790</v>
      </c>
      <c r="O177" s="32" t="str">
        <f>_xlfn.XLOOKUP(SALIDA[[#This Row],[COD]],INVENTARIO[COD],INVENTARIO[DETALLE],"DETALLAR")</f>
        <v>Capucha monja algodon plus Kastako</v>
      </c>
      <c r="P177" s="33">
        <v>1</v>
      </c>
      <c r="Q177" s="32" t="s">
        <v>910</v>
      </c>
    </row>
    <row r="178" spans="13:17" x14ac:dyDescent="0.4">
      <c r="M178" s="39">
        <v>45696</v>
      </c>
      <c r="N178" s="49" t="s">
        <v>821</v>
      </c>
      <c r="O178" s="32" t="str">
        <f>_xlfn.XLOOKUP(SALIDA[[#This Row],[COD]],INVENTARIO[COD],INVENTARIO[DETALLE],"DETALLAR")</f>
        <v>BOTAS DE SEGURIDAD T.39</v>
      </c>
      <c r="P178" s="33">
        <v>1</v>
      </c>
      <c r="Q178" s="32" t="s">
        <v>692</v>
      </c>
    </row>
    <row r="179" spans="13:17" x14ac:dyDescent="0.4">
      <c r="M179" s="39">
        <v>45699</v>
      </c>
      <c r="N179" s="49" t="s">
        <v>827</v>
      </c>
      <c r="O179" s="32" t="str">
        <f>_xlfn.XLOOKUP(SALIDA[[#This Row],[COD]],INVENTARIO[COD],INVENTARIO[DETALLE],"DETALLAR")</f>
        <v>BOTAS DE SEGURIDAD T.42</v>
      </c>
      <c r="P179" s="33">
        <v>1</v>
      </c>
      <c r="Q179" s="32" t="s">
        <v>906</v>
      </c>
    </row>
    <row r="180" spans="13:17" x14ac:dyDescent="0.4">
      <c r="M180" s="39">
        <v>45699</v>
      </c>
      <c r="N180" s="49" t="s">
        <v>641</v>
      </c>
      <c r="O180" s="32" t="str">
        <f>_xlfn.XLOOKUP(SALIDA[[#This Row],[COD]],INVENTARIO[COD],INVENTARIO[DETALLE],"DETALLAR")</f>
        <v>PANTALON TALLA 32</v>
      </c>
      <c r="P180" s="33">
        <v>1</v>
      </c>
      <c r="Q180" s="32" t="s">
        <v>848</v>
      </c>
    </row>
    <row r="181" spans="13:17" x14ac:dyDescent="0.4">
      <c r="M181" s="39">
        <v>45699</v>
      </c>
      <c r="N181" s="49" t="s">
        <v>743</v>
      </c>
      <c r="O181" s="32" t="str">
        <f>_xlfn.XLOOKUP(SALIDA[[#This Row],[COD]],INVENTARIO[COD],INVENTARIO[DETALLE],"DETALLAR")</f>
        <v>PANTALON TALLA 38</v>
      </c>
      <c r="P181" s="33">
        <v>1</v>
      </c>
      <c r="Q181" s="32" t="s">
        <v>537</v>
      </c>
    </row>
    <row r="182" spans="13:17" x14ac:dyDescent="0.4">
      <c r="M182" s="39">
        <v>45701</v>
      </c>
      <c r="N182" s="49" t="s">
        <v>827</v>
      </c>
      <c r="O182" s="32" t="str">
        <f>_xlfn.XLOOKUP(SALIDA[[#This Row],[COD]],INVENTARIO[COD],INVENTARIO[DETALLE],"DETALLAR")</f>
        <v>BOTAS DE SEGURIDAD T.42</v>
      </c>
      <c r="P182" s="33">
        <v>1</v>
      </c>
      <c r="Q182" s="32" t="s">
        <v>692</v>
      </c>
    </row>
    <row r="183" spans="13:17" x14ac:dyDescent="0.4">
      <c r="M183" s="39">
        <v>45702</v>
      </c>
      <c r="N183" s="49" t="s">
        <v>805</v>
      </c>
      <c r="O183" s="32" t="str">
        <f>_xlfn.XLOOKUP(SALIDA[[#This Row],[COD]],INVENTARIO[COD],INVENTARIO[DETALLE],"DETALLAR")</f>
        <v>Gte en Jean Con Ref uerzo en Carnaza larg</v>
      </c>
      <c r="P183" s="33">
        <v>1</v>
      </c>
      <c r="Q183" s="32" t="s">
        <v>896</v>
      </c>
    </row>
    <row r="184" spans="13:17" x14ac:dyDescent="0.4">
      <c r="M184" s="39">
        <v>45703</v>
      </c>
      <c r="N184" s="49" t="s">
        <v>755</v>
      </c>
      <c r="O184" s="32" t="str">
        <f>_xlfn.XLOOKUP(SALIDA[[#This Row],[COD]],INVENTARIO[COD],INVENTARIO[DETALLE],"DETALLAR")</f>
        <v xml:space="preserve">Casco rachet blanco INSAFE VISITANTES </v>
      </c>
      <c r="P184" s="33">
        <v>1</v>
      </c>
      <c r="Q184" s="32" t="s">
        <v>898</v>
      </c>
    </row>
    <row r="185" spans="13:17" x14ac:dyDescent="0.4">
      <c r="M185" s="39">
        <v>45705</v>
      </c>
      <c r="N185" s="49" t="s">
        <v>584</v>
      </c>
      <c r="O185" s="32" t="str">
        <f>_xlfn.XLOOKUP(SALIDA[[#This Row],[COD]],INVENTARIO[COD],INVENTARIO[DETALLE],"DETALLAR")</f>
        <v>POLO NEGRA  (10)</v>
      </c>
      <c r="P185" s="33">
        <v>1</v>
      </c>
      <c r="Q185" s="32" t="s">
        <v>911</v>
      </c>
    </row>
    <row r="186" spans="13:17" x14ac:dyDescent="0.4">
      <c r="M186" s="39">
        <v>45705</v>
      </c>
      <c r="N186" s="49" t="s">
        <v>597</v>
      </c>
      <c r="O186" s="32" t="str">
        <f>_xlfn.XLOOKUP(SALIDA[[#This Row],[COD]],INVENTARIO[COD],INVENTARIO[DETALLE],"DETALLAR")</f>
        <v>POLO BLANCA  (10)</v>
      </c>
      <c r="P186" s="33">
        <v>1</v>
      </c>
      <c r="Q186" s="32" t="s">
        <v>911</v>
      </c>
    </row>
    <row r="187" spans="13:17" x14ac:dyDescent="0.4">
      <c r="M187" s="39">
        <v>45705</v>
      </c>
      <c r="N187" s="49" t="s">
        <v>679</v>
      </c>
      <c r="O187" s="32" t="str">
        <f>_xlfn.XLOOKUP(SALIDA[[#This Row],[COD]],INVENTARIO[COD],INVENTARIO[DETALLE],"DETALLAR")</f>
        <v>PANTALON TALLA 10</v>
      </c>
      <c r="P187" s="33">
        <v>2</v>
      </c>
      <c r="Q187" s="32" t="s">
        <v>911</v>
      </c>
    </row>
    <row r="188" spans="13:17" x14ac:dyDescent="0.4">
      <c r="M188" s="39">
        <v>45705</v>
      </c>
      <c r="N188" s="49" t="s">
        <v>819</v>
      </c>
      <c r="O188" s="32" t="str">
        <f>_xlfn.XLOOKUP(SALIDA[[#This Row],[COD]],INVENTARIO[COD],INVENTARIO[DETALLE],"DETALLAR")</f>
        <v>BOTAS DE SEGURIDAD T.38</v>
      </c>
      <c r="P188" s="33">
        <v>1</v>
      </c>
      <c r="Q188" s="32" t="s">
        <v>911</v>
      </c>
    </row>
    <row r="189" spans="13:17" x14ac:dyDescent="0.4">
      <c r="M189" s="39">
        <v>45705</v>
      </c>
      <c r="N189" s="49" t="s">
        <v>752</v>
      </c>
      <c r="O189" s="32" t="str">
        <f>_xlfn.XLOOKUP(SALIDA[[#This Row],[COD]],INVENTARIO[COD],INVENTARIO[DETALLE],"DETALLAR")</f>
        <v xml:space="preserve">Casco rachet blanco INSAFE NUEVOS </v>
      </c>
      <c r="P189" s="33">
        <v>1</v>
      </c>
      <c r="Q189" s="32" t="s">
        <v>911</v>
      </c>
    </row>
    <row r="190" spans="13:17" x14ac:dyDescent="0.4">
      <c r="M190" s="39">
        <v>45705</v>
      </c>
      <c r="N190" s="49" t="s">
        <v>760</v>
      </c>
      <c r="O190" s="32" t="str">
        <f>_xlfn.XLOOKUP(SALIDA[[#This Row],[COD]],INVENTARIO[COD],INVENTARIO[DETALLE],"DETALLAR")</f>
        <v>Barbuquejo 4 apoy os con gancho</v>
      </c>
      <c r="P190" s="33">
        <v>1</v>
      </c>
      <c r="Q190" s="32" t="s">
        <v>911</v>
      </c>
    </row>
    <row r="191" spans="13:17" x14ac:dyDescent="0.4">
      <c r="M191" s="39">
        <v>45705</v>
      </c>
      <c r="N191" s="49" t="s">
        <v>686</v>
      </c>
      <c r="O191" s="32" t="str">
        <f>_xlfn.XLOOKUP(SALIDA[[#This Row],[COD]],INVENTARIO[COD],INVENTARIO[DETALLE],"DETALLAR")</f>
        <v>BUSO ISTHO  L</v>
      </c>
      <c r="P191" s="33">
        <v>1</v>
      </c>
      <c r="Q191" s="32" t="s">
        <v>211</v>
      </c>
    </row>
    <row r="192" spans="13:17" x14ac:dyDescent="0.4">
      <c r="M192" s="39">
        <v>45705</v>
      </c>
      <c r="N192" s="49" t="s">
        <v>670</v>
      </c>
      <c r="O192" s="32" t="str">
        <f>_xlfn.XLOOKUP(SALIDA[[#This Row],[COD]],INVENTARIO[COD],INVENTARIO[DETALLE],"DETALLAR")</f>
        <v>BUSO APOYO LOGISTICO L</v>
      </c>
      <c r="P192" s="33">
        <v>1</v>
      </c>
      <c r="Q192" s="32" t="s">
        <v>211</v>
      </c>
    </row>
    <row r="193" spans="13:17" x14ac:dyDescent="0.4">
      <c r="M193" s="39">
        <v>45705</v>
      </c>
      <c r="N193" s="49" t="s">
        <v>641</v>
      </c>
      <c r="O193" s="32" t="str">
        <f>_xlfn.XLOOKUP(SALIDA[[#This Row],[COD]],INVENTARIO[COD],INVENTARIO[DETALLE],"DETALLAR")</f>
        <v>PANTALON TALLA 32</v>
      </c>
      <c r="P193" s="33">
        <v>1</v>
      </c>
      <c r="Q193" s="32" t="s">
        <v>211</v>
      </c>
    </row>
    <row r="194" spans="13:17" x14ac:dyDescent="0.4">
      <c r="M194" s="39">
        <v>45705</v>
      </c>
      <c r="N194" s="49" t="s">
        <v>815</v>
      </c>
      <c r="O194" s="32" t="str">
        <f>_xlfn.XLOOKUP(SALIDA[[#This Row],[COD]],INVENTARIO[COD],INVENTARIO[DETALLE],"DETALLAR")</f>
        <v>GTE ANTICORTE NITRILO REF INDICE</v>
      </c>
      <c r="P194" s="33">
        <v>1</v>
      </c>
      <c r="Q194" s="32" t="s">
        <v>211</v>
      </c>
    </row>
    <row r="195" spans="13:17" x14ac:dyDescent="0.4">
      <c r="M195" s="39">
        <v>45705</v>
      </c>
      <c r="N195" s="49" t="s">
        <v>752</v>
      </c>
      <c r="O195" s="32" t="str">
        <f>_xlfn.XLOOKUP(SALIDA[[#This Row],[COD]],INVENTARIO[COD],INVENTARIO[DETALLE],"DETALLAR")</f>
        <v xml:space="preserve">Casco rachet blanco INSAFE NUEVOS </v>
      </c>
      <c r="P195" s="33">
        <v>1</v>
      </c>
      <c r="Q195" s="32" t="s">
        <v>211</v>
      </c>
    </row>
    <row r="196" spans="13:17" x14ac:dyDescent="0.4">
      <c r="M196" s="39">
        <v>45705</v>
      </c>
      <c r="N196" s="49" t="s">
        <v>760</v>
      </c>
      <c r="O196" s="32" t="str">
        <f>_xlfn.XLOOKUP(SALIDA[[#This Row],[COD]],INVENTARIO[COD],INVENTARIO[DETALLE],"DETALLAR")</f>
        <v>Barbuquejo 4 apoy os con gancho</v>
      </c>
      <c r="P196" s="33">
        <v>1</v>
      </c>
      <c r="Q196" s="32" t="s">
        <v>211</v>
      </c>
    </row>
    <row r="197" spans="13:17" x14ac:dyDescent="0.4">
      <c r="M197" s="39">
        <v>45705</v>
      </c>
      <c r="N197" s="49" t="s">
        <v>825</v>
      </c>
      <c r="O197" s="32" t="str">
        <f>_xlfn.XLOOKUP(SALIDA[[#This Row],[COD]],INVENTARIO[COD],INVENTARIO[DETALLE],"DETALLAR")</f>
        <v>BOTAS DE SEGURIDAD T.41</v>
      </c>
      <c r="P197" s="33">
        <v>1</v>
      </c>
      <c r="Q197" s="32" t="s">
        <v>211</v>
      </c>
    </row>
    <row r="198" spans="13:17" x14ac:dyDescent="0.4">
      <c r="M198" s="39">
        <v>45699</v>
      </c>
      <c r="N198" s="49" t="s">
        <v>831</v>
      </c>
      <c r="O198" s="32" t="str">
        <f>_xlfn.XLOOKUP(SALIDA[[#This Row],[COD]],INVENTARIO[COD],INVENTARIO[DETALLE],"DETALLAR")</f>
        <v>BOTAS DE SEGURIDAD T.43</v>
      </c>
      <c r="P198" s="33">
        <v>1</v>
      </c>
      <c r="Q198" s="32" t="s">
        <v>912</v>
      </c>
    </row>
    <row r="199" spans="13:17" x14ac:dyDescent="0.4">
      <c r="M199" s="39">
        <v>45706</v>
      </c>
      <c r="N199" s="49" t="s">
        <v>827</v>
      </c>
      <c r="O199" s="32" t="str">
        <f>_xlfn.XLOOKUP(SALIDA[[#This Row],[COD]],INVENTARIO[COD],INVENTARIO[DETALLE],"DETALLAR")</f>
        <v>BOTAS DE SEGURIDAD T.42</v>
      </c>
      <c r="P199" s="33">
        <v>1</v>
      </c>
      <c r="Q199" s="32" t="s">
        <v>904</v>
      </c>
    </row>
    <row r="200" spans="13:17" x14ac:dyDescent="0.4">
      <c r="M200" s="39">
        <v>45706</v>
      </c>
      <c r="N200" s="49" t="s">
        <v>608</v>
      </c>
      <c r="O200" s="32" t="str">
        <f>_xlfn.XLOOKUP(SALIDA[[#This Row],[COD]],INVENTARIO[COD],INVENTARIO[DETALLE],"DETALLAR")</f>
        <v>PANTALON TALLA 34</v>
      </c>
      <c r="P200" s="33">
        <v>1</v>
      </c>
      <c r="Q200" s="32" t="s">
        <v>913</v>
      </c>
    </row>
    <row r="201" spans="13:17" x14ac:dyDescent="0.4">
      <c r="M201" s="39">
        <v>45706</v>
      </c>
      <c r="N201" s="49" t="s">
        <v>805</v>
      </c>
      <c r="O201" s="32" t="str">
        <f>_xlfn.XLOOKUP(SALIDA[[#This Row],[COD]],INVENTARIO[COD],INVENTARIO[DETALLE],"DETALLAR")</f>
        <v>Gte en Jean Con Ref uerzo en Carnaza larg</v>
      </c>
      <c r="P201" s="33">
        <v>1</v>
      </c>
      <c r="Q201" s="32" t="s">
        <v>914</v>
      </c>
    </row>
    <row r="202" spans="13:17" x14ac:dyDescent="0.4">
      <c r="M202" s="39" t="s">
        <v>915</v>
      </c>
      <c r="N202" s="49" t="s">
        <v>670</v>
      </c>
      <c r="O202" s="32" t="str">
        <f>_xlfn.XLOOKUP(SALIDA[[#This Row],[COD]],INVENTARIO[COD],INVENTARIO[DETALLE],"DETALLAR")</f>
        <v>BUSO APOYO LOGISTICO L</v>
      </c>
      <c r="P202" s="33">
        <v>1</v>
      </c>
      <c r="Q202" s="32" t="s">
        <v>240</v>
      </c>
    </row>
    <row r="203" spans="13:17" x14ac:dyDescent="0.4">
      <c r="M203" s="39">
        <v>45706</v>
      </c>
      <c r="N203" s="49" t="s">
        <v>770</v>
      </c>
      <c r="O203" s="32" t="str">
        <f>_xlfn.XLOOKUP(SALIDA[[#This Row],[COD]],INVENTARIO[COD],INVENTARIO[DETALLE],"DETALLAR")</f>
        <v>GAFA SQUARE SENCILLA CLARA SOSEGA</v>
      </c>
      <c r="P203" s="33">
        <v>1</v>
      </c>
      <c r="Q203" s="32" t="s">
        <v>587</v>
      </c>
    </row>
    <row r="204" spans="13:17" x14ac:dyDescent="0.4">
      <c r="M204" s="39">
        <v>45706</v>
      </c>
      <c r="N204" s="49" t="s">
        <v>788</v>
      </c>
      <c r="O204" s="32" t="str">
        <f>_xlfn.XLOOKUP(SALIDA[[#This Row],[COD]],INVENTARIO[COD],INVENTARIO[DETALLE],"DETALLAR")</f>
        <v>Manga en algodon azul</v>
      </c>
      <c r="P204" s="33">
        <v>1</v>
      </c>
      <c r="Q204" s="32" t="s">
        <v>587</v>
      </c>
    </row>
    <row r="205" spans="13:17" x14ac:dyDescent="0.4">
      <c r="M205" s="39" t="s">
        <v>915</v>
      </c>
      <c r="N205" s="49" t="s">
        <v>608</v>
      </c>
      <c r="O205" s="32" t="str">
        <f>_xlfn.XLOOKUP(SALIDA[[#This Row],[COD]],INVENTARIO[COD],INVENTARIO[DETALLE],"DETALLAR")</f>
        <v>PANTALON TALLA 34</v>
      </c>
      <c r="P205" s="33">
        <v>1</v>
      </c>
      <c r="Q205" s="32" t="s">
        <v>294</v>
      </c>
    </row>
    <row r="206" spans="13:17" x14ac:dyDescent="0.4">
      <c r="M206" s="39">
        <v>45709</v>
      </c>
      <c r="N206" s="49" t="s">
        <v>677</v>
      </c>
      <c r="O206" s="32" t="str">
        <f>_xlfn.XLOOKUP(SALIDA[[#This Row],[COD]],INVENTARIO[COD],INVENTARIO[DETALLE],"DETALLAR")</f>
        <v>BUSO APOYO LOGISTICO XL</v>
      </c>
      <c r="P206" s="33">
        <v>2</v>
      </c>
      <c r="Q206" s="32" t="s">
        <v>916</v>
      </c>
    </row>
    <row r="207" spans="13:17" x14ac:dyDescent="0.4">
      <c r="M207" s="39">
        <v>45709</v>
      </c>
      <c r="N207" s="49" t="s">
        <v>608</v>
      </c>
      <c r="O207" s="32" t="str">
        <f>_xlfn.XLOOKUP(SALIDA[[#This Row],[COD]],INVENTARIO[COD],INVENTARIO[DETALLE],"DETALLAR")</f>
        <v>PANTALON TALLA 34</v>
      </c>
      <c r="P207" s="33">
        <v>1</v>
      </c>
      <c r="Q207" s="32" t="s">
        <v>916</v>
      </c>
    </row>
    <row r="208" spans="13:17" x14ac:dyDescent="0.4">
      <c r="M208" s="39">
        <v>45709</v>
      </c>
      <c r="N208" s="49" t="s">
        <v>831</v>
      </c>
      <c r="O208" s="32" t="str">
        <f>_xlfn.XLOOKUP(SALIDA[[#This Row],[COD]],INVENTARIO[COD],INVENTARIO[DETALLE],"DETALLAR")</f>
        <v>BOTAS DE SEGURIDAD T.43</v>
      </c>
      <c r="P208" s="33">
        <v>1</v>
      </c>
      <c r="Q208" s="32" t="s">
        <v>916</v>
      </c>
    </row>
    <row r="209" spans="13:17" x14ac:dyDescent="0.4">
      <c r="M209" s="39">
        <v>45709</v>
      </c>
      <c r="N209" s="49" t="s">
        <v>752</v>
      </c>
      <c r="O209" s="32" t="str">
        <f>_xlfn.XLOOKUP(SALIDA[[#This Row],[COD]],INVENTARIO[COD],INVENTARIO[DETALLE],"DETALLAR")</f>
        <v xml:space="preserve">Casco rachet blanco INSAFE NUEVOS </v>
      </c>
      <c r="P209" s="33">
        <v>1</v>
      </c>
      <c r="Q209" s="32" t="s">
        <v>916</v>
      </c>
    </row>
    <row r="210" spans="13:17" x14ac:dyDescent="0.4">
      <c r="M210" s="39">
        <v>45709</v>
      </c>
      <c r="N210" s="49" t="s">
        <v>815</v>
      </c>
      <c r="O210" s="32" t="str">
        <f>_xlfn.XLOOKUP(SALIDA[[#This Row],[COD]],INVENTARIO[COD],INVENTARIO[DETALLE],"DETALLAR")</f>
        <v>GTE ANTICORTE NITRILO REF INDICE</v>
      </c>
      <c r="P210" s="33">
        <v>1</v>
      </c>
      <c r="Q210" s="32" t="s">
        <v>916</v>
      </c>
    </row>
    <row r="211" spans="13:17" x14ac:dyDescent="0.4">
      <c r="M211" s="39">
        <v>45709</v>
      </c>
      <c r="N211" s="49" t="s">
        <v>760</v>
      </c>
      <c r="O211" s="32" t="str">
        <f>_xlfn.XLOOKUP(SALIDA[[#This Row],[COD]],INVENTARIO[COD],INVENTARIO[DETALLE],"DETALLAR")</f>
        <v>Barbuquejo 4 apoy os con gancho</v>
      </c>
      <c r="P211" s="33">
        <v>1</v>
      </c>
      <c r="Q211" s="32" t="s">
        <v>916</v>
      </c>
    </row>
    <row r="212" spans="13:17" x14ac:dyDescent="0.4">
      <c r="M212" s="39">
        <v>45709</v>
      </c>
      <c r="N212" s="49" t="s">
        <v>686</v>
      </c>
      <c r="O212" s="32" t="str">
        <f>_xlfn.XLOOKUP(SALIDA[[#This Row],[COD]],INVENTARIO[COD],INVENTARIO[DETALLE],"DETALLAR")</f>
        <v>BUSO ISTHO  L</v>
      </c>
      <c r="P212" s="33">
        <v>1</v>
      </c>
      <c r="Q212" s="32" t="s">
        <v>1092</v>
      </c>
    </row>
    <row r="213" spans="13:17" x14ac:dyDescent="0.4">
      <c r="M213" s="39">
        <v>45709</v>
      </c>
      <c r="N213" s="49" t="s">
        <v>670</v>
      </c>
      <c r="O213" s="32" t="str">
        <f>_xlfn.XLOOKUP(SALIDA[[#This Row],[COD]],INVENTARIO[COD],INVENTARIO[DETALLE],"DETALLAR")</f>
        <v>BUSO APOYO LOGISTICO L</v>
      </c>
      <c r="P213" s="33">
        <v>1</v>
      </c>
      <c r="Q213" s="32" t="s">
        <v>1092</v>
      </c>
    </row>
    <row r="214" spans="13:17" x14ac:dyDescent="0.4">
      <c r="M214" s="39">
        <v>45709</v>
      </c>
      <c r="N214" s="49" t="s">
        <v>608</v>
      </c>
      <c r="O214" s="32" t="str">
        <f>_xlfn.XLOOKUP(SALIDA[[#This Row],[COD]],INVENTARIO[COD],INVENTARIO[DETALLE],"DETALLAR")</f>
        <v>PANTALON TALLA 34</v>
      </c>
      <c r="P214" s="33">
        <v>2</v>
      </c>
      <c r="Q214" s="32" t="s">
        <v>1092</v>
      </c>
    </row>
    <row r="215" spans="13:17" x14ac:dyDescent="0.4">
      <c r="M215" s="39">
        <v>45709</v>
      </c>
      <c r="N215" s="49" t="s">
        <v>831</v>
      </c>
      <c r="O215" s="32" t="str">
        <f>_xlfn.XLOOKUP(SALIDA[[#This Row],[COD]],INVENTARIO[COD],INVENTARIO[DETALLE],"DETALLAR")</f>
        <v>BOTAS DE SEGURIDAD T.43</v>
      </c>
      <c r="P215" s="33">
        <v>1</v>
      </c>
      <c r="Q215" s="32" t="s">
        <v>1092</v>
      </c>
    </row>
    <row r="216" spans="13:17" x14ac:dyDescent="0.4">
      <c r="M216" s="39">
        <v>45709</v>
      </c>
      <c r="N216" s="49" t="s">
        <v>752</v>
      </c>
      <c r="O216" s="32" t="str">
        <f>_xlfn.XLOOKUP(SALIDA[[#This Row],[COD]],INVENTARIO[COD],INVENTARIO[DETALLE],"DETALLAR")</f>
        <v xml:space="preserve">Casco rachet blanco INSAFE NUEVOS </v>
      </c>
      <c r="P216" s="33">
        <v>1</v>
      </c>
      <c r="Q216" s="32" t="s">
        <v>1092</v>
      </c>
    </row>
    <row r="217" spans="13:17" x14ac:dyDescent="0.4">
      <c r="M217" s="39">
        <v>45709</v>
      </c>
      <c r="N217" s="49" t="s">
        <v>760</v>
      </c>
      <c r="O217" s="32" t="str">
        <f>_xlfn.XLOOKUP(SALIDA[[#This Row],[COD]],INVENTARIO[COD],INVENTARIO[DETALLE],"DETALLAR")</f>
        <v>Barbuquejo 4 apoy os con gancho</v>
      </c>
      <c r="P217" s="33">
        <v>1</v>
      </c>
      <c r="Q217" s="32" t="s">
        <v>1092</v>
      </c>
    </row>
    <row r="218" spans="13:17" x14ac:dyDescent="0.4">
      <c r="M218" s="39">
        <v>45709</v>
      </c>
      <c r="N218" s="49" t="s">
        <v>815</v>
      </c>
      <c r="O218" s="32" t="str">
        <f>_xlfn.XLOOKUP(SALIDA[[#This Row],[COD]],INVENTARIO[COD],INVENTARIO[DETALLE],"DETALLAR")</f>
        <v>GTE ANTICORTE NITRILO REF INDICE</v>
      </c>
      <c r="P218" s="33">
        <v>1</v>
      </c>
      <c r="Q218" s="32" t="s">
        <v>1092</v>
      </c>
    </row>
    <row r="219" spans="13:17" x14ac:dyDescent="0.4">
      <c r="M219" s="39">
        <v>45712</v>
      </c>
      <c r="N219" s="49" t="s">
        <v>752</v>
      </c>
      <c r="O219" s="32" t="str">
        <f>_xlfn.XLOOKUP(SALIDA[[#This Row],[COD]],INVENTARIO[COD],INVENTARIO[DETALLE],"DETALLAR")</f>
        <v xml:space="preserve">Casco rachet blanco INSAFE NUEVOS </v>
      </c>
      <c r="P219" s="33">
        <v>1</v>
      </c>
      <c r="Q219" s="32" t="s">
        <v>417</v>
      </c>
    </row>
    <row r="220" spans="13:17" x14ac:dyDescent="0.4">
      <c r="M220" s="39">
        <v>45712</v>
      </c>
      <c r="N220" s="49" t="s">
        <v>760</v>
      </c>
      <c r="O220" s="32" t="str">
        <f>_xlfn.XLOOKUP(SALIDA[[#This Row],[COD]],INVENTARIO[COD],INVENTARIO[DETALLE],"DETALLAR")</f>
        <v>Barbuquejo 4 apoy os con gancho</v>
      </c>
      <c r="P220" s="33">
        <v>1</v>
      </c>
      <c r="Q220" s="32" t="s">
        <v>417</v>
      </c>
    </row>
    <row r="221" spans="13:17" x14ac:dyDescent="0.4">
      <c r="M221" s="39">
        <v>45712</v>
      </c>
      <c r="N221" s="49" t="s">
        <v>584</v>
      </c>
      <c r="O221" s="32" t="str">
        <f>_xlfn.XLOOKUP(SALIDA[[#This Row],[COD]],INVENTARIO[COD],INVENTARIO[DETALLE],"DETALLAR")</f>
        <v>POLO NEGRA  (10)</v>
      </c>
      <c r="P221" s="33">
        <v>1</v>
      </c>
      <c r="Q221" s="32" t="s">
        <v>417</v>
      </c>
    </row>
    <row r="222" spans="13:17" x14ac:dyDescent="0.4">
      <c r="M222" s="39">
        <v>45712</v>
      </c>
      <c r="N222" s="49" t="s">
        <v>597</v>
      </c>
      <c r="O222" s="32" t="str">
        <f>_xlfn.XLOOKUP(SALIDA[[#This Row],[COD]],INVENTARIO[COD],INVENTARIO[DETALLE],"DETALLAR")</f>
        <v>POLO BLANCA  (10)</v>
      </c>
      <c r="P222" s="33">
        <v>1</v>
      </c>
      <c r="Q222" s="32" t="s">
        <v>417</v>
      </c>
    </row>
    <row r="223" spans="13:17" x14ac:dyDescent="0.4">
      <c r="M223" s="39">
        <v>45712</v>
      </c>
      <c r="N223" s="49" t="s">
        <v>679</v>
      </c>
      <c r="O223" s="32" t="str">
        <f>_xlfn.XLOOKUP(SALIDA[[#This Row],[COD]],INVENTARIO[COD],INVENTARIO[DETALLE],"DETALLAR")</f>
        <v>PANTALON TALLA 10</v>
      </c>
      <c r="P223" s="33">
        <v>2</v>
      </c>
      <c r="Q223" s="32" t="s">
        <v>417</v>
      </c>
    </row>
    <row r="224" spans="13:17" x14ac:dyDescent="0.4">
      <c r="M224" s="39">
        <v>45712</v>
      </c>
      <c r="N224" s="49" t="s">
        <v>819</v>
      </c>
      <c r="O224" s="32" t="str">
        <f>_xlfn.XLOOKUP(SALIDA[[#This Row],[COD]],INVENTARIO[COD],INVENTARIO[DETALLE],"DETALLAR")</f>
        <v>BOTAS DE SEGURIDAD T.38</v>
      </c>
      <c r="P224" s="33">
        <v>1</v>
      </c>
      <c r="Q224" s="32" t="s">
        <v>417</v>
      </c>
    </row>
    <row r="225" spans="13:17" x14ac:dyDescent="0.4">
      <c r="M225" s="39">
        <v>45712</v>
      </c>
      <c r="N225" s="49" t="s">
        <v>752</v>
      </c>
      <c r="O225" s="32" t="str">
        <f>_xlfn.XLOOKUP(SALIDA[[#This Row],[COD]],INVENTARIO[COD],INVENTARIO[DETALLE],"DETALLAR")</f>
        <v xml:space="preserve">Casco rachet blanco INSAFE NUEVOS </v>
      </c>
      <c r="P225" s="33">
        <v>1</v>
      </c>
      <c r="Q225" s="32" t="s">
        <v>732</v>
      </c>
    </row>
    <row r="226" spans="13:17" x14ac:dyDescent="0.4">
      <c r="M226" s="39">
        <v>45715</v>
      </c>
      <c r="N226" s="49" t="s">
        <v>836</v>
      </c>
      <c r="O226" s="32" t="str">
        <f>_xlfn.XLOOKUP(SALIDA[[#This Row],[COD]],INVENTARIO[COD],INVENTARIO[DETALLE],"DETALLAR")</f>
        <v>CHALECOS REFLECTIVOS</v>
      </c>
      <c r="P226" s="33">
        <v>1</v>
      </c>
      <c r="Q226" s="32" t="s">
        <v>917</v>
      </c>
    </row>
    <row r="227" spans="13:17" x14ac:dyDescent="0.4">
      <c r="M227" s="39">
        <v>45715</v>
      </c>
      <c r="N227" s="49" t="s">
        <v>794</v>
      </c>
      <c r="O227" s="32" t="str">
        <f>_xlfn.XLOOKUP(SALIDA[[#This Row],[COD]],INVENTARIO[COD],INVENTARIO[DETALLE],"DETALLAR")</f>
        <v>suf ridor ambidiestra KASTAKO</v>
      </c>
      <c r="P227" s="33">
        <v>1</v>
      </c>
      <c r="Q227" s="32" t="s">
        <v>918</v>
      </c>
    </row>
    <row r="228" spans="13:17" x14ac:dyDescent="0.4">
      <c r="M228" s="39">
        <v>45716</v>
      </c>
      <c r="N228" s="156" t="s">
        <v>815</v>
      </c>
      <c r="O228" s="55" t="str">
        <f>_xlfn.XLOOKUP(SALIDA[[#This Row],[COD]],INVENTARIO[COD],INVENTARIO[DETALLE],"DETALLAR")</f>
        <v>GTE ANTICORTE NITRILO REF INDICE</v>
      </c>
      <c r="P228" s="58">
        <v>20</v>
      </c>
      <c r="Q228" s="55" t="s">
        <v>902</v>
      </c>
    </row>
    <row r="229" spans="13:17" x14ac:dyDescent="0.4">
      <c r="M229" s="39">
        <v>45719</v>
      </c>
      <c r="N229" s="49" t="s">
        <v>713</v>
      </c>
      <c r="O229" s="32" t="str">
        <f>_xlfn.XLOOKUP(SALIDA[[#This Row],[COD]],INVENTARIO[COD],INVENTARIO[DETALLE],"DETALLAR")</f>
        <v>PANTALON TALLA 40</v>
      </c>
      <c r="P229" s="33">
        <v>1</v>
      </c>
      <c r="Q229" s="32" t="s">
        <v>530</v>
      </c>
    </row>
    <row r="230" spans="13:17" x14ac:dyDescent="0.4">
      <c r="M230" s="39">
        <v>45720</v>
      </c>
      <c r="N230" s="49" t="s">
        <v>788</v>
      </c>
      <c r="O230" s="32" t="str">
        <f>_xlfn.XLOOKUP(SALIDA[[#This Row],[COD]],INVENTARIO[COD],INVENTARIO[DETALLE],"DETALLAR")</f>
        <v>Manga en algodon azul</v>
      </c>
      <c r="P230" s="33">
        <v>1</v>
      </c>
      <c r="Q230" s="32" t="s">
        <v>919</v>
      </c>
    </row>
    <row r="231" spans="13:17" x14ac:dyDescent="0.4">
      <c r="M231" s="39">
        <v>45721</v>
      </c>
      <c r="N231" s="49" t="s">
        <v>821</v>
      </c>
      <c r="O231" s="32" t="str">
        <f>_xlfn.XLOOKUP(SALIDA[[#This Row],[COD]],INVENTARIO[COD],INVENTARIO[DETALLE],"DETALLAR")</f>
        <v>BOTAS DE SEGURIDAD T.39</v>
      </c>
      <c r="P231" s="33">
        <v>1</v>
      </c>
      <c r="Q231" s="32" t="s">
        <v>910</v>
      </c>
    </row>
    <row r="232" spans="13:17" x14ac:dyDescent="0.4">
      <c r="M232" s="39">
        <v>45721</v>
      </c>
      <c r="N232" s="49" t="s">
        <v>819</v>
      </c>
      <c r="O232" s="32" t="str">
        <f>_xlfn.XLOOKUP(SALIDA[[#This Row],[COD]],INVENTARIO[COD],INVENTARIO[DETALLE],"DETALLAR")</f>
        <v>BOTAS DE SEGURIDAD T.38</v>
      </c>
      <c r="P232" s="33">
        <v>1</v>
      </c>
      <c r="Q232" s="32" t="s">
        <v>920</v>
      </c>
    </row>
    <row r="233" spans="13:17" x14ac:dyDescent="0.4">
      <c r="M233" s="39">
        <v>45721</v>
      </c>
      <c r="N233" s="49" t="s">
        <v>670</v>
      </c>
      <c r="O233" s="32" t="str">
        <f>_xlfn.XLOOKUP(SALIDA[[#This Row],[COD]],INVENTARIO[COD],INVENTARIO[DETALLE],"DETALLAR")</f>
        <v>BUSO APOYO LOGISTICO L</v>
      </c>
      <c r="P233" s="33">
        <v>1</v>
      </c>
      <c r="Q233" s="32" t="s">
        <v>921</v>
      </c>
    </row>
    <row r="234" spans="13:17" x14ac:dyDescent="0.4">
      <c r="M234" s="39">
        <v>45727</v>
      </c>
      <c r="N234" s="49" t="s">
        <v>821</v>
      </c>
      <c r="O234" s="32" t="str">
        <f>_xlfn.XLOOKUP(SALIDA[[#This Row],[COD]],INVENTARIO[COD],INVENTARIO[DETALLE],"DETALLAR")</f>
        <v>BOTAS DE SEGURIDAD T.39</v>
      </c>
      <c r="P234" s="33">
        <v>1</v>
      </c>
      <c r="Q234" s="32" t="s">
        <v>1083</v>
      </c>
    </row>
    <row r="235" spans="13:17" x14ac:dyDescent="0.4">
      <c r="M235" s="39">
        <v>45727</v>
      </c>
      <c r="N235" s="49" t="s">
        <v>821</v>
      </c>
      <c r="O235" s="32" t="str">
        <f>_xlfn.XLOOKUP(SALIDA[[#This Row],[COD]],INVENTARIO[COD],INVENTARIO[DETALLE],"DETALLAR")</f>
        <v>BOTAS DE SEGURIDAD T.39</v>
      </c>
      <c r="P235" s="33">
        <v>1</v>
      </c>
      <c r="Q235" s="32" t="s">
        <v>1084</v>
      </c>
    </row>
    <row r="236" spans="13:17" x14ac:dyDescent="0.4">
      <c r="M236" s="39">
        <v>45727</v>
      </c>
      <c r="N236" s="49" t="s">
        <v>823</v>
      </c>
      <c r="O236" s="32" t="str">
        <f>_xlfn.XLOOKUP(SALIDA[[#This Row],[COD]],INVENTARIO[COD],INVENTARIO[DETALLE],"DETALLAR")</f>
        <v>BOTAS DE SEGURIDAD T.40</v>
      </c>
      <c r="P236" s="33">
        <v>1</v>
      </c>
      <c r="Q236" s="32" t="s">
        <v>804</v>
      </c>
    </row>
    <row r="237" spans="13:17" x14ac:dyDescent="0.4">
      <c r="M237" s="39">
        <v>45727</v>
      </c>
      <c r="N237" s="49" t="s">
        <v>823</v>
      </c>
      <c r="O237" s="32" t="str">
        <f>_xlfn.XLOOKUP(SALIDA[[#This Row],[COD]],INVENTARIO[COD],INVENTARIO[DETALLE],"DETALLAR")</f>
        <v>BOTAS DE SEGURIDAD T.40</v>
      </c>
      <c r="P237" s="33">
        <v>1</v>
      </c>
      <c r="Q237" s="32" t="s">
        <v>1093</v>
      </c>
    </row>
    <row r="238" spans="13:17" x14ac:dyDescent="0.4">
      <c r="M238" s="39">
        <v>45727</v>
      </c>
      <c r="N238" s="49" t="s">
        <v>823</v>
      </c>
      <c r="O238" s="32" t="str">
        <f>_xlfn.XLOOKUP(SALIDA[[#This Row],[COD]],INVENTARIO[COD],INVENTARIO[DETALLE],"DETALLAR")</f>
        <v>BOTAS DE SEGURIDAD T.40</v>
      </c>
      <c r="P238" s="33">
        <v>1</v>
      </c>
      <c r="Q238" s="32" t="s">
        <v>1089</v>
      </c>
    </row>
    <row r="239" spans="13:17" x14ac:dyDescent="0.4">
      <c r="M239" s="39">
        <v>45727</v>
      </c>
      <c r="N239" s="49" t="s">
        <v>823</v>
      </c>
      <c r="O239" s="32" t="str">
        <f>_xlfn.XLOOKUP(SALIDA[[#This Row],[COD]],INVENTARIO[COD],INVENTARIO[DETALLE],"DETALLAR")</f>
        <v>BOTAS DE SEGURIDAD T.40</v>
      </c>
      <c r="P239" s="33">
        <v>1</v>
      </c>
      <c r="Q239" s="32" t="s">
        <v>1094</v>
      </c>
    </row>
    <row r="240" spans="13:17" x14ac:dyDescent="0.4">
      <c r="M240" s="39">
        <v>45727</v>
      </c>
      <c r="N240" s="49" t="s">
        <v>823</v>
      </c>
      <c r="O240" s="32" t="str">
        <f>_xlfn.XLOOKUP(SALIDA[[#This Row],[COD]],INVENTARIO[COD],INVENTARIO[DETALLE],"DETALLAR")</f>
        <v>BOTAS DE SEGURIDAD T.40</v>
      </c>
      <c r="P240" s="33">
        <v>1</v>
      </c>
      <c r="Q240" s="32" t="s">
        <v>1081</v>
      </c>
    </row>
    <row r="241" spans="13:17" x14ac:dyDescent="0.4">
      <c r="M241" s="39">
        <v>45727</v>
      </c>
      <c r="N241" s="49" t="s">
        <v>825</v>
      </c>
      <c r="O241" s="32" t="str">
        <f>_xlfn.XLOOKUP(SALIDA[[#This Row],[COD]],INVENTARIO[COD],INVENTARIO[DETALLE],"DETALLAR")</f>
        <v>BOTAS DE SEGURIDAD T.41</v>
      </c>
      <c r="P241" s="33">
        <v>1</v>
      </c>
      <c r="Q241" s="32" t="s">
        <v>1095</v>
      </c>
    </row>
    <row r="242" spans="13:17" x14ac:dyDescent="0.4">
      <c r="M242" s="39">
        <v>45727</v>
      </c>
      <c r="N242" s="49" t="s">
        <v>825</v>
      </c>
      <c r="O242" s="32" t="str">
        <f>_xlfn.XLOOKUP(SALIDA[[#This Row],[COD]],INVENTARIO[COD],INVENTARIO[DETALLE],"DETALLAR")</f>
        <v>BOTAS DE SEGURIDAD T.41</v>
      </c>
      <c r="P242" s="33">
        <v>1</v>
      </c>
      <c r="Q242" s="32" t="s">
        <v>1088</v>
      </c>
    </row>
    <row r="243" spans="13:17" x14ac:dyDescent="0.4">
      <c r="M243" s="39">
        <v>45727</v>
      </c>
      <c r="N243" s="49" t="s">
        <v>825</v>
      </c>
      <c r="O243" s="32" t="str">
        <f>_xlfn.XLOOKUP(SALIDA[[#This Row],[COD]],INVENTARIO[COD],INVENTARIO[DETALLE],"DETALLAR")</f>
        <v>BOTAS DE SEGURIDAD T.41</v>
      </c>
      <c r="P243" s="33">
        <v>1</v>
      </c>
      <c r="Q243" s="32" t="s">
        <v>1078</v>
      </c>
    </row>
    <row r="244" spans="13:17" x14ac:dyDescent="0.4">
      <c r="M244" s="39">
        <v>45727</v>
      </c>
      <c r="N244" s="49" t="s">
        <v>827</v>
      </c>
      <c r="O244" s="32" t="str">
        <f>_xlfn.XLOOKUP(SALIDA[[#This Row],[COD]],INVENTARIO[COD],INVENTARIO[DETALLE],"DETALLAR")</f>
        <v>BOTAS DE SEGURIDAD T.42</v>
      </c>
      <c r="P244" s="33">
        <v>1</v>
      </c>
      <c r="Q244" s="32" t="s">
        <v>1087</v>
      </c>
    </row>
    <row r="245" spans="13:17" x14ac:dyDescent="0.4">
      <c r="M245" s="39">
        <v>45726</v>
      </c>
      <c r="N245" s="49" t="s">
        <v>752</v>
      </c>
      <c r="O245" s="32" t="str">
        <f>_xlfn.XLOOKUP(SALIDA[[#This Row],[COD]],INVENTARIO[COD],INVENTARIO[DETALLE],"DETALLAR")</f>
        <v xml:space="preserve">Casco rachet blanco INSAFE NUEVOS </v>
      </c>
      <c r="P245" s="33">
        <v>1</v>
      </c>
      <c r="Q245" s="32" t="s">
        <v>503</v>
      </c>
    </row>
    <row r="246" spans="13:17" x14ac:dyDescent="0.4">
      <c r="M246" s="39">
        <v>45726</v>
      </c>
      <c r="N246" s="49" t="s">
        <v>760</v>
      </c>
      <c r="O246" s="32" t="str">
        <f>_xlfn.XLOOKUP(SALIDA[[#This Row],[COD]],INVENTARIO[COD],INVENTARIO[DETALLE],"DETALLAR")</f>
        <v>Barbuquejo 4 apoy os con gancho</v>
      </c>
      <c r="P246" s="33">
        <v>1</v>
      </c>
      <c r="Q246" s="32" t="s">
        <v>503</v>
      </c>
    </row>
    <row r="247" spans="13:17" x14ac:dyDescent="0.4">
      <c r="M247" s="39">
        <v>45726</v>
      </c>
      <c r="N247" s="49" t="s">
        <v>815</v>
      </c>
      <c r="O247" s="32" t="str">
        <f>_xlfn.XLOOKUP(SALIDA[[#This Row],[COD]],INVENTARIO[COD],INVENTARIO[DETALLE],"DETALLAR")</f>
        <v>GTE ANTICORTE NITRILO REF INDICE</v>
      </c>
      <c r="P247" s="33">
        <v>1</v>
      </c>
      <c r="Q247" s="32" t="s">
        <v>503</v>
      </c>
    </row>
    <row r="248" spans="13:17" x14ac:dyDescent="0.4">
      <c r="M248" s="39">
        <v>45726</v>
      </c>
      <c r="N248" s="49" t="s">
        <v>825</v>
      </c>
      <c r="O248" s="32" t="str">
        <f>_xlfn.XLOOKUP(SALIDA[[#This Row],[COD]],INVENTARIO[COD],INVENTARIO[DETALLE],"DETALLAR")</f>
        <v>BOTAS DE SEGURIDAD T.41</v>
      </c>
      <c r="P248" s="33">
        <v>1</v>
      </c>
      <c r="Q248" s="32" t="s">
        <v>503</v>
      </c>
    </row>
    <row r="249" spans="13:17" x14ac:dyDescent="0.4">
      <c r="M249" s="39">
        <v>45726</v>
      </c>
      <c r="N249" s="49" t="s">
        <v>690</v>
      </c>
      <c r="O249" s="32" t="str">
        <f>_xlfn.XLOOKUP(SALIDA[[#This Row],[COD]],INVENTARIO[COD],INVENTARIO[DETALLE],"DETALLAR")</f>
        <v>BUSO ISTHO  XL</v>
      </c>
      <c r="P249" s="33">
        <v>1</v>
      </c>
      <c r="Q249" s="32" t="s">
        <v>503</v>
      </c>
    </row>
    <row r="250" spans="13:17" x14ac:dyDescent="0.4">
      <c r="M250" s="39">
        <v>45726</v>
      </c>
      <c r="N250" s="49" t="s">
        <v>677</v>
      </c>
      <c r="O250" s="32" t="str">
        <f>_xlfn.XLOOKUP(SALIDA[[#This Row],[COD]],INVENTARIO[COD],INVENTARIO[DETALLE],"DETALLAR")</f>
        <v>BUSO APOYO LOGISTICO XL</v>
      </c>
      <c r="P250" s="33">
        <v>1</v>
      </c>
      <c r="Q250" s="32" t="s">
        <v>503</v>
      </c>
    </row>
    <row r="251" spans="13:17" x14ac:dyDescent="0.4">
      <c r="M251" s="39">
        <v>45726</v>
      </c>
      <c r="N251" s="49" t="s">
        <v>737</v>
      </c>
      <c r="O251" s="32" t="str">
        <f>_xlfn.XLOOKUP(SALIDA[[#This Row],[COD]],INVENTARIO[COD],INVENTARIO[DETALLE],"DETALLAR")</f>
        <v>PANTALON TALLA 30</v>
      </c>
      <c r="P251" s="33">
        <v>1</v>
      </c>
      <c r="Q251" s="32" t="s">
        <v>503</v>
      </c>
    </row>
    <row r="252" spans="13:17" x14ac:dyDescent="0.4">
      <c r="M252" s="39">
        <v>45726</v>
      </c>
      <c r="N252" s="49" t="s">
        <v>752</v>
      </c>
      <c r="O252" s="32" t="str">
        <f>_xlfn.XLOOKUP(SALIDA[[#This Row],[COD]],INVENTARIO[COD],INVENTARIO[DETALLE],"DETALLAR")</f>
        <v xml:space="preserve">Casco rachet blanco INSAFE NUEVOS </v>
      </c>
      <c r="P252" s="33">
        <v>1</v>
      </c>
      <c r="Q252" s="32" t="s">
        <v>348</v>
      </c>
    </row>
    <row r="253" spans="13:17" x14ac:dyDescent="0.4">
      <c r="M253" s="39">
        <v>45726</v>
      </c>
      <c r="N253" s="49" t="s">
        <v>760</v>
      </c>
      <c r="O253" s="32" t="str">
        <f>_xlfn.XLOOKUP(SALIDA[[#This Row],[COD]],INVENTARIO[COD],INVENTARIO[DETALLE],"DETALLAR")</f>
        <v>Barbuquejo 4 apoy os con gancho</v>
      </c>
      <c r="P253" s="33">
        <v>1</v>
      </c>
      <c r="Q253" s="32" t="s">
        <v>348</v>
      </c>
    </row>
    <row r="254" spans="13:17" x14ac:dyDescent="0.4">
      <c r="M254" s="39">
        <v>45726</v>
      </c>
      <c r="N254" s="49" t="s">
        <v>815</v>
      </c>
      <c r="O254" s="32" t="str">
        <f>_xlfn.XLOOKUP(SALIDA[[#This Row],[COD]],INVENTARIO[COD],INVENTARIO[DETALLE],"DETALLAR")</f>
        <v>GTE ANTICORTE NITRILO REF INDICE</v>
      </c>
      <c r="P254" s="33">
        <v>1</v>
      </c>
      <c r="Q254" s="32" t="s">
        <v>348</v>
      </c>
    </row>
    <row r="255" spans="13:17" x14ac:dyDescent="0.4">
      <c r="M255" s="39">
        <v>45726</v>
      </c>
      <c r="N255" s="49" t="s">
        <v>825</v>
      </c>
      <c r="O255" s="32" t="str">
        <f>_xlfn.XLOOKUP(SALIDA[[#This Row],[COD]],INVENTARIO[COD],INVENTARIO[DETALLE],"DETALLAR")</f>
        <v>BOTAS DE SEGURIDAD T.41</v>
      </c>
      <c r="P255" s="33">
        <v>1</v>
      </c>
      <c r="Q255" s="32" t="s">
        <v>348</v>
      </c>
    </row>
    <row r="256" spans="13:17" x14ac:dyDescent="0.4">
      <c r="M256" s="39">
        <v>45726</v>
      </c>
      <c r="N256" s="49" t="s">
        <v>690</v>
      </c>
      <c r="O256" s="32" t="str">
        <f>_xlfn.XLOOKUP(SALIDA[[#This Row],[COD]],INVENTARIO[COD],INVENTARIO[DETALLE],"DETALLAR")</f>
        <v>BUSO ISTHO  XL</v>
      </c>
      <c r="P256" s="33">
        <v>1</v>
      </c>
      <c r="Q256" s="32" t="s">
        <v>348</v>
      </c>
    </row>
    <row r="257" spans="13:17" x14ac:dyDescent="0.4">
      <c r="M257" s="39">
        <v>45726</v>
      </c>
      <c r="N257" s="49" t="s">
        <v>677</v>
      </c>
      <c r="O257" s="32" t="str">
        <f>_xlfn.XLOOKUP(SALIDA[[#This Row],[COD]],INVENTARIO[COD],INVENTARIO[DETALLE],"DETALLAR")</f>
        <v>BUSO APOYO LOGISTICO XL</v>
      </c>
      <c r="P257" s="33">
        <v>1</v>
      </c>
      <c r="Q257" s="32" t="s">
        <v>348</v>
      </c>
    </row>
    <row r="258" spans="13:17" x14ac:dyDescent="0.4">
      <c r="M258" s="39">
        <v>45726</v>
      </c>
      <c r="N258" s="49" t="s">
        <v>608</v>
      </c>
      <c r="O258" s="32" t="str">
        <f>_xlfn.XLOOKUP(SALIDA[[#This Row],[COD]],INVENTARIO[COD],INVENTARIO[DETALLE],"DETALLAR")</f>
        <v>PANTALON TALLA 34</v>
      </c>
      <c r="P258" s="33">
        <v>1</v>
      </c>
      <c r="Q258" s="32" t="s">
        <v>348</v>
      </c>
    </row>
    <row r="259" spans="13:17" x14ac:dyDescent="0.4">
      <c r="M259" s="39">
        <v>45726</v>
      </c>
      <c r="N259" s="49" t="s">
        <v>601</v>
      </c>
      <c r="O259" s="32" t="str">
        <f>_xlfn.XLOOKUP(SALIDA[[#This Row],[COD]],INVENTARIO[COD],INVENTARIO[DETALLE],"DETALLAR")</f>
        <v>POLO NEGRA  L</v>
      </c>
      <c r="P259" s="33">
        <v>1</v>
      </c>
      <c r="Q259" s="32" t="s">
        <v>922</v>
      </c>
    </row>
    <row r="260" spans="13:17" x14ac:dyDescent="0.4">
      <c r="M260" s="39">
        <v>45726</v>
      </c>
      <c r="N260" s="49" t="s">
        <v>631</v>
      </c>
      <c r="O260" s="32" t="str">
        <f>_xlfn.XLOOKUP(SALIDA[[#This Row],[COD]],INVENTARIO[COD],INVENTARIO[DETALLE],"DETALLAR")</f>
        <v>POLO BLANCA  L</v>
      </c>
      <c r="P260" s="33">
        <v>1</v>
      </c>
      <c r="Q260" s="32" t="s">
        <v>922</v>
      </c>
    </row>
    <row r="261" spans="13:17" x14ac:dyDescent="0.4">
      <c r="M261" s="39">
        <v>45727</v>
      </c>
      <c r="N261" s="49" t="s">
        <v>635</v>
      </c>
      <c r="O261" s="32" t="str">
        <f>_xlfn.XLOOKUP(SALIDA[[#This Row],[COD]],INVENTARIO[COD],INVENTARIO[DETALLE],"DETALLAR")</f>
        <v>POLO BLANCA  XL</v>
      </c>
      <c r="P261" s="33">
        <v>1</v>
      </c>
      <c r="Q261" s="32" t="s">
        <v>385</v>
      </c>
    </row>
    <row r="262" spans="13:17" x14ac:dyDescent="0.4">
      <c r="M262" s="39">
        <v>45728</v>
      </c>
      <c r="N262" s="49" t="s">
        <v>802</v>
      </c>
      <c r="O262" s="32" t="str">
        <f>_xlfn.XLOOKUP(SALIDA[[#This Row],[COD]],INVENTARIO[COD],INVENTARIO[DETALLE],"DETALLAR")</f>
        <v xml:space="preserve">PAVA NEGRA ISTHO </v>
      </c>
      <c r="P262" s="33">
        <v>1</v>
      </c>
      <c r="Q262" s="32" t="s">
        <v>911</v>
      </c>
    </row>
    <row r="263" spans="13:17" x14ac:dyDescent="0.4">
      <c r="M263" s="39">
        <v>45728</v>
      </c>
      <c r="N263" s="49" t="s">
        <v>788</v>
      </c>
      <c r="O263" s="32" t="str">
        <f>_xlfn.XLOOKUP(SALIDA[[#This Row],[COD]],INVENTARIO[COD],INVENTARIO[DETALLE],"DETALLAR")</f>
        <v>Manga en algodon azul</v>
      </c>
      <c r="P263" s="33">
        <v>1</v>
      </c>
      <c r="Q263" s="32" t="s">
        <v>911</v>
      </c>
    </row>
    <row r="264" spans="13:17" x14ac:dyDescent="0.4">
      <c r="M264" s="39">
        <v>45728</v>
      </c>
      <c r="N264" s="49" t="s">
        <v>802</v>
      </c>
      <c r="O264" s="32" t="str">
        <f>_xlfn.XLOOKUP(SALIDA[[#This Row],[COD]],INVENTARIO[COD],INVENTARIO[DETALLE],"DETALLAR")</f>
        <v xml:space="preserve">PAVA NEGRA ISTHO </v>
      </c>
      <c r="P264" s="33">
        <v>1</v>
      </c>
      <c r="Q264" s="32" t="s">
        <v>503</v>
      </c>
    </row>
    <row r="265" spans="13:17" x14ac:dyDescent="0.4">
      <c r="M265" s="39">
        <v>45728</v>
      </c>
      <c r="N265" s="49" t="s">
        <v>802</v>
      </c>
      <c r="O265" s="32" t="str">
        <f>_xlfn.XLOOKUP(SALIDA[[#This Row],[COD]],INVENTARIO[COD],INVENTARIO[DETALLE],"DETALLAR")</f>
        <v xml:space="preserve">PAVA NEGRA ISTHO </v>
      </c>
      <c r="P265" s="33">
        <v>1</v>
      </c>
      <c r="Q265" s="32" t="s">
        <v>918</v>
      </c>
    </row>
    <row r="266" spans="13:17" x14ac:dyDescent="0.4">
      <c r="M266" s="39">
        <v>45730</v>
      </c>
      <c r="N266" s="49" t="s">
        <v>823</v>
      </c>
      <c r="O266" s="32" t="str">
        <f>_xlfn.XLOOKUP(SALIDA[[#This Row],[COD]],INVENTARIO[COD],INVENTARIO[DETALLE],"DETALLAR")</f>
        <v>BOTAS DE SEGURIDAD T.40</v>
      </c>
      <c r="P266" s="33">
        <v>1</v>
      </c>
      <c r="Q266" s="32" t="s">
        <v>912</v>
      </c>
    </row>
    <row r="267" spans="13:17" x14ac:dyDescent="0.4">
      <c r="M267" s="39">
        <v>45727</v>
      </c>
      <c r="N267" s="49" t="s">
        <v>823</v>
      </c>
      <c r="O267" s="32" t="str">
        <f>_xlfn.XLOOKUP(SALIDA[[#This Row],[COD]],INVENTARIO[COD],INVENTARIO[DETALLE],"DETALLAR")</f>
        <v>BOTAS DE SEGURIDAD T.40</v>
      </c>
      <c r="P267" s="33">
        <v>1</v>
      </c>
      <c r="Q267" s="32" t="s">
        <v>373</v>
      </c>
    </row>
    <row r="268" spans="13:17" x14ac:dyDescent="0.4">
      <c r="M268" s="39">
        <v>45731</v>
      </c>
      <c r="N268" s="49" t="s">
        <v>802</v>
      </c>
      <c r="O268" s="32" t="str">
        <f>_xlfn.XLOOKUP(SALIDA[[#This Row],[COD]],INVENTARIO[COD],INVENTARIO[DETALLE],"DETALLAR")</f>
        <v xml:space="preserve">PAVA NEGRA ISTHO </v>
      </c>
      <c r="P268" s="33">
        <v>1</v>
      </c>
      <c r="Q268" s="32" t="s">
        <v>913</v>
      </c>
    </row>
    <row r="269" spans="13:17" x14ac:dyDescent="0.4">
      <c r="M269" s="39">
        <v>45733</v>
      </c>
      <c r="N269" s="49" t="s">
        <v>807</v>
      </c>
      <c r="O269" s="32" t="str">
        <f>_xlfn.XLOOKUP(SALIDA[[#This Row],[COD]],INVENTARIO[COD],INVENTARIO[DETALLE],"DETALLAR")</f>
        <v>Gte carnaza ref orzado corto</v>
      </c>
      <c r="P269" s="33">
        <v>1</v>
      </c>
      <c r="Q269" s="32" t="s">
        <v>905</v>
      </c>
    </row>
    <row r="270" spans="13:17" x14ac:dyDescent="0.4">
      <c r="M270" s="39">
        <v>45733</v>
      </c>
      <c r="N270" s="49" t="s">
        <v>885</v>
      </c>
      <c r="O270" s="32" t="str">
        <f>_xlfn.XLOOKUP(SALIDA[[#This Row],[COD]],INVENTARIO[COD],INVENTARIO[DETALLE],"DETALLAR")</f>
        <v>BUSO ISTHO GRIS  XXL</v>
      </c>
      <c r="P270" s="33">
        <v>1</v>
      </c>
      <c r="Q270" s="32" t="s">
        <v>1089</v>
      </c>
    </row>
    <row r="271" spans="13:17" x14ac:dyDescent="0.4">
      <c r="M271" s="39">
        <v>45733</v>
      </c>
      <c r="N271" s="49" t="s">
        <v>885</v>
      </c>
      <c r="O271" s="32" t="str">
        <f>_xlfn.XLOOKUP(SALIDA[[#This Row],[COD]],INVENTARIO[COD],INVENTARIO[DETALLE],"DETALLAR")</f>
        <v>BUSO ISTHO GRIS  XXL</v>
      </c>
      <c r="P271" s="33">
        <v>1</v>
      </c>
      <c r="Q271" s="32" t="s">
        <v>1093</v>
      </c>
    </row>
    <row r="272" spans="13:17" x14ac:dyDescent="0.4">
      <c r="M272" s="39">
        <v>45733</v>
      </c>
      <c r="N272" s="49" t="s">
        <v>885</v>
      </c>
      <c r="O272" s="32" t="str">
        <f>_xlfn.XLOOKUP(SALIDA[[#This Row],[COD]],INVENTARIO[COD],INVENTARIO[DETALLE],"DETALLAR")</f>
        <v>BUSO ISTHO GRIS  XXL</v>
      </c>
      <c r="P272" s="33">
        <v>1</v>
      </c>
      <c r="Q272" s="32" t="s">
        <v>1095</v>
      </c>
    </row>
    <row r="273" spans="13:17" x14ac:dyDescent="0.4">
      <c r="M273" s="39">
        <v>45733</v>
      </c>
      <c r="N273" s="49" t="s">
        <v>885</v>
      </c>
      <c r="O273" s="32" t="str">
        <f>_xlfn.XLOOKUP(SALIDA[[#This Row],[COD]],INVENTARIO[COD],INVENTARIO[DETALLE],"DETALLAR")</f>
        <v>BUSO ISTHO GRIS  XXL</v>
      </c>
      <c r="P273" s="33">
        <v>1</v>
      </c>
      <c r="Q273" s="32" t="s">
        <v>1090</v>
      </c>
    </row>
    <row r="274" spans="13:17" x14ac:dyDescent="0.4">
      <c r="M274" s="39">
        <v>45733</v>
      </c>
      <c r="N274" s="49" t="s">
        <v>885</v>
      </c>
      <c r="O274" s="32" t="str">
        <f>_xlfn.XLOOKUP(SALIDA[[#This Row],[COD]],INVENTARIO[COD],INVENTARIO[DETALLE],"DETALLAR")</f>
        <v>BUSO ISTHO GRIS  XXL</v>
      </c>
      <c r="P274" s="33">
        <v>1</v>
      </c>
      <c r="Q274" s="32" t="s">
        <v>1078</v>
      </c>
    </row>
    <row r="275" spans="13:17" x14ac:dyDescent="0.4">
      <c r="M275" s="39">
        <v>45733</v>
      </c>
      <c r="N275" s="49" t="s">
        <v>885</v>
      </c>
      <c r="O275" s="32" t="str">
        <f>_xlfn.XLOOKUP(SALIDA[[#This Row],[COD]],INVENTARIO[COD],INVENTARIO[DETALLE],"DETALLAR")</f>
        <v>BUSO ISTHO GRIS  XXL</v>
      </c>
      <c r="P275" s="33">
        <v>1</v>
      </c>
      <c r="Q275" s="32" t="s">
        <v>1094</v>
      </c>
    </row>
    <row r="276" spans="13:17" x14ac:dyDescent="0.4">
      <c r="M276" s="39">
        <v>45733</v>
      </c>
      <c r="N276" s="49" t="s">
        <v>885</v>
      </c>
      <c r="O276" s="32" t="str">
        <f>_xlfn.XLOOKUP(SALIDA[[#This Row],[COD]],INVENTARIO[COD],INVENTARIO[DETALLE],"DETALLAR")</f>
        <v>BUSO ISTHO GRIS  XXL</v>
      </c>
      <c r="P276" s="33">
        <v>1</v>
      </c>
      <c r="Q276" s="32" t="s">
        <v>1087</v>
      </c>
    </row>
    <row r="277" spans="13:17" x14ac:dyDescent="0.4">
      <c r="M277" s="39">
        <v>45733</v>
      </c>
      <c r="N277" s="49" t="s">
        <v>885</v>
      </c>
      <c r="O277" s="32" t="str">
        <f>_xlfn.XLOOKUP(SALIDA[[#This Row],[COD]],INVENTARIO[COD],INVENTARIO[DETALLE],"DETALLAR")</f>
        <v>BUSO ISTHO GRIS  XXL</v>
      </c>
      <c r="P277" s="33">
        <v>1</v>
      </c>
      <c r="Q277" s="32" t="s">
        <v>1091</v>
      </c>
    </row>
    <row r="278" spans="13:17" x14ac:dyDescent="0.4">
      <c r="M278" s="39">
        <v>45733</v>
      </c>
      <c r="N278" s="49" t="s">
        <v>885</v>
      </c>
      <c r="O278" s="32" t="str">
        <f>_xlfn.XLOOKUP(SALIDA[[#This Row],[COD]],INVENTARIO[COD],INVENTARIO[DETALLE],"DETALLAR")</f>
        <v>BUSO ISTHO GRIS  XXL</v>
      </c>
      <c r="P278" s="33">
        <v>1</v>
      </c>
      <c r="Q278" s="32" t="s">
        <v>1077</v>
      </c>
    </row>
    <row r="279" spans="13:17" x14ac:dyDescent="0.4">
      <c r="M279" s="39">
        <v>45733</v>
      </c>
      <c r="N279" s="49" t="s">
        <v>888</v>
      </c>
      <c r="O279" s="32" t="str">
        <f>_xlfn.XLOOKUP(SALIDA[[#This Row],[COD]],INVENTARIO[COD],INVENTARIO[DETALLE],"DETALLAR")</f>
        <v>BUSO ISTHO GRIS  XL-F</v>
      </c>
      <c r="P279" s="33">
        <v>1</v>
      </c>
      <c r="Q279" s="32" t="s">
        <v>911</v>
      </c>
    </row>
    <row r="280" spans="13:17" x14ac:dyDescent="0.4">
      <c r="M280" s="39">
        <v>45733</v>
      </c>
      <c r="N280" s="49" t="s">
        <v>890</v>
      </c>
      <c r="O280" s="32" t="str">
        <f>_xlfn.XLOOKUP(SALIDA[[#This Row],[COD]],INVENTARIO[COD],INVENTARIO[DETALLE],"DETALLAR")</f>
        <v>BUSO ISTHO GRIS  L</v>
      </c>
      <c r="P280" s="33">
        <v>1</v>
      </c>
      <c r="Q280" s="32" t="s">
        <v>922</v>
      </c>
    </row>
    <row r="281" spans="13:17" x14ac:dyDescent="0.4">
      <c r="M281" s="39">
        <v>45733</v>
      </c>
      <c r="N281" s="49" t="s">
        <v>890</v>
      </c>
      <c r="O281" s="32" t="str">
        <f>_xlfn.XLOOKUP(SALIDA[[#This Row],[COD]],INVENTARIO[COD],INVENTARIO[DETALLE],"DETALLAR")</f>
        <v>BUSO ISTHO GRIS  L</v>
      </c>
      <c r="P281" s="33">
        <v>1</v>
      </c>
      <c r="Q281" s="32" t="s">
        <v>923</v>
      </c>
    </row>
    <row r="282" spans="13:17" x14ac:dyDescent="0.4">
      <c r="M282" s="39">
        <v>45733</v>
      </c>
      <c r="N282" s="49" t="s">
        <v>892</v>
      </c>
      <c r="O282" s="32" t="str">
        <f>_xlfn.XLOOKUP(SALIDA[[#This Row],[COD]],INVENTARIO[COD],INVENTARIO[DETALLE],"DETALLAR")</f>
        <v>BUSO ISTHO GRIS  M</v>
      </c>
      <c r="P282" s="33">
        <v>1</v>
      </c>
      <c r="Q282" s="32" t="s">
        <v>438</v>
      </c>
    </row>
    <row r="283" spans="13:17" x14ac:dyDescent="0.4">
      <c r="M283" s="39">
        <v>45735</v>
      </c>
      <c r="N283" s="49" t="s">
        <v>794</v>
      </c>
      <c r="O283" s="32" t="str">
        <f>_xlfn.XLOOKUP(SALIDA[[#This Row],[COD]],INVENTARIO[COD],INVENTARIO[DETALLE],"DETALLAR")</f>
        <v>suf ridor ambidiestra KASTAKO</v>
      </c>
      <c r="P283" s="33">
        <v>1</v>
      </c>
      <c r="Q283" s="32" t="s">
        <v>503</v>
      </c>
    </row>
    <row r="284" spans="13:17" x14ac:dyDescent="0.4">
      <c r="M284" s="39">
        <v>45735</v>
      </c>
      <c r="N284" s="49" t="s">
        <v>885</v>
      </c>
      <c r="O284" s="32" t="str">
        <f>_xlfn.XLOOKUP(SALIDA[[#This Row],[COD]],INVENTARIO[COD],INVENTARIO[DETALLE],"DETALLAR")</f>
        <v>BUSO ISTHO GRIS  XXL</v>
      </c>
      <c r="P284" s="33">
        <v>1</v>
      </c>
      <c r="Q284" s="32" t="s">
        <v>230</v>
      </c>
    </row>
    <row r="285" spans="13:17" x14ac:dyDescent="0.4">
      <c r="M285" s="39">
        <v>45737</v>
      </c>
      <c r="N285" s="49" t="s">
        <v>821</v>
      </c>
      <c r="O285" s="32" t="str">
        <f>_xlfn.XLOOKUP(SALIDA[[#This Row],[COD]],INVENTARIO[COD],INVENTARIO[DETALLE],"DETALLAR")</f>
        <v>BOTAS DE SEGURIDAD T.39</v>
      </c>
      <c r="P285" s="33">
        <v>1</v>
      </c>
      <c r="Q285" s="32" t="s">
        <v>240</v>
      </c>
    </row>
    <row r="286" spans="13:17" x14ac:dyDescent="0.4">
      <c r="M286" s="39">
        <v>45742</v>
      </c>
      <c r="N286" s="49" t="s">
        <v>802</v>
      </c>
      <c r="O286" s="32" t="str">
        <f>_xlfn.XLOOKUP(SALIDA[[#This Row],[COD]],INVENTARIO[COD],INVENTARIO[DETALLE],"DETALLAR")</f>
        <v xml:space="preserve">PAVA NEGRA ISTHO </v>
      </c>
      <c r="P286" s="33">
        <v>1</v>
      </c>
      <c r="Q286" s="32" t="s">
        <v>348</v>
      </c>
    </row>
    <row r="287" spans="13:17" x14ac:dyDescent="0.4">
      <c r="M287" s="39">
        <v>45742</v>
      </c>
      <c r="N287" s="49" t="s">
        <v>802</v>
      </c>
      <c r="O287" s="32" t="str">
        <f>_xlfn.XLOOKUP(SALIDA[[#This Row],[COD]],INVENTARIO[COD],INVENTARIO[DETALLE],"DETALLAR")</f>
        <v xml:space="preserve">PAVA NEGRA ISTHO </v>
      </c>
      <c r="P287" s="33">
        <v>1</v>
      </c>
      <c r="Q287" s="32" t="s">
        <v>1008</v>
      </c>
    </row>
    <row r="288" spans="13:17" x14ac:dyDescent="0.4">
      <c r="M288" s="39">
        <v>45742</v>
      </c>
      <c r="N288" s="49" t="s">
        <v>681</v>
      </c>
      <c r="O288" s="32" t="str">
        <f>_xlfn.XLOOKUP(SALIDA[[#This Row],[COD]],INVENTARIO[COD],INVENTARIO[DETALLE],"DETALLAR")</f>
        <v>BUSO ISTHO  M</v>
      </c>
      <c r="P288" s="33">
        <v>1</v>
      </c>
      <c r="Q288" s="32" t="s">
        <v>1008</v>
      </c>
    </row>
    <row r="289" spans="13:17" x14ac:dyDescent="0.4">
      <c r="M289" s="39">
        <v>45742</v>
      </c>
      <c r="N289" s="49" t="s">
        <v>815</v>
      </c>
      <c r="O289" s="32" t="str">
        <f>_xlfn.XLOOKUP(SALIDA[[#This Row],[COD]],INVENTARIO[COD],INVENTARIO[DETALLE],"DETALLAR")</f>
        <v>GTE ANTICORTE NITRILO REF INDICE</v>
      </c>
      <c r="P289" s="33">
        <v>1</v>
      </c>
      <c r="Q289" s="32" t="s">
        <v>1008</v>
      </c>
    </row>
    <row r="290" spans="13:17" x14ac:dyDescent="0.4">
      <c r="M290" s="39">
        <v>45743</v>
      </c>
      <c r="N290" s="49" t="s">
        <v>890</v>
      </c>
      <c r="O290" s="32" t="str">
        <f>_xlfn.XLOOKUP(SALIDA[[#This Row],[COD]],INVENTARIO[COD],INVENTARIO[DETALLE],"DETALLAR")</f>
        <v>BUSO ISTHO GRIS  L</v>
      </c>
      <c r="P290" s="33">
        <v>1</v>
      </c>
      <c r="Q290" s="32" t="s">
        <v>211</v>
      </c>
    </row>
    <row r="291" spans="13:17" x14ac:dyDescent="0.4">
      <c r="M291" s="39">
        <v>45743</v>
      </c>
      <c r="N291" s="49" t="s">
        <v>890</v>
      </c>
      <c r="O291" s="32" t="str">
        <f>_xlfn.XLOOKUP(SALIDA[[#This Row],[COD]],INVENTARIO[COD],INVENTARIO[DETALLE],"DETALLAR")</f>
        <v>BUSO ISTHO GRIS  L</v>
      </c>
      <c r="P291" s="33">
        <v>1</v>
      </c>
      <c r="Q291" s="32" t="s">
        <v>240</v>
      </c>
    </row>
    <row r="292" spans="13:17" x14ac:dyDescent="0.4">
      <c r="M292" s="39">
        <v>45747</v>
      </c>
      <c r="N292" s="49" t="s">
        <v>608</v>
      </c>
      <c r="O292" s="32" t="str">
        <f>_xlfn.XLOOKUP(SALIDA[[#This Row],[COD]],INVENTARIO[COD],INVENTARIO[DETALLE],"DETALLAR")</f>
        <v>PANTALON TALLA 34</v>
      </c>
      <c r="P292" s="33">
        <v>1</v>
      </c>
      <c r="Q292" s="32" t="s">
        <v>910</v>
      </c>
    </row>
    <row r="293" spans="13:17" x14ac:dyDescent="0.4">
      <c r="M293" s="39">
        <v>45748</v>
      </c>
      <c r="N293" s="49" t="s">
        <v>827</v>
      </c>
      <c r="O293" s="32" t="str">
        <f>_xlfn.XLOOKUP(SALIDA[[#This Row],[COD]],INVENTARIO[COD],INVENTARIO[DETALLE],"DETALLAR")</f>
        <v>BOTAS DE SEGURIDAD T.42</v>
      </c>
      <c r="P293" s="33">
        <v>1</v>
      </c>
      <c r="Q293" s="32" t="s">
        <v>913</v>
      </c>
    </row>
    <row r="294" spans="13:17" x14ac:dyDescent="0.4">
      <c r="M294" s="39">
        <v>45749</v>
      </c>
      <c r="N294" s="49" t="s">
        <v>890</v>
      </c>
      <c r="O294" s="32" t="str">
        <f>_xlfn.XLOOKUP(SALIDA[[#This Row],[COD]],INVENTARIO[COD],INVENTARIO[DETALLE],"DETALLAR")</f>
        <v>BUSO ISTHO GRIS  L</v>
      </c>
      <c r="P294" s="33">
        <v>1</v>
      </c>
      <c r="Q294" s="32" t="s">
        <v>910</v>
      </c>
    </row>
    <row r="295" spans="13:17" x14ac:dyDescent="0.4">
      <c r="M295" s="39">
        <v>45751</v>
      </c>
      <c r="N295" s="49" t="s">
        <v>827</v>
      </c>
      <c r="O295" s="32" t="str">
        <f>_xlfn.XLOOKUP(SALIDA[[#This Row],[COD]],INVENTARIO[COD],INVENTARIO[DETALLE],"DETALLAR")</f>
        <v>BOTAS DE SEGURIDAD T.42</v>
      </c>
      <c r="P295" s="33">
        <v>1</v>
      </c>
      <c r="Q295" s="32" t="s">
        <v>230</v>
      </c>
    </row>
    <row r="296" spans="13:17" x14ac:dyDescent="0.4">
      <c r="M296" s="39">
        <v>45751</v>
      </c>
      <c r="N296" s="49" t="s">
        <v>815</v>
      </c>
      <c r="O296" s="32" t="str">
        <f>_xlfn.XLOOKUP(SALIDA[[#This Row],[COD]],INVENTARIO[COD],INVENTARIO[DETALLE],"DETALLAR")</f>
        <v>GTE ANTICORTE NITRILO REF INDICE</v>
      </c>
      <c r="P296" s="33">
        <v>1</v>
      </c>
      <c r="Q296" s="32" t="s">
        <v>230</v>
      </c>
    </row>
    <row r="297" spans="13:17" x14ac:dyDescent="0.4">
      <c r="M297" s="39">
        <v>45751</v>
      </c>
      <c r="N297" s="49" t="s">
        <v>662</v>
      </c>
      <c r="O297" s="32" t="str">
        <f>_xlfn.XLOOKUP(SALIDA[[#This Row],[COD]],INVENTARIO[COD],INVENTARIO[DETALLE],"DETALLAR")</f>
        <v>CAMI.BUSO POLO  L</v>
      </c>
      <c r="P297" s="33">
        <v>1</v>
      </c>
      <c r="Q297" s="32" t="s">
        <v>230</v>
      </c>
    </row>
    <row r="298" spans="13:17" x14ac:dyDescent="0.4">
      <c r="M298" s="39">
        <v>45751</v>
      </c>
      <c r="N298" s="49" t="s">
        <v>821</v>
      </c>
      <c r="O298" s="32" t="str">
        <f>_xlfn.XLOOKUP(SALIDA[[#This Row],[COD]],INVENTARIO[COD],INVENTARIO[DETALLE],"DETALLAR")</f>
        <v>BOTAS DE SEGURIDAD T.39</v>
      </c>
      <c r="P298" s="33">
        <v>1</v>
      </c>
      <c r="Q298" s="32" t="s">
        <v>294</v>
      </c>
    </row>
    <row r="299" spans="13:17" x14ac:dyDescent="0.4">
      <c r="M299" s="39">
        <v>45751</v>
      </c>
      <c r="N299" s="49" t="s">
        <v>815</v>
      </c>
      <c r="O299" s="32" t="str">
        <f>_xlfn.XLOOKUP(SALIDA[[#This Row],[COD]],INVENTARIO[COD],INVENTARIO[DETALLE],"DETALLAR")</f>
        <v>GTE ANTICORTE NITRILO REF INDICE</v>
      </c>
      <c r="P299" s="33">
        <v>1</v>
      </c>
      <c r="Q299" s="32" t="s">
        <v>294</v>
      </c>
    </row>
    <row r="300" spans="13:17" x14ac:dyDescent="0.4">
      <c r="M300" s="39">
        <v>45751</v>
      </c>
      <c r="N300" s="49" t="s">
        <v>662</v>
      </c>
      <c r="O300" s="32" t="str">
        <f>_xlfn.XLOOKUP(SALIDA[[#This Row],[COD]],INVENTARIO[COD],INVENTARIO[DETALLE],"DETALLAR")</f>
        <v>CAMI.BUSO POLO  L</v>
      </c>
      <c r="P300" s="33">
        <v>1</v>
      </c>
      <c r="Q300" s="32" t="s">
        <v>294</v>
      </c>
    </row>
    <row r="301" spans="13:17" x14ac:dyDescent="0.4">
      <c r="M301" s="39">
        <v>45751</v>
      </c>
      <c r="N301" s="49" t="s">
        <v>815</v>
      </c>
      <c r="O301" s="32" t="str">
        <f>_xlfn.XLOOKUP(SALIDA[[#This Row],[COD]],INVENTARIO[COD],INVENTARIO[DETALLE],"DETALLAR")</f>
        <v>GTE ANTICORTE NITRILO REF INDICE</v>
      </c>
      <c r="P301" s="33">
        <v>1</v>
      </c>
      <c r="Q301" s="32" t="s">
        <v>503</v>
      </c>
    </row>
    <row r="302" spans="13:17" x14ac:dyDescent="0.4">
      <c r="M302" s="39">
        <v>45751</v>
      </c>
      <c r="N302" s="49" t="s">
        <v>737</v>
      </c>
      <c r="O302" s="32" t="str">
        <f>_xlfn.XLOOKUP(SALIDA[[#This Row],[COD]],INVENTARIO[COD],INVENTARIO[DETALLE],"DETALLAR")</f>
        <v>PANTALON TALLA 30</v>
      </c>
      <c r="P302" s="33">
        <v>1</v>
      </c>
      <c r="Q302" s="32" t="s">
        <v>503</v>
      </c>
    </row>
    <row r="303" spans="13:17" x14ac:dyDescent="0.4">
      <c r="M303" s="39">
        <v>45748</v>
      </c>
      <c r="N303" s="49" t="s">
        <v>805</v>
      </c>
      <c r="O303" s="32" t="str">
        <f>_xlfn.XLOOKUP(SALIDA[[#This Row],[COD]],INVENTARIO[COD],INVENTARIO[DETALLE],"DETALLAR")</f>
        <v>Gte en Jean Con Ref uerzo en Carnaza larg</v>
      </c>
      <c r="P303" s="33">
        <v>1</v>
      </c>
      <c r="Q303" s="32" t="s">
        <v>593</v>
      </c>
    </row>
    <row r="304" spans="13:17" x14ac:dyDescent="0.4">
      <c r="M304" s="39">
        <v>45751</v>
      </c>
      <c r="N304" s="49" t="s">
        <v>815</v>
      </c>
      <c r="O304" s="32" t="str">
        <f>_xlfn.XLOOKUP(SALIDA[[#This Row],[COD]],INVENTARIO[COD],INVENTARIO[DETALLE],"DETALLAR")</f>
        <v>GTE ANTICORTE NITRILO REF INDICE</v>
      </c>
      <c r="P304" s="33">
        <v>1</v>
      </c>
      <c r="Q304" s="32" t="s">
        <v>593</v>
      </c>
    </row>
    <row r="305" spans="13:17" x14ac:dyDescent="0.4">
      <c r="M305" s="39">
        <v>45754</v>
      </c>
      <c r="N305" s="49" t="s">
        <v>805</v>
      </c>
      <c r="O305" s="32" t="str">
        <f>_xlfn.XLOOKUP(SALIDA[[#This Row],[COD]],INVENTARIO[COD],INVENTARIO[DETALLE],"DETALLAR")</f>
        <v>Gte en Jean Con Ref uerzo en Carnaza larg</v>
      </c>
      <c r="P305" s="33">
        <v>1</v>
      </c>
      <c r="Q305" s="32" t="s">
        <v>240</v>
      </c>
    </row>
    <row r="306" spans="13:17" x14ac:dyDescent="0.4">
      <c r="M306" s="39">
        <v>45754</v>
      </c>
      <c r="N306" s="49" t="s">
        <v>809</v>
      </c>
      <c r="O306" s="32" t="str">
        <f>_xlfn.XLOOKUP(SALIDA[[#This Row],[COD]],INVENTARIO[COD],INVENTARIO[DETALLE],"DETALLAR")</f>
        <v>Gte crusher glove nitrile sosega</v>
      </c>
      <c r="P306" s="33">
        <v>1</v>
      </c>
      <c r="Q306" s="32" t="s">
        <v>240</v>
      </c>
    </row>
    <row r="307" spans="13:17" x14ac:dyDescent="0.4">
      <c r="M307" s="39">
        <v>45754</v>
      </c>
      <c r="N307" s="49" t="s">
        <v>790</v>
      </c>
      <c r="O307" s="32" t="str">
        <f>_xlfn.XLOOKUP(SALIDA[[#This Row],[COD]],INVENTARIO[COD],INVENTARIO[DETALLE],"DETALLAR")</f>
        <v>Capucha monja algodon plus Kastako</v>
      </c>
      <c r="P307" s="33">
        <v>1</v>
      </c>
      <c r="Q307" s="32" t="s">
        <v>240</v>
      </c>
    </row>
    <row r="308" spans="13:17" x14ac:dyDescent="0.4">
      <c r="M308" s="39">
        <v>45754</v>
      </c>
      <c r="N308" s="49" t="s">
        <v>805</v>
      </c>
      <c r="O308" s="32" t="str">
        <f>_xlfn.XLOOKUP(SALIDA[[#This Row],[COD]],INVENTARIO[COD],INVENTARIO[DETALLE],"DETALLAR")</f>
        <v>Gte en Jean Con Ref uerzo en Carnaza larg</v>
      </c>
      <c r="P308" s="33">
        <v>1</v>
      </c>
      <c r="Q308" s="32" t="s">
        <v>469</v>
      </c>
    </row>
    <row r="309" spans="13:17" x14ac:dyDescent="0.4">
      <c r="M309" s="39">
        <v>45754</v>
      </c>
      <c r="N309" s="49" t="s">
        <v>809</v>
      </c>
      <c r="O309" s="32" t="str">
        <f>_xlfn.XLOOKUP(SALIDA[[#This Row],[COD]],INVENTARIO[COD],INVENTARIO[DETALLE],"DETALLAR")</f>
        <v>Gte crusher glove nitrile sosega</v>
      </c>
      <c r="P309" s="33">
        <v>1</v>
      </c>
      <c r="Q309" s="32" t="s">
        <v>469</v>
      </c>
    </row>
    <row r="310" spans="13:17" x14ac:dyDescent="0.4">
      <c r="M310" s="39">
        <v>45754</v>
      </c>
      <c r="N310" s="49" t="s">
        <v>790</v>
      </c>
      <c r="O310" s="32" t="str">
        <f>_xlfn.XLOOKUP(SALIDA[[#This Row],[COD]],INVENTARIO[COD],INVENTARIO[DETALLE],"DETALLAR")</f>
        <v>Capucha monja algodon plus Kastako</v>
      </c>
      <c r="P310" s="33">
        <v>1</v>
      </c>
      <c r="Q310" s="32" t="s">
        <v>211</v>
      </c>
    </row>
    <row r="311" spans="13:17" x14ac:dyDescent="0.4">
      <c r="M311" s="39">
        <v>45754</v>
      </c>
      <c r="N311" s="49" t="s">
        <v>790</v>
      </c>
      <c r="O311" s="32" t="str">
        <f>_xlfn.XLOOKUP(SALIDA[[#This Row],[COD]],INVENTARIO[COD],INVENTARIO[DETALLE],"DETALLAR")</f>
        <v>Capucha monja algodon plus Kastako</v>
      </c>
      <c r="P311" s="33">
        <v>1</v>
      </c>
      <c r="Q311" s="32" t="s">
        <v>906</v>
      </c>
    </row>
    <row r="312" spans="13:17" x14ac:dyDescent="0.4">
      <c r="M312" s="39">
        <v>45756</v>
      </c>
      <c r="N312" s="49" t="s">
        <v>805</v>
      </c>
      <c r="O312" s="32" t="str">
        <f>_xlfn.XLOOKUP(SALIDA[[#This Row],[COD]],INVENTARIO[COD],INVENTARIO[DETALLE],"DETALLAR")</f>
        <v>Gte en Jean Con Ref uerzo en Carnaza larg</v>
      </c>
      <c r="P312" s="33">
        <v>1</v>
      </c>
      <c r="Q312" s="32" t="s">
        <v>877</v>
      </c>
    </row>
    <row r="313" spans="13:17" x14ac:dyDescent="0.4">
      <c r="M313" s="39">
        <v>45756</v>
      </c>
      <c r="N313" s="49" t="s">
        <v>823</v>
      </c>
      <c r="O313" s="32" t="str">
        <f>_xlfn.XLOOKUP(SALIDA[[#This Row],[COD]],INVENTARIO[COD],INVENTARIO[DETALLE],"DETALLAR")</f>
        <v>BOTAS DE SEGURIDAD T.40</v>
      </c>
      <c r="P313" s="33">
        <v>1</v>
      </c>
      <c r="Q313" s="32" t="s">
        <v>877</v>
      </c>
    </row>
    <row r="314" spans="13:17" x14ac:dyDescent="0.4">
      <c r="M314" s="39">
        <v>45756</v>
      </c>
      <c r="N314" s="49" t="s">
        <v>802</v>
      </c>
      <c r="O314" s="32" t="str">
        <f>_xlfn.XLOOKUP(SALIDA[[#This Row],[COD]],INVENTARIO[COD],INVENTARIO[DETALLE],"DETALLAR")</f>
        <v xml:space="preserve">PAVA NEGRA ISTHO </v>
      </c>
      <c r="P314" s="33">
        <v>1</v>
      </c>
      <c r="Q314" s="32" t="s">
        <v>211</v>
      </c>
    </row>
    <row r="315" spans="13:17" x14ac:dyDescent="0.4">
      <c r="M315" s="39">
        <v>45756</v>
      </c>
      <c r="N315" s="49" t="s">
        <v>805</v>
      </c>
      <c r="O315" s="32" t="str">
        <f>_xlfn.XLOOKUP(SALIDA[[#This Row],[COD]],INVENTARIO[COD],INVENTARIO[DETALLE],"DETALLAR")</f>
        <v>Gte en Jean Con Ref uerzo en Carnaza larg</v>
      </c>
      <c r="P315" s="33">
        <v>1</v>
      </c>
      <c r="Q315" s="32" t="s">
        <v>211</v>
      </c>
    </row>
    <row r="316" spans="13:17" x14ac:dyDescent="0.4">
      <c r="M316" s="39">
        <v>45757</v>
      </c>
      <c r="N316" s="49" t="s">
        <v>752</v>
      </c>
      <c r="O316" s="32" t="str">
        <f>_xlfn.XLOOKUP(SALIDA[[#This Row],[COD]],INVENTARIO[COD],INVENTARIO[DETALLE],"DETALLAR")</f>
        <v xml:space="preserve">Casco rachet blanco INSAFE NUEVOS </v>
      </c>
      <c r="P316" s="33">
        <v>1</v>
      </c>
      <c r="Q316" s="32" t="s">
        <v>1158</v>
      </c>
    </row>
    <row r="317" spans="13:17" x14ac:dyDescent="0.4">
      <c r="M317" s="39">
        <v>45757</v>
      </c>
      <c r="N317" s="49" t="s">
        <v>760</v>
      </c>
      <c r="O317" s="32" t="str">
        <f>_xlfn.XLOOKUP(SALIDA[[#This Row],[COD]],INVENTARIO[COD],INVENTARIO[DETALLE],"DETALLAR")</f>
        <v>Barbuquejo 4 apoy os con gancho</v>
      </c>
      <c r="P317" s="33">
        <v>1</v>
      </c>
      <c r="Q317" s="32" t="s">
        <v>1158</v>
      </c>
    </row>
    <row r="318" spans="13:17" x14ac:dyDescent="0.4">
      <c r="M318" s="39">
        <v>45757</v>
      </c>
      <c r="N318" s="49" t="s">
        <v>815</v>
      </c>
      <c r="O318" s="32" t="str">
        <f>_xlfn.XLOOKUP(SALIDA[[#This Row],[COD]],INVENTARIO[COD],INVENTARIO[DETALLE],"DETALLAR")</f>
        <v>GTE ANTICORTE NITRILO REF INDICE</v>
      </c>
      <c r="P318" s="33">
        <v>1</v>
      </c>
      <c r="Q318" s="32" t="s">
        <v>1158</v>
      </c>
    </row>
    <row r="319" spans="13:17" x14ac:dyDescent="0.4">
      <c r="M319" s="39">
        <v>45757</v>
      </c>
      <c r="N319" s="49" t="s">
        <v>825</v>
      </c>
      <c r="O319" s="32" t="str">
        <f>_xlfn.XLOOKUP(SALIDA[[#This Row],[COD]],INVENTARIO[COD],INVENTARIO[DETALLE],"DETALLAR")</f>
        <v>BOTAS DE SEGURIDAD T.41</v>
      </c>
      <c r="P319" s="33">
        <v>1</v>
      </c>
      <c r="Q319" s="32" t="s">
        <v>1158</v>
      </c>
    </row>
    <row r="320" spans="13:17" x14ac:dyDescent="0.4">
      <c r="M320" s="39">
        <v>45757</v>
      </c>
      <c r="N320" s="49" t="s">
        <v>647</v>
      </c>
      <c r="O320" s="32" t="str">
        <f>_xlfn.XLOOKUP(SALIDA[[#This Row],[COD]],INVENTARIO[COD],INVENTARIO[DETALLE],"DETALLAR")</f>
        <v xml:space="preserve">POLO ISTHO GRIS  L </v>
      </c>
      <c r="P320" s="33">
        <v>2</v>
      </c>
      <c r="Q320" s="32" t="s">
        <v>1158</v>
      </c>
    </row>
    <row r="321" spans="13:17" x14ac:dyDescent="0.4">
      <c r="M321" s="39">
        <v>45757</v>
      </c>
      <c r="N321" s="49" t="s">
        <v>608</v>
      </c>
      <c r="O321" s="32" t="str">
        <f>_xlfn.XLOOKUP(SALIDA[[#This Row],[COD]],INVENTARIO[COD],INVENTARIO[DETALLE],"DETALLAR")</f>
        <v>PANTALON TALLA 34</v>
      </c>
      <c r="P321" s="33">
        <v>2</v>
      </c>
      <c r="Q321" s="32" t="s">
        <v>1158</v>
      </c>
    </row>
    <row r="322" spans="13:17" x14ac:dyDescent="0.4">
      <c r="M322" s="39">
        <v>45757</v>
      </c>
      <c r="N322" s="49" t="s">
        <v>836</v>
      </c>
      <c r="O322" s="32" t="str">
        <f>_xlfn.XLOOKUP(SALIDA[[#This Row],[COD]],INVENTARIO[COD],INVENTARIO[DETALLE],"DETALLAR")</f>
        <v>CHALECOS REFLECTIVOS</v>
      </c>
      <c r="P322" s="33">
        <v>1</v>
      </c>
      <c r="Q322" s="32" t="s">
        <v>1158</v>
      </c>
    </row>
    <row r="323" spans="13:17" x14ac:dyDescent="0.4">
      <c r="M323" s="39">
        <v>45758</v>
      </c>
      <c r="N323" s="49" t="s">
        <v>752</v>
      </c>
      <c r="O323" s="32" t="str">
        <f>_xlfn.XLOOKUP(SALIDA[[#This Row],[COD]],INVENTARIO[COD],INVENTARIO[DETALLE],"DETALLAR")</f>
        <v xml:space="preserve">Casco rachet blanco INSAFE NUEVOS </v>
      </c>
      <c r="P323" s="33">
        <v>1</v>
      </c>
      <c r="Q323" s="32" t="s">
        <v>1159</v>
      </c>
    </row>
    <row r="324" spans="13:17" x14ac:dyDescent="0.4">
      <c r="M324" s="39">
        <v>45758</v>
      </c>
      <c r="N324" s="49" t="s">
        <v>760</v>
      </c>
      <c r="O324" s="32" t="str">
        <f>_xlfn.XLOOKUP(SALIDA[[#This Row],[COD]],INVENTARIO[COD],INVENTARIO[DETALLE],"DETALLAR")</f>
        <v>Barbuquejo 4 apoy os con gancho</v>
      </c>
      <c r="P324" s="33">
        <v>1</v>
      </c>
      <c r="Q324" s="32" t="s">
        <v>1159</v>
      </c>
    </row>
    <row r="325" spans="13:17" x14ac:dyDescent="0.4">
      <c r="M325" s="39">
        <v>45758</v>
      </c>
      <c r="N325" s="49" t="s">
        <v>815</v>
      </c>
      <c r="O325" s="32" t="str">
        <f>_xlfn.XLOOKUP(SALIDA[[#This Row],[COD]],INVENTARIO[COD],INVENTARIO[DETALLE],"DETALLAR")</f>
        <v>GTE ANTICORTE NITRILO REF INDICE</v>
      </c>
      <c r="P325" s="33">
        <v>1</v>
      </c>
      <c r="Q325" s="32" t="s">
        <v>1159</v>
      </c>
    </row>
    <row r="326" spans="13:17" x14ac:dyDescent="0.4">
      <c r="M326" s="39">
        <v>45758</v>
      </c>
      <c r="N326" s="49" t="s">
        <v>825</v>
      </c>
      <c r="O326" s="32" t="str">
        <f>_xlfn.XLOOKUP(SALIDA[[#This Row],[COD]],INVENTARIO[COD],INVENTARIO[DETALLE],"DETALLAR")</f>
        <v>BOTAS DE SEGURIDAD T.41</v>
      </c>
      <c r="P326" s="33">
        <v>1</v>
      </c>
      <c r="Q326" s="32" t="s">
        <v>1159</v>
      </c>
    </row>
    <row r="327" spans="13:17" x14ac:dyDescent="0.4">
      <c r="M327" s="39">
        <v>45758</v>
      </c>
      <c r="N327" s="49" t="s">
        <v>647</v>
      </c>
      <c r="O327" s="32" t="str">
        <f>_xlfn.XLOOKUP(SALIDA[[#This Row],[COD]],INVENTARIO[COD],INVENTARIO[DETALLE],"DETALLAR")</f>
        <v xml:space="preserve">POLO ISTHO GRIS  L </v>
      </c>
      <c r="P327" s="33">
        <v>2</v>
      </c>
      <c r="Q327" s="32" t="s">
        <v>1159</v>
      </c>
    </row>
    <row r="328" spans="13:17" x14ac:dyDescent="0.4">
      <c r="M328" s="39">
        <v>45758</v>
      </c>
      <c r="N328" s="49" t="s">
        <v>641</v>
      </c>
      <c r="O328" s="32" t="str">
        <f>_xlfn.XLOOKUP(SALIDA[[#This Row],[COD]],INVENTARIO[COD],INVENTARIO[DETALLE],"DETALLAR")</f>
        <v>PANTALON TALLA 32</v>
      </c>
      <c r="P328" s="33">
        <v>2</v>
      </c>
      <c r="Q328" s="32" t="s">
        <v>1159</v>
      </c>
    </row>
    <row r="329" spans="13:17" x14ac:dyDescent="0.4">
      <c r="M329" s="39">
        <v>45758</v>
      </c>
      <c r="N329" s="49" t="s">
        <v>836</v>
      </c>
      <c r="O329" s="32" t="str">
        <f>_xlfn.XLOOKUP(SALIDA[[#This Row],[COD]],INVENTARIO[COD],INVENTARIO[DETALLE],"DETALLAR")</f>
        <v>CHALECOS REFLECTIVOS</v>
      </c>
      <c r="P329" s="33">
        <v>1</v>
      </c>
      <c r="Q329" s="32" t="s">
        <v>1159</v>
      </c>
    </row>
    <row r="330" spans="13:17" x14ac:dyDescent="0.4">
      <c r="M330" s="39">
        <v>45768</v>
      </c>
      <c r="N330" s="49" t="s">
        <v>752</v>
      </c>
      <c r="O330" s="32" t="str">
        <f>_xlfn.XLOOKUP(SALIDA[[#This Row],[COD]],INVENTARIO[COD],INVENTARIO[DETALLE],"DETALLAR")</f>
        <v xml:space="preserve">Casco rachet blanco INSAFE NUEVOS </v>
      </c>
      <c r="P330" s="33">
        <v>1</v>
      </c>
      <c r="Q330" s="32" t="s">
        <v>1170</v>
      </c>
    </row>
    <row r="331" spans="13:17" x14ac:dyDescent="0.4">
      <c r="M331" s="39">
        <v>45768</v>
      </c>
      <c r="N331" s="49" t="s">
        <v>760</v>
      </c>
      <c r="O331" s="32" t="str">
        <f>_xlfn.XLOOKUP(SALIDA[[#This Row],[COD]],INVENTARIO[COD],INVENTARIO[DETALLE],"DETALLAR")</f>
        <v>Barbuquejo 4 apoy os con gancho</v>
      </c>
      <c r="P331" s="33">
        <v>1</v>
      </c>
      <c r="Q331" s="32" t="s">
        <v>1170</v>
      </c>
    </row>
    <row r="332" spans="13:17" x14ac:dyDescent="0.4">
      <c r="M332" s="39">
        <v>45768</v>
      </c>
      <c r="N332" s="49" t="s">
        <v>647</v>
      </c>
      <c r="O332" s="32" t="str">
        <f>_xlfn.XLOOKUP(SALIDA[[#This Row],[COD]],INVENTARIO[COD],INVENTARIO[DETALLE],"DETALLAR")</f>
        <v xml:space="preserve">POLO ISTHO GRIS  L </v>
      </c>
      <c r="P332" s="33">
        <v>2</v>
      </c>
      <c r="Q332" s="32" t="s">
        <v>1170</v>
      </c>
    </row>
    <row r="333" spans="13:17" x14ac:dyDescent="0.4">
      <c r="M333" s="39">
        <v>45768</v>
      </c>
      <c r="N333" s="49" t="s">
        <v>688</v>
      </c>
      <c r="O333" s="32" t="str">
        <f>_xlfn.XLOOKUP(SALIDA[[#This Row],[COD]],INVENTARIO[COD],INVENTARIO[DETALLE],"DETALLAR")</f>
        <v>PANTALON TALLA 36</v>
      </c>
      <c r="P333" s="33">
        <v>2</v>
      </c>
      <c r="Q333" s="32" t="s">
        <v>1170</v>
      </c>
    </row>
    <row r="334" spans="13:17" x14ac:dyDescent="0.4">
      <c r="M334" s="39">
        <v>45768</v>
      </c>
      <c r="N334" s="49" t="s">
        <v>825</v>
      </c>
      <c r="O334" s="32" t="str">
        <f>_xlfn.XLOOKUP(SALIDA[[#This Row],[COD]],INVENTARIO[COD],INVENTARIO[DETALLE],"DETALLAR")</f>
        <v>BOTAS DE SEGURIDAD T.41</v>
      </c>
      <c r="P334" s="33">
        <v>1</v>
      </c>
      <c r="Q334" s="32" t="s">
        <v>1170</v>
      </c>
    </row>
    <row r="335" spans="13:17" x14ac:dyDescent="0.4">
      <c r="M335" s="39">
        <v>45770</v>
      </c>
      <c r="N335" s="49" t="s">
        <v>836</v>
      </c>
      <c r="O335" s="32" t="str">
        <f>_xlfn.XLOOKUP(SALIDA[[#This Row],[COD]],INVENTARIO[COD],INVENTARIO[DETALLE],"DETALLAR")</f>
        <v>CHALECOS REFLECTIVOS</v>
      </c>
      <c r="P335" s="33">
        <v>1</v>
      </c>
      <c r="Q335" s="32" t="s">
        <v>525</v>
      </c>
    </row>
    <row r="336" spans="13:17" x14ac:dyDescent="0.4">
      <c r="M336" s="39">
        <v>45770</v>
      </c>
      <c r="N336" s="49" t="s">
        <v>815</v>
      </c>
      <c r="O336" s="32" t="str">
        <f>_xlfn.XLOOKUP(SALIDA[[#This Row],[COD]],INVENTARIO[COD],INVENTARIO[DETALLE],"DETALLAR")</f>
        <v>GTE ANTICORTE NITRILO REF INDICE</v>
      </c>
      <c r="P336" s="33">
        <v>1</v>
      </c>
      <c r="Q336" s="32" t="s">
        <v>503</v>
      </c>
    </row>
    <row r="337" spans="13:17" x14ac:dyDescent="0.4">
      <c r="M337" s="39">
        <v>45772</v>
      </c>
      <c r="N337" s="49" t="s">
        <v>690</v>
      </c>
      <c r="O337" s="32" t="str">
        <f>_xlfn.XLOOKUP(SALIDA[[#This Row],[COD]],INVENTARIO[COD],INVENTARIO[DETALLE],"DETALLAR")</f>
        <v>BUSO ISTHO  XL</v>
      </c>
      <c r="P337" s="33">
        <v>1</v>
      </c>
      <c r="Q337" s="32" t="s">
        <v>1199</v>
      </c>
    </row>
    <row r="338" spans="13:17" x14ac:dyDescent="0.4">
      <c r="M338" s="39">
        <v>45772</v>
      </c>
      <c r="N338" s="49" t="s">
        <v>690</v>
      </c>
      <c r="O338" s="32" t="str">
        <f>_xlfn.XLOOKUP(SALIDA[[#This Row],[COD]],INVENTARIO[COD],INVENTARIO[DETALLE],"DETALLAR")</f>
        <v>BUSO ISTHO  XL</v>
      </c>
      <c r="P338" s="33">
        <v>1</v>
      </c>
      <c r="Q338" s="32" t="s">
        <v>1199</v>
      </c>
    </row>
    <row r="339" spans="13:17" x14ac:dyDescent="0.4">
      <c r="M339" s="39"/>
      <c r="O339" s="32" t="str">
        <f>_xlfn.XLOOKUP(SALIDA[[#This Row],[COD]],INVENTARIO[COD],INVENTARIO[DETALLE],"DETALLAR")</f>
        <v>DETALLAR</v>
      </c>
    </row>
  </sheetData>
  <mergeCells count="46">
    <mergeCell ref="H1:L1"/>
    <mergeCell ref="M1:Q1"/>
    <mergeCell ref="AU2:AU25"/>
    <mergeCell ref="AU26:AU39"/>
    <mergeCell ref="BA3:BD3"/>
    <mergeCell ref="BA4:BD4"/>
    <mergeCell ref="BA5:BD5"/>
    <mergeCell ref="BA6:BD6"/>
    <mergeCell ref="BA7:BD7"/>
    <mergeCell ref="BA8:BD8"/>
    <mergeCell ref="BA9:BD9"/>
    <mergeCell ref="BA10:BD10"/>
    <mergeCell ref="BA11:BD11"/>
    <mergeCell ref="BA12:BD12"/>
    <mergeCell ref="BA13:BD13"/>
    <mergeCell ref="BA21:BD21"/>
    <mergeCell ref="BA22:BD22"/>
    <mergeCell ref="BA23:BD23"/>
    <mergeCell ref="BA14:BD14"/>
    <mergeCell ref="BA15:BD15"/>
    <mergeCell ref="BA16:BD16"/>
    <mergeCell ref="BA17:BD17"/>
    <mergeCell ref="BA18:BD18"/>
    <mergeCell ref="BA2:BD2"/>
    <mergeCell ref="BA34:BD34"/>
    <mergeCell ref="BA35:BD35"/>
    <mergeCell ref="BA36:BD36"/>
    <mergeCell ref="BA29:BD29"/>
    <mergeCell ref="BA30:BD30"/>
    <mergeCell ref="BA31:BD31"/>
    <mergeCell ref="BA32:BD32"/>
    <mergeCell ref="BA33:BD33"/>
    <mergeCell ref="BA24:BD24"/>
    <mergeCell ref="BA25:BD25"/>
    <mergeCell ref="BA26:BD26"/>
    <mergeCell ref="BA27:BD27"/>
    <mergeCell ref="BA28:BD28"/>
    <mergeCell ref="BA19:BD19"/>
    <mergeCell ref="BA20:BD20"/>
    <mergeCell ref="BA43:BD43"/>
    <mergeCell ref="BA41:BD41"/>
    <mergeCell ref="BA40:BD40"/>
    <mergeCell ref="BA42:BD42"/>
    <mergeCell ref="BA37:BD37"/>
    <mergeCell ref="BA38:BD38"/>
    <mergeCell ref="BA39:BD39"/>
  </mergeCells>
  <phoneticPr fontId="5" type="noConversion"/>
  <conditionalFormatting sqref="E1:E1048576">
    <cfRule type="cellIs" dxfId="1" priority="1" operator="lessThan">
      <formula>0</formula>
    </cfRule>
    <cfRule type="cellIs" dxfId="0" priority="2" operator="greaterThan">
      <formula>0</formula>
    </cfRule>
  </conditionalFormatting>
  <pageMargins left="0.7" right="0.7" top="0.75" bottom="0.75" header="0.3" footer="0.3"/>
  <pageSetup orientation="portrait"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E0372-9C9B-4104-BB58-1492109CC81C}">
  <sheetPr>
    <tabColor theme="0"/>
  </sheetPr>
  <dimension ref="A1:F11"/>
  <sheetViews>
    <sheetView workbookViewId="0">
      <selection activeCell="B23" sqref="B23"/>
    </sheetView>
  </sheetViews>
  <sheetFormatPr baseColWidth="10" defaultColWidth="11.453125" defaultRowHeight="14.5" x14ac:dyDescent="0.35"/>
  <cols>
    <col min="1" max="1" width="22.453125" bestFit="1" customWidth="1"/>
    <col min="2" max="2" width="42" bestFit="1" customWidth="1"/>
    <col min="3" max="3" width="15.54296875" style="105" bestFit="1" customWidth="1"/>
    <col min="4" max="4" width="26.1796875" bestFit="1" customWidth="1"/>
    <col min="5" max="5" width="18.54296875" bestFit="1" customWidth="1"/>
    <col min="6" max="6" width="12" bestFit="1" customWidth="1"/>
  </cols>
  <sheetData>
    <row r="1" spans="1:6" x14ac:dyDescent="0.35">
      <c r="A1" t="s">
        <v>950</v>
      </c>
      <c r="B1" t="s">
        <v>951</v>
      </c>
      <c r="C1" s="17" t="s">
        <v>170</v>
      </c>
      <c r="D1" t="s">
        <v>952</v>
      </c>
      <c r="E1" t="s">
        <v>568</v>
      </c>
      <c r="F1" t="s">
        <v>953</v>
      </c>
    </row>
    <row r="2" spans="1:6" x14ac:dyDescent="0.35">
      <c r="A2" t="s">
        <v>954</v>
      </c>
      <c r="B2" t="s">
        <v>955</v>
      </c>
      <c r="C2" s="105" t="s">
        <v>956</v>
      </c>
      <c r="D2" t="s">
        <v>957</v>
      </c>
      <c r="E2" t="s">
        <v>958</v>
      </c>
    </row>
    <row r="3" spans="1:6" x14ac:dyDescent="0.35">
      <c r="A3" t="s">
        <v>959</v>
      </c>
      <c r="B3" t="s">
        <v>960</v>
      </c>
      <c r="C3" s="105" t="s">
        <v>961</v>
      </c>
      <c r="D3" t="s">
        <v>957</v>
      </c>
      <c r="E3" s="74" t="s">
        <v>958</v>
      </c>
    </row>
    <row r="4" spans="1:6" x14ac:dyDescent="0.35">
      <c r="A4" t="s">
        <v>962</v>
      </c>
      <c r="B4" t="s">
        <v>963</v>
      </c>
      <c r="C4" s="105" t="s">
        <v>964</v>
      </c>
      <c r="D4" t="s">
        <v>957</v>
      </c>
      <c r="E4" t="s">
        <v>958</v>
      </c>
    </row>
    <row r="5" spans="1:6" x14ac:dyDescent="0.35">
      <c r="A5" t="s">
        <v>965</v>
      </c>
      <c r="B5" t="s">
        <v>966</v>
      </c>
      <c r="C5" s="105" t="s">
        <v>967</v>
      </c>
      <c r="D5" t="s">
        <v>957</v>
      </c>
      <c r="E5" t="s">
        <v>958</v>
      </c>
    </row>
    <row r="6" spans="1:6" x14ac:dyDescent="0.35">
      <c r="A6" t="s">
        <v>968</v>
      </c>
      <c r="B6" t="s">
        <v>969</v>
      </c>
      <c r="C6" s="105" t="s">
        <v>970</v>
      </c>
      <c r="D6" t="s">
        <v>957</v>
      </c>
      <c r="E6" t="s">
        <v>958</v>
      </c>
      <c r="F6" s="151">
        <v>45716</v>
      </c>
    </row>
    <row r="7" spans="1:6" x14ac:dyDescent="0.35">
      <c r="A7" t="s">
        <v>971</v>
      </c>
      <c r="B7" t="s">
        <v>972</v>
      </c>
      <c r="C7" s="105" t="s">
        <v>973</v>
      </c>
      <c r="D7" t="s">
        <v>957</v>
      </c>
      <c r="E7" t="s">
        <v>958</v>
      </c>
      <c r="F7" s="151">
        <v>45716</v>
      </c>
    </row>
    <row r="8" spans="1:6" x14ac:dyDescent="0.35">
      <c r="A8" s="154" t="s">
        <v>974</v>
      </c>
      <c r="B8" s="154" t="s">
        <v>975</v>
      </c>
      <c r="C8" s="155" t="s">
        <v>976</v>
      </c>
      <c r="D8" s="154" t="s">
        <v>977</v>
      </c>
      <c r="E8" s="154"/>
      <c r="F8" s="151">
        <v>45716</v>
      </c>
    </row>
    <row r="9" spans="1:6" x14ac:dyDescent="0.35">
      <c r="A9" t="s">
        <v>978</v>
      </c>
      <c r="B9" t="s">
        <v>979</v>
      </c>
      <c r="C9" s="105" t="s">
        <v>980</v>
      </c>
      <c r="D9" t="s">
        <v>957</v>
      </c>
      <c r="E9" t="s">
        <v>958</v>
      </c>
      <c r="F9" s="151">
        <v>45716</v>
      </c>
    </row>
    <row r="10" spans="1:6" x14ac:dyDescent="0.35">
      <c r="A10" t="s">
        <v>981</v>
      </c>
      <c r="B10" t="s">
        <v>982</v>
      </c>
      <c r="C10" s="105" t="s">
        <v>983</v>
      </c>
      <c r="D10" t="s">
        <v>957</v>
      </c>
      <c r="E10" t="s">
        <v>958</v>
      </c>
      <c r="F10" s="151">
        <v>45716</v>
      </c>
    </row>
    <row r="11" spans="1:6" x14ac:dyDescent="0.35">
      <c r="A11" t="s">
        <v>984</v>
      </c>
      <c r="B11" t="s">
        <v>985</v>
      </c>
      <c r="C11" s="105" t="s">
        <v>986</v>
      </c>
      <c r="D11" t="s">
        <v>957</v>
      </c>
      <c r="E11" t="s">
        <v>958</v>
      </c>
      <c r="F11" s="151">
        <v>45716</v>
      </c>
    </row>
  </sheetData>
  <hyperlinks>
    <hyperlink ref="B3" r:id="rId1" xr:uid="{8DF2A69E-113C-4152-B748-A68A4FAC5F1F}"/>
    <hyperlink ref="B4" r:id="rId2" display="mailto:futesa@futesa.com" xr:uid="{3DD3DD79-84E4-479F-A56B-53764B97C589}"/>
    <hyperlink ref="B5" r:id="rId3" xr:uid="{99129A43-E0C4-47B3-916D-786856EE696E}"/>
    <hyperlink ref="C7" r:id="rId4" display="tel:+576012120777" xr:uid="{B196C303-1E34-446A-BE8D-AEDC6E199BE2}"/>
    <hyperlink ref="B9" r:id="rId5" xr:uid="{EF3420E1-8422-4972-A300-A1FD7310CDDC}"/>
    <hyperlink ref="B10" r:id="rId6" xr:uid="{35199D2C-28DB-4B78-A572-415495D04CBA}"/>
  </hyperlinks>
  <pageMargins left="0.7" right="0.7" top="0.75" bottom="0.75" header="0.3" footer="0.3"/>
  <pageSetup orientation="portrait"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o E O O W Z 3 j B J G k A A A A 9 g A A A B I A H A B D b 2 5 m a W c v U G F j a 2 F n Z S 5 4 b W w g o h g A K K A U A A A A A A A A A A A A A A A A A A A A A A A A A A A A h Y 9 N D o I w G E S v Q r q n P 2 C i k o + y Y C v R x M S 4 b W q F R i i G F s v d X H g k r y B G U X c u 5 8 1 b z N y v N 8 i G p g 4 u q r O 6 N S l i m K J A G d k e t C l T 1 L t j u E A Z h 4 2 Q J 1 G q Y J S N T Q Z 7 S F H l 3 D k h x H u P f Y z b r i Q R p Y z s i 9 V W V q o R 6 C P r / 3 K o j X X C S I U 4 7 F 5 j e I R Z P M N s v s Q U y A S h 0 O Y r R O P e Z / s D I e 9 r 1 3 e K K x v m a y B T B P L + w B 9 Q S w M E F A A C A A g A o E O 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B D j l k o i k e 4 D g A A A B E A A A A T A B w A R m 9 y b X V s Y X M v U 2 V j d G l v b j E u b S C i G A A o o B Q A A A A A A A A A A A A A A A A A A A A A A A A A A A A r T k 0 u y c z P U w i G 0 I b W A F B L A Q I t A B Q A A g A I A K B D j l m d 4 w S R p A A A A P Y A A A A S A A A A A A A A A A A A A A A A A A A A A A B D b 2 5 m a W c v U G F j a 2 F n Z S 5 4 b W x Q S w E C L Q A U A A I A C A C g Q 4 5 Z D 8 r p q 6 Q A A A D p A A A A E w A A A A A A A A A A A A A A A A D w A A A A W 0 N v b n R l b n R f V H l w Z X N d L n h t b F B L A Q I t A B Q A A g A I A K B D j 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V 0 e f 5 1 0 E Q L o 3 d c / U I J 6 5 A A A A A A I A A A A A A B B m A A A A A Q A A I A A A A J 8 Q n L Y U I B 9 c e 1 6 3 e Q F 9 d 1 / v a r z P F z X Q q Q + c m 7 4 c V T j 8 A A A A A A 6 A A A A A A g A A I A A A A P 6 G R R r v U Z N b C A 5 p M Q K I c g 6 6 u y X f F N Y F Z N / V V O w h c 0 p d U A A A A A 3 Y O y H G m t U 8 d W K r G 6 2 S m S F s r Q c A U k p s x V 3 8 Z 6 e H D p 0 z B m f v W I I M L G 4 K Y Z J u u i Y p Z y I 7 F 5 Y s / 1 w Z B r R O l l O i 9 L N D O s a P a b I t e Z G F W D / Z c p 6 0 Q A A A A J F Z X Q 5 R Y J c 1 T N X G D g p A F G 4 B y y V y 5 0 5 T e p 5 / 0 B X n J z 2 V C y m A I M q N C E v L t A p 1 U A Z g j I L 0 x J u k q N 9 C 3 W o i y b d U H E E = < / 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4248F7F249388F49AA60E5EF996CB575" ma:contentTypeVersion="13" ma:contentTypeDescription="Crear nuevo documento." ma:contentTypeScope="" ma:versionID="07eaa5ec1b91e9548c09f04fb4d9f42a">
  <xsd:schema xmlns:xsd="http://www.w3.org/2001/XMLSchema" xmlns:xs="http://www.w3.org/2001/XMLSchema" xmlns:p="http://schemas.microsoft.com/office/2006/metadata/properties" xmlns:ns2="5919600c-abe0-4fbc-97b1-67e64a2af91e" xmlns:ns3="7f3ee75a-0e38-4235-bf9f-16c9ac975fea" targetNamespace="http://schemas.microsoft.com/office/2006/metadata/properties" ma:root="true" ma:fieldsID="603b3a6f91736ab5893d838bee7004f5" ns2:_="" ns3:_="">
    <xsd:import namespace="5919600c-abe0-4fbc-97b1-67e64a2af91e"/>
    <xsd:import namespace="7f3ee75a-0e38-4235-bf9f-16c9ac975fe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19600c-abe0-4fbc-97b1-67e64a2af9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3ce6da12-7d66-45f2-8de3-af7f8bc69f3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3ee75a-0e38-4235-bf9f-16c9ac975fe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6bde310-3acd-4938-8024-eb07503636f2}" ma:internalName="TaxCatchAll" ma:showField="CatchAllData" ma:web="7f3ee75a-0e38-4235-bf9f-16c9ac975fea">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5919600c-abe0-4fbc-97b1-67e64a2af91e">
      <Terms xmlns="http://schemas.microsoft.com/office/infopath/2007/PartnerControls"/>
    </lcf76f155ced4ddcb4097134ff3c332f>
    <TaxCatchAll xmlns="7f3ee75a-0e38-4235-bf9f-16c9ac975fea" xsi:nil="true"/>
  </documentManagement>
</p:properties>
</file>

<file path=customXml/itemProps1.xml><?xml version="1.0" encoding="utf-8"?>
<ds:datastoreItem xmlns:ds="http://schemas.openxmlformats.org/officeDocument/2006/customXml" ds:itemID="{4CB59652-3380-4702-8E9C-448F0F655F3F}">
  <ds:schemaRefs>
    <ds:schemaRef ds:uri="http://schemas.microsoft.com/DataMashup"/>
  </ds:schemaRefs>
</ds:datastoreItem>
</file>

<file path=customXml/itemProps2.xml><?xml version="1.0" encoding="utf-8"?>
<ds:datastoreItem xmlns:ds="http://schemas.openxmlformats.org/officeDocument/2006/customXml" ds:itemID="{B7928513-2979-477A-ABEC-4291444D81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19600c-abe0-4fbc-97b1-67e64a2af91e"/>
    <ds:schemaRef ds:uri="7f3ee75a-0e38-4235-bf9f-16c9ac975f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0BFD9B-ECBE-407D-87BF-D084DC778DC7}">
  <ds:schemaRefs>
    <ds:schemaRef ds:uri="http://schemas.microsoft.com/sharepoint/v3/contenttype/forms"/>
  </ds:schemaRefs>
</ds:datastoreItem>
</file>

<file path=customXml/itemProps4.xml><?xml version="1.0" encoding="utf-8"?>
<ds:datastoreItem xmlns:ds="http://schemas.openxmlformats.org/officeDocument/2006/customXml" ds:itemID="{396602C7-7A27-4DB1-B062-637BFC313042}">
  <ds:schemaRefs>
    <ds:schemaRef ds:uri="http://schemas.openxmlformats.org/package/2006/metadata/core-properties"/>
    <ds:schemaRef ds:uri="7f3ee75a-0e38-4235-bf9f-16c9ac975fea"/>
    <ds:schemaRef ds:uri="http://purl.org/dc/terms/"/>
    <ds:schemaRef ds:uri="http://schemas.microsoft.com/office/2006/metadata/properties"/>
    <ds:schemaRef ds:uri="5919600c-abe0-4fbc-97b1-67e64a2af91e"/>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TABLAS</vt:lpstr>
      <vt:lpstr>MENSAJES</vt:lpstr>
      <vt:lpstr>PREVIO</vt:lpstr>
      <vt:lpstr>ENTREV.PRACTICANTES</vt:lpstr>
      <vt:lpstr>HISTORICO.HDV</vt:lpstr>
      <vt:lpstr>PERSONAL</vt:lpstr>
      <vt:lpstr>PQR</vt:lpstr>
      <vt:lpstr>DOTACION</vt:lpstr>
      <vt:lpstr>TEMP.SERVC</vt:lpstr>
      <vt:lpstr>INSTITUCIONES</vt:lpstr>
      <vt:lpstr>HIST.ANTC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 Ruiz</dc:creator>
  <cp:keywords/>
  <dc:description/>
  <cp:lastModifiedBy>Practicante Tecnología</cp:lastModifiedBy>
  <cp:revision/>
  <dcterms:created xsi:type="dcterms:W3CDTF">2024-11-07T16:26:15Z</dcterms:created>
  <dcterms:modified xsi:type="dcterms:W3CDTF">2025-04-28T13:58:54Z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0x0101004248F7F249388F49AA60E5EF996CB575</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