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t00346040\riscv-code-size-reduction\ISA proposals\Huawei\"/>
    </mc:Choice>
  </mc:AlternateContent>
  <xr:revisionPtr revIDLastSave="0" documentId="8_{502F4357-3194-4FED-AE42-471229564D7D}" xr6:coauthVersionLast="36" xr6:coauthVersionMax="36" xr10:uidLastSave="{00000000-0000-0000-0000-000000000000}"/>
  <bookViews>
    <workbookView xWindow="0" yWindow="0" windowWidth="28780" windowHeight="12170" activeTab="1" xr2:uid="{00000000-000D-0000-FFFF-FFFF00000000}"/>
  </bookViews>
  <sheets>
    <sheet name="ISA status" sheetId="1" r:id="rId1"/>
    <sheet name="Stats for Zce 0.41" sheetId="2" r:id="rId2"/>
    <sheet name="ALL summary" sheetId="3" r:id="rId3"/>
    <sheet name="IoT Summary" sheetId="4" r:id="rId4"/>
    <sheet name="Embench Summary" sheetId="5" r:id="rId5"/>
    <sheet name="Debian Summary" sheetId="6" r:id="rId6"/>
    <sheet name="FPMark Summary" sheetId="7" r:id="rId7"/>
    <sheet name="Coremark summary" sheetId="8" r:id="rId8"/>
    <sheet name="Softfloat summary" sheetId="9" r:id="rId9"/>
    <sheet name="Audio summary" sheetId="10" r:id="rId10"/>
    <sheet name="Google v8 summary" sheetId="11" r:id="rId11"/>
    <sheet name="Huawei IoT Short Summary" sheetId="12" r:id="rId12"/>
    <sheet name="Audio Short Summary" sheetId="13" r:id="rId13"/>
  </sheets>
  <calcPr calcId="191029"/>
</workbook>
</file>

<file path=xl/calcChain.xml><?xml version="1.0" encoding="utf-8"?>
<calcChain xmlns="http://schemas.openxmlformats.org/spreadsheetml/2006/main">
  <c r="E2" i="13" l="1"/>
  <c r="D2" i="13"/>
  <c r="B19" i="12"/>
  <c r="B15" i="12"/>
  <c r="B11" i="12"/>
  <c r="B7" i="12"/>
  <c r="B3" i="12"/>
  <c r="E2" i="12"/>
  <c r="C20" i="12" s="1"/>
  <c r="D2" i="12"/>
  <c r="B20" i="12" s="1"/>
  <c r="D24" i="11"/>
  <c r="D23" i="11"/>
  <c r="D22" i="11"/>
  <c r="D20" i="11"/>
  <c r="B20" i="11"/>
  <c r="E20" i="11" s="1"/>
  <c r="D18" i="11"/>
  <c r="D17" i="11"/>
  <c r="D16" i="11"/>
  <c r="D15" i="11"/>
  <c r="D14" i="11"/>
  <c r="B14" i="11"/>
  <c r="E14" i="11" s="1"/>
  <c r="D13" i="11"/>
  <c r="D12" i="11"/>
  <c r="D11" i="11"/>
  <c r="B11" i="11"/>
  <c r="E11" i="11" s="1"/>
  <c r="D10" i="11"/>
  <c r="D9" i="11"/>
  <c r="D8" i="11"/>
  <c r="D7" i="11"/>
  <c r="D6" i="11"/>
  <c r="B6" i="11"/>
  <c r="E6" i="11" s="1"/>
  <c r="D5" i="11"/>
  <c r="D4" i="11"/>
  <c r="D3" i="11"/>
  <c r="B3" i="11"/>
  <c r="G2" i="11"/>
  <c r="B15" i="11" s="1"/>
  <c r="E15" i="11" s="1"/>
  <c r="L20" i="10"/>
  <c r="D20" i="10"/>
  <c r="L18" i="10"/>
  <c r="D18" i="10"/>
  <c r="L17" i="10"/>
  <c r="D17" i="10"/>
  <c r="L16" i="10"/>
  <c r="D16" i="10"/>
  <c r="L15" i="10"/>
  <c r="D15" i="10"/>
  <c r="L14" i="10"/>
  <c r="D14" i="10"/>
  <c r="L13" i="10"/>
  <c r="D13" i="10"/>
  <c r="L12" i="10"/>
  <c r="D12" i="10"/>
  <c r="L11" i="10"/>
  <c r="D11" i="10"/>
  <c r="L10" i="10"/>
  <c r="D10" i="10"/>
  <c r="L9" i="10"/>
  <c r="D9" i="10"/>
  <c r="L8" i="10"/>
  <c r="D8" i="10"/>
  <c r="L7" i="10"/>
  <c r="D7" i="10"/>
  <c r="L6" i="10"/>
  <c r="D6" i="10"/>
  <c r="L5" i="10"/>
  <c r="D5" i="10"/>
  <c r="L4" i="10"/>
  <c r="D4" i="10"/>
  <c r="L3" i="10"/>
  <c r="D3" i="10"/>
  <c r="O2" i="10"/>
  <c r="D24" i="9"/>
  <c r="D23" i="9"/>
  <c r="D22" i="9"/>
  <c r="D20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4" i="8"/>
  <c r="D23" i="8"/>
  <c r="D22" i="8"/>
  <c r="D20" i="8"/>
  <c r="D18" i="8"/>
  <c r="D17" i="8"/>
  <c r="D16" i="8"/>
  <c r="D15" i="8"/>
  <c r="D14" i="8"/>
  <c r="D13" i="8"/>
  <c r="D12" i="8"/>
  <c r="D11" i="8"/>
  <c r="D10" i="8"/>
  <c r="D9" i="8"/>
  <c r="D8" i="8"/>
  <c r="D7" i="8"/>
  <c r="B7" i="8"/>
  <c r="E7" i="8" s="1"/>
  <c r="D6" i="8"/>
  <c r="D5" i="8"/>
  <c r="D4" i="8"/>
  <c r="D3" i="8"/>
  <c r="L24" i="7"/>
  <c r="D24" i="7"/>
  <c r="L23" i="7"/>
  <c r="D23" i="7"/>
  <c r="L22" i="7"/>
  <c r="D22" i="7"/>
  <c r="L20" i="7"/>
  <c r="D20" i="7"/>
  <c r="L18" i="7"/>
  <c r="D18" i="7"/>
  <c r="L17" i="7"/>
  <c r="D17" i="7"/>
  <c r="L16" i="7"/>
  <c r="D16" i="7"/>
  <c r="L15" i="7"/>
  <c r="D15" i="7"/>
  <c r="L14" i="7"/>
  <c r="D14" i="7"/>
  <c r="L13" i="7"/>
  <c r="D13" i="7"/>
  <c r="L12" i="7"/>
  <c r="D12" i="7"/>
  <c r="L11" i="7"/>
  <c r="D11" i="7"/>
  <c r="L10" i="7"/>
  <c r="D10" i="7"/>
  <c r="L9" i="7"/>
  <c r="D9" i="7"/>
  <c r="L8" i="7"/>
  <c r="D8" i="7"/>
  <c r="L7" i="7"/>
  <c r="D7" i="7"/>
  <c r="L6" i="7"/>
  <c r="D6" i="7"/>
  <c r="L5" i="7"/>
  <c r="D5" i="7"/>
  <c r="L4" i="7"/>
  <c r="D4" i="7"/>
  <c r="L3" i="7"/>
  <c r="D3" i="7"/>
  <c r="O2" i="7"/>
  <c r="D24" i="6"/>
  <c r="D23" i="6"/>
  <c r="D22" i="6"/>
  <c r="D20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L24" i="5"/>
  <c r="D24" i="5"/>
  <c r="L23" i="5"/>
  <c r="D23" i="5"/>
  <c r="L22" i="5"/>
  <c r="D22" i="5"/>
  <c r="L20" i="5"/>
  <c r="D20" i="5"/>
  <c r="L18" i="5"/>
  <c r="D18" i="5"/>
  <c r="L17" i="5"/>
  <c r="D17" i="5"/>
  <c r="L16" i="5"/>
  <c r="D16" i="5"/>
  <c r="L15" i="5"/>
  <c r="D15" i="5"/>
  <c r="L14" i="5"/>
  <c r="D14" i="5"/>
  <c r="L13" i="5"/>
  <c r="D13" i="5"/>
  <c r="L12" i="5"/>
  <c r="D12" i="5"/>
  <c r="L11" i="5"/>
  <c r="D11" i="5"/>
  <c r="L10" i="5"/>
  <c r="D10" i="5"/>
  <c r="L9" i="5"/>
  <c r="D9" i="5"/>
  <c r="L8" i="5"/>
  <c r="D8" i="5"/>
  <c r="L7" i="5"/>
  <c r="D7" i="5"/>
  <c r="L6" i="5"/>
  <c r="D6" i="5"/>
  <c r="L5" i="5"/>
  <c r="D5" i="5"/>
  <c r="L4" i="5"/>
  <c r="D4" i="5"/>
  <c r="L3" i="5"/>
  <c r="D3" i="5"/>
  <c r="D20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Z115" i="2"/>
  <c r="Y115" i="2"/>
  <c r="X115" i="2"/>
  <c r="W115" i="2"/>
  <c r="V115" i="2"/>
  <c r="U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A114" i="2"/>
  <c r="Z114" i="2"/>
  <c r="Y114" i="2"/>
  <c r="X114" i="2"/>
  <c r="W114" i="2"/>
  <c r="V114" i="2"/>
  <c r="U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Z113" i="2"/>
  <c r="Y113" i="2"/>
  <c r="X113" i="2"/>
  <c r="W113" i="2"/>
  <c r="V113" i="2"/>
  <c r="U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A112" i="2"/>
  <c r="Z112" i="2"/>
  <c r="Y112" i="2"/>
  <c r="X112" i="2"/>
  <c r="W112" i="2"/>
  <c r="V112" i="2"/>
  <c r="U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Z111" i="2"/>
  <c r="Y111" i="2"/>
  <c r="X111" i="2"/>
  <c r="W111" i="2"/>
  <c r="V111" i="2"/>
  <c r="U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A110" i="2"/>
  <c r="Z110" i="2"/>
  <c r="Y110" i="2"/>
  <c r="X110" i="2"/>
  <c r="W110" i="2"/>
  <c r="V110" i="2"/>
  <c r="U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A109" i="2"/>
  <c r="Z109" i="2"/>
  <c r="Y109" i="2"/>
  <c r="X109" i="2"/>
  <c r="W109" i="2"/>
  <c r="V109" i="2"/>
  <c r="U109" i="2"/>
  <c r="S109" i="2"/>
  <c r="R109" i="2"/>
  <c r="Q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A108" i="2"/>
  <c r="Z108" i="2"/>
  <c r="Y108" i="2"/>
  <c r="X108" i="2"/>
  <c r="W108" i="2"/>
  <c r="V108" i="2"/>
  <c r="U108" i="2"/>
  <c r="S108" i="2"/>
  <c r="R108" i="2"/>
  <c r="Q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106" i="2"/>
  <c r="G2" i="8" s="1"/>
  <c r="B15" i="8" s="1"/>
  <c r="E15" i="8" s="1"/>
  <c r="AA103" i="2"/>
  <c r="Z103" i="2"/>
  <c r="Y103" i="2"/>
  <c r="X103" i="2"/>
  <c r="W103" i="2"/>
  <c r="V103" i="2"/>
  <c r="U103" i="2"/>
  <c r="T103" i="2"/>
  <c r="S103" i="2"/>
  <c r="R103" i="2"/>
  <c r="Q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P101" i="2"/>
  <c r="AC100" i="2"/>
  <c r="P100" i="2"/>
  <c r="AB100" i="2" s="1"/>
  <c r="P99" i="2"/>
  <c r="AC99" i="2" s="1"/>
  <c r="P98" i="2"/>
  <c r="AC98" i="2" s="1"/>
  <c r="AB97" i="2"/>
  <c r="P97" i="2"/>
  <c r="AC97" i="2" s="1"/>
  <c r="P96" i="2"/>
  <c r="AC96" i="2" s="1"/>
  <c r="AC95" i="2"/>
  <c r="AB95" i="2"/>
  <c r="P95" i="2"/>
  <c r="AC94" i="2"/>
  <c r="AB94" i="2"/>
  <c r="P94" i="2"/>
  <c r="P93" i="2"/>
  <c r="AC92" i="2"/>
  <c r="P92" i="2"/>
  <c r="AB92" i="2" s="1"/>
  <c r="P91" i="2"/>
  <c r="AC91" i="2" s="1"/>
  <c r="AB90" i="2"/>
  <c r="P90" i="2"/>
  <c r="AC90" i="2" s="1"/>
  <c r="AB89" i="2"/>
  <c r="P89" i="2"/>
  <c r="AC89" i="2" s="1"/>
  <c r="P88" i="2"/>
  <c r="AC88" i="2" s="1"/>
  <c r="AC87" i="2"/>
  <c r="AB87" i="2"/>
  <c r="P87" i="2"/>
  <c r="AC86" i="2"/>
  <c r="AB86" i="2"/>
  <c r="P86" i="2"/>
  <c r="P85" i="2"/>
  <c r="P84" i="2"/>
  <c r="AB84" i="2" s="1"/>
  <c r="P83" i="2"/>
  <c r="AC83" i="2" s="1"/>
  <c r="P82" i="2"/>
  <c r="AC82" i="2" s="1"/>
  <c r="AB81" i="2"/>
  <c r="P81" i="2"/>
  <c r="AC81" i="2" s="1"/>
  <c r="P80" i="2"/>
  <c r="AC80" i="2" s="1"/>
  <c r="AC79" i="2"/>
  <c r="AB79" i="2"/>
  <c r="P79" i="2"/>
  <c r="AC78" i="2"/>
  <c r="AB78" i="2"/>
  <c r="P78" i="2"/>
  <c r="P77" i="2"/>
  <c r="P76" i="2"/>
  <c r="AB76" i="2" s="1"/>
  <c r="AC75" i="2"/>
  <c r="P75" i="2"/>
  <c r="AB75" i="2" s="1"/>
  <c r="P74" i="2"/>
  <c r="AC74" i="2" s="1"/>
  <c r="P73" i="2"/>
  <c r="AC73" i="2" s="1"/>
  <c r="P72" i="2"/>
  <c r="AC71" i="2"/>
  <c r="AB71" i="2"/>
  <c r="P71" i="2"/>
  <c r="AC70" i="2"/>
  <c r="AB70" i="2"/>
  <c r="P70" i="2"/>
  <c r="AC69" i="2"/>
  <c r="P69" i="2"/>
  <c r="AB69" i="2" s="1"/>
  <c r="P68" i="2"/>
  <c r="AC68" i="2" s="1"/>
  <c r="AC67" i="2"/>
  <c r="P67" i="2"/>
  <c r="AB67" i="2" s="1"/>
  <c r="AC66" i="2"/>
  <c r="P66" i="2"/>
  <c r="AB66" i="2" s="1"/>
  <c r="P65" i="2"/>
  <c r="AC65" i="2" s="1"/>
  <c r="AB64" i="2"/>
  <c r="P64" i="2"/>
  <c r="AC64" i="2" s="1"/>
  <c r="AC63" i="2"/>
  <c r="P63" i="2"/>
  <c r="AB63" i="2" s="1"/>
  <c r="P62" i="2"/>
  <c r="AC62" i="2" s="1"/>
  <c r="AC61" i="2"/>
  <c r="P61" i="2"/>
  <c r="P109" i="2" s="1"/>
  <c r="P60" i="2"/>
  <c r="AC60" i="2" s="1"/>
  <c r="P59" i="2"/>
  <c r="AC59" i="2" s="1"/>
  <c r="AC58" i="2"/>
  <c r="AB58" i="2"/>
  <c r="P58" i="2"/>
  <c r="AC57" i="2"/>
  <c r="AB57" i="2"/>
  <c r="P57" i="2"/>
  <c r="AC56" i="2"/>
  <c r="AB56" i="2"/>
  <c r="P56" i="2"/>
  <c r="AC55" i="2"/>
  <c r="P55" i="2"/>
  <c r="AB55" i="2" s="1"/>
  <c r="P54" i="2"/>
  <c r="AC54" i="2" s="1"/>
  <c r="AC53" i="2"/>
  <c r="P53" i="2"/>
  <c r="AB53" i="2" s="1"/>
  <c r="P52" i="2"/>
  <c r="AC52" i="2" s="1"/>
  <c r="P51" i="2"/>
  <c r="AB51" i="2" s="1"/>
  <c r="AC50" i="2"/>
  <c r="AB50" i="2"/>
  <c r="P50" i="2"/>
  <c r="AC49" i="2"/>
  <c r="AB49" i="2"/>
  <c r="P49" i="2"/>
  <c r="AC48" i="2"/>
  <c r="AB48" i="2"/>
  <c r="P48" i="2"/>
  <c r="AC47" i="2"/>
  <c r="P47" i="2"/>
  <c r="AB47" i="2" s="1"/>
  <c r="P46" i="2"/>
  <c r="AC46" i="2" s="1"/>
  <c r="AC45" i="2"/>
  <c r="P45" i="2"/>
  <c r="AB45" i="2" s="1"/>
  <c r="P44" i="2"/>
  <c r="AC44" i="2" s="1"/>
  <c r="P43" i="2"/>
  <c r="AC43" i="2" s="1"/>
  <c r="AC42" i="2"/>
  <c r="AB42" i="2"/>
  <c r="P42" i="2"/>
  <c r="AC41" i="2"/>
  <c r="AB41" i="2"/>
  <c r="P41" i="2"/>
  <c r="AC40" i="2"/>
  <c r="AB40" i="2"/>
  <c r="P40" i="2"/>
  <c r="AC39" i="2"/>
  <c r="P39" i="2"/>
  <c r="AB39" i="2" s="1"/>
  <c r="P38" i="2"/>
  <c r="AC38" i="2" s="1"/>
  <c r="AC37" i="2"/>
  <c r="P37" i="2"/>
  <c r="AB37" i="2" s="1"/>
  <c r="P36" i="2"/>
  <c r="AC36" i="2" s="1"/>
  <c r="P35" i="2"/>
  <c r="AB35" i="2" s="1"/>
  <c r="AC34" i="2"/>
  <c r="AB34" i="2"/>
  <c r="P34" i="2"/>
  <c r="AC33" i="2"/>
  <c r="AB33" i="2"/>
  <c r="P33" i="2"/>
  <c r="AC32" i="2"/>
  <c r="AB32" i="2"/>
  <c r="P32" i="2"/>
  <c r="AC31" i="2"/>
  <c r="P31" i="2"/>
  <c r="AB31" i="2" s="1"/>
  <c r="P30" i="2"/>
  <c r="AC30" i="2" s="1"/>
  <c r="AC29" i="2"/>
  <c r="P29" i="2"/>
  <c r="AB29" i="2" s="1"/>
  <c r="P28" i="2"/>
  <c r="B24" i="11" s="1"/>
  <c r="E24" i="11" s="1"/>
  <c r="AB27" i="2"/>
  <c r="P27" i="2"/>
  <c r="P26" i="2"/>
  <c r="AB26" i="2" s="1"/>
  <c r="P25" i="2"/>
  <c r="AB25" i="2" s="1"/>
  <c r="P24" i="2"/>
  <c r="AB24" i="2" s="1"/>
  <c r="AB23" i="2"/>
  <c r="P23" i="2"/>
  <c r="P22" i="2"/>
  <c r="AB22" i="2" s="1"/>
  <c r="P21" i="2"/>
  <c r="AB21" i="2" s="1"/>
  <c r="P20" i="2"/>
  <c r="AB20" i="2" s="1"/>
  <c r="AB19" i="2"/>
  <c r="P19" i="2"/>
  <c r="P18" i="2"/>
  <c r="AB18" i="2" s="1"/>
  <c r="P17" i="2"/>
  <c r="AB17" i="2" s="1"/>
  <c r="P16" i="2"/>
  <c r="AB16" i="2" s="1"/>
  <c r="AB15" i="2"/>
  <c r="P15" i="2"/>
  <c r="P14" i="2"/>
  <c r="AB14" i="2" s="1"/>
  <c r="P13" i="2"/>
  <c r="AB13" i="2" s="1"/>
  <c r="P12" i="2"/>
  <c r="AB12" i="2" s="1"/>
  <c r="AB11" i="2"/>
  <c r="P11" i="2"/>
  <c r="P10" i="2"/>
  <c r="AB10" i="2" s="1"/>
  <c r="P9" i="2"/>
  <c r="AB9" i="2" s="1"/>
  <c r="P8" i="2"/>
  <c r="AB8" i="2" s="1"/>
  <c r="AB7" i="2"/>
  <c r="P7" i="2"/>
  <c r="P6" i="2"/>
  <c r="AB6" i="2" s="1"/>
  <c r="P5" i="2"/>
  <c r="AB5" i="2" s="1"/>
  <c r="P4" i="2"/>
  <c r="AB4" i="2" s="1"/>
  <c r="AB3" i="2"/>
  <c r="P3" i="2"/>
  <c r="P2" i="2"/>
  <c r="AB2" i="2" s="1"/>
  <c r="AB110" i="2" l="1"/>
  <c r="AC110" i="2" s="1"/>
  <c r="AB115" i="2"/>
  <c r="J13" i="7"/>
  <c r="M13" i="7" s="1"/>
  <c r="AB116" i="2"/>
  <c r="AC116" i="2" s="1"/>
  <c r="AB114" i="2"/>
  <c r="AC114" i="2" s="1"/>
  <c r="AB113" i="2"/>
  <c r="AB112" i="2"/>
  <c r="AC112" i="2" s="1"/>
  <c r="AB107" i="2"/>
  <c r="AC107" i="2" s="1"/>
  <c r="AB111" i="2"/>
  <c r="B13" i="13"/>
  <c r="J24" i="10"/>
  <c r="J20" i="10"/>
  <c r="M20" i="10" s="1"/>
  <c r="J15" i="10"/>
  <c r="M15" i="10" s="1"/>
  <c r="J11" i="10"/>
  <c r="M11" i="10" s="1"/>
  <c r="J7" i="10"/>
  <c r="M7" i="10" s="1"/>
  <c r="J3" i="10"/>
  <c r="J23" i="10"/>
  <c r="J16" i="10"/>
  <c r="M16" i="10" s="1"/>
  <c r="J12" i="10"/>
  <c r="M12" i="10" s="1"/>
  <c r="J8" i="10"/>
  <c r="M8" i="10" s="1"/>
  <c r="J4" i="10"/>
  <c r="M4" i="10" s="1"/>
  <c r="J22" i="10"/>
  <c r="J17" i="10"/>
  <c r="M17" i="10" s="1"/>
  <c r="J13" i="10"/>
  <c r="M13" i="10" s="1"/>
  <c r="J9" i="10"/>
  <c r="M9" i="10" s="1"/>
  <c r="J18" i="10"/>
  <c r="M18" i="10" s="1"/>
  <c r="J14" i="10"/>
  <c r="M14" i="10" s="1"/>
  <c r="J10" i="10"/>
  <c r="M10" i="10" s="1"/>
  <c r="J6" i="10"/>
  <c r="M6" i="10" s="1"/>
  <c r="AB82" i="2"/>
  <c r="AC77" i="2"/>
  <c r="AB77" i="2"/>
  <c r="P108" i="2"/>
  <c r="AB108" i="2" s="1"/>
  <c r="AC108" i="2" s="1"/>
  <c r="AB61" i="2"/>
  <c r="AB73" i="2"/>
  <c r="AB98" i="2"/>
  <c r="J5" i="7"/>
  <c r="M5" i="7" s="1"/>
  <c r="J23" i="7"/>
  <c r="M23" i="7" s="1"/>
  <c r="AB43" i="2"/>
  <c r="AB59" i="2"/>
  <c r="AB74" i="2"/>
  <c r="J9" i="7"/>
  <c r="M9" i="7" s="1"/>
  <c r="AB30" i="2"/>
  <c r="AC35" i="2"/>
  <c r="AC103" i="2" s="1"/>
  <c r="AB38" i="2"/>
  <c r="AB46" i="2"/>
  <c r="AC51" i="2"/>
  <c r="AB54" i="2"/>
  <c r="AB62" i="2"/>
  <c r="AB65" i="2"/>
  <c r="AB68" i="2"/>
  <c r="P103" i="2"/>
  <c r="AC101" i="2"/>
  <c r="AB101" i="2"/>
  <c r="J20" i="7"/>
  <c r="M20" i="7" s="1"/>
  <c r="J15" i="7"/>
  <c r="M15" i="7" s="1"/>
  <c r="J11" i="7"/>
  <c r="M11" i="7" s="1"/>
  <c r="J7" i="7"/>
  <c r="M7" i="7" s="1"/>
  <c r="J3" i="7"/>
  <c r="J22" i="7"/>
  <c r="M22" i="7" s="1"/>
  <c r="J16" i="7"/>
  <c r="M16" i="7" s="1"/>
  <c r="J12" i="7"/>
  <c r="M12" i="7" s="1"/>
  <c r="J8" i="7"/>
  <c r="M8" i="7" s="1"/>
  <c r="J4" i="7"/>
  <c r="M4" i="7" s="1"/>
  <c r="J24" i="7"/>
  <c r="M24" i="7" s="1"/>
  <c r="J18" i="7"/>
  <c r="M18" i="7" s="1"/>
  <c r="J14" i="7"/>
  <c r="M14" i="7" s="1"/>
  <c r="J10" i="7"/>
  <c r="M10" i="7" s="1"/>
  <c r="J6" i="7"/>
  <c r="M6" i="7" s="1"/>
  <c r="AB36" i="2"/>
  <c r="AB52" i="2"/>
  <c r="AB60" i="2"/>
  <c r="AC84" i="2"/>
  <c r="AC93" i="2"/>
  <c r="AB93" i="2"/>
  <c r="B20" i="8"/>
  <c r="E20" i="8" s="1"/>
  <c r="B11" i="8"/>
  <c r="E11" i="8" s="1"/>
  <c r="B3" i="8"/>
  <c r="B16" i="8"/>
  <c r="E16" i="8" s="1"/>
  <c r="B8" i="8"/>
  <c r="E8" i="8" s="1"/>
  <c r="B23" i="8"/>
  <c r="E23" i="8" s="1"/>
  <c r="B13" i="8"/>
  <c r="E13" i="8" s="1"/>
  <c r="B5" i="8"/>
  <c r="E5" i="8" s="1"/>
  <c r="B18" i="8"/>
  <c r="E18" i="8" s="1"/>
  <c r="B10" i="8"/>
  <c r="E10" i="8" s="1"/>
  <c r="B22" i="8"/>
  <c r="E22" i="8" s="1"/>
  <c r="B12" i="8"/>
  <c r="E12" i="8" s="1"/>
  <c r="B4" i="8"/>
  <c r="E4" i="8" s="1"/>
  <c r="B17" i="8"/>
  <c r="E17" i="8" s="1"/>
  <c r="B9" i="8"/>
  <c r="E9" i="8" s="1"/>
  <c r="B14" i="8"/>
  <c r="E14" i="8" s="1"/>
  <c r="B6" i="8"/>
  <c r="E6" i="8" s="1"/>
  <c r="J5" i="10"/>
  <c r="M5" i="10" s="1"/>
  <c r="AC109" i="2"/>
  <c r="AB44" i="2"/>
  <c r="AB28" i="2"/>
  <c r="AB103" i="2" s="1"/>
  <c r="AC72" i="2"/>
  <c r="AB72" i="2"/>
  <c r="AC76" i="2"/>
  <c r="AC85" i="2"/>
  <c r="AB85" i="2"/>
  <c r="AB106" i="2"/>
  <c r="AC106" i="2" s="1"/>
  <c r="J17" i="7"/>
  <c r="M17" i="7" s="1"/>
  <c r="G2" i="3"/>
  <c r="G2" i="4"/>
  <c r="G2" i="5"/>
  <c r="B10" i="11"/>
  <c r="E10" i="11" s="1"/>
  <c r="B18" i="11"/>
  <c r="E18" i="11" s="1"/>
  <c r="B2" i="12"/>
  <c r="B5" i="12"/>
  <c r="B9" i="12"/>
  <c r="B13" i="12"/>
  <c r="B17" i="12"/>
  <c r="B6" i="13"/>
  <c r="B14" i="13"/>
  <c r="O2" i="5"/>
  <c r="B5" i="11"/>
  <c r="E5" i="11" s="1"/>
  <c r="B13" i="11"/>
  <c r="E13" i="11" s="1"/>
  <c r="B23" i="11"/>
  <c r="E23" i="11" s="1"/>
  <c r="C2" i="12"/>
  <c r="C5" i="12"/>
  <c r="C9" i="12"/>
  <c r="C13" i="12"/>
  <c r="C17" i="12"/>
  <c r="B7" i="13"/>
  <c r="B15" i="13"/>
  <c r="G2" i="7"/>
  <c r="G2" i="10"/>
  <c r="B8" i="11"/>
  <c r="E8" i="11" s="1"/>
  <c r="B16" i="11"/>
  <c r="E16" i="11" s="1"/>
  <c r="B6" i="12"/>
  <c r="B10" i="12"/>
  <c r="B14" i="12"/>
  <c r="B18" i="12"/>
  <c r="B2" i="13"/>
  <c r="B8" i="13"/>
  <c r="B16" i="13"/>
  <c r="C6" i="12"/>
  <c r="C10" i="12"/>
  <c r="C14" i="12"/>
  <c r="C18" i="12"/>
  <c r="B9" i="13"/>
  <c r="B17" i="13"/>
  <c r="G2" i="6"/>
  <c r="G2" i="9"/>
  <c r="B10" i="13"/>
  <c r="B18" i="13"/>
  <c r="AB80" i="2"/>
  <c r="AB88" i="2"/>
  <c r="AB96" i="2"/>
  <c r="E3" i="11"/>
  <c r="B9" i="11"/>
  <c r="E9" i="11" s="1"/>
  <c r="B17" i="11"/>
  <c r="E17" i="11" s="1"/>
  <c r="C3" i="12"/>
  <c r="C7" i="12"/>
  <c r="C11" i="12"/>
  <c r="C15" i="12"/>
  <c r="C19" i="12"/>
  <c r="B3" i="13"/>
  <c r="B11" i="13"/>
  <c r="B19" i="13"/>
  <c r="AB83" i="2"/>
  <c r="AB91" i="2"/>
  <c r="AB99" i="2"/>
  <c r="B4" i="11"/>
  <c r="E4" i="11" s="1"/>
  <c r="B12" i="11"/>
  <c r="E12" i="11" s="1"/>
  <c r="B22" i="11"/>
  <c r="E22" i="11" s="1"/>
  <c r="B4" i="12"/>
  <c r="B8" i="12"/>
  <c r="B12" i="12"/>
  <c r="B16" i="12"/>
  <c r="B4" i="13"/>
  <c r="B12" i="13"/>
  <c r="B20" i="13"/>
  <c r="B7" i="11"/>
  <c r="E7" i="11" s="1"/>
  <c r="C4" i="12"/>
  <c r="C8" i="12"/>
  <c r="C12" i="12"/>
  <c r="C16" i="12"/>
  <c r="B5" i="13"/>
  <c r="B21" i="12" l="1"/>
  <c r="B26" i="11"/>
  <c r="J26" i="10"/>
  <c r="M3" i="10"/>
  <c r="J24" i="5"/>
  <c r="M24" i="5" s="1"/>
  <c r="J18" i="5"/>
  <c r="M18" i="5" s="1"/>
  <c r="J14" i="5"/>
  <c r="M14" i="5" s="1"/>
  <c r="J10" i="5"/>
  <c r="M10" i="5" s="1"/>
  <c r="J6" i="5"/>
  <c r="M6" i="5" s="1"/>
  <c r="J20" i="5"/>
  <c r="M20" i="5" s="1"/>
  <c r="J15" i="5"/>
  <c r="M15" i="5" s="1"/>
  <c r="J11" i="5"/>
  <c r="M11" i="5" s="1"/>
  <c r="J7" i="5"/>
  <c r="M7" i="5" s="1"/>
  <c r="J3" i="5"/>
  <c r="J23" i="5"/>
  <c r="M23" i="5" s="1"/>
  <c r="J17" i="5"/>
  <c r="M17" i="5" s="1"/>
  <c r="J13" i="5"/>
  <c r="M13" i="5" s="1"/>
  <c r="J9" i="5"/>
  <c r="M9" i="5" s="1"/>
  <c r="J5" i="5"/>
  <c r="M5" i="5" s="1"/>
  <c r="J4" i="5"/>
  <c r="M4" i="5" s="1"/>
  <c r="J12" i="5"/>
  <c r="M12" i="5" s="1"/>
  <c r="J22" i="5"/>
  <c r="M22" i="5" s="1"/>
  <c r="J8" i="5"/>
  <c r="M8" i="5" s="1"/>
  <c r="J16" i="5"/>
  <c r="M16" i="5" s="1"/>
  <c r="E3" i="8"/>
  <c r="B23" i="5"/>
  <c r="E23" i="5" s="1"/>
  <c r="B17" i="5"/>
  <c r="E17" i="5" s="1"/>
  <c r="B13" i="5"/>
  <c r="E13" i="5" s="1"/>
  <c r="B9" i="5"/>
  <c r="E9" i="5" s="1"/>
  <c r="B5" i="5"/>
  <c r="E5" i="5" s="1"/>
  <c r="B24" i="5"/>
  <c r="E24" i="5" s="1"/>
  <c r="B18" i="5"/>
  <c r="E18" i="5" s="1"/>
  <c r="B14" i="5"/>
  <c r="E14" i="5" s="1"/>
  <c r="B10" i="5"/>
  <c r="E10" i="5" s="1"/>
  <c r="B6" i="5"/>
  <c r="E6" i="5" s="1"/>
  <c r="B20" i="5"/>
  <c r="E20" i="5" s="1"/>
  <c r="B15" i="5"/>
  <c r="E15" i="5" s="1"/>
  <c r="B11" i="5"/>
  <c r="E11" i="5" s="1"/>
  <c r="B7" i="5"/>
  <c r="E7" i="5" s="1"/>
  <c r="B3" i="5"/>
  <c r="B22" i="5"/>
  <c r="E22" i="5" s="1"/>
  <c r="B16" i="5"/>
  <c r="E16" i="5" s="1"/>
  <c r="B12" i="5"/>
  <c r="E12" i="5" s="1"/>
  <c r="B8" i="5"/>
  <c r="E8" i="5" s="1"/>
  <c r="B4" i="5"/>
  <c r="E4" i="5" s="1"/>
  <c r="B17" i="9"/>
  <c r="E17" i="9" s="1"/>
  <c r="B9" i="9"/>
  <c r="E9" i="9" s="1"/>
  <c r="B24" i="9"/>
  <c r="E24" i="9" s="1"/>
  <c r="B14" i="9"/>
  <c r="E14" i="9" s="1"/>
  <c r="B6" i="9"/>
  <c r="E6" i="9" s="1"/>
  <c r="B20" i="9"/>
  <c r="E20" i="9" s="1"/>
  <c r="B11" i="9"/>
  <c r="E11" i="9" s="1"/>
  <c r="B3" i="9"/>
  <c r="B16" i="9"/>
  <c r="E16" i="9" s="1"/>
  <c r="B8" i="9"/>
  <c r="E8" i="9" s="1"/>
  <c r="B18" i="9"/>
  <c r="E18" i="9" s="1"/>
  <c r="B10" i="9"/>
  <c r="E10" i="9" s="1"/>
  <c r="B15" i="9"/>
  <c r="E15" i="9" s="1"/>
  <c r="B7" i="9"/>
  <c r="E7" i="9" s="1"/>
  <c r="B22" i="9"/>
  <c r="E22" i="9" s="1"/>
  <c r="B12" i="9"/>
  <c r="E12" i="9" s="1"/>
  <c r="B4" i="9"/>
  <c r="E4" i="9" s="1"/>
  <c r="B23" i="9"/>
  <c r="E23" i="9" s="1"/>
  <c r="B13" i="9"/>
  <c r="E13" i="9" s="1"/>
  <c r="B5" i="9"/>
  <c r="E5" i="9" s="1"/>
  <c r="B13" i="4"/>
  <c r="E13" i="4" s="1"/>
  <c r="B5" i="4"/>
  <c r="E5" i="4" s="1"/>
  <c r="B24" i="4"/>
  <c r="B18" i="4"/>
  <c r="E18" i="4" s="1"/>
  <c r="B10" i="4"/>
  <c r="E10" i="4" s="1"/>
  <c r="B23" i="4"/>
  <c r="B15" i="4"/>
  <c r="E15" i="4" s="1"/>
  <c r="B7" i="4"/>
  <c r="E7" i="4" s="1"/>
  <c r="B22" i="4"/>
  <c r="B12" i="4"/>
  <c r="E12" i="4" s="1"/>
  <c r="B4" i="4"/>
  <c r="E4" i="4" s="1"/>
  <c r="B14" i="4"/>
  <c r="E14" i="4" s="1"/>
  <c r="B6" i="4"/>
  <c r="E6" i="4" s="1"/>
  <c r="B20" i="4"/>
  <c r="E20" i="4" s="1"/>
  <c r="B11" i="4"/>
  <c r="E11" i="4" s="1"/>
  <c r="B3" i="4"/>
  <c r="B16" i="4"/>
  <c r="E16" i="4" s="1"/>
  <c r="B8" i="4"/>
  <c r="E8" i="4" s="1"/>
  <c r="B17" i="4"/>
  <c r="E17" i="4" s="1"/>
  <c r="B9" i="4"/>
  <c r="E9" i="4" s="1"/>
  <c r="B24" i="8"/>
  <c r="E24" i="8" s="1"/>
  <c r="J26" i="7"/>
  <c r="M3" i="7"/>
  <c r="B24" i="10"/>
  <c r="B18" i="10"/>
  <c r="E18" i="10" s="1"/>
  <c r="B14" i="10"/>
  <c r="E14" i="10" s="1"/>
  <c r="B10" i="10"/>
  <c r="E10" i="10" s="1"/>
  <c r="B6" i="10"/>
  <c r="E6" i="10" s="1"/>
  <c r="B23" i="10"/>
  <c r="B20" i="10"/>
  <c r="E20" i="10" s="1"/>
  <c r="B15" i="10"/>
  <c r="E15" i="10" s="1"/>
  <c r="B11" i="10"/>
  <c r="E11" i="10" s="1"/>
  <c r="B7" i="10"/>
  <c r="E7" i="10" s="1"/>
  <c r="B3" i="10"/>
  <c r="B22" i="10"/>
  <c r="B16" i="10"/>
  <c r="E16" i="10" s="1"/>
  <c r="B12" i="10"/>
  <c r="E12" i="10" s="1"/>
  <c r="B8" i="10"/>
  <c r="E8" i="10" s="1"/>
  <c r="B4" i="10"/>
  <c r="E4" i="10" s="1"/>
  <c r="B17" i="10"/>
  <c r="E17" i="10" s="1"/>
  <c r="B13" i="10"/>
  <c r="E13" i="10" s="1"/>
  <c r="B9" i="10"/>
  <c r="E9" i="10" s="1"/>
  <c r="B5" i="10"/>
  <c r="E5" i="10" s="1"/>
  <c r="C21" i="12"/>
  <c r="B13" i="3"/>
  <c r="E13" i="3" s="1"/>
  <c r="B5" i="3"/>
  <c r="E5" i="3" s="1"/>
  <c r="B24" i="3"/>
  <c r="B18" i="3"/>
  <c r="E18" i="3" s="1"/>
  <c r="B10" i="3"/>
  <c r="E10" i="3" s="1"/>
  <c r="B23" i="3"/>
  <c r="B15" i="3"/>
  <c r="E15" i="3" s="1"/>
  <c r="B7" i="3"/>
  <c r="E7" i="3" s="1"/>
  <c r="B22" i="3"/>
  <c r="B12" i="3"/>
  <c r="E12" i="3" s="1"/>
  <c r="B4" i="3"/>
  <c r="E4" i="3" s="1"/>
  <c r="B14" i="3"/>
  <c r="E14" i="3" s="1"/>
  <c r="B6" i="3"/>
  <c r="E6" i="3" s="1"/>
  <c r="B20" i="3"/>
  <c r="E20" i="3" s="1"/>
  <c r="B11" i="3"/>
  <c r="E11" i="3" s="1"/>
  <c r="B3" i="3"/>
  <c r="B16" i="3"/>
  <c r="E16" i="3" s="1"/>
  <c r="B8" i="3"/>
  <c r="E8" i="3" s="1"/>
  <c r="B9" i="3"/>
  <c r="E9" i="3" s="1"/>
  <c r="B17" i="3"/>
  <c r="E17" i="3" s="1"/>
  <c r="B17" i="6"/>
  <c r="E17" i="6" s="1"/>
  <c r="B9" i="6"/>
  <c r="E9" i="6" s="1"/>
  <c r="B24" i="6"/>
  <c r="E24" i="6" s="1"/>
  <c r="B14" i="6"/>
  <c r="E14" i="6" s="1"/>
  <c r="B6" i="6"/>
  <c r="E6" i="6" s="1"/>
  <c r="B20" i="6"/>
  <c r="E20" i="6" s="1"/>
  <c r="B11" i="6"/>
  <c r="E11" i="6" s="1"/>
  <c r="B3" i="6"/>
  <c r="B16" i="6"/>
  <c r="E16" i="6" s="1"/>
  <c r="B8" i="6"/>
  <c r="E8" i="6" s="1"/>
  <c r="B18" i="6"/>
  <c r="E18" i="6" s="1"/>
  <c r="B10" i="6"/>
  <c r="E10" i="6" s="1"/>
  <c r="B15" i="6"/>
  <c r="E15" i="6" s="1"/>
  <c r="B7" i="6"/>
  <c r="E7" i="6" s="1"/>
  <c r="B22" i="6"/>
  <c r="E22" i="6" s="1"/>
  <c r="B12" i="6"/>
  <c r="E12" i="6" s="1"/>
  <c r="B4" i="6"/>
  <c r="E4" i="6" s="1"/>
  <c r="B13" i="6"/>
  <c r="E13" i="6" s="1"/>
  <c r="B5" i="6"/>
  <c r="E5" i="6" s="1"/>
  <c r="B23" i="6"/>
  <c r="E23" i="6" s="1"/>
  <c r="B21" i="13"/>
  <c r="B24" i="7"/>
  <c r="E24" i="7" s="1"/>
  <c r="B18" i="7"/>
  <c r="E18" i="7" s="1"/>
  <c r="B14" i="7"/>
  <c r="E14" i="7" s="1"/>
  <c r="B10" i="7"/>
  <c r="E10" i="7" s="1"/>
  <c r="B6" i="7"/>
  <c r="E6" i="7" s="1"/>
  <c r="B20" i="7"/>
  <c r="E20" i="7" s="1"/>
  <c r="B15" i="7"/>
  <c r="E15" i="7" s="1"/>
  <c r="B11" i="7"/>
  <c r="E11" i="7" s="1"/>
  <c r="B7" i="7"/>
  <c r="E7" i="7" s="1"/>
  <c r="B3" i="7"/>
  <c r="B22" i="7"/>
  <c r="E22" i="7" s="1"/>
  <c r="B16" i="7"/>
  <c r="E16" i="7" s="1"/>
  <c r="B12" i="7"/>
  <c r="E12" i="7" s="1"/>
  <c r="B8" i="7"/>
  <c r="E8" i="7" s="1"/>
  <c r="B4" i="7"/>
  <c r="E4" i="7" s="1"/>
  <c r="B23" i="7"/>
  <c r="E23" i="7" s="1"/>
  <c r="B17" i="7"/>
  <c r="E17" i="7" s="1"/>
  <c r="B13" i="7"/>
  <c r="E13" i="7" s="1"/>
  <c r="B9" i="7"/>
  <c r="E9" i="7" s="1"/>
  <c r="B5" i="7"/>
  <c r="E5" i="7" s="1"/>
  <c r="AB109" i="2"/>
  <c r="B26" i="3" l="1"/>
  <c r="E3" i="3"/>
  <c r="E3" i="9"/>
  <c r="B26" i="9"/>
  <c r="M3" i="5"/>
  <c r="J26" i="5"/>
  <c r="E3" i="10"/>
  <c r="B26" i="10"/>
  <c r="E3" i="6"/>
  <c r="B26" i="6"/>
  <c r="B26" i="4"/>
  <c r="E3" i="4"/>
  <c r="B26" i="8"/>
  <c r="E3" i="7"/>
  <c r="B26" i="7"/>
  <c r="E3" i="5"/>
  <c r="B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100-000001000000}">
      <text>
        <r>
          <rPr>
            <sz val="10"/>
            <color rgb="FF000000"/>
            <rFont val="Arial"/>
          </rPr>
          <t>additional benefit of MULI after C.MUL has already been inferred, as there is much overlap between the two
	-Tariq Kurd</t>
        </r>
      </text>
    </comment>
    <comment ref="W1" authorId="0" shapeId="0" xr:uid="{00000000-0006-0000-0100-00000B000000}">
      <text>
        <r>
          <rPr>
            <sz val="10"/>
            <color rgb="FF000000"/>
            <rFont val="Arial"/>
          </rPr>
          <t>C.TBLJAL with 256 entry table, not inclujding TBLJAL
	-Tariq Kurd</t>
        </r>
      </text>
    </comment>
    <comment ref="Z1" authorId="0" shapeId="0" xr:uid="{00000000-0006-0000-0100-000005000000}">
      <text>
        <r>
          <rPr>
            <sz val="10"/>
            <color rgb="FF000000"/>
            <rFont val="Arial"/>
          </rPr>
          <t>C.TBLJAL with 512 entry table
	-Tariq Kurd
----
PUSH/POP/POPRET on an ELF compiled without -msave-restore, includes 16 and 32-bit encodings
	-Tariq Kurd</t>
        </r>
      </text>
    </comment>
    <comment ref="AA1" authorId="0" shapeId="0" xr:uid="{00000000-0006-0000-0100-00000C000000}">
      <text>
        <r>
          <rPr>
            <sz val="10"/>
            <color rgb="FF000000"/>
            <rFont val="Arial"/>
          </rPr>
          <t>Benefit of PUSHPOP compared to compiling with -msave-restore
	-Tariq Kurd</t>
        </r>
      </text>
    </comment>
    <comment ref="AB1" authorId="0" shapeId="0" xr:uid="{00000000-0006-0000-0100-000006000000}">
      <text>
        <r>
          <rPr>
            <sz val="10"/>
            <color rgb="FF000000"/>
            <rFont val="Arial"/>
          </rPr>
          <t>MULI will reduce the benefit of MULIADD, so these numbers are optimistic
	-Tariq Kurd
----
Total saving compared to compiling without -msave-restore
	-Tariq Kurd</t>
        </r>
      </text>
    </comment>
    <comment ref="AC1" authorId="0" shapeId="0" xr:uid="{00000000-0006-0000-0100-000007000000}">
      <text>
        <r>
          <rPr>
            <sz val="10"/>
            <color rgb="FF000000"/>
            <rFont val="Arial"/>
          </rPr>
          <t>Total saving compared to compiling with -msave-restore
	-Tariq Kurd</t>
        </r>
      </text>
    </comment>
    <comment ref="AD1" authorId="0" shapeId="0" xr:uid="{00000000-0006-0000-0100-00000A000000}">
      <text>
        <r>
          <rPr>
            <sz val="10"/>
            <color rgb="FF000000"/>
            <rFont val="Arial"/>
          </rPr>
          <t>Total saving compared to compiling with -msave-restore, we need to compile with and without -msave-restore to get this result which isn't always possible
	-Tariq Kurd
----
Benefit of these two instruction groups only
	-Tariq Kurd</t>
        </r>
      </text>
    </comment>
    <comment ref="A29" authorId="0" shapeId="0" xr:uid="{00000000-0006-0000-0100-000004000000}">
      <text>
        <r>
          <rPr>
            <sz val="10"/>
            <color rgb="FF000000"/>
            <rFont val="Arial"/>
          </rPr>
          <t>RV32IMC no F included
	-Tariq Kurd</t>
        </r>
      </text>
    </comment>
    <comment ref="A53" authorId="0" shapeId="0" xr:uid="{00000000-0006-0000-0100-000003000000}">
      <text>
        <r>
          <rPr>
            <sz val="10"/>
            <color rgb="FF000000"/>
            <rFont val="Arial"/>
          </rPr>
          <t>RV32IMV no F included
	-Tariq Kurd</t>
        </r>
      </text>
    </comment>
    <comment ref="B57" authorId="0" shapeId="0" xr:uid="{00000000-0006-0000-0100-000009000000}">
      <text>
        <r>
          <rPr>
            <sz val="10"/>
            <color rgb="FF000000"/>
            <rFont val="Arial"/>
          </rPr>
          <t>90% precompiled libs compiled with -msave-restore, can only estimate it on code copiled without -msave-restore
	-Tariq Kurd</t>
        </r>
      </text>
    </comment>
    <comment ref="A97" authorId="0" shapeId="0" xr:uid="{00000000-0006-0000-0100-000002000000}">
      <text>
        <r>
          <rPr>
            <sz val="10"/>
            <color rgb="FF000000"/>
            <rFont val="Arial"/>
          </rPr>
          <t>RV32IMC no F included
	-Tariq Kurd</t>
        </r>
      </text>
    </comment>
    <comment ref="AB104" authorId="0" shapeId="0" xr:uid="{00000000-0006-0000-0100-000008000000}">
      <text>
        <r>
          <rPr>
            <sz val="10"/>
            <color rgb="FF000000"/>
            <rFont val="Arial"/>
          </rPr>
          <t>MULI reduces the benefit of MULIADD
	-Tariq Kurd</t>
        </r>
      </text>
    </comment>
  </commentList>
</comments>
</file>

<file path=xl/sharedStrings.xml><?xml version="1.0" encoding="utf-8"?>
<sst xmlns="http://schemas.openxmlformats.org/spreadsheetml/2006/main" count="1038" uniqueCount="242">
  <si>
    <t>Subset</t>
  </si>
  <si>
    <t>Zce Instruction</t>
  </si>
  <si>
    <t>Modelled?</t>
  </si>
  <si>
    <t>Results available?</t>
  </si>
  <si>
    <t>Will ratify?</t>
  </si>
  <si>
    <t>Notes</t>
  </si>
  <si>
    <t>Cost</t>
  </si>
  <si>
    <t>Zceb</t>
  </si>
  <si>
    <t>TBLJAL</t>
  </si>
  <si>
    <t>y</t>
  </si>
  <si>
    <t>n</t>
  </si>
  <si>
    <t>no benefit</t>
  </si>
  <si>
    <t>m</t>
  </si>
  <si>
    <t>C.TBLJAL</t>
  </si>
  <si>
    <t>Zcea</t>
  </si>
  <si>
    <t>C.SEXT.H</t>
  </si>
  <si>
    <t>s</t>
  </si>
  <si>
    <t>C.SEXT.B</t>
  </si>
  <si>
    <t>unsure</t>
  </si>
  <si>
    <t>good for regularity, but no benefit found yet</t>
  </si>
  <si>
    <t>C.ZEXT.W</t>
  </si>
  <si>
    <t>C.ZEXT.H</t>
  </si>
  <si>
    <t>C.ZEXT.B</t>
  </si>
  <si>
    <t>C.LSBNOT</t>
  </si>
  <si>
    <t>consider replacing with C.LSBSET (set LSB, single 3-bit src/dst)</t>
  </si>
  <si>
    <t>C.MUL</t>
  </si>
  <si>
    <t>fairly cheap and sometimes very useful</t>
  </si>
  <si>
    <t>C.NOT</t>
  </si>
  <si>
    <t>probably</t>
  </si>
  <si>
    <t>cheap and probably useful</t>
  </si>
  <si>
    <t>C.NEG</t>
  </si>
  <si>
    <t>C.LBUSP</t>
  </si>
  <si>
    <t>benefit too low</t>
  </si>
  <si>
    <t>C.LHUSP</t>
  </si>
  <si>
    <t>C.SBSP</t>
  </si>
  <si>
    <t>C.SHSP</t>
  </si>
  <si>
    <t>MULI</t>
  </si>
  <si>
    <t>needs a better encoding (currently custom) and benefit over C.MUL seems low</t>
  </si>
  <si>
    <t>MULIADD</t>
  </si>
  <si>
    <t>ADDIADD</t>
  </si>
  <si>
    <t>MULIW</t>
  </si>
  <si>
    <t>results are terrible</t>
  </si>
  <si>
    <t>MULIADDW</t>
  </si>
  <si>
    <t>ADDIADDW</t>
  </si>
  <si>
    <t>BEQI</t>
  </si>
  <si>
    <t>use gap in existing branch encodings, modelled 5 bit immediate</t>
  </si>
  <si>
    <t>BNEI</t>
  </si>
  <si>
    <t>BGEUI</t>
  </si>
  <si>
    <t>BLTUI</t>
  </si>
  <si>
    <t>DECBGEZ</t>
  </si>
  <si>
    <t>probably not</t>
  </si>
  <si>
    <t>needs more analysis, wait for LLVM implementation</t>
  </si>
  <si>
    <t>C.DECGBEZ</t>
  </si>
  <si>
    <t>C.PUSH</t>
  </si>
  <si>
    <t>l</t>
  </si>
  <si>
    <t>PUSH</t>
  </si>
  <si>
    <t>only gives performance benefit</t>
  </si>
  <si>
    <t>PUSH.F/D/Q</t>
  </si>
  <si>
    <t>POSTPONE</t>
  </si>
  <si>
    <t>C.POP</t>
  </si>
  <si>
    <t>POP</t>
  </si>
  <si>
    <t>POP.F/D/Q</t>
  </si>
  <si>
    <t>C.POPRET</t>
  </si>
  <si>
    <t>POPRET</t>
  </si>
  <si>
    <t>POPRET.F/D/Q</t>
  </si>
  <si>
    <t>C.MVA01S07</t>
  </si>
  <si>
    <t>C.MVA23S07</t>
  </si>
  <si>
    <t>C.MVP</t>
  </si>
  <si>
    <t>too much encoding space</t>
  </si>
  <si>
    <t>C.LBU</t>
  </si>
  <si>
    <t>C.LHU</t>
  </si>
  <si>
    <t>C.LB</t>
  </si>
  <si>
    <t>C.LH</t>
  </si>
  <si>
    <t>C.SH</t>
  </si>
  <si>
    <t>C.SB</t>
  </si>
  <si>
    <t>LWGP</t>
  </si>
  <si>
    <t>SWGP</t>
  </si>
  <si>
    <t>LWTP</t>
  </si>
  <si>
    <t>SWTP</t>
  </si>
  <si>
    <t>certainty scale 5</t>
  </si>
  <si>
    <t>Group</t>
  </si>
  <si>
    <t>Filename</t>
  </si>
  <si>
    <t>Size</t>
  </si>
  <si>
    <t>MULI after C.MUL</t>
  </si>
  <si>
    <t>C.TBLJ</t>
  </si>
  <si>
    <t>C.TBLJALM</t>
  </si>
  <si>
    <t>PUSHPOP</t>
  </si>
  <si>
    <t>PUSHPOP wrt MSR</t>
  </si>
  <si>
    <t>Total</t>
  </si>
  <si>
    <t>Total wrt MSR</t>
  </si>
  <si>
    <t>C.MUL and MULI</t>
  </si>
  <si>
    <t>RV64 GCC Debian, 30 largest ELF files</t>
  </si>
  <si>
    <t>GCC_debian_bash</t>
  </si>
  <si>
    <t>GCC_debian_ip</t>
  </si>
  <si>
    <t>GCC_debian_libapt-pkg</t>
  </si>
  <si>
    <t>GCC_debian_libc-2</t>
  </si>
  <si>
    <t>GCC_debian_libcrypto</t>
  </si>
  <si>
    <t>GCC_debian_libdb-5</t>
  </si>
  <si>
    <t>GCC_debian_libdns-export</t>
  </si>
  <si>
    <t>GCC_debian_libgcrypt</t>
  </si>
  <si>
    <t>GCC_debian_libgnutls</t>
  </si>
  <si>
    <t>GCC_debian_libm-2</t>
  </si>
  <si>
    <t>GCC_debian_libp11-kit</t>
  </si>
  <si>
    <t>GCC_debian_libsepol</t>
  </si>
  <si>
    <t>GCC_debian_libslang</t>
  </si>
  <si>
    <t>GCC_debian_libstdc++</t>
  </si>
  <si>
    <t>GCC_debian_libsystemd</t>
  </si>
  <si>
    <t>GCC_debian_libsystemd-shared-238</t>
  </si>
  <si>
    <t>GCC_debian_libunistring</t>
  </si>
  <si>
    <t>GCC_debian_libzstd</t>
  </si>
  <si>
    <t>GCC_debian_openssl</t>
  </si>
  <si>
    <t>GCC_debian_perl</t>
  </si>
  <si>
    <t>GCC_debian_perl5</t>
  </si>
  <si>
    <t>GCC_debian_re</t>
  </si>
  <si>
    <t>GCC_debian_systemd</t>
  </si>
  <si>
    <t>GCC_debian_systemd-analyze</t>
  </si>
  <si>
    <t>GCC_debian_systemd-networkd</t>
  </si>
  <si>
    <t>GCC_debian_vim</t>
  </si>
  <si>
    <t>RV64</t>
  </si>
  <si>
    <t>GCC10_RV64_v8</t>
  </si>
  <si>
    <t>GCC10 
Audio</t>
  </si>
  <si>
    <t>GCC10_audiocodec_fixed_LC3plus</t>
  </si>
  <si>
    <t>N/A</t>
  </si>
  <si>
    <t>GCC10_audiocodec_fixed_opus_demo</t>
  </si>
  <si>
    <t>GCC10_audiocodec_float_LC3plus</t>
  </si>
  <si>
    <t>GCC10_audiocodec_float_opus_demo</t>
  </si>
  <si>
    <t>GCC10_coremark</t>
  </si>
  <si>
    <t>GCC10 Embench</t>
  </si>
  <si>
    <t>GCC10_embench_aha-mont64</t>
  </si>
  <si>
    <t>GCC10_embench_crc32</t>
  </si>
  <si>
    <t>GCC10_embench_cubic</t>
  </si>
  <si>
    <t>GCC10_embench_edn</t>
  </si>
  <si>
    <t>GCC10_embench_huffbench</t>
  </si>
  <si>
    <t>GCC10_embench_matmult-int</t>
  </si>
  <si>
    <t>GCC10_embench_minver</t>
  </si>
  <si>
    <t>GCC10_embench_nbody</t>
  </si>
  <si>
    <t>GCC10_embench_nettle-aes</t>
  </si>
  <si>
    <t>GCC10_embench_nettle-sha256</t>
  </si>
  <si>
    <t>GCC10_embench_nsichneu</t>
  </si>
  <si>
    <t>GCC10_embench_picojpeg</t>
  </si>
  <si>
    <t>GCC10_embench_qrduino</t>
  </si>
  <si>
    <t>GCC10_embench_sglib-combined</t>
  </si>
  <si>
    <t>GCC10_embench_slre</t>
  </si>
  <si>
    <t>GCC10_embench_st</t>
  </si>
  <si>
    <t>GCC10_embench_statemate</t>
  </si>
  <si>
    <t>GCC10_embench_ud</t>
  </si>
  <si>
    <t>GCC10_embench_wikisort</t>
  </si>
  <si>
    <t>GCC10
FPMark</t>
  </si>
  <si>
    <t>GCC10_fpmark_atan-1M</t>
  </si>
  <si>
    <t>GCC10_fpmark_inner-product-mid-10k</t>
  </si>
  <si>
    <t>GCC10_fpmark_radix2-sml-2k</t>
  </si>
  <si>
    <t>GCC10_fpmark_xp1px-sml-c100n20</t>
  </si>
  <si>
    <t>GCC10 IoT</t>
  </si>
  <si>
    <t>GCC10_iot_huawei_application</t>
  </si>
  <si>
    <t>GCC10_iot_huawei_protocol</t>
  </si>
  <si>
    <t>GCC10_iot_zephyr_central</t>
  </si>
  <si>
    <t>GCC10_iot_zephyr_peripheral</t>
  </si>
  <si>
    <t>GCC10_testsoftfloat</t>
  </si>
  <si>
    <t>GCC10 SPEC CPU 2017</t>
  </si>
  <si>
    <t>GCC10_deepsjeng_r_base</t>
  </si>
  <si>
    <t>GCC10_imagevalidate_511_base</t>
  </si>
  <si>
    <t>GCC10_lbm_r_base</t>
  </si>
  <si>
    <t>GCC10_leela_r_base</t>
  </si>
  <si>
    <t>GCC10_mcf_r_base</t>
  </si>
  <si>
    <t>GCC10_nab_r_base</t>
  </si>
  <si>
    <t>GCC10_namd_r_base</t>
  </si>
  <si>
    <t>GCC10_povray_r_base</t>
  </si>
  <si>
    <t>GCC10_specrand_fr_base</t>
  </si>
  <si>
    <t>GCC10_specrand_ir_base</t>
  </si>
  <si>
    <t>GCC10_xz_r_base</t>
  </si>
  <si>
    <t>LLVM13
Audio</t>
  </si>
  <si>
    <t>LLVM13_audiocodec_fixed_LC3plus</t>
  </si>
  <si>
    <t>LLVM11_audiocodec_fixed_opus_demo</t>
  </si>
  <si>
    <t>LLVM11_audiocodec_float_LC3plus</t>
  </si>
  <si>
    <t>LLVM11_audiocodec_float_opus_demo</t>
  </si>
  <si>
    <t>LLVM11_coremark</t>
  </si>
  <si>
    <t>LLVM13 Embench</t>
  </si>
  <si>
    <t>LLVM13_embench_aha-mont64</t>
  </si>
  <si>
    <t>LLVM13_embench_crc32</t>
  </si>
  <si>
    <t>LLVM13_embench_cubic</t>
  </si>
  <si>
    <t>LLVM13_embench_edn</t>
  </si>
  <si>
    <t>LLVM13_embench_huffbench</t>
  </si>
  <si>
    <t>LLVM13_embench_matmult-int</t>
  </si>
  <si>
    <t>LLVM13_embench_minver</t>
  </si>
  <si>
    <t>LLVM13_embench_nbody</t>
  </si>
  <si>
    <t>LLVM13_embench_nettle-aes</t>
  </si>
  <si>
    <t>LLVM13_embench_nettle-sha256</t>
  </si>
  <si>
    <t>LLVM13_embench_nsichneu</t>
  </si>
  <si>
    <t>LLVM13_embench_picojpeg</t>
  </si>
  <si>
    <t>LLVM13_embench_qrduino</t>
  </si>
  <si>
    <t>LLVM13_embench_sglib-combined</t>
  </si>
  <si>
    <t>LLVM13_embench_slre</t>
  </si>
  <si>
    <t>LLVM13_embench_st</t>
  </si>
  <si>
    <t>LLVM13_embench_statemate</t>
  </si>
  <si>
    <t>LLVM13_embench_ud</t>
  </si>
  <si>
    <t>LLVM13_embench_wikisort</t>
  </si>
  <si>
    <t>LLVM13
FPMark</t>
  </si>
  <si>
    <t>LLVM13_fpmark-atan-1M</t>
  </si>
  <si>
    <t>LLVM13_fpmark-inner-product-mid-10k</t>
  </si>
  <si>
    <t>LLVM13_fpmark-radix2-sml-2k</t>
  </si>
  <si>
    <t>LLVM13_fpmark-xp1px-sml-c100n20</t>
  </si>
  <si>
    <t>LLVM13_testsoftfloat</t>
  </si>
  <si>
    <t>Max</t>
  </si>
  <si>
    <t>Likely to 
implement?</t>
  </si>
  <si>
    <t>?</t>
  </si>
  <si>
    <t>RV32 GCC10 IoT weighted average</t>
  </si>
  <si>
    <t>RV64 GCC Debian weighted average</t>
  </si>
  <si>
    <t>RV32 (GCC10/LLVM11) coremark average</t>
  </si>
  <si>
    <t>RV32 (GCC10/LLVM11) softfloat average</t>
  </si>
  <si>
    <t>RV32 GCC10 Embench weighted average</t>
  </si>
  <si>
    <t>RV32 LLVM11 Embench weighted average</t>
  </si>
  <si>
    <t>RV32 GCC10 FPMark weighted average</t>
  </si>
  <si>
    <t>RV32 LLVM11 FPMark weighted average</t>
  </si>
  <si>
    <t>RV32 GCC10 audio weighted average</t>
  </si>
  <si>
    <t>RV32 LLVM11 audio weighted average</t>
  </si>
  <si>
    <t>Overall weighted average</t>
  </si>
  <si>
    <t>ALL</t>
  </si>
  <si>
    <t>weighted average</t>
  </si>
  <si>
    <t>encoding bits</t>
  </si>
  <si>
    <t>code points</t>
  </si>
  <si>
    <t>scaled value 
per code point</t>
  </si>
  <si>
    <t>ref cell</t>
  </si>
  <si>
    <t>16-bit encodings</t>
  </si>
  <si>
    <t>RV64 only</t>
  </si>
  <si>
    <t>C.TBLJ*</t>
  </si>
  <si>
    <t xml:space="preserve">benefit includes 32-bit encodings, but codepoints are just for 16-bit encodings </t>
  </si>
  <si>
    <t>more complex</t>
  </si>
  <si>
    <t>UABI encodings only</t>
  </si>
  <si>
    <t>32-bit encodings only</t>
  </si>
  <si>
    <t>Total saving</t>
  </si>
  <si>
    <t>IoT</t>
  </si>
  <si>
    <t>GCC Embench</t>
  </si>
  <si>
    <t>LLVM Embench</t>
  </si>
  <si>
    <t>RV64 Debian</t>
  </si>
  <si>
    <t>GCC FPMark</t>
  </si>
  <si>
    <t>LLVM FPMark</t>
  </si>
  <si>
    <t>GCC+LLVM 
Coremark</t>
  </si>
  <si>
    <t>GCC+LLVM 
Softfloat</t>
  </si>
  <si>
    <t>GCC Audio</t>
  </si>
  <si>
    <t>LLVM Audio</t>
  </si>
  <si>
    <t>Google V8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</si>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</sst>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</font>
    <font>
      <b/>
      <sz val="10"/>
      <color theme="1"/>
      <name val="Arial"/>
    </font>
    <font>
      <b/>
      <sz val="10"/>
      <name val="Arial"/>
    </font>
    <font>
      <sz val="11"/>
      <color rgb="FF1155CC"/>
      <name val="Inconsolata"/>
    </font>
    <font>
      <sz val="10"/>
      <color rgb="FF000000"/>
      <name val="Roboto"/>
    </font>
    <font>
      <sz val="11"/>
      <color rgb="FF000000"/>
      <name val="Inconsolata"/>
    </font>
    <font>
      <b/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46BDC6"/>
        <bgColor rgb="FF46BDC6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3" xfId="0" applyFont="1" applyBorder="1" applyAlignment="1"/>
    <xf numFmtId="0" fontId="2" fillId="0" borderId="4" xfId="0" applyFont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8" xfId="0" applyFont="1" applyBorder="1"/>
    <xf numFmtId="0" fontId="1" fillId="5" borderId="0" xfId="0" applyFont="1" applyFill="1" applyAlignment="1">
      <alignment horizontal="center"/>
    </xf>
    <xf numFmtId="0" fontId="1" fillId="0" borderId="8" xfId="0" applyFont="1" applyBorder="1" applyAlignment="1"/>
    <xf numFmtId="0" fontId="1" fillId="0" borderId="6" xfId="0" applyFont="1" applyBorder="1"/>
    <xf numFmtId="0" fontId="3" fillId="0" borderId="0" xfId="0" applyFont="1" applyAlignment="1"/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7" borderId="0" xfId="0" applyFont="1" applyFill="1" applyAlignment="1"/>
    <xf numFmtId="0" fontId="1" fillId="0" borderId="3" xfId="0" applyFont="1" applyBorder="1"/>
    <xf numFmtId="0" fontId="2" fillId="0" borderId="9" xfId="0" applyFont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0" borderId="11" xfId="0" applyFont="1" applyBorder="1"/>
    <xf numFmtId="0" fontId="5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1" xfId="0" applyFont="1" applyBorder="1" applyAlignment="1"/>
    <xf numFmtId="0" fontId="6" fillId="0" borderId="2" xfId="0" applyFont="1" applyBorder="1" applyAlignment="1">
      <alignment horizontal="center"/>
    </xf>
    <xf numFmtId="10" fontId="1" fillId="8" borderId="2" xfId="0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/>
    </xf>
    <xf numFmtId="10" fontId="1" fillId="10" borderId="2" xfId="0" applyNumberFormat="1" applyFont="1" applyFill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11" borderId="2" xfId="0" applyNumberFormat="1" applyFont="1" applyFill="1" applyBorder="1" applyAlignment="1">
      <alignment horizontal="center"/>
    </xf>
    <xf numFmtId="10" fontId="7" fillId="12" borderId="2" xfId="0" applyNumberFormat="1" applyFont="1" applyFill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7" fillId="13" borderId="2" xfId="0" applyNumberFormat="1" applyFont="1" applyFill="1" applyBorder="1" applyAlignment="1">
      <alignment horizontal="center"/>
    </xf>
    <xf numFmtId="10" fontId="6" fillId="9" borderId="3" xfId="0" applyNumberFormat="1" applyFont="1" applyFill="1" applyBorder="1" applyAlignment="1">
      <alignment horizontal="center"/>
    </xf>
    <xf numFmtId="0" fontId="6" fillId="0" borderId="7" xfId="0" applyFont="1" applyBorder="1" applyAlignment="1"/>
    <xf numFmtId="0" fontId="6" fillId="0" borderId="0" xfId="0" applyFont="1" applyAlignment="1">
      <alignment horizontal="center"/>
    </xf>
    <xf numFmtId="10" fontId="1" fillId="10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0" fontId="7" fillId="12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7" fillId="13" borderId="0" xfId="0" applyNumberFormat="1" applyFont="1" applyFill="1" applyAlignment="1">
      <alignment horizontal="center"/>
    </xf>
    <xf numFmtId="10" fontId="6" fillId="9" borderId="8" xfId="0" applyNumberFormat="1" applyFont="1" applyFill="1" applyBorder="1" applyAlignment="1">
      <alignment horizontal="center"/>
    </xf>
    <xf numFmtId="10" fontId="1" fillId="8" borderId="0" xfId="0" applyNumberFormat="1" applyFont="1" applyFill="1" applyAlignment="1">
      <alignment horizontal="center"/>
    </xf>
    <xf numFmtId="10" fontId="6" fillId="10" borderId="8" xfId="0" applyNumberFormat="1" applyFont="1" applyFill="1" applyBorder="1" applyAlignment="1">
      <alignment horizontal="center"/>
    </xf>
    <xf numFmtId="10" fontId="1" fillId="11" borderId="0" xfId="0" applyNumberFormat="1" applyFont="1" applyFill="1" applyAlignment="1">
      <alignment horizontal="center"/>
    </xf>
    <xf numFmtId="10" fontId="7" fillId="14" borderId="0" xfId="0" applyNumberFormat="1" applyFont="1" applyFill="1" applyAlignment="1">
      <alignment horizontal="center"/>
    </xf>
    <xf numFmtId="0" fontId="6" fillId="0" borderId="7" xfId="0" applyFont="1" applyBorder="1" applyAlignment="1"/>
    <xf numFmtId="0" fontId="6" fillId="0" borderId="4" xfId="0" applyFont="1" applyBorder="1" applyAlignment="1"/>
    <xf numFmtId="0" fontId="8" fillId="15" borderId="9" xfId="0" applyFont="1" applyFill="1" applyBorder="1" applyAlignment="1"/>
    <xf numFmtId="0" fontId="2" fillId="0" borderId="5" xfId="0" applyFont="1" applyBorder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0" fontId="6" fillId="0" borderId="1" xfId="0" applyFont="1" applyBorder="1" applyAlignment="1">
      <alignment horizontal="center"/>
    </xf>
    <xf numFmtId="10" fontId="7" fillId="14" borderId="2" xfId="0" applyNumberFormat="1" applyFont="1" applyFill="1" applyBorder="1" applyAlignment="1">
      <alignment horizontal="center"/>
    </xf>
    <xf numFmtId="10" fontId="6" fillId="8" borderId="3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7" xfId="0" applyFont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0" fontId="6" fillId="0" borderId="5" xfId="0" applyFont="1" applyBorder="1" applyAlignment="1"/>
    <xf numFmtId="10" fontId="6" fillId="8" borderId="8" xfId="0" applyNumberFormat="1" applyFont="1" applyFill="1" applyBorder="1" applyAlignment="1">
      <alignment horizontal="center"/>
    </xf>
    <xf numFmtId="0" fontId="6" fillId="0" borderId="9" xfId="0" applyFont="1" applyBorder="1" applyAlignment="1"/>
    <xf numFmtId="10" fontId="6" fillId="10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18" borderId="12" xfId="0" applyFont="1" applyFill="1" applyBorder="1" applyAlignment="1">
      <alignment horizontal="center" vertical="center" textRotation="180"/>
    </xf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0" xfId="0" applyFont="1" applyAlignment="1"/>
    <xf numFmtId="10" fontId="6" fillId="11" borderId="3" xfId="0" applyNumberFormat="1" applyFont="1" applyFill="1" applyBorder="1" applyAlignment="1">
      <alignment horizontal="center"/>
    </xf>
    <xf numFmtId="0" fontId="6" fillId="0" borderId="10" xfId="0" applyFont="1" applyBorder="1" applyAlignment="1"/>
    <xf numFmtId="0" fontId="6" fillId="0" borderId="10" xfId="0" applyFont="1" applyBorder="1" applyAlignment="1">
      <alignment horizontal="center"/>
    </xf>
    <xf numFmtId="10" fontId="1" fillId="10" borderId="10" xfId="0" applyNumberFormat="1" applyFont="1" applyFill="1" applyBorder="1" applyAlignment="1">
      <alignment horizontal="center"/>
    </xf>
    <xf numFmtId="10" fontId="1" fillId="9" borderId="10" xfId="0" applyNumberFormat="1" applyFont="1" applyFill="1" applyBorder="1" applyAlignment="1">
      <alignment horizontal="center"/>
    </xf>
    <xf numFmtId="10" fontId="1" fillId="8" borderId="10" xfId="0" applyNumberFormat="1" applyFont="1" applyFill="1" applyBorder="1" applyAlignment="1">
      <alignment horizontal="center"/>
    </xf>
    <xf numFmtId="10" fontId="7" fillId="12" borderId="10" xfId="0" applyNumberFormat="1" applyFont="1" applyFill="1" applyBorder="1" applyAlignment="1">
      <alignment horizontal="center"/>
    </xf>
    <xf numFmtId="10" fontId="7" fillId="13" borderId="10" xfId="0" applyNumberFormat="1" applyFont="1" applyFill="1" applyBorder="1" applyAlignment="1">
      <alignment horizontal="center"/>
    </xf>
    <xf numFmtId="10" fontId="7" fillId="13" borderId="11" xfId="0" applyNumberFormat="1" applyFont="1" applyFill="1" applyBorder="1" applyAlignment="1">
      <alignment horizontal="center"/>
    </xf>
    <xf numFmtId="10" fontId="6" fillId="10" borderId="0" xfId="0" applyNumberFormat="1" applyFont="1" applyFill="1" applyAlignment="1">
      <alignment horizontal="center"/>
    </xf>
    <xf numFmtId="10" fontId="7" fillId="13" borderId="3" xfId="0" applyNumberFormat="1" applyFont="1" applyFill="1" applyBorder="1" applyAlignment="1">
      <alignment horizontal="center"/>
    </xf>
    <xf numFmtId="10" fontId="7" fillId="14" borderId="8" xfId="0" applyNumberFormat="1" applyFont="1" applyFill="1" applyBorder="1" applyAlignment="1">
      <alignment horizontal="center"/>
    </xf>
    <xf numFmtId="10" fontId="7" fillId="12" borderId="8" xfId="0" applyNumberFormat="1" applyFont="1" applyFill="1" applyBorder="1" applyAlignment="1">
      <alignment horizontal="center"/>
    </xf>
    <xf numFmtId="10" fontId="1" fillId="11" borderId="8" xfId="0" applyNumberFormat="1" applyFont="1" applyFill="1" applyBorder="1" applyAlignment="1">
      <alignment horizontal="center"/>
    </xf>
    <xf numFmtId="10" fontId="7" fillId="13" borderId="8" xfId="0" applyNumberFormat="1" applyFont="1" applyFill="1" applyBorder="1" applyAlignment="1">
      <alignment horizontal="center"/>
    </xf>
    <xf numFmtId="10" fontId="1" fillId="8" borderId="8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0" fontId="1" fillId="9" borderId="5" xfId="0" applyNumberFormat="1" applyFont="1" applyFill="1" applyBorder="1" applyAlignment="1">
      <alignment horizontal="center"/>
    </xf>
    <xf numFmtId="10" fontId="1" fillId="10" borderId="5" xfId="0" applyNumberFormat="1" applyFont="1" applyFill="1" applyBorder="1" applyAlignment="1">
      <alignment horizontal="center"/>
    </xf>
    <xf numFmtId="10" fontId="1" fillId="8" borderId="5" xfId="0" applyNumberFormat="1" applyFont="1" applyFill="1" applyBorder="1" applyAlignment="1">
      <alignment horizontal="center"/>
    </xf>
    <xf numFmtId="10" fontId="1" fillId="11" borderId="5" xfId="0" applyNumberFormat="1" applyFont="1" applyFill="1" applyBorder="1" applyAlignment="1">
      <alignment horizontal="center"/>
    </xf>
    <xf numFmtId="10" fontId="7" fillId="12" borderId="5" xfId="0" applyNumberFormat="1" applyFont="1" applyFill="1" applyBorder="1" applyAlignment="1">
      <alignment horizontal="center"/>
    </xf>
    <xf numFmtId="10" fontId="7" fillId="12" borderId="6" xfId="0" applyNumberFormat="1" applyFont="1" applyFill="1" applyBorder="1" applyAlignment="1">
      <alignment horizontal="center"/>
    </xf>
    <xf numFmtId="10" fontId="7" fillId="13" borderId="5" xfId="0" applyNumberFormat="1" applyFont="1" applyFill="1" applyBorder="1" applyAlignment="1">
      <alignment horizontal="center"/>
    </xf>
    <xf numFmtId="10" fontId="7" fillId="13" borderId="6" xfId="0" applyNumberFormat="1" applyFont="1" applyFill="1" applyBorder="1" applyAlignment="1">
      <alignment horizontal="center"/>
    </xf>
    <xf numFmtId="0" fontId="7" fillId="18" borderId="9" xfId="0" applyFont="1" applyFill="1" applyBorder="1" applyAlignment="1">
      <alignment horizontal="center" vertical="center" textRotation="180"/>
    </xf>
    <xf numFmtId="0" fontId="6" fillId="0" borderId="12" xfId="0" applyFont="1" applyBorder="1" applyAlignment="1"/>
    <xf numFmtId="0" fontId="6" fillId="0" borderId="9" xfId="0" applyFont="1" applyBorder="1" applyAlignment="1">
      <alignment horizontal="center"/>
    </xf>
    <xf numFmtId="10" fontId="1" fillId="11" borderId="10" xfId="0" applyNumberFormat="1" applyFont="1" applyFill="1" applyBorder="1" applyAlignment="1">
      <alignment horizontal="center"/>
    </xf>
    <xf numFmtId="10" fontId="7" fillId="14" borderId="10" xfId="0" applyNumberFormat="1" applyFont="1" applyFill="1" applyBorder="1" applyAlignment="1">
      <alignment horizontal="center"/>
    </xf>
    <xf numFmtId="10" fontId="7" fillId="14" borderId="11" xfId="0" applyNumberFormat="1" applyFont="1" applyFill="1" applyBorder="1" applyAlignment="1">
      <alignment horizontal="center"/>
    </xf>
    <xf numFmtId="10" fontId="6" fillId="9" borderId="11" xfId="0" applyNumberFormat="1" applyFont="1" applyFill="1" applyBorder="1" applyAlignment="1">
      <alignment horizontal="center"/>
    </xf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49" fontId="1" fillId="0" borderId="0" xfId="0" applyNumberFormat="1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0" fontId="1" fillId="0" borderId="7" xfId="0" applyFont="1" applyBorder="1" applyAlignment="1">
      <alignment horizontal="center" wrapText="1"/>
    </xf>
    <xf numFmtId="10" fontId="1" fillId="0" borderId="0" xfId="0" applyNumberFormat="1" applyFont="1" applyAlignment="1"/>
    <xf numFmtId="164" fontId="1" fillId="0" borderId="8" xfId="0" applyNumberFormat="1" applyFont="1" applyBorder="1" applyAlignment="1"/>
    <xf numFmtId="0" fontId="2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/>
    <xf numFmtId="0" fontId="1" fillId="0" borderId="0" xfId="0" applyFont="1" applyAlignment="1">
      <alignment horizontal="center" wrapText="1"/>
    </xf>
    <xf numFmtId="10" fontId="1" fillId="0" borderId="5" xfId="0" applyNumberFormat="1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/>
    <xf numFmtId="164" fontId="1" fillId="0" borderId="6" xfId="0" applyNumberFormat="1" applyFont="1" applyBorder="1" applyAlignment="1"/>
    <xf numFmtId="0" fontId="1" fillId="0" borderId="9" xfId="0" applyFont="1" applyBorder="1" applyAlignment="1">
      <alignment horizontal="center" wrapText="1"/>
    </xf>
    <xf numFmtId="10" fontId="1" fillId="0" borderId="10" xfId="0" applyNumberFormat="1" applyFont="1" applyBorder="1" applyAlignment="1"/>
    <xf numFmtId="0" fontId="1" fillId="0" borderId="10" xfId="0" applyFont="1" applyBorder="1" applyAlignment="1"/>
    <xf numFmtId="0" fontId="1" fillId="0" borderId="4" xfId="0" applyFont="1" applyBorder="1" applyAlignment="1">
      <alignment horizontal="center" wrapText="1"/>
    </xf>
    <xf numFmtId="164" fontId="1" fillId="0" borderId="0" xfId="0" applyNumberFormat="1" applyFont="1" applyAlignment="1"/>
    <xf numFmtId="10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Alignment="1"/>
    <xf numFmtId="0" fontId="9" fillId="19" borderId="0" xfId="0" applyFont="1" applyFill="1"/>
    <xf numFmtId="0" fontId="10" fillId="19" borderId="0" xfId="0" applyFont="1" applyFill="1" applyAlignment="1"/>
    <xf numFmtId="0" fontId="11" fillId="19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0" xfId="0" applyFont="1" applyAlignment="1"/>
    <xf numFmtId="10" fontId="7" fillId="0" borderId="0" xfId="0" applyNumberFormat="1" applyFont="1"/>
    <xf numFmtId="0" fontId="12" fillId="0" borderId="0" xfId="0" applyFont="1"/>
    <xf numFmtId="0" fontId="1" fillId="0" borderId="3" xfId="0" applyFont="1" applyBorder="1" applyAlignment="1">
      <alignment horizontal="left" wrapText="1"/>
    </xf>
    <xf numFmtId="0" fontId="4" fillId="0" borderId="6" xfId="0" applyFont="1" applyBorder="1"/>
    <xf numFmtId="0" fontId="7" fillId="5" borderId="7" xfId="0" applyFont="1" applyFill="1" applyBorder="1" applyAlignment="1">
      <alignment horizontal="center" vertical="center" textRotation="180"/>
    </xf>
    <xf numFmtId="0" fontId="4" fillId="0" borderId="7" xfId="0" applyFont="1" applyBorder="1"/>
    <xf numFmtId="0" fontId="4" fillId="0" borderId="4" xfId="0" applyFont="1" applyBorder="1"/>
    <xf numFmtId="0" fontId="7" fillId="0" borderId="0" xfId="0" applyFont="1" applyAlignment="1">
      <alignment horizontal="center" vertical="center" textRotation="180"/>
    </xf>
    <xf numFmtId="0" fontId="0" fillId="0" borderId="0" xfId="0" applyFont="1" applyAlignment="1"/>
    <xf numFmtId="0" fontId="7" fillId="6" borderId="1" xfId="0" applyFont="1" applyFill="1" applyBorder="1" applyAlignment="1">
      <alignment horizontal="center" vertical="center" textRotation="180"/>
    </xf>
    <xf numFmtId="0" fontId="7" fillId="16" borderId="1" xfId="0" applyFont="1" applyFill="1" applyBorder="1" applyAlignment="1">
      <alignment horizontal="center" vertical="center" textRotation="180"/>
    </xf>
    <xf numFmtId="0" fontId="7" fillId="17" borderId="1" xfId="0" applyFont="1" applyFill="1" applyBorder="1" applyAlignment="1">
      <alignment horizontal="center" vertical="center" textRotation="180"/>
    </xf>
    <xf numFmtId="0" fontId="7" fillId="5" borderId="1" xfId="0" applyFont="1" applyFill="1" applyBorder="1" applyAlignment="1">
      <alignment horizontal="center" vertical="center" textRotation="180"/>
    </xf>
    <xf numFmtId="0" fontId="7" fillId="4" borderId="1" xfId="0" applyFont="1" applyFill="1" applyBorder="1" applyAlignment="1">
      <alignment horizontal="center" vertical="center" textRotation="180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13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.lb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6"/>
  <sheetViews>
    <sheetView workbookViewId="0"/>
  </sheetViews>
  <sheetFormatPr defaultColWidth="14.453125" defaultRowHeight="15.75" customHeight="1"/>
  <cols>
    <col min="4" max="4" width="21.26953125" customWidth="1"/>
    <col min="6" max="6" width="69.7265625" customWidth="1"/>
    <col min="10" max="10" width="14.81640625" customWidth="1"/>
    <col min="11" max="11" width="20.7265625" customWidth="1"/>
  </cols>
  <sheetData>
    <row r="1" spans="1:7" ht="12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ht="12.5">
      <c r="A2" s="4" t="s">
        <v>7</v>
      </c>
      <c r="B2" s="5" t="s">
        <v>8</v>
      </c>
      <c r="C2" s="6" t="s">
        <v>9</v>
      </c>
      <c r="D2" s="7" t="s">
        <v>10</v>
      </c>
      <c r="E2" s="7" t="s">
        <v>10</v>
      </c>
      <c r="F2" s="8" t="s">
        <v>11</v>
      </c>
      <c r="G2" s="3" t="s">
        <v>12</v>
      </c>
    </row>
    <row r="3" spans="1:7" ht="12.5">
      <c r="A3" s="4" t="s">
        <v>7</v>
      </c>
      <c r="B3" s="9" t="s">
        <v>13</v>
      </c>
      <c r="C3" s="10" t="s">
        <v>9</v>
      </c>
      <c r="D3" s="10" t="s">
        <v>9</v>
      </c>
      <c r="E3" s="10" t="s">
        <v>9</v>
      </c>
      <c r="F3" s="11"/>
      <c r="G3" s="3" t="s">
        <v>12</v>
      </c>
    </row>
    <row r="4" spans="1:7" ht="12.5">
      <c r="A4" s="12" t="s">
        <v>14</v>
      </c>
      <c r="B4" s="13" t="s">
        <v>15</v>
      </c>
      <c r="C4" s="14" t="s">
        <v>9</v>
      </c>
      <c r="D4" s="14" t="s">
        <v>9</v>
      </c>
      <c r="E4" s="14" t="s">
        <v>9</v>
      </c>
      <c r="F4" s="15"/>
      <c r="G4" s="3" t="s">
        <v>16</v>
      </c>
    </row>
    <row r="5" spans="1:7" ht="12.5">
      <c r="A5" s="12" t="s">
        <v>14</v>
      </c>
      <c r="B5" s="9" t="s">
        <v>17</v>
      </c>
      <c r="C5" s="10" t="s">
        <v>9</v>
      </c>
      <c r="D5" s="10" t="s">
        <v>9</v>
      </c>
      <c r="E5" s="16" t="s">
        <v>18</v>
      </c>
      <c r="F5" s="11" t="s">
        <v>19</v>
      </c>
      <c r="G5" s="3" t="s">
        <v>16</v>
      </c>
    </row>
    <row r="6" spans="1:7" ht="12.5">
      <c r="A6" s="12" t="s">
        <v>14</v>
      </c>
      <c r="B6" s="13" t="s">
        <v>20</v>
      </c>
      <c r="C6" s="14" t="s">
        <v>9</v>
      </c>
      <c r="D6" s="14" t="s">
        <v>9</v>
      </c>
      <c r="E6" s="14" t="s">
        <v>9</v>
      </c>
      <c r="F6" s="17"/>
      <c r="G6" s="3" t="s">
        <v>16</v>
      </c>
    </row>
    <row r="7" spans="1:7" ht="12.5">
      <c r="A7" s="12" t="s">
        <v>14</v>
      </c>
      <c r="B7" s="13" t="s">
        <v>21</v>
      </c>
      <c r="C7" s="14" t="s">
        <v>9</v>
      </c>
      <c r="D7" s="14" t="s">
        <v>9</v>
      </c>
      <c r="E7" s="14" t="s">
        <v>9</v>
      </c>
      <c r="F7" s="15"/>
      <c r="G7" s="3" t="s">
        <v>16</v>
      </c>
    </row>
    <row r="8" spans="1:7" ht="12.5">
      <c r="A8" s="12" t="s">
        <v>14</v>
      </c>
      <c r="B8" s="9" t="s">
        <v>22</v>
      </c>
      <c r="C8" s="10" t="s">
        <v>9</v>
      </c>
      <c r="D8" s="10" t="s">
        <v>9</v>
      </c>
      <c r="E8" s="10" t="s">
        <v>9</v>
      </c>
      <c r="F8" s="18"/>
      <c r="G8" s="3" t="s">
        <v>16</v>
      </c>
    </row>
    <row r="9" spans="1:7" ht="12.5" hidden="1">
      <c r="A9" s="12" t="s">
        <v>14</v>
      </c>
      <c r="B9" s="12" t="s">
        <v>23</v>
      </c>
      <c r="C9" s="14" t="s">
        <v>9</v>
      </c>
      <c r="D9" s="14" t="s">
        <v>9</v>
      </c>
      <c r="E9" s="7" t="s">
        <v>10</v>
      </c>
      <c r="F9" s="19" t="s">
        <v>24</v>
      </c>
      <c r="G9" s="3" t="s">
        <v>16</v>
      </c>
    </row>
    <row r="10" spans="1:7" ht="12.5">
      <c r="A10" s="12" t="s">
        <v>14</v>
      </c>
      <c r="B10" s="5" t="s">
        <v>25</v>
      </c>
      <c r="C10" s="6" t="s">
        <v>9</v>
      </c>
      <c r="D10" s="6" t="s">
        <v>9</v>
      </c>
      <c r="E10" s="6" t="s">
        <v>9</v>
      </c>
      <c r="F10" s="8" t="s">
        <v>26</v>
      </c>
      <c r="G10" s="3" t="s">
        <v>16</v>
      </c>
    </row>
    <row r="11" spans="1:7" ht="12.5">
      <c r="A11" s="12" t="s">
        <v>14</v>
      </c>
      <c r="B11" s="13" t="s">
        <v>27</v>
      </c>
      <c r="C11" s="14" t="s">
        <v>9</v>
      </c>
      <c r="D11" s="14" t="s">
        <v>9</v>
      </c>
      <c r="E11" s="20" t="s">
        <v>28</v>
      </c>
      <c r="F11" s="17" t="s">
        <v>29</v>
      </c>
      <c r="G11" s="3" t="s">
        <v>16</v>
      </c>
    </row>
    <row r="12" spans="1:7" ht="12.5">
      <c r="A12" s="12" t="s">
        <v>14</v>
      </c>
      <c r="B12" s="9" t="s">
        <v>30</v>
      </c>
      <c r="C12" s="10" t="s">
        <v>9</v>
      </c>
      <c r="D12" s="10" t="s">
        <v>9</v>
      </c>
      <c r="E12" s="21" t="s">
        <v>28</v>
      </c>
      <c r="F12" s="11" t="s">
        <v>29</v>
      </c>
      <c r="G12" s="3" t="s">
        <v>16</v>
      </c>
    </row>
    <row r="13" spans="1:7" ht="12.5" hidden="1">
      <c r="A13" s="12" t="s">
        <v>14</v>
      </c>
      <c r="B13" s="5" t="s">
        <v>31</v>
      </c>
      <c r="C13" s="6" t="s">
        <v>9</v>
      </c>
      <c r="D13" s="14" t="s">
        <v>9</v>
      </c>
      <c r="E13" s="22" t="s">
        <v>10</v>
      </c>
      <c r="F13" s="8" t="s">
        <v>32</v>
      </c>
      <c r="G13" s="3" t="s">
        <v>16</v>
      </c>
    </row>
    <row r="14" spans="1:7" ht="12.5" hidden="1">
      <c r="A14" s="12" t="s">
        <v>14</v>
      </c>
      <c r="B14" s="13" t="s">
        <v>33</v>
      </c>
      <c r="C14" s="14" t="s">
        <v>9</v>
      </c>
      <c r="D14" s="14" t="s">
        <v>9</v>
      </c>
      <c r="E14" s="7" t="s">
        <v>10</v>
      </c>
      <c r="F14" s="17" t="s">
        <v>32</v>
      </c>
      <c r="G14" s="3" t="s">
        <v>16</v>
      </c>
    </row>
    <row r="15" spans="1:7" ht="12.5" hidden="1">
      <c r="A15" s="12" t="s">
        <v>14</v>
      </c>
      <c r="B15" s="13" t="s">
        <v>34</v>
      </c>
      <c r="C15" s="14" t="s">
        <v>9</v>
      </c>
      <c r="D15" s="14" t="s">
        <v>9</v>
      </c>
      <c r="E15" s="7" t="s">
        <v>10</v>
      </c>
      <c r="F15" s="17" t="s">
        <v>32</v>
      </c>
      <c r="G15" s="3" t="s">
        <v>16</v>
      </c>
    </row>
    <row r="16" spans="1:7" ht="12.5" hidden="1">
      <c r="A16" s="12" t="s">
        <v>14</v>
      </c>
      <c r="B16" s="9" t="s">
        <v>35</v>
      </c>
      <c r="C16" s="10" t="s">
        <v>9</v>
      </c>
      <c r="D16" s="10" t="s">
        <v>9</v>
      </c>
      <c r="E16" s="23" t="s">
        <v>10</v>
      </c>
      <c r="F16" s="11" t="s">
        <v>32</v>
      </c>
      <c r="G16" s="3" t="s">
        <v>16</v>
      </c>
    </row>
    <row r="17" spans="1:10" ht="12.5">
      <c r="A17" s="12" t="s">
        <v>14</v>
      </c>
      <c r="B17" s="5" t="s">
        <v>36</v>
      </c>
      <c r="C17" s="6" t="s">
        <v>9</v>
      </c>
      <c r="D17" s="6" t="s">
        <v>9</v>
      </c>
      <c r="E17" s="16" t="s">
        <v>18</v>
      </c>
      <c r="F17" s="8" t="s">
        <v>37</v>
      </c>
      <c r="G17" s="3" t="s">
        <v>16</v>
      </c>
    </row>
    <row r="18" spans="1:10" ht="12.5">
      <c r="A18" s="12" t="s">
        <v>14</v>
      </c>
      <c r="B18" s="13" t="s">
        <v>38</v>
      </c>
      <c r="C18" s="14" t="s">
        <v>9</v>
      </c>
      <c r="D18" s="14" t="s">
        <v>9</v>
      </c>
      <c r="E18" s="7" t="s">
        <v>10</v>
      </c>
      <c r="F18" s="15"/>
      <c r="G18" s="3" t="s">
        <v>16</v>
      </c>
    </row>
    <row r="19" spans="1:10" ht="12.5">
      <c r="A19" s="12" t="s">
        <v>14</v>
      </c>
      <c r="B19" s="9" t="s">
        <v>39</v>
      </c>
      <c r="C19" s="10" t="s">
        <v>9</v>
      </c>
      <c r="D19" s="10" t="s">
        <v>9</v>
      </c>
      <c r="E19" s="7" t="s">
        <v>10</v>
      </c>
      <c r="F19" s="18"/>
      <c r="G19" s="3" t="s">
        <v>16</v>
      </c>
    </row>
    <row r="20" spans="1:10" ht="12.5">
      <c r="A20" s="12" t="s">
        <v>14</v>
      </c>
      <c r="B20" s="13" t="s">
        <v>40</v>
      </c>
      <c r="C20" s="6" t="s">
        <v>9</v>
      </c>
      <c r="D20" s="7" t="s">
        <v>10</v>
      </c>
      <c r="E20" s="7" t="s">
        <v>10</v>
      </c>
      <c r="F20" s="17" t="s">
        <v>41</v>
      </c>
      <c r="G20" s="3" t="s">
        <v>16</v>
      </c>
    </row>
    <row r="21" spans="1:10" ht="12.5">
      <c r="A21" s="12" t="s">
        <v>14</v>
      </c>
      <c r="B21" s="13" t="s">
        <v>42</v>
      </c>
      <c r="C21" s="14" t="s">
        <v>9</v>
      </c>
      <c r="D21" s="7" t="s">
        <v>10</v>
      </c>
      <c r="E21" s="7" t="s">
        <v>10</v>
      </c>
      <c r="F21" s="17" t="s">
        <v>41</v>
      </c>
      <c r="G21" s="3" t="s">
        <v>16</v>
      </c>
    </row>
    <row r="22" spans="1:10" ht="12.5">
      <c r="A22" s="12" t="s">
        <v>14</v>
      </c>
      <c r="B22" s="13" t="s">
        <v>43</v>
      </c>
      <c r="C22" s="10" t="s">
        <v>9</v>
      </c>
      <c r="D22" s="23" t="s">
        <v>10</v>
      </c>
      <c r="E22" s="7" t="s">
        <v>10</v>
      </c>
      <c r="F22" s="17" t="s">
        <v>41</v>
      </c>
      <c r="G22" s="3" t="s">
        <v>16</v>
      </c>
    </row>
    <row r="23" spans="1:10" ht="12.5">
      <c r="A23" s="12" t="s">
        <v>14</v>
      </c>
      <c r="B23" s="5" t="s">
        <v>44</v>
      </c>
      <c r="C23" s="6" t="s">
        <v>9</v>
      </c>
      <c r="D23" s="6" t="s">
        <v>9</v>
      </c>
      <c r="E23" s="6" t="s">
        <v>9</v>
      </c>
      <c r="F23" s="8" t="s">
        <v>45</v>
      </c>
      <c r="G23" s="3" t="s">
        <v>16</v>
      </c>
    </row>
    <row r="24" spans="1:10" ht="12.5">
      <c r="A24" s="12" t="s">
        <v>14</v>
      </c>
      <c r="B24" s="9" t="s">
        <v>46</v>
      </c>
      <c r="C24" s="10" t="s">
        <v>9</v>
      </c>
      <c r="D24" s="10" t="s">
        <v>9</v>
      </c>
      <c r="E24" s="10" t="s">
        <v>9</v>
      </c>
      <c r="F24" s="8" t="s">
        <v>45</v>
      </c>
      <c r="G24" s="3" t="s">
        <v>16</v>
      </c>
    </row>
    <row r="25" spans="1:10" ht="12.5" hidden="1">
      <c r="A25" s="12" t="s">
        <v>14</v>
      </c>
      <c r="B25" s="13" t="s">
        <v>47</v>
      </c>
      <c r="C25" s="14" t="s">
        <v>9</v>
      </c>
      <c r="D25" s="14" t="s">
        <v>9</v>
      </c>
      <c r="E25" s="7" t="s">
        <v>10</v>
      </c>
      <c r="F25" s="17" t="s">
        <v>32</v>
      </c>
      <c r="G25" s="3" t="s">
        <v>16</v>
      </c>
    </row>
    <row r="26" spans="1:10" ht="12.5" hidden="1">
      <c r="A26" s="12" t="s">
        <v>14</v>
      </c>
      <c r="B26" s="9" t="s">
        <v>48</v>
      </c>
      <c r="C26" s="10" t="s">
        <v>9</v>
      </c>
      <c r="D26" s="10" t="s">
        <v>9</v>
      </c>
      <c r="E26" s="23" t="s">
        <v>10</v>
      </c>
      <c r="F26" s="11" t="s">
        <v>32</v>
      </c>
      <c r="G26" s="3" t="s">
        <v>16</v>
      </c>
    </row>
    <row r="27" spans="1:10" ht="12.5">
      <c r="A27" s="4" t="s">
        <v>7</v>
      </c>
      <c r="B27" s="5" t="s">
        <v>49</v>
      </c>
      <c r="C27" s="22" t="s">
        <v>10</v>
      </c>
      <c r="D27" s="22" t="s">
        <v>10</v>
      </c>
      <c r="E27" s="2" t="s">
        <v>50</v>
      </c>
      <c r="F27" s="162" t="s">
        <v>51</v>
      </c>
      <c r="G27" s="3" t="s">
        <v>16</v>
      </c>
    </row>
    <row r="28" spans="1:10" ht="12.5">
      <c r="A28" s="4" t="s">
        <v>7</v>
      </c>
      <c r="B28" s="9" t="s">
        <v>52</v>
      </c>
      <c r="C28" s="23" t="s">
        <v>10</v>
      </c>
      <c r="D28" s="23" t="s">
        <v>10</v>
      </c>
      <c r="E28" s="16" t="s">
        <v>18</v>
      </c>
      <c r="F28" s="163"/>
      <c r="G28" s="3" t="s">
        <v>16</v>
      </c>
    </row>
    <row r="29" spans="1:10" ht="12.5">
      <c r="A29" s="12" t="s">
        <v>14</v>
      </c>
      <c r="B29" s="5" t="s">
        <v>53</v>
      </c>
      <c r="C29" s="6" t="s">
        <v>9</v>
      </c>
      <c r="D29" s="6" t="s">
        <v>9</v>
      </c>
      <c r="E29" s="14" t="s">
        <v>9</v>
      </c>
      <c r="F29" s="8"/>
      <c r="G29" s="3" t="s">
        <v>54</v>
      </c>
    </row>
    <row r="30" spans="1:10" ht="12.5">
      <c r="A30" s="12" t="s">
        <v>14</v>
      </c>
      <c r="B30" s="13" t="s">
        <v>55</v>
      </c>
      <c r="C30" s="6" t="s">
        <v>9</v>
      </c>
      <c r="D30" s="6" t="s">
        <v>9</v>
      </c>
      <c r="E30" s="16" t="s">
        <v>18</v>
      </c>
      <c r="F30" s="17" t="s">
        <v>56</v>
      </c>
      <c r="G30" s="3" t="s">
        <v>54</v>
      </c>
    </row>
    <row r="31" spans="1:10" ht="12.5" hidden="1">
      <c r="A31" s="12" t="s">
        <v>14</v>
      </c>
      <c r="B31" s="9" t="s">
        <v>57</v>
      </c>
      <c r="C31" s="23" t="s">
        <v>10</v>
      </c>
      <c r="D31" s="7" t="s">
        <v>10</v>
      </c>
      <c r="E31" s="24" t="s">
        <v>58</v>
      </c>
      <c r="F31" s="18"/>
      <c r="G31" s="3" t="s">
        <v>54</v>
      </c>
      <c r="J31" s="25"/>
    </row>
    <row r="32" spans="1:10" ht="12.5">
      <c r="A32" s="12" t="s">
        <v>14</v>
      </c>
      <c r="B32" s="5" t="s">
        <v>59</v>
      </c>
      <c r="C32" s="6" t="s">
        <v>9</v>
      </c>
      <c r="D32" s="6" t="s">
        <v>9</v>
      </c>
      <c r="E32" s="14" t="s">
        <v>9</v>
      </c>
      <c r="F32" s="26"/>
      <c r="G32" s="3" t="s">
        <v>54</v>
      </c>
    </row>
    <row r="33" spans="1:10" ht="12.5">
      <c r="A33" s="12" t="s">
        <v>14</v>
      </c>
      <c r="B33" s="13" t="s">
        <v>60</v>
      </c>
      <c r="C33" s="6" t="s">
        <v>9</v>
      </c>
      <c r="D33" s="6" t="s">
        <v>9</v>
      </c>
      <c r="E33" s="16" t="s">
        <v>18</v>
      </c>
      <c r="F33" s="17" t="s">
        <v>56</v>
      </c>
      <c r="G33" s="3" t="s">
        <v>54</v>
      </c>
    </row>
    <row r="34" spans="1:10" ht="12.5" hidden="1">
      <c r="A34" s="12" t="s">
        <v>14</v>
      </c>
      <c r="B34" s="9" t="s">
        <v>61</v>
      </c>
      <c r="C34" s="23" t="s">
        <v>10</v>
      </c>
      <c r="D34" s="7" t="s">
        <v>10</v>
      </c>
      <c r="E34" s="24" t="s">
        <v>58</v>
      </c>
      <c r="F34" s="18"/>
      <c r="G34" s="3" t="s">
        <v>54</v>
      </c>
      <c r="J34" s="25"/>
    </row>
    <row r="35" spans="1:10" ht="12.5">
      <c r="A35" s="12" t="s">
        <v>14</v>
      </c>
      <c r="B35" s="5" t="s">
        <v>62</v>
      </c>
      <c r="C35" s="6" t="s">
        <v>9</v>
      </c>
      <c r="D35" s="6" t="s">
        <v>9</v>
      </c>
      <c r="E35" s="6" t="s">
        <v>9</v>
      </c>
      <c r="F35" s="8"/>
      <c r="G35" s="3" t="s">
        <v>54</v>
      </c>
    </row>
    <row r="36" spans="1:10" ht="12.5">
      <c r="A36" s="12" t="s">
        <v>14</v>
      </c>
      <c r="B36" s="13" t="s">
        <v>63</v>
      </c>
      <c r="C36" s="6" t="s">
        <v>9</v>
      </c>
      <c r="D36" s="6" t="s">
        <v>9</v>
      </c>
      <c r="E36" s="16" t="s">
        <v>18</v>
      </c>
      <c r="F36" s="17" t="s">
        <v>56</v>
      </c>
      <c r="G36" s="3" t="s">
        <v>54</v>
      </c>
    </row>
    <row r="37" spans="1:10" ht="12.5" hidden="1">
      <c r="A37" s="12" t="s">
        <v>14</v>
      </c>
      <c r="B37" s="9" t="s">
        <v>64</v>
      </c>
      <c r="C37" s="23" t="s">
        <v>10</v>
      </c>
      <c r="D37" s="23" t="s">
        <v>10</v>
      </c>
      <c r="E37" s="24" t="s">
        <v>58</v>
      </c>
      <c r="F37" s="18"/>
      <c r="G37" s="3" t="s">
        <v>54</v>
      </c>
      <c r="J37" s="25"/>
    </row>
    <row r="38" spans="1:10" ht="12.5" hidden="1">
      <c r="A38" s="12" t="s">
        <v>14</v>
      </c>
      <c r="B38" s="5" t="s">
        <v>65</v>
      </c>
      <c r="C38" s="6" t="s">
        <v>9</v>
      </c>
      <c r="D38" s="6" t="s">
        <v>9</v>
      </c>
      <c r="E38" s="24" t="s">
        <v>58</v>
      </c>
      <c r="F38" s="26"/>
      <c r="G38" s="3" t="s">
        <v>12</v>
      </c>
      <c r="J38" s="25"/>
    </row>
    <row r="39" spans="1:10" ht="12.5" hidden="1">
      <c r="A39" s="12" t="s">
        <v>14</v>
      </c>
      <c r="B39" s="13" t="s">
        <v>66</v>
      </c>
      <c r="C39" s="14" t="s">
        <v>9</v>
      </c>
      <c r="D39" s="14" t="s">
        <v>9</v>
      </c>
      <c r="E39" s="24" t="s">
        <v>58</v>
      </c>
      <c r="F39" s="15"/>
      <c r="G39" s="3" t="s">
        <v>12</v>
      </c>
      <c r="J39" s="25"/>
    </row>
    <row r="40" spans="1:10" ht="12.5" hidden="1">
      <c r="A40" s="12" t="s">
        <v>14</v>
      </c>
      <c r="B40" s="9" t="s">
        <v>67</v>
      </c>
      <c r="C40" s="10" t="s">
        <v>9</v>
      </c>
      <c r="D40" s="10" t="s">
        <v>9</v>
      </c>
      <c r="E40" s="23" t="s">
        <v>10</v>
      </c>
      <c r="F40" s="11" t="s">
        <v>68</v>
      </c>
      <c r="G40" s="3" t="s">
        <v>12</v>
      </c>
      <c r="J40" s="25"/>
    </row>
    <row r="41" spans="1:10" ht="12.5">
      <c r="A41" s="12" t="s">
        <v>14</v>
      </c>
      <c r="B41" s="27" t="s">
        <v>65</v>
      </c>
      <c r="C41" s="28" t="s">
        <v>9</v>
      </c>
      <c r="D41" s="28" t="s">
        <v>9</v>
      </c>
      <c r="E41" s="29" t="s">
        <v>28</v>
      </c>
      <c r="F41" s="30"/>
      <c r="G41" s="3" t="s">
        <v>12</v>
      </c>
    </row>
    <row r="42" spans="1:10" ht="12.5">
      <c r="A42" s="4" t="s">
        <v>7</v>
      </c>
      <c r="B42" s="5" t="s">
        <v>69</v>
      </c>
      <c r="C42" s="6" t="s">
        <v>9</v>
      </c>
      <c r="D42" s="6" t="s">
        <v>9</v>
      </c>
      <c r="E42" s="6" t="s">
        <v>9</v>
      </c>
      <c r="F42" s="26"/>
      <c r="G42" s="3" t="s">
        <v>16</v>
      </c>
    </row>
    <row r="43" spans="1:10" ht="12.5">
      <c r="A43" s="4" t="s">
        <v>7</v>
      </c>
      <c r="B43" s="13" t="s">
        <v>70</v>
      </c>
      <c r="C43" s="14" t="s">
        <v>9</v>
      </c>
      <c r="D43" s="14" t="s">
        <v>9</v>
      </c>
      <c r="E43" s="14" t="s">
        <v>9</v>
      </c>
      <c r="F43" s="15"/>
      <c r="G43" s="3" t="s">
        <v>16</v>
      </c>
    </row>
    <row r="44" spans="1:10" ht="12.5">
      <c r="A44" s="4" t="s">
        <v>7</v>
      </c>
      <c r="B44" s="31" t="s">
        <v>71</v>
      </c>
      <c r="C44" s="14" t="s">
        <v>9</v>
      </c>
      <c r="D44" s="14" t="s">
        <v>9</v>
      </c>
      <c r="E44" s="21" t="s">
        <v>28</v>
      </c>
      <c r="F44" s="15"/>
      <c r="G44" s="3"/>
    </row>
    <row r="45" spans="1:10" ht="12.5">
      <c r="A45" s="4" t="s">
        <v>7</v>
      </c>
      <c r="B45" s="32" t="s">
        <v>72</v>
      </c>
      <c r="C45" s="14" t="s">
        <v>9</v>
      </c>
      <c r="D45" s="14" t="s">
        <v>9</v>
      </c>
      <c r="E45" s="21" t="s">
        <v>28</v>
      </c>
      <c r="F45" s="15"/>
      <c r="G45" s="3"/>
    </row>
    <row r="46" spans="1:10" ht="12.5">
      <c r="A46" s="4" t="s">
        <v>7</v>
      </c>
      <c r="B46" s="32" t="s">
        <v>73</v>
      </c>
      <c r="C46" s="14" t="s">
        <v>9</v>
      </c>
      <c r="D46" s="14" t="s">
        <v>9</v>
      </c>
      <c r="E46" s="14" t="s">
        <v>9</v>
      </c>
      <c r="F46" s="15"/>
      <c r="G46" s="3" t="s">
        <v>16</v>
      </c>
    </row>
    <row r="47" spans="1:10" ht="12.5">
      <c r="A47" s="4" t="s">
        <v>7</v>
      </c>
      <c r="B47" s="33" t="s">
        <v>74</v>
      </c>
      <c r="C47" s="10" t="s">
        <v>9</v>
      </c>
      <c r="D47" s="10" t="s">
        <v>9</v>
      </c>
      <c r="E47" s="10" t="s">
        <v>9</v>
      </c>
      <c r="F47" s="18"/>
      <c r="G47" s="3" t="s">
        <v>16</v>
      </c>
    </row>
    <row r="48" spans="1:10" ht="12.5">
      <c r="A48" s="4" t="s">
        <v>7</v>
      </c>
      <c r="B48" s="5" t="s">
        <v>75</v>
      </c>
      <c r="C48" s="6" t="s">
        <v>9</v>
      </c>
      <c r="D48" s="6" t="s">
        <v>9</v>
      </c>
      <c r="E48" s="2" t="s">
        <v>50</v>
      </c>
      <c r="F48" s="26"/>
      <c r="G48" s="3" t="s">
        <v>16</v>
      </c>
    </row>
    <row r="49" spans="1:7" ht="12.5">
      <c r="A49" s="4" t="s">
        <v>7</v>
      </c>
      <c r="B49" s="13" t="s">
        <v>76</v>
      </c>
      <c r="C49" s="14" t="s">
        <v>9</v>
      </c>
      <c r="D49" s="14" t="s">
        <v>9</v>
      </c>
      <c r="E49" s="2" t="s">
        <v>50</v>
      </c>
      <c r="F49" s="15"/>
      <c r="G49" s="3" t="s">
        <v>16</v>
      </c>
    </row>
    <row r="50" spans="1:7" ht="12.5">
      <c r="A50" s="4" t="s">
        <v>7</v>
      </c>
      <c r="B50" s="13" t="s">
        <v>77</v>
      </c>
      <c r="C50" s="14" t="s">
        <v>9</v>
      </c>
      <c r="D50" s="14" t="s">
        <v>9</v>
      </c>
      <c r="E50" s="7" t="s">
        <v>10</v>
      </c>
      <c r="F50" s="15"/>
      <c r="G50" s="3" t="s">
        <v>16</v>
      </c>
    </row>
    <row r="51" spans="1:7" ht="12.5">
      <c r="A51" s="4" t="s">
        <v>7</v>
      </c>
      <c r="B51" s="9" t="s">
        <v>78</v>
      </c>
      <c r="C51" s="10" t="s">
        <v>9</v>
      </c>
      <c r="D51" s="10" t="s">
        <v>9</v>
      </c>
      <c r="E51" s="7" t="s">
        <v>10</v>
      </c>
      <c r="F51" s="18"/>
      <c r="G51" s="3" t="s">
        <v>16</v>
      </c>
    </row>
    <row r="52" spans="1:7" ht="12.5">
      <c r="A52" s="34"/>
      <c r="B52" s="34"/>
      <c r="D52" s="35"/>
    </row>
    <row r="53" spans="1:7" ht="12.5">
      <c r="A53" s="34"/>
      <c r="B53" s="34"/>
      <c r="D53" s="35" t="s">
        <v>79</v>
      </c>
      <c r="E53" s="14" t="s">
        <v>9</v>
      </c>
    </row>
    <row r="54" spans="1:7" ht="12.5">
      <c r="A54" s="12"/>
      <c r="B54" s="12"/>
      <c r="D54" s="3">
        <v>4</v>
      </c>
      <c r="E54" s="20" t="s">
        <v>28</v>
      </c>
    </row>
    <row r="55" spans="1:7" ht="12.5">
      <c r="A55" s="34"/>
      <c r="B55" s="34"/>
      <c r="D55" s="3">
        <v>3</v>
      </c>
      <c r="E55" s="16" t="s">
        <v>18</v>
      </c>
    </row>
    <row r="56" spans="1:7" ht="12.5">
      <c r="A56" s="34"/>
      <c r="B56" s="34"/>
      <c r="D56" s="3">
        <v>2</v>
      </c>
      <c r="E56" s="2" t="s">
        <v>50</v>
      </c>
    </row>
    <row r="57" spans="1:7" ht="12.5">
      <c r="A57" s="34"/>
      <c r="B57" s="34"/>
      <c r="D57" s="3">
        <v>1</v>
      </c>
      <c r="E57" s="7" t="s">
        <v>10</v>
      </c>
    </row>
    <row r="58" spans="1:7" ht="12.5">
      <c r="A58" s="34"/>
      <c r="B58" s="34"/>
    </row>
    <row r="59" spans="1:7" ht="12.5">
      <c r="A59" s="34"/>
      <c r="B59" s="34"/>
    </row>
    <row r="60" spans="1:7" ht="12.5">
      <c r="A60" s="34"/>
      <c r="B60" s="34"/>
    </row>
    <row r="61" spans="1:7" ht="12.5">
      <c r="A61" s="34"/>
      <c r="B61" s="34"/>
    </row>
    <row r="62" spans="1:7" ht="12.5">
      <c r="A62" s="34"/>
      <c r="B62" s="34"/>
    </row>
    <row r="63" spans="1:7" ht="12.5">
      <c r="A63" s="34"/>
      <c r="B63" s="34"/>
    </row>
    <row r="64" spans="1:7" ht="12.5">
      <c r="A64" s="34"/>
      <c r="B64" s="34"/>
    </row>
    <row r="65" spans="1:2" ht="12.5">
      <c r="A65" s="34"/>
      <c r="B65" s="34"/>
    </row>
    <row r="66" spans="1:2" ht="12.5">
      <c r="A66" s="34"/>
      <c r="B66" s="34"/>
    </row>
    <row r="67" spans="1:2" ht="12.5">
      <c r="A67" s="34"/>
      <c r="B67" s="34"/>
    </row>
    <row r="68" spans="1:2" ht="12.5">
      <c r="A68" s="34"/>
      <c r="B68" s="34"/>
    </row>
    <row r="69" spans="1:2" ht="12.5">
      <c r="A69" s="34"/>
      <c r="B69" s="34"/>
    </row>
    <row r="70" spans="1:2" ht="12.5">
      <c r="A70" s="34"/>
      <c r="B70" s="34"/>
    </row>
    <row r="71" spans="1:2" ht="12.5">
      <c r="A71" s="34"/>
      <c r="B71" s="34"/>
    </row>
    <row r="72" spans="1:2" ht="12.5">
      <c r="A72" s="34"/>
      <c r="B72" s="34"/>
    </row>
    <row r="73" spans="1:2" ht="12.5">
      <c r="A73" s="34"/>
      <c r="B73" s="34"/>
    </row>
    <row r="74" spans="1:2" ht="12.5">
      <c r="A74" s="34"/>
      <c r="B74" s="34"/>
    </row>
    <row r="75" spans="1:2" ht="12.5">
      <c r="A75" s="34"/>
      <c r="B75" s="34"/>
    </row>
    <row r="76" spans="1:2" ht="12.5">
      <c r="A76" s="34"/>
      <c r="B76" s="34"/>
    </row>
    <row r="77" spans="1:2" ht="12.5">
      <c r="A77" s="34"/>
      <c r="B77" s="34"/>
    </row>
    <row r="78" spans="1:2" ht="12.5">
      <c r="A78" s="34"/>
      <c r="B78" s="34"/>
    </row>
    <row r="79" spans="1:2" ht="12.5">
      <c r="A79" s="34"/>
      <c r="B79" s="34"/>
    </row>
    <row r="80" spans="1:2" ht="12.5">
      <c r="A80" s="34"/>
      <c r="B80" s="34"/>
    </row>
    <row r="81" spans="1:2" ht="12.5">
      <c r="A81" s="34"/>
      <c r="B81" s="34"/>
    </row>
    <row r="82" spans="1:2" ht="12.5">
      <c r="A82" s="34"/>
      <c r="B82" s="34"/>
    </row>
    <row r="83" spans="1:2" ht="12.5">
      <c r="A83" s="34"/>
      <c r="B83" s="34"/>
    </row>
    <row r="84" spans="1:2" ht="12.5">
      <c r="A84" s="34"/>
      <c r="B84" s="34"/>
    </row>
    <row r="85" spans="1:2" ht="12.5">
      <c r="A85" s="34"/>
      <c r="B85" s="34"/>
    </row>
    <row r="86" spans="1:2" ht="12.5">
      <c r="A86" s="34"/>
      <c r="B86" s="34"/>
    </row>
    <row r="87" spans="1:2" ht="12.5">
      <c r="A87" s="34"/>
      <c r="B87" s="34"/>
    </row>
    <row r="88" spans="1:2" ht="12.5">
      <c r="A88" s="34"/>
      <c r="B88" s="34"/>
    </row>
    <row r="89" spans="1:2" ht="12.5">
      <c r="A89" s="34"/>
      <c r="B89" s="34"/>
    </row>
    <row r="90" spans="1:2" ht="12.5">
      <c r="A90" s="34"/>
      <c r="B90" s="34"/>
    </row>
    <row r="91" spans="1:2" ht="12.5">
      <c r="A91" s="34"/>
      <c r="B91" s="34"/>
    </row>
    <row r="92" spans="1:2" ht="12.5">
      <c r="A92" s="34"/>
      <c r="B92" s="34"/>
    </row>
    <row r="93" spans="1:2" ht="12.5">
      <c r="A93" s="34"/>
      <c r="B93" s="34"/>
    </row>
    <row r="94" spans="1:2" ht="12.5">
      <c r="A94" s="34"/>
      <c r="B94" s="34"/>
    </row>
    <row r="95" spans="1:2" ht="12.5">
      <c r="A95" s="34"/>
      <c r="B95" s="34"/>
    </row>
    <row r="96" spans="1:2" ht="12.5">
      <c r="A96" s="34"/>
      <c r="B96" s="34"/>
    </row>
    <row r="97" spans="1:2" ht="12.5">
      <c r="A97" s="34"/>
      <c r="B97" s="34"/>
    </row>
    <row r="98" spans="1:2" ht="12.5">
      <c r="A98" s="34"/>
      <c r="B98" s="34"/>
    </row>
    <row r="99" spans="1:2" ht="12.5">
      <c r="A99" s="34"/>
      <c r="B99" s="34"/>
    </row>
    <row r="100" spans="1:2" ht="12.5">
      <c r="A100" s="34"/>
      <c r="B100" s="34"/>
    </row>
    <row r="101" spans="1:2" ht="12.5">
      <c r="A101" s="34"/>
      <c r="B101" s="34"/>
    </row>
    <row r="102" spans="1:2" ht="12.5">
      <c r="A102" s="34"/>
      <c r="B102" s="34"/>
    </row>
    <row r="103" spans="1:2" ht="12.5">
      <c r="A103" s="34"/>
      <c r="B103" s="34"/>
    </row>
    <row r="104" spans="1:2" ht="12.5">
      <c r="A104" s="34"/>
      <c r="B104" s="34"/>
    </row>
    <row r="105" spans="1:2" ht="12.5">
      <c r="A105" s="34"/>
      <c r="B105" s="34"/>
    </row>
    <row r="106" spans="1:2" ht="12.5">
      <c r="A106" s="34"/>
      <c r="B106" s="34"/>
    </row>
    <row r="107" spans="1:2" ht="12.5">
      <c r="A107" s="34"/>
      <c r="B107" s="34"/>
    </row>
    <row r="108" spans="1:2" ht="12.5">
      <c r="A108" s="34"/>
      <c r="B108" s="34"/>
    </row>
    <row r="109" spans="1:2" ht="12.5">
      <c r="A109" s="34"/>
      <c r="B109" s="34"/>
    </row>
    <row r="110" spans="1:2" ht="12.5">
      <c r="A110" s="34"/>
      <c r="B110" s="34"/>
    </row>
    <row r="111" spans="1:2" ht="12.5">
      <c r="A111" s="34"/>
      <c r="B111" s="34"/>
    </row>
    <row r="112" spans="1:2" ht="12.5">
      <c r="A112" s="34"/>
      <c r="B112" s="34"/>
    </row>
    <row r="113" spans="1:2" ht="12.5">
      <c r="A113" s="34"/>
      <c r="B113" s="34"/>
    </row>
    <row r="114" spans="1:2" ht="12.5">
      <c r="A114" s="34"/>
      <c r="B114" s="34"/>
    </row>
    <row r="115" spans="1:2" ht="12.5">
      <c r="A115" s="34"/>
      <c r="B115" s="34"/>
    </row>
    <row r="116" spans="1:2" ht="12.5">
      <c r="A116" s="34"/>
      <c r="B116" s="34"/>
    </row>
    <row r="117" spans="1:2" ht="12.5">
      <c r="A117" s="34"/>
      <c r="B117" s="34"/>
    </row>
    <row r="118" spans="1:2" ht="12.5">
      <c r="A118" s="34"/>
      <c r="B118" s="34"/>
    </row>
    <row r="119" spans="1:2" ht="12.5">
      <c r="A119" s="34"/>
      <c r="B119" s="34"/>
    </row>
    <row r="120" spans="1:2" ht="12.5">
      <c r="A120" s="34"/>
      <c r="B120" s="34"/>
    </row>
    <row r="121" spans="1:2" ht="12.5">
      <c r="A121" s="34"/>
      <c r="B121" s="34"/>
    </row>
    <row r="122" spans="1:2" ht="12.5">
      <c r="A122" s="34"/>
      <c r="B122" s="34"/>
    </row>
    <row r="123" spans="1:2" ht="12.5">
      <c r="A123" s="34"/>
      <c r="B123" s="34"/>
    </row>
    <row r="124" spans="1:2" ht="12.5">
      <c r="A124" s="34"/>
      <c r="B124" s="34"/>
    </row>
    <row r="125" spans="1:2" ht="12.5">
      <c r="A125" s="34"/>
      <c r="B125" s="34"/>
    </row>
    <row r="126" spans="1:2" ht="12.5">
      <c r="A126" s="34"/>
      <c r="B126" s="34"/>
    </row>
    <row r="127" spans="1:2" ht="12.5">
      <c r="A127" s="34"/>
      <c r="B127" s="34"/>
    </row>
    <row r="128" spans="1:2" ht="12.5">
      <c r="A128" s="34"/>
      <c r="B128" s="34"/>
    </row>
    <row r="129" spans="1:2" ht="12.5">
      <c r="A129" s="34"/>
      <c r="B129" s="34"/>
    </row>
    <row r="130" spans="1:2" ht="12.5">
      <c r="A130" s="34"/>
      <c r="B130" s="34"/>
    </row>
    <row r="131" spans="1:2" ht="12.5">
      <c r="A131" s="34"/>
      <c r="B131" s="34"/>
    </row>
    <row r="132" spans="1:2" ht="12.5">
      <c r="A132" s="34"/>
      <c r="B132" s="34"/>
    </row>
    <row r="133" spans="1:2" ht="12.5">
      <c r="A133" s="34"/>
      <c r="B133" s="34"/>
    </row>
    <row r="134" spans="1:2" ht="12.5">
      <c r="A134" s="34"/>
      <c r="B134" s="34"/>
    </row>
    <row r="135" spans="1:2" ht="12.5">
      <c r="A135" s="34"/>
      <c r="B135" s="34"/>
    </row>
    <row r="136" spans="1:2" ht="12.5">
      <c r="A136" s="34"/>
      <c r="B136" s="34"/>
    </row>
    <row r="137" spans="1:2" ht="12.5">
      <c r="A137" s="34"/>
      <c r="B137" s="34"/>
    </row>
    <row r="138" spans="1:2" ht="12.5">
      <c r="A138" s="34"/>
      <c r="B138" s="34"/>
    </row>
    <row r="139" spans="1:2" ht="12.5">
      <c r="A139" s="34"/>
      <c r="B139" s="34"/>
    </row>
    <row r="140" spans="1:2" ht="12.5">
      <c r="A140" s="34"/>
      <c r="B140" s="34"/>
    </row>
    <row r="141" spans="1:2" ht="12.5">
      <c r="A141" s="34"/>
      <c r="B141" s="34"/>
    </row>
    <row r="142" spans="1:2" ht="12.5">
      <c r="A142" s="34"/>
      <c r="B142" s="34"/>
    </row>
    <row r="143" spans="1:2" ht="12.5">
      <c r="A143" s="34"/>
      <c r="B143" s="34"/>
    </row>
    <row r="144" spans="1:2" ht="12.5">
      <c r="A144" s="34"/>
      <c r="B144" s="34"/>
    </row>
    <row r="145" spans="1:2" ht="12.5">
      <c r="A145" s="34"/>
      <c r="B145" s="34"/>
    </row>
    <row r="146" spans="1:2" ht="12.5">
      <c r="A146" s="34"/>
      <c r="B146" s="34"/>
    </row>
    <row r="147" spans="1:2" ht="12.5">
      <c r="A147" s="34"/>
      <c r="B147" s="34"/>
    </row>
    <row r="148" spans="1:2" ht="12.5">
      <c r="A148" s="34"/>
      <c r="B148" s="34"/>
    </row>
    <row r="149" spans="1:2" ht="12.5">
      <c r="A149" s="34"/>
      <c r="B149" s="34"/>
    </row>
    <row r="150" spans="1:2" ht="12.5">
      <c r="A150" s="34"/>
      <c r="B150" s="34"/>
    </row>
    <row r="151" spans="1:2" ht="12.5">
      <c r="A151" s="34"/>
      <c r="B151" s="34"/>
    </row>
    <row r="152" spans="1:2" ht="12.5">
      <c r="A152" s="34"/>
      <c r="B152" s="34"/>
    </row>
    <row r="153" spans="1:2" ht="12.5">
      <c r="A153" s="34"/>
      <c r="B153" s="34"/>
    </row>
    <row r="154" spans="1:2" ht="12.5">
      <c r="A154" s="34"/>
      <c r="B154" s="34"/>
    </row>
    <row r="155" spans="1:2" ht="12.5">
      <c r="A155" s="34"/>
      <c r="B155" s="34"/>
    </row>
    <row r="156" spans="1:2" ht="12.5">
      <c r="A156" s="34"/>
      <c r="B156" s="34"/>
    </row>
    <row r="157" spans="1:2" ht="12.5">
      <c r="A157" s="34"/>
      <c r="B157" s="34"/>
    </row>
    <row r="158" spans="1:2" ht="12.5">
      <c r="A158" s="34"/>
      <c r="B158" s="34"/>
    </row>
    <row r="159" spans="1:2" ht="12.5">
      <c r="A159" s="34"/>
      <c r="B159" s="34"/>
    </row>
    <row r="160" spans="1:2" ht="12.5">
      <c r="A160" s="34"/>
      <c r="B160" s="34"/>
    </row>
    <row r="161" spans="1:2" ht="12.5">
      <c r="A161" s="34"/>
      <c r="B161" s="34"/>
    </row>
    <row r="162" spans="1:2" ht="12.5">
      <c r="A162" s="34"/>
      <c r="B162" s="34"/>
    </row>
    <row r="163" spans="1:2" ht="12.5">
      <c r="A163" s="34"/>
      <c r="B163" s="34"/>
    </row>
    <row r="164" spans="1:2" ht="12.5">
      <c r="A164" s="34"/>
      <c r="B164" s="34"/>
    </row>
    <row r="165" spans="1:2" ht="12.5">
      <c r="A165" s="34"/>
      <c r="B165" s="34"/>
    </row>
    <row r="166" spans="1:2" ht="12.5">
      <c r="A166" s="34"/>
      <c r="B166" s="34"/>
    </row>
    <row r="167" spans="1:2" ht="12.5">
      <c r="A167" s="34"/>
      <c r="B167" s="34"/>
    </row>
    <row r="168" spans="1:2" ht="12.5">
      <c r="A168" s="34"/>
      <c r="B168" s="34"/>
    </row>
    <row r="169" spans="1:2" ht="12.5">
      <c r="A169" s="34"/>
      <c r="B169" s="34"/>
    </row>
    <row r="170" spans="1:2" ht="12.5">
      <c r="A170" s="34"/>
      <c r="B170" s="34"/>
    </row>
    <row r="171" spans="1:2" ht="12.5">
      <c r="A171" s="34"/>
      <c r="B171" s="34"/>
    </row>
    <row r="172" spans="1:2" ht="12.5">
      <c r="A172" s="34"/>
      <c r="B172" s="34"/>
    </row>
    <row r="173" spans="1:2" ht="12.5">
      <c r="A173" s="34"/>
      <c r="B173" s="34"/>
    </row>
    <row r="174" spans="1:2" ht="12.5">
      <c r="A174" s="34"/>
      <c r="B174" s="34"/>
    </row>
    <row r="175" spans="1:2" ht="12.5">
      <c r="A175" s="34"/>
      <c r="B175" s="34"/>
    </row>
    <row r="176" spans="1:2" ht="12.5">
      <c r="A176" s="34"/>
      <c r="B176" s="34"/>
    </row>
    <row r="177" spans="1:2" ht="12.5">
      <c r="A177" s="34"/>
      <c r="B177" s="34"/>
    </row>
    <row r="178" spans="1:2" ht="12.5">
      <c r="A178" s="34"/>
      <c r="B178" s="34"/>
    </row>
    <row r="179" spans="1:2" ht="12.5">
      <c r="A179" s="34"/>
      <c r="B179" s="34"/>
    </row>
    <row r="180" spans="1:2" ht="12.5">
      <c r="A180" s="34"/>
      <c r="B180" s="34"/>
    </row>
    <row r="181" spans="1:2" ht="12.5">
      <c r="A181" s="34"/>
      <c r="B181" s="34"/>
    </row>
    <row r="182" spans="1:2" ht="12.5">
      <c r="A182" s="34"/>
      <c r="B182" s="34"/>
    </row>
    <row r="183" spans="1:2" ht="12.5">
      <c r="A183" s="34"/>
      <c r="B183" s="34"/>
    </row>
    <row r="184" spans="1:2" ht="12.5">
      <c r="A184" s="34"/>
      <c r="B184" s="34"/>
    </row>
    <row r="185" spans="1:2" ht="12.5">
      <c r="A185" s="34"/>
      <c r="B185" s="34"/>
    </row>
    <row r="186" spans="1:2" ht="12.5">
      <c r="A186" s="34"/>
      <c r="B186" s="34"/>
    </row>
    <row r="187" spans="1:2" ht="12.5">
      <c r="A187" s="34"/>
      <c r="B187" s="34"/>
    </row>
    <row r="188" spans="1:2" ht="12.5">
      <c r="A188" s="34"/>
      <c r="B188" s="34"/>
    </row>
    <row r="189" spans="1:2" ht="12.5">
      <c r="A189" s="34"/>
      <c r="B189" s="34"/>
    </row>
    <row r="190" spans="1:2" ht="12.5">
      <c r="A190" s="34"/>
      <c r="B190" s="34"/>
    </row>
    <row r="191" spans="1:2" ht="12.5">
      <c r="A191" s="34"/>
      <c r="B191" s="34"/>
    </row>
    <row r="192" spans="1:2" ht="12.5">
      <c r="A192" s="34"/>
      <c r="B192" s="34"/>
    </row>
    <row r="193" spans="1:2" ht="12.5">
      <c r="A193" s="34"/>
      <c r="B193" s="34"/>
    </row>
    <row r="194" spans="1:2" ht="12.5">
      <c r="A194" s="34"/>
      <c r="B194" s="34"/>
    </row>
    <row r="195" spans="1:2" ht="12.5">
      <c r="A195" s="34"/>
      <c r="B195" s="34"/>
    </row>
    <row r="196" spans="1:2" ht="12.5">
      <c r="A196" s="34"/>
      <c r="B196" s="34"/>
    </row>
    <row r="197" spans="1:2" ht="12.5">
      <c r="A197" s="34"/>
      <c r="B197" s="34"/>
    </row>
    <row r="198" spans="1:2" ht="12.5">
      <c r="A198" s="34"/>
      <c r="B198" s="34"/>
    </row>
    <row r="199" spans="1:2" ht="12.5">
      <c r="A199" s="34"/>
      <c r="B199" s="34"/>
    </row>
    <row r="200" spans="1:2" ht="12.5">
      <c r="A200" s="34"/>
      <c r="B200" s="34"/>
    </row>
    <row r="201" spans="1:2" ht="12.5">
      <c r="A201" s="34"/>
      <c r="B201" s="34"/>
    </row>
    <row r="202" spans="1:2" ht="12.5">
      <c r="A202" s="34"/>
      <c r="B202" s="34"/>
    </row>
    <row r="203" spans="1:2" ht="12.5">
      <c r="A203" s="34"/>
      <c r="B203" s="34"/>
    </row>
    <row r="204" spans="1:2" ht="12.5">
      <c r="A204" s="34"/>
      <c r="B204" s="34"/>
    </row>
    <row r="205" spans="1:2" ht="12.5">
      <c r="A205" s="34"/>
      <c r="B205" s="34"/>
    </row>
    <row r="206" spans="1:2" ht="12.5">
      <c r="A206" s="34"/>
      <c r="B206" s="34"/>
    </row>
    <row r="207" spans="1:2" ht="12.5">
      <c r="A207" s="34"/>
      <c r="B207" s="34"/>
    </row>
    <row r="208" spans="1:2" ht="12.5">
      <c r="A208" s="34"/>
      <c r="B208" s="34"/>
    </row>
    <row r="209" spans="1:2" ht="12.5">
      <c r="A209" s="34"/>
      <c r="B209" s="34"/>
    </row>
    <row r="210" spans="1:2" ht="12.5">
      <c r="A210" s="34"/>
      <c r="B210" s="34"/>
    </row>
    <row r="211" spans="1:2" ht="12.5">
      <c r="A211" s="34"/>
      <c r="B211" s="34"/>
    </row>
    <row r="212" spans="1:2" ht="12.5">
      <c r="A212" s="34"/>
      <c r="B212" s="34"/>
    </row>
    <row r="213" spans="1:2" ht="12.5">
      <c r="A213" s="34"/>
      <c r="B213" s="34"/>
    </row>
    <row r="214" spans="1:2" ht="12.5">
      <c r="A214" s="34"/>
      <c r="B214" s="34"/>
    </row>
    <row r="215" spans="1:2" ht="12.5">
      <c r="A215" s="34"/>
      <c r="B215" s="34"/>
    </row>
    <row r="216" spans="1:2" ht="12.5">
      <c r="A216" s="34"/>
      <c r="B216" s="34"/>
    </row>
    <row r="217" spans="1:2" ht="12.5">
      <c r="A217" s="34"/>
      <c r="B217" s="34"/>
    </row>
    <row r="218" spans="1:2" ht="12.5">
      <c r="A218" s="34"/>
      <c r="B218" s="34"/>
    </row>
    <row r="219" spans="1:2" ht="12.5">
      <c r="A219" s="34"/>
      <c r="B219" s="34"/>
    </row>
    <row r="220" spans="1:2" ht="12.5">
      <c r="A220" s="34"/>
      <c r="B220" s="34"/>
    </row>
    <row r="221" spans="1:2" ht="12.5">
      <c r="A221" s="34"/>
      <c r="B221" s="34"/>
    </row>
    <row r="222" spans="1:2" ht="12.5">
      <c r="A222" s="34"/>
      <c r="B222" s="34"/>
    </row>
    <row r="223" spans="1:2" ht="12.5">
      <c r="A223" s="34"/>
      <c r="B223" s="34"/>
    </row>
    <row r="224" spans="1:2" ht="12.5">
      <c r="A224" s="34"/>
      <c r="B224" s="34"/>
    </row>
    <row r="225" spans="1:2" ht="12.5">
      <c r="A225" s="34"/>
      <c r="B225" s="34"/>
    </row>
    <row r="226" spans="1:2" ht="12.5">
      <c r="A226" s="34"/>
      <c r="B226" s="34"/>
    </row>
    <row r="227" spans="1:2" ht="12.5">
      <c r="A227" s="34"/>
      <c r="B227" s="34"/>
    </row>
    <row r="228" spans="1:2" ht="12.5">
      <c r="A228" s="34"/>
      <c r="B228" s="34"/>
    </row>
    <row r="229" spans="1:2" ht="12.5">
      <c r="A229" s="34"/>
      <c r="B229" s="34"/>
    </row>
    <row r="230" spans="1:2" ht="12.5">
      <c r="A230" s="34"/>
      <c r="B230" s="34"/>
    </row>
    <row r="231" spans="1:2" ht="12.5">
      <c r="A231" s="34"/>
      <c r="B231" s="34"/>
    </row>
    <row r="232" spans="1:2" ht="12.5">
      <c r="A232" s="34"/>
      <c r="B232" s="34"/>
    </row>
    <row r="233" spans="1:2" ht="12.5">
      <c r="A233" s="34"/>
      <c r="B233" s="34"/>
    </row>
    <row r="234" spans="1:2" ht="12.5">
      <c r="A234" s="34"/>
      <c r="B234" s="34"/>
    </row>
    <row r="235" spans="1:2" ht="12.5">
      <c r="A235" s="34"/>
      <c r="B235" s="34"/>
    </row>
    <row r="236" spans="1:2" ht="12.5">
      <c r="A236" s="34"/>
      <c r="B236" s="34"/>
    </row>
    <row r="237" spans="1:2" ht="12.5">
      <c r="A237" s="34"/>
      <c r="B237" s="34"/>
    </row>
    <row r="238" spans="1:2" ht="12.5">
      <c r="A238" s="34"/>
      <c r="B238" s="34"/>
    </row>
    <row r="239" spans="1:2" ht="12.5">
      <c r="A239" s="34"/>
      <c r="B239" s="34"/>
    </row>
    <row r="240" spans="1:2" ht="12.5">
      <c r="A240" s="34"/>
      <c r="B240" s="34"/>
    </row>
    <row r="241" spans="1:2" ht="12.5">
      <c r="A241" s="34"/>
      <c r="B241" s="34"/>
    </row>
    <row r="242" spans="1:2" ht="12.5">
      <c r="A242" s="34"/>
      <c r="B242" s="34"/>
    </row>
    <row r="243" spans="1:2" ht="12.5">
      <c r="A243" s="34"/>
      <c r="B243" s="34"/>
    </row>
    <row r="244" spans="1:2" ht="12.5">
      <c r="A244" s="34"/>
      <c r="B244" s="34"/>
    </row>
    <row r="245" spans="1:2" ht="12.5">
      <c r="A245" s="34"/>
      <c r="B245" s="34"/>
    </row>
    <row r="246" spans="1:2" ht="12.5">
      <c r="A246" s="34"/>
      <c r="B246" s="34"/>
    </row>
    <row r="247" spans="1:2" ht="12.5">
      <c r="A247" s="34"/>
      <c r="B247" s="34"/>
    </row>
    <row r="248" spans="1:2" ht="12.5">
      <c r="A248" s="34"/>
      <c r="B248" s="34"/>
    </row>
    <row r="249" spans="1:2" ht="12.5">
      <c r="A249" s="34"/>
      <c r="B249" s="34"/>
    </row>
    <row r="250" spans="1:2" ht="12.5">
      <c r="A250" s="34"/>
      <c r="B250" s="34"/>
    </row>
    <row r="251" spans="1:2" ht="12.5">
      <c r="A251" s="34"/>
      <c r="B251" s="34"/>
    </row>
    <row r="252" spans="1:2" ht="12.5">
      <c r="A252" s="34"/>
      <c r="B252" s="34"/>
    </row>
    <row r="253" spans="1:2" ht="12.5">
      <c r="A253" s="34"/>
      <c r="B253" s="34"/>
    </row>
    <row r="254" spans="1:2" ht="12.5">
      <c r="A254" s="34"/>
      <c r="B254" s="34"/>
    </row>
    <row r="255" spans="1:2" ht="12.5">
      <c r="A255" s="34"/>
      <c r="B255" s="34"/>
    </row>
    <row r="256" spans="1:2" ht="12.5">
      <c r="A256" s="34"/>
      <c r="B256" s="34"/>
    </row>
    <row r="257" spans="1:2" ht="12.5">
      <c r="A257" s="34"/>
      <c r="B257" s="34"/>
    </row>
    <row r="258" spans="1:2" ht="12.5">
      <c r="A258" s="34"/>
      <c r="B258" s="34"/>
    </row>
    <row r="259" spans="1:2" ht="12.5">
      <c r="A259" s="34"/>
      <c r="B259" s="34"/>
    </row>
    <row r="260" spans="1:2" ht="12.5">
      <c r="A260" s="34"/>
      <c r="B260" s="34"/>
    </row>
    <row r="261" spans="1:2" ht="12.5">
      <c r="A261" s="34"/>
      <c r="B261" s="34"/>
    </row>
    <row r="262" spans="1:2" ht="12.5">
      <c r="A262" s="34"/>
      <c r="B262" s="34"/>
    </row>
    <row r="263" spans="1:2" ht="12.5">
      <c r="A263" s="34"/>
      <c r="B263" s="34"/>
    </row>
    <row r="264" spans="1:2" ht="12.5">
      <c r="A264" s="34"/>
      <c r="B264" s="34"/>
    </row>
    <row r="265" spans="1:2" ht="12.5">
      <c r="A265" s="34"/>
      <c r="B265" s="34"/>
    </row>
    <row r="266" spans="1:2" ht="12.5">
      <c r="A266" s="34"/>
      <c r="B266" s="34"/>
    </row>
    <row r="267" spans="1:2" ht="12.5">
      <c r="A267" s="34"/>
      <c r="B267" s="34"/>
    </row>
    <row r="268" spans="1:2" ht="12.5">
      <c r="A268" s="34"/>
      <c r="B268" s="34"/>
    </row>
    <row r="269" spans="1:2" ht="12.5">
      <c r="A269" s="34"/>
      <c r="B269" s="34"/>
    </row>
    <row r="270" spans="1:2" ht="12.5">
      <c r="A270" s="34"/>
      <c r="B270" s="34"/>
    </row>
    <row r="271" spans="1:2" ht="12.5">
      <c r="A271" s="34"/>
      <c r="B271" s="34"/>
    </row>
    <row r="272" spans="1:2" ht="12.5">
      <c r="A272" s="34"/>
      <c r="B272" s="34"/>
    </row>
    <row r="273" spans="1:2" ht="12.5">
      <c r="A273" s="34"/>
      <c r="B273" s="34"/>
    </row>
    <row r="274" spans="1:2" ht="12.5">
      <c r="A274" s="34"/>
      <c r="B274" s="34"/>
    </row>
    <row r="275" spans="1:2" ht="12.5">
      <c r="A275" s="34"/>
      <c r="B275" s="34"/>
    </row>
    <row r="276" spans="1:2" ht="12.5">
      <c r="A276" s="34"/>
      <c r="B276" s="34"/>
    </row>
    <row r="277" spans="1:2" ht="12.5">
      <c r="A277" s="34"/>
      <c r="B277" s="34"/>
    </row>
    <row r="278" spans="1:2" ht="12.5">
      <c r="A278" s="34"/>
      <c r="B278" s="34"/>
    </row>
    <row r="279" spans="1:2" ht="12.5">
      <c r="A279" s="34"/>
      <c r="B279" s="34"/>
    </row>
    <row r="280" spans="1:2" ht="12.5">
      <c r="A280" s="34"/>
      <c r="B280" s="34"/>
    </row>
    <row r="281" spans="1:2" ht="12.5">
      <c r="A281" s="34"/>
      <c r="B281" s="34"/>
    </row>
    <row r="282" spans="1:2" ht="12.5">
      <c r="A282" s="34"/>
      <c r="B282" s="34"/>
    </row>
    <row r="283" spans="1:2" ht="12.5">
      <c r="A283" s="34"/>
      <c r="B283" s="34"/>
    </row>
    <row r="284" spans="1:2" ht="12.5">
      <c r="A284" s="34"/>
      <c r="B284" s="34"/>
    </row>
    <row r="285" spans="1:2" ht="12.5">
      <c r="A285" s="34"/>
      <c r="B285" s="34"/>
    </row>
    <row r="286" spans="1:2" ht="12.5">
      <c r="A286" s="34"/>
      <c r="B286" s="34"/>
    </row>
    <row r="287" spans="1:2" ht="12.5">
      <c r="A287" s="34"/>
      <c r="B287" s="34"/>
    </row>
    <row r="288" spans="1:2" ht="12.5">
      <c r="A288" s="34"/>
      <c r="B288" s="34"/>
    </row>
    <row r="289" spans="1:2" ht="12.5">
      <c r="A289" s="34"/>
      <c r="B289" s="34"/>
    </row>
    <row r="290" spans="1:2" ht="12.5">
      <c r="A290" s="34"/>
      <c r="B290" s="34"/>
    </row>
    <row r="291" spans="1:2" ht="12.5">
      <c r="A291" s="34"/>
      <c r="B291" s="34"/>
    </row>
    <row r="292" spans="1:2" ht="12.5">
      <c r="A292" s="34"/>
      <c r="B292" s="34"/>
    </row>
    <row r="293" spans="1:2" ht="12.5">
      <c r="A293" s="34"/>
      <c r="B293" s="34"/>
    </row>
    <row r="294" spans="1:2" ht="12.5">
      <c r="A294" s="34"/>
      <c r="B294" s="34"/>
    </row>
    <row r="295" spans="1:2" ht="12.5">
      <c r="A295" s="34"/>
      <c r="B295" s="34"/>
    </row>
    <row r="296" spans="1:2" ht="12.5">
      <c r="A296" s="34"/>
      <c r="B296" s="34"/>
    </row>
    <row r="297" spans="1:2" ht="12.5">
      <c r="A297" s="34"/>
      <c r="B297" s="34"/>
    </row>
    <row r="298" spans="1:2" ht="12.5">
      <c r="A298" s="34"/>
      <c r="B298" s="34"/>
    </row>
    <row r="299" spans="1:2" ht="12.5">
      <c r="A299" s="34"/>
      <c r="B299" s="34"/>
    </row>
    <row r="300" spans="1:2" ht="12.5">
      <c r="A300" s="34"/>
      <c r="B300" s="34"/>
    </row>
    <row r="301" spans="1:2" ht="12.5">
      <c r="A301" s="34"/>
      <c r="B301" s="34"/>
    </row>
    <row r="302" spans="1:2" ht="12.5">
      <c r="A302" s="34"/>
      <c r="B302" s="34"/>
    </row>
    <row r="303" spans="1:2" ht="12.5">
      <c r="A303" s="34"/>
      <c r="B303" s="34"/>
    </row>
    <row r="304" spans="1:2" ht="12.5">
      <c r="A304" s="34"/>
      <c r="B304" s="34"/>
    </row>
    <row r="305" spans="1:2" ht="12.5">
      <c r="A305" s="34"/>
      <c r="B305" s="34"/>
    </row>
    <row r="306" spans="1:2" ht="12.5">
      <c r="A306" s="34"/>
      <c r="B306" s="34"/>
    </row>
    <row r="307" spans="1:2" ht="12.5">
      <c r="A307" s="34"/>
      <c r="B307" s="34"/>
    </row>
    <row r="308" spans="1:2" ht="12.5">
      <c r="A308" s="34"/>
      <c r="B308" s="34"/>
    </row>
    <row r="309" spans="1:2" ht="12.5">
      <c r="A309" s="34"/>
      <c r="B309" s="34"/>
    </row>
    <row r="310" spans="1:2" ht="12.5">
      <c r="A310" s="34"/>
      <c r="B310" s="34"/>
    </row>
    <row r="311" spans="1:2" ht="12.5">
      <c r="A311" s="34"/>
      <c r="B311" s="34"/>
    </row>
    <row r="312" spans="1:2" ht="12.5">
      <c r="A312" s="34"/>
      <c r="B312" s="34"/>
    </row>
    <row r="313" spans="1:2" ht="12.5">
      <c r="A313" s="34"/>
      <c r="B313" s="34"/>
    </row>
    <row r="314" spans="1:2" ht="12.5">
      <c r="A314" s="34"/>
      <c r="B314" s="34"/>
    </row>
    <row r="315" spans="1:2" ht="12.5">
      <c r="A315" s="34"/>
      <c r="B315" s="34"/>
    </row>
    <row r="316" spans="1:2" ht="12.5">
      <c r="A316" s="34"/>
      <c r="B316" s="34"/>
    </row>
    <row r="317" spans="1:2" ht="12.5">
      <c r="A317" s="34"/>
      <c r="B317" s="34"/>
    </row>
    <row r="318" spans="1:2" ht="12.5">
      <c r="A318" s="34"/>
      <c r="B318" s="34"/>
    </row>
    <row r="319" spans="1:2" ht="12.5">
      <c r="A319" s="34"/>
      <c r="B319" s="34"/>
    </row>
    <row r="320" spans="1:2" ht="12.5">
      <c r="A320" s="34"/>
      <c r="B320" s="34"/>
    </row>
    <row r="321" spans="1:2" ht="12.5">
      <c r="A321" s="34"/>
      <c r="B321" s="34"/>
    </row>
    <row r="322" spans="1:2" ht="12.5">
      <c r="A322" s="34"/>
      <c r="B322" s="34"/>
    </row>
    <row r="323" spans="1:2" ht="12.5">
      <c r="A323" s="34"/>
      <c r="B323" s="34"/>
    </row>
    <row r="324" spans="1:2" ht="12.5">
      <c r="A324" s="34"/>
      <c r="B324" s="34"/>
    </row>
    <row r="325" spans="1:2" ht="12.5">
      <c r="A325" s="34"/>
      <c r="B325" s="34"/>
    </row>
    <row r="326" spans="1:2" ht="12.5">
      <c r="A326" s="34"/>
      <c r="B326" s="34"/>
    </row>
    <row r="327" spans="1:2" ht="12.5">
      <c r="A327" s="34"/>
      <c r="B327" s="34"/>
    </row>
    <row r="328" spans="1:2" ht="12.5">
      <c r="A328" s="34"/>
      <c r="B328" s="34"/>
    </row>
    <row r="329" spans="1:2" ht="12.5">
      <c r="A329" s="34"/>
      <c r="B329" s="34"/>
    </row>
    <row r="330" spans="1:2" ht="12.5">
      <c r="A330" s="34"/>
      <c r="B330" s="34"/>
    </row>
    <row r="331" spans="1:2" ht="12.5">
      <c r="A331" s="34"/>
      <c r="B331" s="34"/>
    </row>
    <row r="332" spans="1:2" ht="12.5">
      <c r="A332" s="34"/>
      <c r="B332" s="34"/>
    </row>
    <row r="333" spans="1:2" ht="12.5">
      <c r="A333" s="34"/>
      <c r="B333" s="34"/>
    </row>
    <row r="334" spans="1:2" ht="12.5">
      <c r="A334" s="34"/>
      <c r="B334" s="34"/>
    </row>
    <row r="335" spans="1:2" ht="12.5">
      <c r="A335" s="34"/>
      <c r="B335" s="34"/>
    </row>
    <row r="336" spans="1:2" ht="12.5">
      <c r="A336" s="34"/>
      <c r="B336" s="34"/>
    </row>
    <row r="337" spans="1:2" ht="12.5">
      <c r="A337" s="34"/>
      <c r="B337" s="34"/>
    </row>
    <row r="338" spans="1:2" ht="12.5">
      <c r="A338" s="34"/>
      <c r="B338" s="34"/>
    </row>
    <row r="339" spans="1:2" ht="12.5">
      <c r="A339" s="34"/>
      <c r="B339" s="34"/>
    </row>
    <row r="340" spans="1:2" ht="12.5">
      <c r="A340" s="34"/>
      <c r="B340" s="34"/>
    </row>
    <row r="341" spans="1:2" ht="12.5">
      <c r="A341" s="34"/>
      <c r="B341" s="34"/>
    </row>
    <row r="342" spans="1:2" ht="12.5">
      <c r="A342" s="34"/>
      <c r="B342" s="34"/>
    </row>
    <row r="343" spans="1:2" ht="12.5">
      <c r="A343" s="34"/>
      <c r="B343" s="34"/>
    </row>
    <row r="344" spans="1:2" ht="12.5">
      <c r="A344" s="34"/>
      <c r="B344" s="34"/>
    </row>
    <row r="345" spans="1:2" ht="12.5">
      <c r="A345" s="34"/>
      <c r="B345" s="34"/>
    </row>
    <row r="346" spans="1:2" ht="12.5">
      <c r="A346" s="34"/>
      <c r="B346" s="34"/>
    </row>
    <row r="347" spans="1:2" ht="12.5">
      <c r="A347" s="34"/>
      <c r="B347" s="34"/>
    </row>
    <row r="348" spans="1:2" ht="12.5">
      <c r="A348" s="34"/>
      <c r="B348" s="34"/>
    </row>
    <row r="349" spans="1:2" ht="12.5">
      <c r="A349" s="34"/>
      <c r="B349" s="34"/>
    </row>
    <row r="350" spans="1:2" ht="12.5">
      <c r="A350" s="34"/>
      <c r="B350" s="34"/>
    </row>
    <row r="351" spans="1:2" ht="12.5">
      <c r="A351" s="34"/>
      <c r="B351" s="34"/>
    </row>
    <row r="352" spans="1:2" ht="12.5">
      <c r="A352" s="34"/>
      <c r="B352" s="34"/>
    </row>
    <row r="353" spans="1:2" ht="12.5">
      <c r="A353" s="34"/>
      <c r="B353" s="34"/>
    </row>
    <row r="354" spans="1:2" ht="12.5">
      <c r="A354" s="34"/>
      <c r="B354" s="34"/>
    </row>
    <row r="355" spans="1:2" ht="12.5">
      <c r="A355" s="34"/>
      <c r="B355" s="34"/>
    </row>
    <row r="356" spans="1:2" ht="12.5">
      <c r="A356" s="34"/>
      <c r="B356" s="34"/>
    </row>
    <row r="357" spans="1:2" ht="12.5">
      <c r="A357" s="34"/>
      <c r="B357" s="34"/>
    </row>
    <row r="358" spans="1:2" ht="12.5">
      <c r="A358" s="34"/>
      <c r="B358" s="34"/>
    </row>
    <row r="359" spans="1:2" ht="12.5">
      <c r="A359" s="34"/>
      <c r="B359" s="34"/>
    </row>
    <row r="360" spans="1:2" ht="12.5">
      <c r="A360" s="34"/>
      <c r="B360" s="34"/>
    </row>
    <row r="361" spans="1:2" ht="12.5">
      <c r="A361" s="34"/>
      <c r="B361" s="34"/>
    </row>
    <row r="362" spans="1:2" ht="12.5">
      <c r="A362" s="34"/>
      <c r="B362" s="34"/>
    </row>
    <row r="363" spans="1:2" ht="12.5">
      <c r="A363" s="34"/>
      <c r="B363" s="34"/>
    </row>
    <row r="364" spans="1:2" ht="12.5">
      <c r="A364" s="34"/>
      <c r="B364" s="34"/>
    </row>
    <row r="365" spans="1:2" ht="12.5">
      <c r="A365" s="34"/>
      <c r="B365" s="34"/>
    </row>
    <row r="366" spans="1:2" ht="12.5">
      <c r="A366" s="34"/>
      <c r="B366" s="34"/>
    </row>
    <row r="367" spans="1:2" ht="12.5">
      <c r="A367" s="34"/>
      <c r="B367" s="34"/>
    </row>
    <row r="368" spans="1:2" ht="12.5">
      <c r="A368" s="34"/>
      <c r="B368" s="34"/>
    </row>
    <row r="369" spans="1:2" ht="12.5">
      <c r="A369" s="34"/>
      <c r="B369" s="34"/>
    </row>
    <row r="370" spans="1:2" ht="12.5">
      <c r="A370" s="34"/>
      <c r="B370" s="34"/>
    </row>
    <row r="371" spans="1:2" ht="12.5">
      <c r="A371" s="34"/>
      <c r="B371" s="34"/>
    </row>
    <row r="372" spans="1:2" ht="12.5">
      <c r="A372" s="34"/>
      <c r="B372" s="34"/>
    </row>
    <row r="373" spans="1:2" ht="12.5">
      <c r="A373" s="34"/>
      <c r="B373" s="34"/>
    </row>
    <row r="374" spans="1:2" ht="12.5">
      <c r="A374" s="34"/>
      <c r="B374" s="34"/>
    </row>
    <row r="375" spans="1:2" ht="12.5">
      <c r="A375" s="34"/>
      <c r="B375" s="34"/>
    </row>
    <row r="376" spans="1:2" ht="12.5">
      <c r="A376" s="34"/>
      <c r="B376" s="34"/>
    </row>
    <row r="377" spans="1:2" ht="12.5">
      <c r="A377" s="34"/>
      <c r="B377" s="34"/>
    </row>
    <row r="378" spans="1:2" ht="12.5">
      <c r="A378" s="34"/>
      <c r="B378" s="34"/>
    </row>
    <row r="379" spans="1:2" ht="12.5">
      <c r="A379" s="34"/>
      <c r="B379" s="34"/>
    </row>
    <row r="380" spans="1:2" ht="12.5">
      <c r="A380" s="34"/>
      <c r="B380" s="34"/>
    </row>
    <row r="381" spans="1:2" ht="12.5">
      <c r="A381" s="34"/>
      <c r="B381" s="34"/>
    </row>
    <row r="382" spans="1:2" ht="12.5">
      <c r="A382" s="34"/>
      <c r="B382" s="34"/>
    </row>
    <row r="383" spans="1:2" ht="12.5">
      <c r="A383" s="34"/>
      <c r="B383" s="34"/>
    </row>
    <row r="384" spans="1:2" ht="12.5">
      <c r="A384" s="34"/>
      <c r="B384" s="34"/>
    </row>
    <row r="385" spans="1:2" ht="12.5">
      <c r="A385" s="34"/>
      <c r="B385" s="34"/>
    </row>
    <row r="386" spans="1:2" ht="12.5">
      <c r="A386" s="34"/>
      <c r="B386" s="34"/>
    </row>
    <row r="387" spans="1:2" ht="12.5">
      <c r="A387" s="34"/>
      <c r="B387" s="34"/>
    </row>
    <row r="388" spans="1:2" ht="12.5">
      <c r="A388" s="34"/>
      <c r="B388" s="34"/>
    </row>
    <row r="389" spans="1:2" ht="12.5">
      <c r="A389" s="34"/>
      <c r="B389" s="34"/>
    </row>
    <row r="390" spans="1:2" ht="12.5">
      <c r="A390" s="34"/>
      <c r="B390" s="34"/>
    </row>
    <row r="391" spans="1:2" ht="12.5">
      <c r="A391" s="34"/>
      <c r="B391" s="34"/>
    </row>
    <row r="392" spans="1:2" ht="12.5">
      <c r="A392" s="34"/>
      <c r="B392" s="34"/>
    </row>
    <row r="393" spans="1:2" ht="12.5">
      <c r="A393" s="34"/>
      <c r="B393" s="34"/>
    </row>
    <row r="394" spans="1:2" ht="12.5">
      <c r="A394" s="34"/>
      <c r="B394" s="34"/>
    </row>
    <row r="395" spans="1:2" ht="12.5">
      <c r="A395" s="34"/>
      <c r="B395" s="34"/>
    </row>
    <row r="396" spans="1:2" ht="12.5">
      <c r="A396" s="34"/>
      <c r="B396" s="34"/>
    </row>
    <row r="397" spans="1:2" ht="12.5">
      <c r="A397" s="34"/>
      <c r="B397" s="34"/>
    </row>
    <row r="398" spans="1:2" ht="12.5">
      <c r="A398" s="34"/>
      <c r="B398" s="34"/>
    </row>
    <row r="399" spans="1:2" ht="12.5">
      <c r="A399" s="34"/>
      <c r="B399" s="34"/>
    </row>
    <row r="400" spans="1:2" ht="12.5">
      <c r="A400" s="34"/>
      <c r="B400" s="34"/>
    </row>
    <row r="401" spans="1:2" ht="12.5">
      <c r="A401" s="34"/>
      <c r="B401" s="34"/>
    </row>
    <row r="402" spans="1:2" ht="12.5">
      <c r="A402" s="34"/>
      <c r="B402" s="34"/>
    </row>
    <row r="403" spans="1:2" ht="12.5">
      <c r="A403" s="34"/>
      <c r="B403" s="34"/>
    </row>
    <row r="404" spans="1:2" ht="12.5">
      <c r="A404" s="34"/>
      <c r="B404" s="34"/>
    </row>
    <row r="405" spans="1:2" ht="12.5">
      <c r="A405" s="34"/>
      <c r="B405" s="34"/>
    </row>
    <row r="406" spans="1:2" ht="12.5">
      <c r="A406" s="34"/>
      <c r="B406" s="34"/>
    </row>
    <row r="407" spans="1:2" ht="12.5">
      <c r="A407" s="34"/>
      <c r="B407" s="34"/>
    </row>
    <row r="408" spans="1:2" ht="12.5">
      <c r="A408" s="34"/>
      <c r="B408" s="34"/>
    </row>
    <row r="409" spans="1:2" ht="12.5">
      <c r="A409" s="34"/>
      <c r="B409" s="34"/>
    </row>
    <row r="410" spans="1:2" ht="12.5">
      <c r="A410" s="34"/>
      <c r="B410" s="34"/>
    </row>
    <row r="411" spans="1:2" ht="12.5">
      <c r="A411" s="34"/>
      <c r="B411" s="34"/>
    </row>
    <row r="412" spans="1:2" ht="12.5">
      <c r="A412" s="34"/>
      <c r="B412" s="34"/>
    </row>
    <row r="413" spans="1:2" ht="12.5">
      <c r="A413" s="34"/>
      <c r="B413" s="34"/>
    </row>
    <row r="414" spans="1:2" ht="12.5">
      <c r="A414" s="34"/>
      <c r="B414" s="34"/>
    </row>
    <row r="415" spans="1:2" ht="12.5">
      <c r="A415" s="34"/>
      <c r="B415" s="34"/>
    </row>
    <row r="416" spans="1:2" ht="12.5">
      <c r="A416" s="34"/>
      <c r="B416" s="34"/>
    </row>
    <row r="417" spans="1:2" ht="12.5">
      <c r="A417" s="34"/>
      <c r="B417" s="34"/>
    </row>
    <row r="418" spans="1:2" ht="12.5">
      <c r="A418" s="34"/>
      <c r="B418" s="34"/>
    </row>
    <row r="419" spans="1:2" ht="12.5">
      <c r="A419" s="34"/>
      <c r="B419" s="34"/>
    </row>
    <row r="420" spans="1:2" ht="12.5">
      <c r="A420" s="34"/>
      <c r="B420" s="34"/>
    </row>
    <row r="421" spans="1:2" ht="12.5">
      <c r="A421" s="34"/>
      <c r="B421" s="34"/>
    </row>
    <row r="422" spans="1:2" ht="12.5">
      <c r="A422" s="34"/>
      <c r="B422" s="34"/>
    </row>
    <row r="423" spans="1:2" ht="12.5">
      <c r="A423" s="34"/>
      <c r="B423" s="34"/>
    </row>
    <row r="424" spans="1:2" ht="12.5">
      <c r="A424" s="34"/>
      <c r="B424" s="34"/>
    </row>
    <row r="425" spans="1:2" ht="12.5">
      <c r="A425" s="34"/>
      <c r="B425" s="34"/>
    </row>
    <row r="426" spans="1:2" ht="12.5">
      <c r="A426" s="34"/>
      <c r="B426" s="34"/>
    </row>
    <row r="427" spans="1:2" ht="12.5">
      <c r="A427" s="34"/>
      <c r="B427" s="34"/>
    </row>
    <row r="428" spans="1:2" ht="12.5">
      <c r="A428" s="34"/>
      <c r="B428" s="34"/>
    </row>
    <row r="429" spans="1:2" ht="12.5">
      <c r="A429" s="34"/>
      <c r="B429" s="34"/>
    </row>
    <row r="430" spans="1:2" ht="12.5">
      <c r="A430" s="34"/>
      <c r="B430" s="34"/>
    </row>
    <row r="431" spans="1:2" ht="12.5">
      <c r="A431" s="34"/>
      <c r="B431" s="34"/>
    </row>
    <row r="432" spans="1:2" ht="12.5">
      <c r="A432" s="34"/>
      <c r="B432" s="34"/>
    </row>
    <row r="433" spans="1:2" ht="12.5">
      <c r="A433" s="34"/>
      <c r="B433" s="34"/>
    </row>
    <row r="434" spans="1:2" ht="12.5">
      <c r="A434" s="34"/>
      <c r="B434" s="34"/>
    </row>
    <row r="435" spans="1:2" ht="12.5">
      <c r="A435" s="34"/>
      <c r="B435" s="34"/>
    </row>
    <row r="436" spans="1:2" ht="12.5">
      <c r="A436" s="34"/>
      <c r="B436" s="34"/>
    </row>
    <row r="437" spans="1:2" ht="12.5">
      <c r="A437" s="34"/>
      <c r="B437" s="34"/>
    </row>
    <row r="438" spans="1:2" ht="12.5">
      <c r="A438" s="34"/>
      <c r="B438" s="34"/>
    </row>
    <row r="439" spans="1:2" ht="12.5">
      <c r="A439" s="34"/>
      <c r="B439" s="34"/>
    </row>
    <row r="440" spans="1:2" ht="12.5">
      <c r="A440" s="34"/>
      <c r="B440" s="34"/>
    </row>
    <row r="441" spans="1:2" ht="12.5">
      <c r="A441" s="34"/>
      <c r="B441" s="34"/>
    </row>
    <row r="442" spans="1:2" ht="12.5">
      <c r="A442" s="34"/>
      <c r="B442" s="34"/>
    </row>
    <row r="443" spans="1:2" ht="12.5">
      <c r="A443" s="34"/>
      <c r="B443" s="34"/>
    </row>
    <row r="444" spans="1:2" ht="12.5">
      <c r="A444" s="34"/>
      <c r="B444" s="34"/>
    </row>
    <row r="445" spans="1:2" ht="12.5">
      <c r="A445" s="34"/>
      <c r="B445" s="34"/>
    </row>
    <row r="446" spans="1:2" ht="12.5">
      <c r="A446" s="34"/>
      <c r="B446" s="34"/>
    </row>
    <row r="447" spans="1:2" ht="12.5">
      <c r="A447" s="34"/>
      <c r="B447" s="34"/>
    </row>
    <row r="448" spans="1:2" ht="12.5">
      <c r="A448" s="34"/>
      <c r="B448" s="34"/>
    </row>
    <row r="449" spans="1:2" ht="12.5">
      <c r="A449" s="34"/>
      <c r="B449" s="34"/>
    </row>
    <row r="450" spans="1:2" ht="12.5">
      <c r="A450" s="34"/>
      <c r="B450" s="34"/>
    </row>
    <row r="451" spans="1:2" ht="12.5">
      <c r="A451" s="34"/>
      <c r="B451" s="34"/>
    </row>
    <row r="452" spans="1:2" ht="12.5">
      <c r="A452" s="34"/>
      <c r="B452" s="34"/>
    </row>
    <row r="453" spans="1:2" ht="12.5">
      <c r="A453" s="34"/>
      <c r="B453" s="34"/>
    </row>
    <row r="454" spans="1:2" ht="12.5">
      <c r="A454" s="34"/>
      <c r="B454" s="34"/>
    </row>
    <row r="455" spans="1:2" ht="12.5">
      <c r="A455" s="34"/>
      <c r="B455" s="34"/>
    </row>
    <row r="456" spans="1:2" ht="12.5">
      <c r="A456" s="34"/>
      <c r="B456" s="34"/>
    </row>
    <row r="457" spans="1:2" ht="12.5">
      <c r="A457" s="34"/>
      <c r="B457" s="34"/>
    </row>
    <row r="458" spans="1:2" ht="12.5">
      <c r="A458" s="34"/>
      <c r="B458" s="34"/>
    </row>
    <row r="459" spans="1:2" ht="12.5">
      <c r="A459" s="34"/>
      <c r="B459" s="34"/>
    </row>
    <row r="460" spans="1:2" ht="12.5">
      <c r="A460" s="34"/>
      <c r="B460" s="34"/>
    </row>
    <row r="461" spans="1:2" ht="12.5">
      <c r="A461" s="34"/>
      <c r="B461" s="34"/>
    </row>
    <row r="462" spans="1:2" ht="12.5">
      <c r="A462" s="34"/>
      <c r="B462" s="34"/>
    </row>
    <row r="463" spans="1:2" ht="12.5">
      <c r="A463" s="34"/>
      <c r="B463" s="34"/>
    </row>
    <row r="464" spans="1:2" ht="12.5">
      <c r="A464" s="34"/>
      <c r="B464" s="34"/>
    </row>
    <row r="465" spans="1:2" ht="12.5">
      <c r="A465" s="34"/>
      <c r="B465" s="34"/>
    </row>
    <row r="466" spans="1:2" ht="12.5">
      <c r="A466" s="34"/>
      <c r="B466" s="34"/>
    </row>
    <row r="467" spans="1:2" ht="12.5">
      <c r="A467" s="34"/>
      <c r="B467" s="34"/>
    </row>
    <row r="468" spans="1:2" ht="12.5">
      <c r="A468" s="34"/>
      <c r="B468" s="34"/>
    </row>
    <row r="469" spans="1:2" ht="12.5">
      <c r="A469" s="34"/>
      <c r="B469" s="34"/>
    </row>
    <row r="470" spans="1:2" ht="12.5">
      <c r="A470" s="34"/>
      <c r="B470" s="34"/>
    </row>
    <row r="471" spans="1:2" ht="12.5">
      <c r="A471" s="34"/>
      <c r="B471" s="34"/>
    </row>
    <row r="472" spans="1:2" ht="12.5">
      <c r="A472" s="34"/>
      <c r="B472" s="34"/>
    </row>
    <row r="473" spans="1:2" ht="12.5">
      <c r="A473" s="34"/>
      <c r="B473" s="34"/>
    </row>
    <row r="474" spans="1:2" ht="12.5">
      <c r="A474" s="34"/>
      <c r="B474" s="34"/>
    </row>
    <row r="475" spans="1:2" ht="12.5">
      <c r="A475" s="34"/>
      <c r="B475" s="34"/>
    </row>
    <row r="476" spans="1:2" ht="12.5">
      <c r="A476" s="34"/>
      <c r="B476" s="34"/>
    </row>
    <row r="477" spans="1:2" ht="12.5">
      <c r="A477" s="34"/>
      <c r="B477" s="34"/>
    </row>
    <row r="478" spans="1:2" ht="12.5">
      <c r="A478" s="34"/>
      <c r="B478" s="34"/>
    </row>
    <row r="479" spans="1:2" ht="12.5">
      <c r="A479" s="34"/>
      <c r="B479" s="34"/>
    </row>
    <row r="480" spans="1:2" ht="12.5">
      <c r="A480" s="34"/>
      <c r="B480" s="34"/>
    </row>
    <row r="481" spans="1:2" ht="12.5">
      <c r="A481" s="34"/>
      <c r="B481" s="34"/>
    </row>
    <row r="482" spans="1:2" ht="12.5">
      <c r="A482" s="34"/>
      <c r="B482" s="34"/>
    </row>
    <row r="483" spans="1:2" ht="12.5">
      <c r="A483" s="34"/>
      <c r="B483" s="34"/>
    </row>
    <row r="484" spans="1:2" ht="12.5">
      <c r="A484" s="34"/>
      <c r="B484" s="34"/>
    </row>
    <row r="485" spans="1:2" ht="12.5">
      <c r="A485" s="34"/>
      <c r="B485" s="34"/>
    </row>
    <row r="486" spans="1:2" ht="12.5">
      <c r="A486" s="34"/>
      <c r="B486" s="34"/>
    </row>
    <row r="487" spans="1:2" ht="12.5">
      <c r="A487" s="34"/>
      <c r="B487" s="34"/>
    </row>
    <row r="488" spans="1:2" ht="12.5">
      <c r="A488" s="34"/>
      <c r="B488" s="34"/>
    </row>
    <row r="489" spans="1:2" ht="12.5">
      <c r="A489" s="34"/>
      <c r="B489" s="34"/>
    </row>
    <row r="490" spans="1:2" ht="12.5">
      <c r="A490" s="34"/>
      <c r="B490" s="34"/>
    </row>
    <row r="491" spans="1:2" ht="12.5">
      <c r="A491" s="34"/>
      <c r="B491" s="34"/>
    </row>
    <row r="492" spans="1:2" ht="12.5">
      <c r="A492" s="34"/>
      <c r="B492" s="34"/>
    </row>
    <row r="493" spans="1:2" ht="12.5">
      <c r="A493" s="34"/>
      <c r="B493" s="34"/>
    </row>
    <row r="494" spans="1:2" ht="12.5">
      <c r="A494" s="34"/>
      <c r="B494" s="34"/>
    </row>
    <row r="495" spans="1:2" ht="12.5">
      <c r="A495" s="34"/>
      <c r="B495" s="34"/>
    </row>
    <row r="496" spans="1:2" ht="12.5">
      <c r="A496" s="34"/>
      <c r="B496" s="34"/>
    </row>
    <row r="497" spans="1:2" ht="12.5">
      <c r="A497" s="34"/>
      <c r="B497" s="34"/>
    </row>
    <row r="498" spans="1:2" ht="12.5">
      <c r="A498" s="34"/>
      <c r="B498" s="34"/>
    </row>
    <row r="499" spans="1:2" ht="12.5">
      <c r="A499" s="34"/>
      <c r="B499" s="34"/>
    </row>
    <row r="500" spans="1:2" ht="12.5">
      <c r="A500" s="34"/>
      <c r="B500" s="34"/>
    </row>
    <row r="501" spans="1:2" ht="12.5">
      <c r="A501" s="34"/>
      <c r="B501" s="34"/>
    </row>
    <row r="502" spans="1:2" ht="12.5">
      <c r="A502" s="34"/>
      <c r="B502" s="34"/>
    </row>
    <row r="503" spans="1:2" ht="12.5">
      <c r="A503" s="34"/>
      <c r="B503" s="34"/>
    </row>
    <row r="504" spans="1:2" ht="12.5">
      <c r="A504" s="34"/>
      <c r="B504" s="34"/>
    </row>
    <row r="505" spans="1:2" ht="12.5">
      <c r="A505" s="34"/>
      <c r="B505" s="34"/>
    </row>
    <row r="506" spans="1:2" ht="12.5">
      <c r="A506" s="34"/>
      <c r="B506" s="34"/>
    </row>
    <row r="507" spans="1:2" ht="12.5">
      <c r="A507" s="34"/>
      <c r="B507" s="34"/>
    </row>
    <row r="508" spans="1:2" ht="12.5">
      <c r="A508" s="34"/>
      <c r="B508" s="34"/>
    </row>
    <row r="509" spans="1:2" ht="12.5">
      <c r="A509" s="34"/>
      <c r="B509" s="34"/>
    </row>
    <row r="510" spans="1:2" ht="12.5">
      <c r="A510" s="34"/>
      <c r="B510" s="34"/>
    </row>
    <row r="511" spans="1:2" ht="12.5">
      <c r="A511" s="34"/>
      <c r="B511" s="34"/>
    </row>
    <row r="512" spans="1:2" ht="12.5">
      <c r="A512" s="34"/>
      <c r="B512" s="34"/>
    </row>
    <row r="513" spans="1:2" ht="12.5">
      <c r="A513" s="34"/>
      <c r="B513" s="34"/>
    </row>
    <row r="514" spans="1:2" ht="12.5">
      <c r="A514" s="34"/>
      <c r="B514" s="34"/>
    </row>
    <row r="515" spans="1:2" ht="12.5">
      <c r="A515" s="34"/>
      <c r="B515" s="34"/>
    </row>
    <row r="516" spans="1:2" ht="12.5">
      <c r="A516" s="34"/>
      <c r="B516" s="34"/>
    </row>
    <row r="517" spans="1:2" ht="12.5">
      <c r="A517" s="34"/>
      <c r="B517" s="34"/>
    </row>
    <row r="518" spans="1:2" ht="12.5">
      <c r="A518" s="34"/>
      <c r="B518" s="34"/>
    </row>
    <row r="519" spans="1:2" ht="12.5">
      <c r="A519" s="34"/>
      <c r="B519" s="34"/>
    </row>
    <row r="520" spans="1:2" ht="12.5">
      <c r="A520" s="34"/>
      <c r="B520" s="34"/>
    </row>
    <row r="521" spans="1:2" ht="12.5">
      <c r="A521" s="34"/>
      <c r="B521" s="34"/>
    </row>
    <row r="522" spans="1:2" ht="12.5">
      <c r="A522" s="34"/>
      <c r="B522" s="34"/>
    </row>
    <row r="523" spans="1:2" ht="12.5">
      <c r="A523" s="34"/>
      <c r="B523" s="34"/>
    </row>
    <row r="524" spans="1:2" ht="12.5">
      <c r="A524" s="34"/>
      <c r="B524" s="34"/>
    </row>
    <row r="525" spans="1:2" ht="12.5">
      <c r="A525" s="34"/>
      <c r="B525" s="34"/>
    </row>
    <row r="526" spans="1:2" ht="12.5">
      <c r="A526" s="34"/>
      <c r="B526" s="34"/>
    </row>
    <row r="527" spans="1:2" ht="12.5">
      <c r="A527" s="34"/>
      <c r="B527" s="34"/>
    </row>
    <row r="528" spans="1:2" ht="12.5">
      <c r="A528" s="34"/>
      <c r="B528" s="34"/>
    </row>
    <row r="529" spans="1:2" ht="12.5">
      <c r="A529" s="34"/>
      <c r="B529" s="34"/>
    </row>
    <row r="530" spans="1:2" ht="12.5">
      <c r="A530" s="34"/>
      <c r="B530" s="34"/>
    </row>
    <row r="531" spans="1:2" ht="12.5">
      <c r="A531" s="34"/>
      <c r="B531" s="34"/>
    </row>
    <row r="532" spans="1:2" ht="12.5">
      <c r="A532" s="34"/>
      <c r="B532" s="34"/>
    </row>
    <row r="533" spans="1:2" ht="12.5">
      <c r="A533" s="34"/>
      <c r="B533" s="34"/>
    </row>
    <row r="534" spans="1:2" ht="12.5">
      <c r="A534" s="34"/>
      <c r="B534" s="34"/>
    </row>
    <row r="535" spans="1:2" ht="12.5">
      <c r="A535" s="34"/>
      <c r="B535" s="34"/>
    </row>
    <row r="536" spans="1:2" ht="12.5">
      <c r="A536" s="34"/>
      <c r="B536" s="34"/>
    </row>
    <row r="537" spans="1:2" ht="12.5">
      <c r="A537" s="34"/>
      <c r="B537" s="34"/>
    </row>
    <row r="538" spans="1:2" ht="12.5">
      <c r="A538" s="34"/>
      <c r="B538" s="34"/>
    </row>
    <row r="539" spans="1:2" ht="12.5">
      <c r="A539" s="34"/>
      <c r="B539" s="34"/>
    </row>
    <row r="540" spans="1:2" ht="12.5">
      <c r="A540" s="34"/>
      <c r="B540" s="34"/>
    </row>
    <row r="541" spans="1:2" ht="12.5">
      <c r="A541" s="34"/>
      <c r="B541" s="34"/>
    </row>
    <row r="542" spans="1:2" ht="12.5">
      <c r="A542" s="34"/>
      <c r="B542" s="34"/>
    </row>
    <row r="543" spans="1:2" ht="12.5">
      <c r="A543" s="34"/>
      <c r="B543" s="34"/>
    </row>
    <row r="544" spans="1:2" ht="12.5">
      <c r="A544" s="34"/>
      <c r="B544" s="34"/>
    </row>
    <row r="545" spans="1:2" ht="12.5">
      <c r="A545" s="34"/>
      <c r="B545" s="34"/>
    </row>
    <row r="546" spans="1:2" ht="12.5">
      <c r="A546" s="34"/>
      <c r="B546" s="34"/>
    </row>
    <row r="547" spans="1:2" ht="12.5">
      <c r="A547" s="34"/>
      <c r="B547" s="34"/>
    </row>
    <row r="548" spans="1:2" ht="12.5">
      <c r="A548" s="34"/>
      <c r="B548" s="34"/>
    </row>
    <row r="549" spans="1:2" ht="12.5">
      <c r="A549" s="34"/>
      <c r="B549" s="34"/>
    </row>
    <row r="550" spans="1:2" ht="12.5">
      <c r="A550" s="34"/>
      <c r="B550" s="34"/>
    </row>
    <row r="551" spans="1:2" ht="12.5">
      <c r="A551" s="34"/>
      <c r="B551" s="34"/>
    </row>
    <row r="552" spans="1:2" ht="12.5">
      <c r="A552" s="34"/>
      <c r="B552" s="34"/>
    </row>
    <row r="553" spans="1:2" ht="12.5">
      <c r="A553" s="34"/>
      <c r="B553" s="34"/>
    </row>
    <row r="554" spans="1:2" ht="12.5">
      <c r="A554" s="34"/>
      <c r="B554" s="34"/>
    </row>
    <row r="555" spans="1:2" ht="12.5">
      <c r="A555" s="34"/>
      <c r="B555" s="34"/>
    </row>
    <row r="556" spans="1:2" ht="12.5">
      <c r="A556" s="34"/>
      <c r="B556" s="34"/>
    </row>
    <row r="557" spans="1:2" ht="12.5">
      <c r="A557" s="34"/>
      <c r="B557" s="34"/>
    </row>
    <row r="558" spans="1:2" ht="12.5">
      <c r="A558" s="34"/>
      <c r="B558" s="34"/>
    </row>
    <row r="559" spans="1:2" ht="12.5">
      <c r="A559" s="34"/>
      <c r="B559" s="34"/>
    </row>
    <row r="560" spans="1:2" ht="12.5">
      <c r="A560" s="34"/>
      <c r="B560" s="34"/>
    </row>
    <row r="561" spans="1:2" ht="12.5">
      <c r="A561" s="34"/>
      <c r="B561" s="34"/>
    </row>
    <row r="562" spans="1:2" ht="12.5">
      <c r="A562" s="34"/>
      <c r="B562" s="34"/>
    </row>
    <row r="563" spans="1:2" ht="12.5">
      <c r="A563" s="34"/>
      <c r="B563" s="34"/>
    </row>
    <row r="564" spans="1:2" ht="12.5">
      <c r="A564" s="34"/>
      <c r="B564" s="34"/>
    </row>
    <row r="565" spans="1:2" ht="12.5">
      <c r="A565" s="34"/>
      <c r="B565" s="34"/>
    </row>
    <row r="566" spans="1:2" ht="12.5">
      <c r="A566" s="34"/>
      <c r="B566" s="34"/>
    </row>
    <row r="567" spans="1:2" ht="12.5">
      <c r="A567" s="34"/>
      <c r="B567" s="34"/>
    </row>
    <row r="568" spans="1:2" ht="12.5">
      <c r="A568" s="34"/>
      <c r="B568" s="34"/>
    </row>
    <row r="569" spans="1:2" ht="12.5">
      <c r="A569" s="34"/>
      <c r="B569" s="34"/>
    </row>
    <row r="570" spans="1:2" ht="12.5">
      <c r="A570" s="34"/>
      <c r="B570" s="34"/>
    </row>
    <row r="571" spans="1:2" ht="12.5">
      <c r="A571" s="34"/>
      <c r="B571" s="34"/>
    </row>
    <row r="572" spans="1:2" ht="12.5">
      <c r="A572" s="34"/>
      <c r="B572" s="34"/>
    </row>
    <row r="573" spans="1:2" ht="12.5">
      <c r="A573" s="34"/>
      <c r="B573" s="34"/>
    </row>
    <row r="574" spans="1:2" ht="12.5">
      <c r="A574" s="34"/>
      <c r="B574" s="34"/>
    </row>
    <row r="575" spans="1:2" ht="12.5">
      <c r="A575" s="34"/>
      <c r="B575" s="34"/>
    </row>
    <row r="576" spans="1:2" ht="12.5">
      <c r="A576" s="34"/>
      <c r="B576" s="34"/>
    </row>
    <row r="577" spans="1:2" ht="12.5">
      <c r="A577" s="34"/>
      <c r="B577" s="34"/>
    </row>
    <row r="578" spans="1:2" ht="12.5">
      <c r="A578" s="34"/>
      <c r="B578" s="34"/>
    </row>
    <row r="579" spans="1:2" ht="12.5">
      <c r="A579" s="34"/>
      <c r="B579" s="34"/>
    </row>
    <row r="580" spans="1:2" ht="12.5">
      <c r="A580" s="34"/>
      <c r="B580" s="34"/>
    </row>
    <row r="581" spans="1:2" ht="12.5">
      <c r="A581" s="34"/>
      <c r="B581" s="34"/>
    </row>
    <row r="582" spans="1:2" ht="12.5">
      <c r="A582" s="34"/>
      <c r="B582" s="34"/>
    </row>
    <row r="583" spans="1:2" ht="12.5">
      <c r="A583" s="34"/>
      <c r="B583" s="34"/>
    </row>
    <row r="584" spans="1:2" ht="12.5">
      <c r="A584" s="34"/>
      <c r="B584" s="34"/>
    </row>
    <row r="585" spans="1:2" ht="12.5">
      <c r="A585" s="34"/>
      <c r="B585" s="34"/>
    </row>
    <row r="586" spans="1:2" ht="12.5">
      <c r="A586" s="34"/>
      <c r="B586" s="34"/>
    </row>
    <row r="587" spans="1:2" ht="12.5">
      <c r="A587" s="34"/>
      <c r="B587" s="34"/>
    </row>
    <row r="588" spans="1:2" ht="12.5">
      <c r="A588" s="34"/>
      <c r="B588" s="34"/>
    </row>
    <row r="589" spans="1:2" ht="12.5">
      <c r="A589" s="34"/>
      <c r="B589" s="34"/>
    </row>
    <row r="590" spans="1:2" ht="12.5">
      <c r="A590" s="34"/>
      <c r="B590" s="34"/>
    </row>
    <row r="591" spans="1:2" ht="12.5">
      <c r="A591" s="34"/>
      <c r="B591" s="34"/>
    </row>
    <row r="592" spans="1:2" ht="12.5">
      <c r="A592" s="34"/>
      <c r="B592" s="34"/>
    </row>
    <row r="593" spans="1:2" ht="12.5">
      <c r="A593" s="34"/>
      <c r="B593" s="34"/>
    </row>
    <row r="594" spans="1:2" ht="12.5">
      <c r="A594" s="34"/>
      <c r="B594" s="34"/>
    </row>
    <row r="595" spans="1:2" ht="12.5">
      <c r="A595" s="34"/>
      <c r="B595" s="34"/>
    </row>
    <row r="596" spans="1:2" ht="12.5">
      <c r="A596" s="34"/>
      <c r="B596" s="34"/>
    </row>
    <row r="597" spans="1:2" ht="12.5">
      <c r="A597" s="34"/>
      <c r="B597" s="34"/>
    </row>
    <row r="598" spans="1:2" ht="12.5">
      <c r="A598" s="34"/>
      <c r="B598" s="34"/>
    </row>
    <row r="599" spans="1:2" ht="12.5">
      <c r="A599" s="34"/>
      <c r="B599" s="34"/>
    </row>
    <row r="600" spans="1:2" ht="12.5">
      <c r="A600" s="34"/>
      <c r="B600" s="34"/>
    </row>
    <row r="601" spans="1:2" ht="12.5">
      <c r="A601" s="34"/>
      <c r="B601" s="34"/>
    </row>
    <row r="602" spans="1:2" ht="12.5">
      <c r="A602" s="34"/>
      <c r="B602" s="34"/>
    </row>
    <row r="603" spans="1:2" ht="12.5">
      <c r="A603" s="34"/>
      <c r="B603" s="34"/>
    </row>
    <row r="604" spans="1:2" ht="12.5">
      <c r="A604" s="34"/>
      <c r="B604" s="34"/>
    </row>
    <row r="605" spans="1:2" ht="12.5">
      <c r="A605" s="34"/>
      <c r="B605" s="34"/>
    </row>
    <row r="606" spans="1:2" ht="12.5">
      <c r="A606" s="34"/>
      <c r="B606" s="34"/>
    </row>
    <row r="607" spans="1:2" ht="12.5">
      <c r="A607" s="34"/>
      <c r="B607" s="34"/>
    </row>
    <row r="608" spans="1:2" ht="12.5">
      <c r="A608" s="34"/>
      <c r="B608" s="34"/>
    </row>
    <row r="609" spans="1:2" ht="12.5">
      <c r="A609" s="34"/>
      <c r="B609" s="34"/>
    </row>
    <row r="610" spans="1:2" ht="12.5">
      <c r="A610" s="34"/>
      <c r="B610" s="34"/>
    </row>
    <row r="611" spans="1:2" ht="12.5">
      <c r="A611" s="34"/>
      <c r="B611" s="34"/>
    </row>
    <row r="612" spans="1:2" ht="12.5">
      <c r="A612" s="34"/>
      <c r="B612" s="34"/>
    </row>
    <row r="613" spans="1:2" ht="12.5">
      <c r="A613" s="34"/>
      <c r="B613" s="34"/>
    </row>
    <row r="614" spans="1:2" ht="12.5">
      <c r="A614" s="34"/>
      <c r="B614" s="34"/>
    </row>
    <row r="615" spans="1:2" ht="12.5">
      <c r="A615" s="34"/>
      <c r="B615" s="34"/>
    </row>
    <row r="616" spans="1:2" ht="12.5">
      <c r="A616" s="34"/>
      <c r="B616" s="34"/>
    </row>
    <row r="617" spans="1:2" ht="12.5">
      <c r="A617" s="34"/>
      <c r="B617" s="34"/>
    </row>
    <row r="618" spans="1:2" ht="12.5">
      <c r="A618" s="34"/>
      <c r="B618" s="34"/>
    </row>
    <row r="619" spans="1:2" ht="12.5">
      <c r="A619" s="34"/>
      <c r="B619" s="34"/>
    </row>
    <row r="620" spans="1:2" ht="12.5">
      <c r="A620" s="34"/>
      <c r="B620" s="34"/>
    </row>
    <row r="621" spans="1:2" ht="12.5">
      <c r="A621" s="34"/>
      <c r="B621" s="34"/>
    </row>
    <row r="622" spans="1:2" ht="12.5">
      <c r="A622" s="34"/>
      <c r="B622" s="34"/>
    </row>
    <row r="623" spans="1:2" ht="12.5">
      <c r="A623" s="34"/>
      <c r="B623" s="34"/>
    </row>
    <row r="624" spans="1:2" ht="12.5">
      <c r="A624" s="34"/>
      <c r="B624" s="34"/>
    </row>
    <row r="625" spans="1:2" ht="12.5">
      <c r="A625" s="34"/>
      <c r="B625" s="34"/>
    </row>
    <row r="626" spans="1:2" ht="12.5">
      <c r="A626" s="34"/>
      <c r="B626" s="34"/>
    </row>
    <row r="627" spans="1:2" ht="12.5">
      <c r="A627" s="34"/>
      <c r="B627" s="34"/>
    </row>
    <row r="628" spans="1:2" ht="12.5">
      <c r="A628" s="34"/>
      <c r="B628" s="34"/>
    </row>
    <row r="629" spans="1:2" ht="12.5">
      <c r="A629" s="34"/>
      <c r="B629" s="34"/>
    </row>
    <row r="630" spans="1:2" ht="12.5">
      <c r="A630" s="34"/>
      <c r="B630" s="34"/>
    </row>
    <row r="631" spans="1:2" ht="12.5">
      <c r="A631" s="34"/>
      <c r="B631" s="34"/>
    </row>
    <row r="632" spans="1:2" ht="12.5">
      <c r="A632" s="34"/>
      <c r="B632" s="34"/>
    </row>
    <row r="633" spans="1:2" ht="12.5">
      <c r="A633" s="34"/>
      <c r="B633" s="34"/>
    </row>
    <row r="634" spans="1:2" ht="12.5">
      <c r="A634" s="34"/>
      <c r="B634" s="34"/>
    </row>
    <row r="635" spans="1:2" ht="12.5">
      <c r="A635" s="34"/>
      <c r="B635" s="34"/>
    </row>
    <row r="636" spans="1:2" ht="12.5">
      <c r="A636" s="34"/>
      <c r="B636" s="34"/>
    </row>
    <row r="637" spans="1:2" ht="12.5">
      <c r="A637" s="34"/>
      <c r="B637" s="34"/>
    </row>
    <row r="638" spans="1:2" ht="12.5">
      <c r="A638" s="34"/>
      <c r="B638" s="34"/>
    </row>
    <row r="639" spans="1:2" ht="12.5">
      <c r="A639" s="34"/>
      <c r="B639" s="34"/>
    </row>
    <row r="640" spans="1:2" ht="12.5">
      <c r="A640" s="34"/>
      <c r="B640" s="34"/>
    </row>
    <row r="641" spans="1:2" ht="12.5">
      <c r="A641" s="34"/>
      <c r="B641" s="34"/>
    </row>
    <row r="642" spans="1:2" ht="12.5">
      <c r="A642" s="34"/>
      <c r="B642" s="34"/>
    </row>
    <row r="643" spans="1:2" ht="12.5">
      <c r="A643" s="34"/>
      <c r="B643" s="34"/>
    </row>
    <row r="644" spans="1:2" ht="12.5">
      <c r="A644" s="34"/>
      <c r="B644" s="34"/>
    </row>
    <row r="645" spans="1:2" ht="12.5">
      <c r="A645" s="34"/>
      <c r="B645" s="34"/>
    </row>
    <row r="646" spans="1:2" ht="12.5">
      <c r="A646" s="34"/>
      <c r="B646" s="34"/>
    </row>
    <row r="647" spans="1:2" ht="12.5">
      <c r="A647" s="34"/>
      <c r="B647" s="34"/>
    </row>
    <row r="648" spans="1:2" ht="12.5">
      <c r="A648" s="34"/>
      <c r="B648" s="34"/>
    </row>
    <row r="649" spans="1:2" ht="12.5">
      <c r="A649" s="34"/>
      <c r="B649" s="34"/>
    </row>
    <row r="650" spans="1:2" ht="12.5">
      <c r="A650" s="34"/>
      <c r="B650" s="34"/>
    </row>
    <row r="651" spans="1:2" ht="12.5">
      <c r="A651" s="34"/>
      <c r="B651" s="34"/>
    </row>
    <row r="652" spans="1:2" ht="12.5">
      <c r="A652" s="34"/>
      <c r="B652" s="34"/>
    </row>
    <row r="653" spans="1:2" ht="12.5">
      <c r="A653" s="34"/>
      <c r="B653" s="34"/>
    </row>
    <row r="654" spans="1:2" ht="12.5">
      <c r="A654" s="34"/>
      <c r="B654" s="34"/>
    </row>
    <row r="655" spans="1:2" ht="12.5">
      <c r="A655" s="34"/>
      <c r="B655" s="34"/>
    </row>
    <row r="656" spans="1:2" ht="12.5">
      <c r="A656" s="34"/>
      <c r="B656" s="34"/>
    </row>
    <row r="657" spans="1:2" ht="12.5">
      <c r="A657" s="34"/>
      <c r="B657" s="34"/>
    </row>
    <row r="658" spans="1:2" ht="12.5">
      <c r="A658" s="34"/>
      <c r="B658" s="34"/>
    </row>
    <row r="659" spans="1:2" ht="12.5">
      <c r="A659" s="34"/>
      <c r="B659" s="34"/>
    </row>
    <row r="660" spans="1:2" ht="12.5">
      <c r="A660" s="34"/>
      <c r="B660" s="34"/>
    </row>
    <row r="661" spans="1:2" ht="12.5">
      <c r="A661" s="34"/>
      <c r="B661" s="34"/>
    </row>
    <row r="662" spans="1:2" ht="12.5">
      <c r="A662" s="34"/>
      <c r="B662" s="34"/>
    </row>
    <row r="663" spans="1:2" ht="12.5">
      <c r="A663" s="34"/>
      <c r="B663" s="34"/>
    </row>
    <row r="664" spans="1:2" ht="12.5">
      <c r="A664" s="34"/>
      <c r="B664" s="34"/>
    </row>
    <row r="665" spans="1:2" ht="12.5">
      <c r="A665" s="34"/>
      <c r="B665" s="34"/>
    </row>
    <row r="666" spans="1:2" ht="12.5">
      <c r="A666" s="34"/>
      <c r="B666" s="34"/>
    </row>
    <row r="667" spans="1:2" ht="12.5">
      <c r="A667" s="34"/>
      <c r="B667" s="34"/>
    </row>
    <row r="668" spans="1:2" ht="12.5">
      <c r="A668" s="34"/>
      <c r="B668" s="34"/>
    </row>
    <row r="669" spans="1:2" ht="12.5">
      <c r="A669" s="34"/>
      <c r="B669" s="34"/>
    </row>
    <row r="670" spans="1:2" ht="12.5">
      <c r="A670" s="34"/>
      <c r="B670" s="34"/>
    </row>
    <row r="671" spans="1:2" ht="12.5">
      <c r="A671" s="34"/>
      <c r="B671" s="34"/>
    </row>
    <row r="672" spans="1:2" ht="12.5">
      <c r="A672" s="34"/>
      <c r="B672" s="34"/>
    </row>
    <row r="673" spans="1:2" ht="12.5">
      <c r="A673" s="34"/>
      <c r="B673" s="34"/>
    </row>
    <row r="674" spans="1:2" ht="12.5">
      <c r="A674" s="34"/>
      <c r="B674" s="34"/>
    </row>
    <row r="675" spans="1:2" ht="12.5">
      <c r="A675" s="34"/>
      <c r="B675" s="34"/>
    </row>
    <row r="676" spans="1:2" ht="12.5">
      <c r="A676" s="34"/>
      <c r="B676" s="34"/>
    </row>
    <row r="677" spans="1:2" ht="12.5">
      <c r="A677" s="34"/>
      <c r="B677" s="34"/>
    </row>
    <row r="678" spans="1:2" ht="12.5">
      <c r="A678" s="34"/>
      <c r="B678" s="34"/>
    </row>
    <row r="679" spans="1:2" ht="12.5">
      <c r="A679" s="34"/>
      <c r="B679" s="34"/>
    </row>
    <row r="680" spans="1:2" ht="12.5">
      <c r="A680" s="34"/>
      <c r="B680" s="34"/>
    </row>
    <row r="681" spans="1:2" ht="12.5">
      <c r="A681" s="34"/>
      <c r="B681" s="34"/>
    </row>
    <row r="682" spans="1:2" ht="12.5">
      <c r="A682" s="34"/>
      <c r="B682" s="34"/>
    </row>
    <row r="683" spans="1:2" ht="12.5">
      <c r="A683" s="34"/>
      <c r="B683" s="34"/>
    </row>
    <row r="684" spans="1:2" ht="12.5">
      <c r="A684" s="34"/>
      <c r="B684" s="34"/>
    </row>
    <row r="685" spans="1:2" ht="12.5">
      <c r="A685" s="34"/>
      <c r="B685" s="34"/>
    </row>
    <row r="686" spans="1:2" ht="12.5">
      <c r="A686" s="34"/>
      <c r="B686" s="34"/>
    </row>
    <row r="687" spans="1:2" ht="12.5">
      <c r="A687" s="34"/>
      <c r="B687" s="34"/>
    </row>
    <row r="688" spans="1:2" ht="12.5">
      <c r="A688" s="34"/>
      <c r="B688" s="34"/>
    </row>
    <row r="689" spans="1:2" ht="12.5">
      <c r="A689" s="34"/>
      <c r="B689" s="34"/>
    </row>
    <row r="690" spans="1:2" ht="12.5">
      <c r="A690" s="34"/>
      <c r="B690" s="34"/>
    </row>
    <row r="691" spans="1:2" ht="12.5">
      <c r="A691" s="34"/>
      <c r="B691" s="34"/>
    </row>
    <row r="692" spans="1:2" ht="12.5">
      <c r="A692" s="34"/>
      <c r="B692" s="34"/>
    </row>
    <row r="693" spans="1:2" ht="12.5">
      <c r="A693" s="34"/>
      <c r="B693" s="34"/>
    </row>
    <row r="694" spans="1:2" ht="12.5">
      <c r="A694" s="34"/>
      <c r="B694" s="34"/>
    </row>
    <row r="695" spans="1:2" ht="12.5">
      <c r="A695" s="34"/>
      <c r="B695" s="34"/>
    </row>
    <row r="696" spans="1:2" ht="12.5">
      <c r="A696" s="34"/>
      <c r="B696" s="34"/>
    </row>
    <row r="697" spans="1:2" ht="12.5">
      <c r="A697" s="34"/>
      <c r="B697" s="34"/>
    </row>
    <row r="698" spans="1:2" ht="12.5">
      <c r="A698" s="34"/>
      <c r="B698" s="34"/>
    </row>
    <row r="699" spans="1:2" ht="12.5">
      <c r="A699" s="34"/>
      <c r="B699" s="34"/>
    </row>
    <row r="700" spans="1:2" ht="12.5">
      <c r="A700" s="34"/>
      <c r="B700" s="34"/>
    </row>
    <row r="701" spans="1:2" ht="12.5">
      <c r="A701" s="34"/>
      <c r="B701" s="34"/>
    </row>
    <row r="702" spans="1:2" ht="12.5">
      <c r="A702" s="34"/>
      <c r="B702" s="34"/>
    </row>
    <row r="703" spans="1:2" ht="12.5">
      <c r="A703" s="34"/>
      <c r="B703" s="34"/>
    </row>
    <row r="704" spans="1:2" ht="12.5">
      <c r="A704" s="34"/>
      <c r="B704" s="34"/>
    </row>
    <row r="705" spans="1:2" ht="12.5">
      <c r="A705" s="34"/>
      <c r="B705" s="34"/>
    </row>
    <row r="706" spans="1:2" ht="12.5">
      <c r="A706" s="34"/>
      <c r="B706" s="34"/>
    </row>
    <row r="707" spans="1:2" ht="12.5">
      <c r="A707" s="34"/>
      <c r="B707" s="34"/>
    </row>
    <row r="708" spans="1:2" ht="12.5">
      <c r="A708" s="34"/>
      <c r="B708" s="34"/>
    </row>
    <row r="709" spans="1:2" ht="12.5">
      <c r="A709" s="34"/>
      <c r="B709" s="34"/>
    </row>
    <row r="710" spans="1:2" ht="12.5">
      <c r="A710" s="34"/>
      <c r="B710" s="34"/>
    </row>
    <row r="711" spans="1:2" ht="12.5">
      <c r="A711" s="34"/>
      <c r="B711" s="34"/>
    </row>
    <row r="712" spans="1:2" ht="12.5">
      <c r="A712" s="34"/>
      <c r="B712" s="34"/>
    </row>
    <row r="713" spans="1:2" ht="12.5">
      <c r="A713" s="34"/>
      <c r="B713" s="34"/>
    </row>
    <row r="714" spans="1:2" ht="12.5">
      <c r="A714" s="34"/>
      <c r="B714" s="34"/>
    </row>
    <row r="715" spans="1:2" ht="12.5">
      <c r="A715" s="34"/>
      <c r="B715" s="34"/>
    </row>
    <row r="716" spans="1:2" ht="12.5">
      <c r="A716" s="34"/>
      <c r="B716" s="34"/>
    </row>
    <row r="717" spans="1:2" ht="12.5">
      <c r="A717" s="34"/>
      <c r="B717" s="34"/>
    </row>
    <row r="718" spans="1:2" ht="12.5">
      <c r="A718" s="34"/>
      <c r="B718" s="34"/>
    </row>
    <row r="719" spans="1:2" ht="12.5">
      <c r="A719" s="34"/>
      <c r="B719" s="34"/>
    </row>
    <row r="720" spans="1:2" ht="12.5">
      <c r="A720" s="34"/>
      <c r="B720" s="34"/>
    </row>
    <row r="721" spans="1:2" ht="12.5">
      <c r="A721" s="34"/>
      <c r="B721" s="34"/>
    </row>
    <row r="722" spans="1:2" ht="12.5">
      <c r="A722" s="34"/>
      <c r="B722" s="34"/>
    </row>
    <row r="723" spans="1:2" ht="12.5">
      <c r="A723" s="34"/>
      <c r="B723" s="34"/>
    </row>
    <row r="724" spans="1:2" ht="12.5">
      <c r="A724" s="34"/>
      <c r="B724" s="34"/>
    </row>
    <row r="725" spans="1:2" ht="12.5">
      <c r="A725" s="34"/>
      <c r="B725" s="34"/>
    </row>
    <row r="726" spans="1:2" ht="12.5">
      <c r="A726" s="34"/>
      <c r="B726" s="34"/>
    </row>
    <row r="727" spans="1:2" ht="12.5">
      <c r="A727" s="34"/>
      <c r="B727" s="34"/>
    </row>
    <row r="728" spans="1:2" ht="12.5">
      <c r="A728" s="34"/>
      <c r="B728" s="34"/>
    </row>
    <row r="729" spans="1:2" ht="12.5">
      <c r="A729" s="34"/>
      <c r="B729" s="34"/>
    </row>
    <row r="730" spans="1:2" ht="12.5">
      <c r="A730" s="34"/>
      <c r="B730" s="34"/>
    </row>
    <row r="731" spans="1:2" ht="12.5">
      <c r="A731" s="34"/>
      <c r="B731" s="34"/>
    </row>
    <row r="732" spans="1:2" ht="12.5">
      <c r="A732" s="34"/>
      <c r="B732" s="34"/>
    </row>
    <row r="733" spans="1:2" ht="12.5">
      <c r="A733" s="34"/>
      <c r="B733" s="34"/>
    </row>
    <row r="734" spans="1:2" ht="12.5">
      <c r="A734" s="34"/>
      <c r="B734" s="34"/>
    </row>
    <row r="735" spans="1:2" ht="12.5">
      <c r="A735" s="34"/>
      <c r="B735" s="34"/>
    </row>
    <row r="736" spans="1:2" ht="12.5">
      <c r="A736" s="34"/>
      <c r="B736" s="34"/>
    </row>
    <row r="737" spans="1:2" ht="12.5">
      <c r="A737" s="34"/>
      <c r="B737" s="34"/>
    </row>
    <row r="738" spans="1:2" ht="12.5">
      <c r="A738" s="34"/>
      <c r="B738" s="34"/>
    </row>
    <row r="739" spans="1:2" ht="12.5">
      <c r="A739" s="34"/>
      <c r="B739" s="34"/>
    </row>
    <row r="740" spans="1:2" ht="12.5">
      <c r="A740" s="34"/>
      <c r="B740" s="34"/>
    </row>
    <row r="741" spans="1:2" ht="12.5">
      <c r="A741" s="34"/>
      <c r="B741" s="34"/>
    </row>
    <row r="742" spans="1:2" ht="12.5">
      <c r="A742" s="34"/>
      <c r="B742" s="34"/>
    </row>
    <row r="743" spans="1:2" ht="12.5">
      <c r="A743" s="34"/>
      <c r="B743" s="34"/>
    </row>
    <row r="744" spans="1:2" ht="12.5">
      <c r="A744" s="34"/>
      <c r="B744" s="34"/>
    </row>
    <row r="745" spans="1:2" ht="12.5">
      <c r="A745" s="34"/>
      <c r="B745" s="34"/>
    </row>
    <row r="746" spans="1:2" ht="12.5">
      <c r="A746" s="34"/>
      <c r="B746" s="34"/>
    </row>
    <row r="747" spans="1:2" ht="12.5">
      <c r="A747" s="34"/>
      <c r="B747" s="34"/>
    </row>
    <row r="748" spans="1:2" ht="12.5">
      <c r="A748" s="34"/>
      <c r="B748" s="34"/>
    </row>
    <row r="749" spans="1:2" ht="12.5">
      <c r="A749" s="34"/>
      <c r="B749" s="34"/>
    </row>
    <row r="750" spans="1:2" ht="12.5">
      <c r="A750" s="34"/>
      <c r="B750" s="34"/>
    </row>
    <row r="751" spans="1:2" ht="12.5">
      <c r="A751" s="34"/>
      <c r="B751" s="34"/>
    </row>
    <row r="752" spans="1:2" ht="12.5">
      <c r="A752" s="34"/>
      <c r="B752" s="34"/>
    </row>
    <row r="753" spans="1:2" ht="12.5">
      <c r="A753" s="34"/>
      <c r="B753" s="34"/>
    </row>
    <row r="754" spans="1:2" ht="12.5">
      <c r="A754" s="34"/>
      <c r="B754" s="34"/>
    </row>
    <row r="755" spans="1:2" ht="12.5">
      <c r="A755" s="34"/>
      <c r="B755" s="34"/>
    </row>
    <row r="756" spans="1:2" ht="12.5">
      <c r="A756" s="34"/>
      <c r="B756" s="34"/>
    </row>
    <row r="757" spans="1:2" ht="12.5">
      <c r="A757" s="34"/>
      <c r="B757" s="34"/>
    </row>
    <row r="758" spans="1:2" ht="12.5">
      <c r="A758" s="34"/>
      <c r="B758" s="34"/>
    </row>
    <row r="759" spans="1:2" ht="12.5">
      <c r="A759" s="34"/>
      <c r="B759" s="34"/>
    </row>
    <row r="760" spans="1:2" ht="12.5">
      <c r="A760" s="34"/>
      <c r="B760" s="34"/>
    </row>
    <row r="761" spans="1:2" ht="12.5">
      <c r="A761" s="34"/>
      <c r="B761" s="34"/>
    </row>
    <row r="762" spans="1:2" ht="12.5">
      <c r="A762" s="34"/>
      <c r="B762" s="34"/>
    </row>
    <row r="763" spans="1:2" ht="12.5">
      <c r="A763" s="34"/>
      <c r="B763" s="34"/>
    </row>
    <row r="764" spans="1:2" ht="12.5">
      <c r="A764" s="34"/>
      <c r="B764" s="34"/>
    </row>
    <row r="765" spans="1:2" ht="12.5">
      <c r="A765" s="34"/>
      <c r="B765" s="34"/>
    </row>
    <row r="766" spans="1:2" ht="12.5">
      <c r="A766" s="34"/>
      <c r="B766" s="34"/>
    </row>
    <row r="767" spans="1:2" ht="12.5">
      <c r="A767" s="34"/>
      <c r="B767" s="34"/>
    </row>
    <row r="768" spans="1:2" ht="12.5">
      <c r="A768" s="34"/>
      <c r="B768" s="34"/>
    </row>
    <row r="769" spans="1:2" ht="12.5">
      <c r="A769" s="34"/>
      <c r="B769" s="34"/>
    </row>
    <row r="770" spans="1:2" ht="12.5">
      <c r="A770" s="34"/>
      <c r="B770" s="34"/>
    </row>
    <row r="771" spans="1:2" ht="12.5">
      <c r="A771" s="34"/>
      <c r="B771" s="34"/>
    </row>
    <row r="772" spans="1:2" ht="12.5">
      <c r="A772" s="34"/>
      <c r="B772" s="34"/>
    </row>
    <row r="773" spans="1:2" ht="12.5">
      <c r="A773" s="34"/>
      <c r="B773" s="34"/>
    </row>
    <row r="774" spans="1:2" ht="12.5">
      <c r="A774" s="34"/>
      <c r="B774" s="34"/>
    </row>
    <row r="775" spans="1:2" ht="12.5">
      <c r="A775" s="34"/>
      <c r="B775" s="34"/>
    </row>
    <row r="776" spans="1:2" ht="12.5">
      <c r="A776" s="34"/>
      <c r="B776" s="34"/>
    </row>
    <row r="777" spans="1:2" ht="12.5">
      <c r="A777" s="34"/>
      <c r="B777" s="34"/>
    </row>
    <row r="778" spans="1:2" ht="12.5">
      <c r="A778" s="34"/>
      <c r="B778" s="34"/>
    </row>
    <row r="779" spans="1:2" ht="12.5">
      <c r="A779" s="34"/>
      <c r="B779" s="34"/>
    </row>
    <row r="780" spans="1:2" ht="12.5">
      <c r="A780" s="34"/>
      <c r="B780" s="34"/>
    </row>
    <row r="781" spans="1:2" ht="12.5">
      <c r="A781" s="34"/>
      <c r="B781" s="34"/>
    </row>
    <row r="782" spans="1:2" ht="12.5">
      <c r="A782" s="34"/>
      <c r="B782" s="34"/>
    </row>
    <row r="783" spans="1:2" ht="12.5">
      <c r="A783" s="34"/>
      <c r="B783" s="34"/>
    </row>
    <row r="784" spans="1:2" ht="12.5">
      <c r="A784" s="34"/>
      <c r="B784" s="34"/>
    </row>
    <row r="785" spans="1:2" ht="12.5">
      <c r="A785" s="34"/>
      <c r="B785" s="34"/>
    </row>
    <row r="786" spans="1:2" ht="12.5">
      <c r="A786" s="34"/>
      <c r="B786" s="34"/>
    </row>
    <row r="787" spans="1:2" ht="12.5">
      <c r="A787" s="34"/>
      <c r="B787" s="34"/>
    </row>
    <row r="788" spans="1:2" ht="12.5">
      <c r="A788" s="34"/>
      <c r="B788" s="34"/>
    </row>
    <row r="789" spans="1:2" ht="12.5">
      <c r="A789" s="34"/>
      <c r="B789" s="34"/>
    </row>
    <row r="790" spans="1:2" ht="12.5">
      <c r="A790" s="34"/>
      <c r="B790" s="34"/>
    </row>
    <row r="791" spans="1:2" ht="12.5">
      <c r="A791" s="34"/>
      <c r="B791" s="34"/>
    </row>
    <row r="792" spans="1:2" ht="12.5">
      <c r="A792" s="34"/>
      <c r="B792" s="34"/>
    </row>
    <row r="793" spans="1:2" ht="12.5">
      <c r="A793" s="34"/>
      <c r="B793" s="34"/>
    </row>
    <row r="794" spans="1:2" ht="12.5">
      <c r="A794" s="34"/>
      <c r="B794" s="34"/>
    </row>
    <row r="795" spans="1:2" ht="12.5">
      <c r="A795" s="34"/>
      <c r="B795" s="34"/>
    </row>
    <row r="796" spans="1:2" ht="12.5">
      <c r="A796" s="34"/>
      <c r="B796" s="34"/>
    </row>
    <row r="797" spans="1:2" ht="12.5">
      <c r="A797" s="34"/>
      <c r="B797" s="34"/>
    </row>
    <row r="798" spans="1:2" ht="12.5">
      <c r="A798" s="34"/>
      <c r="B798" s="34"/>
    </row>
    <row r="799" spans="1:2" ht="12.5">
      <c r="A799" s="34"/>
      <c r="B799" s="34"/>
    </row>
    <row r="800" spans="1:2" ht="12.5">
      <c r="A800" s="34"/>
      <c r="B800" s="34"/>
    </row>
    <row r="801" spans="1:2" ht="12.5">
      <c r="A801" s="34"/>
      <c r="B801" s="34"/>
    </row>
    <row r="802" spans="1:2" ht="12.5">
      <c r="A802" s="34"/>
      <c r="B802" s="34"/>
    </row>
    <row r="803" spans="1:2" ht="12.5">
      <c r="A803" s="34"/>
      <c r="B803" s="34"/>
    </row>
    <row r="804" spans="1:2" ht="12.5">
      <c r="A804" s="34"/>
      <c r="B804" s="34"/>
    </row>
    <row r="805" spans="1:2" ht="12.5">
      <c r="A805" s="34"/>
      <c r="B805" s="34"/>
    </row>
    <row r="806" spans="1:2" ht="12.5">
      <c r="A806" s="34"/>
      <c r="B806" s="34"/>
    </row>
    <row r="807" spans="1:2" ht="12.5">
      <c r="A807" s="34"/>
      <c r="B807" s="34"/>
    </row>
    <row r="808" spans="1:2" ht="12.5">
      <c r="A808" s="34"/>
      <c r="B808" s="34"/>
    </row>
    <row r="809" spans="1:2" ht="12.5">
      <c r="A809" s="34"/>
      <c r="B809" s="34"/>
    </row>
    <row r="810" spans="1:2" ht="12.5">
      <c r="A810" s="34"/>
      <c r="B810" s="34"/>
    </row>
    <row r="811" spans="1:2" ht="12.5">
      <c r="A811" s="34"/>
      <c r="B811" s="34"/>
    </row>
    <row r="812" spans="1:2" ht="12.5">
      <c r="A812" s="34"/>
      <c r="B812" s="34"/>
    </row>
    <row r="813" spans="1:2" ht="12.5">
      <c r="A813" s="34"/>
      <c r="B813" s="34"/>
    </row>
    <row r="814" spans="1:2" ht="12.5">
      <c r="A814" s="34"/>
      <c r="B814" s="34"/>
    </row>
    <row r="815" spans="1:2" ht="12.5">
      <c r="A815" s="34"/>
      <c r="B815" s="34"/>
    </row>
    <row r="816" spans="1:2" ht="12.5">
      <c r="A816" s="34"/>
      <c r="B816" s="34"/>
    </row>
    <row r="817" spans="1:2" ht="12.5">
      <c r="A817" s="34"/>
      <c r="B817" s="34"/>
    </row>
    <row r="818" spans="1:2" ht="12.5">
      <c r="A818" s="34"/>
      <c r="B818" s="34"/>
    </row>
    <row r="819" spans="1:2" ht="12.5">
      <c r="A819" s="34"/>
      <c r="B819" s="34"/>
    </row>
    <row r="820" spans="1:2" ht="12.5">
      <c r="A820" s="34"/>
      <c r="B820" s="34"/>
    </row>
    <row r="821" spans="1:2" ht="12.5">
      <c r="A821" s="34"/>
      <c r="B821" s="34"/>
    </row>
    <row r="822" spans="1:2" ht="12.5">
      <c r="A822" s="34"/>
      <c r="B822" s="34"/>
    </row>
    <row r="823" spans="1:2" ht="12.5">
      <c r="A823" s="34"/>
      <c r="B823" s="34"/>
    </row>
    <row r="824" spans="1:2" ht="12.5">
      <c r="A824" s="34"/>
      <c r="B824" s="34"/>
    </row>
    <row r="825" spans="1:2" ht="12.5">
      <c r="A825" s="34"/>
      <c r="B825" s="34"/>
    </row>
    <row r="826" spans="1:2" ht="12.5">
      <c r="A826" s="34"/>
      <c r="B826" s="34"/>
    </row>
    <row r="827" spans="1:2" ht="12.5">
      <c r="A827" s="34"/>
      <c r="B827" s="34"/>
    </row>
    <row r="828" spans="1:2" ht="12.5">
      <c r="A828" s="34"/>
      <c r="B828" s="34"/>
    </row>
    <row r="829" spans="1:2" ht="12.5">
      <c r="A829" s="34"/>
      <c r="B829" s="34"/>
    </row>
    <row r="830" spans="1:2" ht="12.5">
      <c r="A830" s="34"/>
      <c r="B830" s="34"/>
    </row>
    <row r="831" spans="1:2" ht="12.5">
      <c r="A831" s="34"/>
      <c r="B831" s="34"/>
    </row>
    <row r="832" spans="1:2" ht="12.5">
      <c r="A832" s="34"/>
      <c r="B832" s="34"/>
    </row>
    <row r="833" spans="1:2" ht="12.5">
      <c r="A833" s="34"/>
      <c r="B833" s="34"/>
    </row>
    <row r="834" spans="1:2" ht="12.5">
      <c r="A834" s="34"/>
      <c r="B834" s="34"/>
    </row>
    <row r="835" spans="1:2" ht="12.5">
      <c r="A835" s="34"/>
      <c r="B835" s="34"/>
    </row>
    <row r="836" spans="1:2" ht="12.5">
      <c r="A836" s="34"/>
      <c r="B836" s="34"/>
    </row>
    <row r="837" spans="1:2" ht="12.5">
      <c r="A837" s="34"/>
      <c r="B837" s="34"/>
    </row>
    <row r="838" spans="1:2" ht="12.5">
      <c r="A838" s="34"/>
      <c r="B838" s="34"/>
    </row>
    <row r="839" spans="1:2" ht="12.5">
      <c r="A839" s="34"/>
      <c r="B839" s="34"/>
    </row>
    <row r="840" spans="1:2" ht="12.5">
      <c r="A840" s="34"/>
      <c r="B840" s="34"/>
    </row>
    <row r="841" spans="1:2" ht="12.5">
      <c r="A841" s="34"/>
      <c r="B841" s="34"/>
    </row>
    <row r="842" spans="1:2" ht="12.5">
      <c r="A842" s="34"/>
      <c r="B842" s="34"/>
    </row>
    <row r="843" spans="1:2" ht="12.5">
      <c r="A843" s="34"/>
      <c r="B843" s="34"/>
    </row>
    <row r="844" spans="1:2" ht="12.5">
      <c r="A844" s="34"/>
      <c r="B844" s="34"/>
    </row>
    <row r="845" spans="1:2" ht="12.5">
      <c r="A845" s="34"/>
      <c r="B845" s="34"/>
    </row>
    <row r="846" spans="1:2" ht="12.5">
      <c r="A846" s="34"/>
      <c r="B846" s="34"/>
    </row>
    <row r="847" spans="1:2" ht="12.5">
      <c r="A847" s="34"/>
      <c r="B847" s="34"/>
    </row>
    <row r="848" spans="1:2" ht="12.5">
      <c r="A848" s="34"/>
      <c r="B848" s="34"/>
    </row>
    <row r="849" spans="1:2" ht="12.5">
      <c r="A849" s="34"/>
      <c r="B849" s="34"/>
    </row>
    <row r="850" spans="1:2" ht="12.5">
      <c r="A850" s="34"/>
      <c r="B850" s="34"/>
    </row>
    <row r="851" spans="1:2" ht="12.5">
      <c r="A851" s="34"/>
      <c r="B851" s="34"/>
    </row>
    <row r="852" spans="1:2" ht="12.5">
      <c r="A852" s="34"/>
      <c r="B852" s="34"/>
    </row>
    <row r="853" spans="1:2" ht="12.5">
      <c r="A853" s="34"/>
      <c r="B853" s="34"/>
    </row>
    <row r="854" spans="1:2" ht="12.5">
      <c r="A854" s="34"/>
      <c r="B854" s="34"/>
    </row>
    <row r="855" spans="1:2" ht="12.5">
      <c r="A855" s="34"/>
      <c r="B855" s="34"/>
    </row>
    <row r="856" spans="1:2" ht="12.5">
      <c r="A856" s="34"/>
      <c r="B856" s="34"/>
    </row>
    <row r="857" spans="1:2" ht="12.5">
      <c r="A857" s="34"/>
      <c r="B857" s="34"/>
    </row>
    <row r="858" spans="1:2" ht="12.5">
      <c r="A858" s="34"/>
      <c r="B858" s="34"/>
    </row>
    <row r="859" spans="1:2" ht="12.5">
      <c r="A859" s="34"/>
      <c r="B859" s="34"/>
    </row>
    <row r="860" spans="1:2" ht="12.5">
      <c r="A860" s="34"/>
      <c r="B860" s="34"/>
    </row>
    <row r="861" spans="1:2" ht="12.5">
      <c r="A861" s="34"/>
      <c r="B861" s="34"/>
    </row>
    <row r="862" spans="1:2" ht="12.5">
      <c r="A862" s="34"/>
      <c r="B862" s="34"/>
    </row>
    <row r="863" spans="1:2" ht="12.5">
      <c r="A863" s="34"/>
      <c r="B863" s="34"/>
    </row>
    <row r="864" spans="1:2" ht="12.5">
      <c r="A864" s="34"/>
      <c r="B864" s="34"/>
    </row>
    <row r="865" spans="1:2" ht="12.5">
      <c r="A865" s="34"/>
      <c r="B865" s="34"/>
    </row>
    <row r="866" spans="1:2" ht="12.5">
      <c r="A866" s="34"/>
      <c r="B866" s="34"/>
    </row>
    <row r="867" spans="1:2" ht="12.5">
      <c r="A867" s="34"/>
      <c r="B867" s="34"/>
    </row>
    <row r="868" spans="1:2" ht="12.5">
      <c r="A868" s="34"/>
      <c r="B868" s="34"/>
    </row>
    <row r="869" spans="1:2" ht="12.5">
      <c r="A869" s="34"/>
      <c r="B869" s="34"/>
    </row>
    <row r="870" spans="1:2" ht="12.5">
      <c r="A870" s="34"/>
      <c r="B870" s="34"/>
    </row>
    <row r="871" spans="1:2" ht="12.5">
      <c r="A871" s="34"/>
      <c r="B871" s="34"/>
    </row>
    <row r="872" spans="1:2" ht="12.5">
      <c r="A872" s="34"/>
      <c r="B872" s="34"/>
    </row>
    <row r="873" spans="1:2" ht="12.5">
      <c r="A873" s="34"/>
      <c r="B873" s="34"/>
    </row>
    <row r="874" spans="1:2" ht="12.5">
      <c r="A874" s="34"/>
      <c r="B874" s="34"/>
    </row>
    <row r="875" spans="1:2" ht="12.5">
      <c r="A875" s="34"/>
      <c r="B875" s="34"/>
    </row>
    <row r="876" spans="1:2" ht="12.5">
      <c r="A876" s="34"/>
      <c r="B876" s="34"/>
    </row>
    <row r="877" spans="1:2" ht="12.5">
      <c r="A877" s="34"/>
      <c r="B877" s="34"/>
    </row>
    <row r="878" spans="1:2" ht="12.5">
      <c r="A878" s="34"/>
      <c r="B878" s="34"/>
    </row>
    <row r="879" spans="1:2" ht="12.5">
      <c r="A879" s="34"/>
      <c r="B879" s="34"/>
    </row>
    <row r="880" spans="1:2" ht="12.5">
      <c r="A880" s="34"/>
      <c r="B880" s="34"/>
    </row>
    <row r="881" spans="1:2" ht="12.5">
      <c r="A881" s="34"/>
      <c r="B881" s="34"/>
    </row>
    <row r="882" spans="1:2" ht="12.5">
      <c r="A882" s="34"/>
      <c r="B882" s="34"/>
    </row>
    <row r="883" spans="1:2" ht="12.5">
      <c r="A883" s="34"/>
      <c r="B883" s="34"/>
    </row>
    <row r="884" spans="1:2" ht="12.5">
      <c r="A884" s="34"/>
      <c r="B884" s="34"/>
    </row>
    <row r="885" spans="1:2" ht="12.5">
      <c r="A885" s="34"/>
      <c r="B885" s="34"/>
    </row>
    <row r="886" spans="1:2" ht="12.5">
      <c r="A886" s="34"/>
      <c r="B886" s="34"/>
    </row>
    <row r="887" spans="1:2" ht="12.5">
      <c r="A887" s="34"/>
      <c r="B887" s="34"/>
    </row>
    <row r="888" spans="1:2" ht="12.5">
      <c r="A888" s="34"/>
      <c r="B888" s="34"/>
    </row>
    <row r="889" spans="1:2" ht="12.5">
      <c r="A889" s="34"/>
      <c r="B889" s="34"/>
    </row>
    <row r="890" spans="1:2" ht="12.5">
      <c r="A890" s="34"/>
      <c r="B890" s="34"/>
    </row>
    <row r="891" spans="1:2" ht="12.5">
      <c r="A891" s="34"/>
      <c r="B891" s="34"/>
    </row>
    <row r="892" spans="1:2" ht="12.5">
      <c r="A892" s="34"/>
      <c r="B892" s="34"/>
    </row>
    <row r="893" spans="1:2" ht="12.5">
      <c r="A893" s="34"/>
      <c r="B893" s="34"/>
    </row>
    <row r="894" spans="1:2" ht="12.5">
      <c r="A894" s="34"/>
      <c r="B894" s="34"/>
    </row>
    <row r="895" spans="1:2" ht="12.5">
      <c r="A895" s="34"/>
      <c r="B895" s="34"/>
    </row>
    <row r="896" spans="1:2" ht="12.5">
      <c r="A896" s="34"/>
      <c r="B896" s="34"/>
    </row>
    <row r="897" spans="1:2" ht="12.5">
      <c r="A897" s="34"/>
      <c r="B897" s="34"/>
    </row>
    <row r="898" spans="1:2" ht="12.5">
      <c r="A898" s="34"/>
      <c r="B898" s="34"/>
    </row>
    <row r="899" spans="1:2" ht="12.5">
      <c r="A899" s="34"/>
      <c r="B899" s="34"/>
    </row>
    <row r="900" spans="1:2" ht="12.5">
      <c r="A900" s="34"/>
      <c r="B900" s="34"/>
    </row>
    <row r="901" spans="1:2" ht="12.5">
      <c r="A901" s="34"/>
      <c r="B901" s="34"/>
    </row>
    <row r="902" spans="1:2" ht="12.5">
      <c r="A902" s="34"/>
      <c r="B902" s="34"/>
    </row>
    <row r="903" spans="1:2" ht="12.5">
      <c r="A903" s="34"/>
      <c r="B903" s="34"/>
    </row>
    <row r="904" spans="1:2" ht="12.5">
      <c r="A904" s="34"/>
      <c r="B904" s="34"/>
    </row>
    <row r="905" spans="1:2" ht="12.5">
      <c r="A905" s="34"/>
      <c r="B905" s="34"/>
    </row>
    <row r="906" spans="1:2" ht="12.5">
      <c r="A906" s="34"/>
      <c r="B906" s="34"/>
    </row>
    <row r="907" spans="1:2" ht="12.5">
      <c r="A907" s="34"/>
      <c r="B907" s="34"/>
    </row>
    <row r="908" spans="1:2" ht="12.5">
      <c r="A908" s="34"/>
      <c r="B908" s="34"/>
    </row>
    <row r="909" spans="1:2" ht="12.5">
      <c r="A909" s="34"/>
      <c r="B909" s="34"/>
    </row>
    <row r="910" spans="1:2" ht="12.5">
      <c r="A910" s="34"/>
      <c r="B910" s="34"/>
    </row>
    <row r="911" spans="1:2" ht="12.5">
      <c r="A911" s="34"/>
      <c r="B911" s="34"/>
    </row>
    <row r="912" spans="1:2" ht="12.5">
      <c r="A912" s="34"/>
      <c r="B912" s="34"/>
    </row>
    <row r="913" spans="1:2" ht="12.5">
      <c r="A913" s="34"/>
      <c r="B913" s="34"/>
    </row>
    <row r="914" spans="1:2" ht="12.5">
      <c r="A914" s="34"/>
      <c r="B914" s="34"/>
    </row>
    <row r="915" spans="1:2" ht="12.5">
      <c r="A915" s="34"/>
      <c r="B915" s="34"/>
    </row>
    <row r="916" spans="1:2" ht="12.5">
      <c r="A916" s="34"/>
      <c r="B916" s="34"/>
    </row>
    <row r="917" spans="1:2" ht="12.5">
      <c r="A917" s="34"/>
      <c r="B917" s="34"/>
    </row>
    <row r="918" spans="1:2" ht="12.5">
      <c r="A918" s="34"/>
      <c r="B918" s="34"/>
    </row>
    <row r="919" spans="1:2" ht="12.5">
      <c r="A919" s="34"/>
      <c r="B919" s="34"/>
    </row>
    <row r="920" spans="1:2" ht="12.5">
      <c r="A920" s="34"/>
      <c r="B920" s="34"/>
    </row>
    <row r="921" spans="1:2" ht="12.5">
      <c r="A921" s="34"/>
      <c r="B921" s="34"/>
    </row>
    <row r="922" spans="1:2" ht="12.5">
      <c r="A922" s="34"/>
      <c r="B922" s="34"/>
    </row>
    <row r="923" spans="1:2" ht="12.5">
      <c r="A923" s="34"/>
      <c r="B923" s="34"/>
    </row>
    <row r="924" spans="1:2" ht="12.5">
      <c r="A924" s="34"/>
      <c r="B924" s="34"/>
    </row>
    <row r="925" spans="1:2" ht="12.5">
      <c r="A925" s="34"/>
      <c r="B925" s="34"/>
    </row>
    <row r="926" spans="1:2" ht="12.5">
      <c r="A926" s="34"/>
      <c r="B926" s="34"/>
    </row>
    <row r="927" spans="1:2" ht="12.5">
      <c r="A927" s="34"/>
      <c r="B927" s="34"/>
    </row>
    <row r="928" spans="1:2" ht="12.5">
      <c r="A928" s="34"/>
      <c r="B928" s="34"/>
    </row>
    <row r="929" spans="1:2" ht="12.5">
      <c r="A929" s="34"/>
      <c r="B929" s="34"/>
    </row>
    <row r="930" spans="1:2" ht="12.5">
      <c r="A930" s="34"/>
      <c r="B930" s="34"/>
    </row>
    <row r="931" spans="1:2" ht="12.5">
      <c r="A931" s="34"/>
      <c r="B931" s="34"/>
    </row>
    <row r="932" spans="1:2" ht="12.5">
      <c r="A932" s="34"/>
      <c r="B932" s="34"/>
    </row>
    <row r="933" spans="1:2" ht="12.5">
      <c r="A933" s="34"/>
      <c r="B933" s="34"/>
    </row>
    <row r="934" spans="1:2" ht="12.5">
      <c r="A934" s="34"/>
      <c r="B934" s="34"/>
    </row>
    <row r="935" spans="1:2" ht="12.5">
      <c r="A935" s="34"/>
      <c r="B935" s="34"/>
    </row>
    <row r="936" spans="1:2" ht="12.5">
      <c r="A936" s="34"/>
      <c r="B936" s="34"/>
    </row>
    <row r="937" spans="1:2" ht="12.5">
      <c r="A937" s="34"/>
      <c r="B937" s="34"/>
    </row>
    <row r="938" spans="1:2" ht="12.5">
      <c r="A938" s="34"/>
      <c r="B938" s="34"/>
    </row>
    <row r="939" spans="1:2" ht="12.5">
      <c r="A939" s="34"/>
      <c r="B939" s="34"/>
    </row>
    <row r="940" spans="1:2" ht="12.5">
      <c r="A940" s="34"/>
      <c r="B940" s="34"/>
    </row>
    <row r="941" spans="1:2" ht="12.5">
      <c r="A941" s="34"/>
      <c r="B941" s="34"/>
    </row>
    <row r="942" spans="1:2" ht="12.5">
      <c r="A942" s="34"/>
      <c r="B942" s="34"/>
    </row>
    <row r="943" spans="1:2" ht="12.5">
      <c r="A943" s="34"/>
      <c r="B943" s="34"/>
    </row>
    <row r="944" spans="1:2" ht="12.5">
      <c r="A944" s="34"/>
      <c r="B944" s="34"/>
    </row>
    <row r="945" spans="1:2" ht="12.5">
      <c r="A945" s="34"/>
      <c r="B945" s="34"/>
    </row>
    <row r="946" spans="1:2" ht="12.5">
      <c r="A946" s="34"/>
      <c r="B946" s="34"/>
    </row>
    <row r="947" spans="1:2" ht="12.5">
      <c r="A947" s="34"/>
      <c r="B947" s="34"/>
    </row>
    <row r="948" spans="1:2" ht="12.5">
      <c r="A948" s="34"/>
      <c r="B948" s="34"/>
    </row>
    <row r="949" spans="1:2" ht="12.5">
      <c r="A949" s="34"/>
      <c r="B949" s="34"/>
    </row>
    <row r="950" spans="1:2" ht="12.5">
      <c r="A950" s="34"/>
      <c r="B950" s="34"/>
    </row>
    <row r="951" spans="1:2" ht="12.5">
      <c r="A951" s="34"/>
      <c r="B951" s="34"/>
    </row>
    <row r="952" spans="1:2" ht="12.5">
      <c r="A952" s="34"/>
      <c r="B952" s="34"/>
    </row>
    <row r="953" spans="1:2" ht="12.5">
      <c r="A953" s="34"/>
      <c r="B953" s="34"/>
    </row>
    <row r="954" spans="1:2" ht="12.5">
      <c r="A954" s="34"/>
      <c r="B954" s="34"/>
    </row>
    <row r="955" spans="1:2" ht="12.5">
      <c r="A955" s="34"/>
      <c r="B955" s="34"/>
    </row>
    <row r="956" spans="1:2" ht="12.5">
      <c r="A956" s="34"/>
      <c r="B956" s="34"/>
    </row>
    <row r="957" spans="1:2" ht="12.5">
      <c r="A957" s="34"/>
      <c r="B957" s="34"/>
    </row>
    <row r="958" spans="1:2" ht="12.5">
      <c r="A958" s="34"/>
      <c r="B958" s="34"/>
    </row>
    <row r="959" spans="1:2" ht="12.5">
      <c r="A959" s="34"/>
      <c r="B959" s="34"/>
    </row>
    <row r="960" spans="1:2" ht="12.5">
      <c r="A960" s="34"/>
      <c r="B960" s="34"/>
    </row>
    <row r="961" spans="1:2" ht="12.5">
      <c r="A961" s="34"/>
      <c r="B961" s="34"/>
    </row>
    <row r="962" spans="1:2" ht="12.5">
      <c r="A962" s="34"/>
      <c r="B962" s="34"/>
    </row>
    <row r="963" spans="1:2" ht="12.5">
      <c r="A963" s="34"/>
      <c r="B963" s="34"/>
    </row>
    <row r="964" spans="1:2" ht="12.5">
      <c r="A964" s="34"/>
      <c r="B964" s="34"/>
    </row>
    <row r="965" spans="1:2" ht="12.5">
      <c r="A965" s="34"/>
      <c r="B965" s="34"/>
    </row>
    <row r="966" spans="1:2" ht="12.5">
      <c r="A966" s="34"/>
      <c r="B966" s="34"/>
    </row>
    <row r="967" spans="1:2" ht="12.5">
      <c r="A967" s="34"/>
      <c r="B967" s="34"/>
    </row>
    <row r="968" spans="1:2" ht="12.5">
      <c r="A968" s="34"/>
      <c r="B968" s="34"/>
    </row>
    <row r="969" spans="1:2" ht="12.5">
      <c r="A969" s="34"/>
      <c r="B969" s="34"/>
    </row>
    <row r="970" spans="1:2" ht="12.5">
      <c r="A970" s="34"/>
      <c r="B970" s="34"/>
    </row>
    <row r="971" spans="1:2" ht="12.5">
      <c r="A971" s="34"/>
      <c r="B971" s="34"/>
    </row>
    <row r="972" spans="1:2" ht="12.5">
      <c r="A972" s="34"/>
      <c r="B972" s="34"/>
    </row>
    <row r="973" spans="1:2" ht="12.5">
      <c r="A973" s="34"/>
      <c r="B973" s="34"/>
    </row>
    <row r="974" spans="1:2" ht="12.5">
      <c r="A974" s="34"/>
      <c r="B974" s="34"/>
    </row>
    <row r="975" spans="1:2" ht="12.5">
      <c r="A975" s="34"/>
      <c r="B975" s="34"/>
    </row>
    <row r="976" spans="1:2" ht="12.5">
      <c r="A976" s="34"/>
      <c r="B976" s="34"/>
    </row>
    <row r="977" spans="1:2" ht="12.5">
      <c r="A977" s="34"/>
      <c r="B977" s="34"/>
    </row>
    <row r="978" spans="1:2" ht="12.5">
      <c r="A978" s="34"/>
      <c r="B978" s="34"/>
    </row>
    <row r="979" spans="1:2" ht="12.5">
      <c r="A979" s="34"/>
      <c r="B979" s="34"/>
    </row>
    <row r="980" spans="1:2" ht="12.5">
      <c r="A980" s="34"/>
      <c r="B980" s="34"/>
    </row>
    <row r="981" spans="1:2" ht="12.5">
      <c r="A981" s="34"/>
      <c r="B981" s="34"/>
    </row>
    <row r="982" spans="1:2" ht="12.5">
      <c r="A982" s="34"/>
      <c r="B982" s="34"/>
    </row>
    <row r="983" spans="1:2" ht="12.5">
      <c r="A983" s="34"/>
      <c r="B983" s="34"/>
    </row>
    <row r="984" spans="1:2" ht="12.5">
      <c r="A984" s="34"/>
      <c r="B984" s="34"/>
    </row>
    <row r="985" spans="1:2" ht="12.5">
      <c r="A985" s="34"/>
      <c r="B985" s="34"/>
    </row>
    <row r="986" spans="1:2" ht="12.5">
      <c r="A986" s="34"/>
      <c r="B986" s="34"/>
    </row>
    <row r="987" spans="1:2" ht="12.5">
      <c r="A987" s="34"/>
      <c r="B987" s="34"/>
    </row>
    <row r="988" spans="1:2" ht="12.5">
      <c r="A988" s="34"/>
      <c r="B988" s="34"/>
    </row>
    <row r="989" spans="1:2" ht="12.5">
      <c r="A989" s="34"/>
      <c r="B989" s="34"/>
    </row>
    <row r="990" spans="1:2" ht="12.5">
      <c r="A990" s="34"/>
      <c r="B990" s="34"/>
    </row>
    <row r="991" spans="1:2" ht="12.5">
      <c r="A991" s="34"/>
      <c r="B991" s="34"/>
    </row>
    <row r="992" spans="1:2" ht="12.5">
      <c r="A992" s="34"/>
      <c r="B992" s="34"/>
    </row>
    <row r="993" spans="1:2" ht="12.5">
      <c r="A993" s="34"/>
      <c r="B993" s="34"/>
    </row>
    <row r="994" spans="1:2" ht="12.5">
      <c r="A994" s="34"/>
      <c r="B994" s="34"/>
    </row>
    <row r="995" spans="1:2" ht="12.5">
      <c r="A995" s="34"/>
      <c r="B995" s="34"/>
    </row>
    <row r="996" spans="1:2" ht="12.5">
      <c r="A996" s="34"/>
      <c r="B996" s="34"/>
    </row>
    <row r="997" spans="1:2" ht="12.5">
      <c r="A997" s="34"/>
      <c r="B997" s="34"/>
    </row>
    <row r="998" spans="1:2" ht="12.5">
      <c r="A998" s="34"/>
      <c r="B998" s="34"/>
    </row>
    <row r="999" spans="1:2" ht="12.5">
      <c r="A999" s="34"/>
      <c r="B999" s="34"/>
    </row>
    <row r="1000" spans="1:2" ht="12.5">
      <c r="A1000" s="34"/>
      <c r="B1000" s="34"/>
    </row>
    <row r="1001" spans="1:2" ht="12.5">
      <c r="A1001" s="34"/>
      <c r="B1001" s="34"/>
    </row>
    <row r="1002" spans="1:2" ht="12.5">
      <c r="A1002" s="34"/>
      <c r="B1002" s="34"/>
    </row>
    <row r="1003" spans="1:2" ht="12.5">
      <c r="A1003" s="34"/>
      <c r="B1003" s="34"/>
    </row>
    <row r="1004" spans="1:2" ht="12.5">
      <c r="A1004" s="34"/>
      <c r="B1004" s="34"/>
    </row>
    <row r="1005" spans="1:2" ht="12.5">
      <c r="A1005" s="34"/>
      <c r="B1005" s="34"/>
    </row>
    <row r="1006" spans="1:2" ht="12.5">
      <c r="A1006" s="34"/>
      <c r="B1006" s="34"/>
    </row>
  </sheetData>
  <mergeCells count="1">
    <mergeCell ref="F27:F28"/>
  </mergeCells>
  <hyperlinks>
    <hyperlink ref="B4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26"/>
  <sheetViews>
    <sheetView workbookViewId="0"/>
  </sheetViews>
  <sheetFormatPr defaultColWidth="14.453125" defaultRowHeight="15.75" customHeight="1"/>
  <cols>
    <col min="1" max="1" width="17.453125" customWidth="1"/>
  </cols>
  <sheetData>
    <row r="1" spans="1:15" ht="15.75" customHeight="1">
      <c r="A1" s="132" t="s">
        <v>238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  <c r="I1" s="132" t="s">
        <v>239</v>
      </c>
      <c r="J1" s="132" t="s">
        <v>217</v>
      </c>
      <c r="K1" s="132" t="s">
        <v>218</v>
      </c>
      <c r="L1" s="132" t="s">
        <v>219</v>
      </c>
      <c r="M1" s="132" t="s">
        <v>220</v>
      </c>
      <c r="N1" s="121"/>
      <c r="O1" s="132" t="s">
        <v>221</v>
      </c>
    </row>
    <row r="2" spans="1:15">
      <c r="A2" s="174" t="s">
        <v>222</v>
      </c>
      <c r="B2" s="175"/>
      <c r="C2" s="175"/>
      <c r="D2" s="175"/>
      <c r="E2" s="176"/>
      <c r="F2" s="121"/>
      <c r="G2" s="133">
        <f>MATCH("RV32 GCC10 audio weighted average",'Stats for Zce 0.41'!$B$106:$B$116,0)+'Stats for Zce 0.41'!$A$106-1</f>
        <v>114</v>
      </c>
      <c r="I2" s="174" t="s">
        <v>222</v>
      </c>
      <c r="J2" s="175"/>
      <c r="K2" s="175"/>
      <c r="L2" s="175"/>
      <c r="M2" s="176"/>
      <c r="N2" s="121"/>
      <c r="O2" s="133">
        <f>MATCH("RV32 LLVM11 audio weighted average",'Stats for Zce 0.41'!$B$106:$B$116,0)+'Stats for Zce 0.41'!$A$106-1</f>
        <v>115</v>
      </c>
    </row>
    <row r="3" spans="1:15" ht="15.75" customHeight="1">
      <c r="A3" s="134" t="s">
        <v>69</v>
      </c>
      <c r="B3" s="135">
        <f ca="1">HLOOKUP(A3, 'Stats for Zce 0.41'!$A$1:$AC$116, $G$2,FALSE)</f>
        <v>1.9876428405322302E-3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  <c r="I3" s="134" t="s">
        <v>69</v>
      </c>
      <c r="J3" s="135">
        <f ca="1">HLOOKUP(I3, 'Stats for Zce 0.41'!$A$1:$AC$116, $O$2,FALSE)</f>
        <v>1.3977453044477499E-3</v>
      </c>
      <c r="K3" s="132">
        <v>10</v>
      </c>
      <c r="L3" s="121" t="e">
        <f t="shared" ref="L3:L18" ca="1" si="2">pow(2,K3)</f>
        <v>#NAME?</v>
      </c>
      <c r="M3" s="136" t="e">
        <f t="shared" ref="M3:M18" ca="1" si="3">J3/L3*1000000</f>
        <v>#NAME?</v>
      </c>
      <c r="N3" s="121"/>
      <c r="O3" s="121"/>
    </row>
    <row r="4" spans="1:15" ht="15.75" customHeight="1">
      <c r="A4" s="134" t="s">
        <v>70</v>
      </c>
      <c r="B4" s="135">
        <f ca="1">HLOOKUP(A4, 'Stats for Zce 0.41'!$A$1:$AC$116, $G$2,FALSE)</f>
        <v>7.8182717584728597E-4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  <c r="I4" s="134" t="s">
        <v>70</v>
      </c>
      <c r="J4" s="135">
        <f ca="1">HLOOKUP(I4, 'Stats for Zce 0.41'!$A$1:$AC$116, $O$2,FALSE)</f>
        <v>6.4611537322008901E-4</v>
      </c>
      <c r="K4" s="132">
        <v>10</v>
      </c>
      <c r="L4" s="121" t="e">
        <f t="shared" ca="1" si="2"/>
        <v>#NAME?</v>
      </c>
      <c r="M4" s="136" t="e">
        <f t="shared" ca="1" si="3"/>
        <v>#NAME?</v>
      </c>
      <c r="N4" s="121"/>
      <c r="O4" s="121"/>
    </row>
    <row r="5" spans="1:15" ht="15.75" customHeight="1">
      <c r="A5" s="137" t="s">
        <v>71</v>
      </c>
      <c r="B5" s="135">
        <f ca="1">HLOOKUP(A5, 'Stats for Zce 0.41'!$A$1:$AC$116, $G$2,FALSE)</f>
        <v>3.2725865485723498E-4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  <c r="I5" s="137" t="s">
        <v>71</v>
      </c>
      <c r="J5" s="135">
        <f ca="1">HLOOKUP(I5, 'Stats for Zce 0.41'!$A$1:$AC$116, $O$2,FALSE)</f>
        <v>1.3213433948034601E-3</v>
      </c>
      <c r="K5" s="132">
        <v>10</v>
      </c>
      <c r="L5" s="121" t="e">
        <f t="shared" ca="1" si="2"/>
        <v>#NAME?</v>
      </c>
      <c r="M5" s="136" t="e">
        <f t="shared" ca="1" si="3"/>
        <v>#NAME?</v>
      </c>
      <c r="N5" s="121"/>
      <c r="O5" s="121"/>
    </row>
    <row r="6" spans="1:15" ht="15.75" customHeight="1">
      <c r="A6" s="138" t="s">
        <v>72</v>
      </c>
      <c r="B6" s="135">
        <f ca="1">HLOOKUP(A6, 'Stats for Zce 0.41'!$A$1:$AC$116, $G$2,FALSE)</f>
        <v>3.2379040028714702E-3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  <c r="I6" s="138" t="s">
        <v>72</v>
      </c>
      <c r="J6" s="135">
        <f ca="1">HLOOKUP(I6, 'Stats for Zce 0.41'!$A$1:$AC$116, $O$2,FALSE)</f>
        <v>3.1757786715986402E-3</v>
      </c>
      <c r="K6" s="132">
        <v>10</v>
      </c>
      <c r="L6" s="121" t="e">
        <f t="shared" ca="1" si="2"/>
        <v>#NAME?</v>
      </c>
      <c r="M6" s="136" t="e">
        <f t="shared" ca="1" si="3"/>
        <v>#NAME?</v>
      </c>
      <c r="N6" s="121"/>
      <c r="O6" s="121"/>
    </row>
    <row r="7" spans="1:15" ht="15.75" customHeight="1">
      <c r="A7" s="134" t="s">
        <v>74</v>
      </c>
      <c r="B7" s="135">
        <f ca="1">HLOOKUP(A7, 'Stats for Zce 0.41'!$A$1:$AC$116, $G$2,FALSE)</f>
        <v>7.4721745328803601E-4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  <c r="I7" s="134" t="s">
        <v>74</v>
      </c>
      <c r="J7" s="135">
        <f ca="1">HLOOKUP(I7, 'Stats for Zce 0.41'!$A$1:$AC$116, $O$2,FALSE)</f>
        <v>8.2465521807832502E-4</v>
      </c>
      <c r="K7" s="132">
        <v>10</v>
      </c>
      <c r="L7" s="121" t="e">
        <f t="shared" ca="1" si="2"/>
        <v>#NAME?</v>
      </c>
      <c r="M7" s="136" t="e">
        <f t="shared" ca="1" si="3"/>
        <v>#NAME?</v>
      </c>
      <c r="N7" s="121"/>
      <c r="O7" s="121"/>
    </row>
    <row r="8" spans="1:15" ht="15.75" customHeight="1">
      <c r="A8" s="134" t="s">
        <v>73</v>
      </c>
      <c r="B8" s="135">
        <f ca="1">HLOOKUP(A8, 'Stats for Zce 0.41'!$A$1:$AC$116, $G$2,FALSE)</f>
        <v>1.4648832706462801E-3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  <c r="I8" s="134" t="s">
        <v>73</v>
      </c>
      <c r="J8" s="135">
        <f ca="1">HLOOKUP(I8, 'Stats for Zce 0.41'!$A$1:$AC$116, $O$2,FALSE)</f>
        <v>1.5645265617424699E-3</v>
      </c>
      <c r="K8" s="132">
        <v>10</v>
      </c>
      <c r="L8" s="121" t="e">
        <f t="shared" ca="1" si="2"/>
        <v>#NAME?</v>
      </c>
      <c r="M8" s="136" t="e">
        <f t="shared" ca="1" si="3"/>
        <v>#NAME?</v>
      </c>
      <c r="N8" s="121"/>
      <c r="O8" s="121"/>
    </row>
    <row r="9" spans="1:15" ht="15.75" customHeight="1">
      <c r="A9" s="134" t="s">
        <v>27</v>
      </c>
      <c r="B9" s="135">
        <f ca="1">HLOOKUP(A9, 'Stats for Zce 0.41'!$A$1:$AC$116, $G$2,FALSE)</f>
        <v>3.5281603878508402E-4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  <c r="I9" s="134" t="s">
        <v>27</v>
      </c>
      <c r="J9" s="135">
        <f ca="1">HLOOKUP(I9, 'Stats for Zce 0.41'!$A$1:$AC$116, $O$2,FALSE)</f>
        <v>8.1585788098615503E-4</v>
      </c>
      <c r="K9" s="132">
        <v>3</v>
      </c>
      <c r="L9" s="121" t="e">
        <f t="shared" ca="1" si="2"/>
        <v>#NAME?</v>
      </c>
      <c r="M9" s="136" t="e">
        <f t="shared" ca="1" si="3"/>
        <v>#NAME?</v>
      </c>
      <c r="N9" s="121"/>
      <c r="O9" s="121"/>
    </row>
    <row r="10" spans="1:15" ht="15.75" customHeight="1">
      <c r="A10" s="134" t="s">
        <v>30</v>
      </c>
      <c r="B10" s="135">
        <f ca="1">HLOOKUP(A10, 'Stats for Zce 0.41'!$A$1:$AC$116, $G$2,FALSE)</f>
        <v>4.5690576215319902E-4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  <c r="I10" s="134" t="s">
        <v>30</v>
      </c>
      <c r="J10" s="135">
        <f ca="1">HLOOKUP(I10, 'Stats for Zce 0.41'!$A$1:$AC$116, $O$2,FALSE)</f>
        <v>3.5129958162000998E-4</v>
      </c>
      <c r="K10" s="132">
        <v>3</v>
      </c>
      <c r="L10" s="121" t="e">
        <f t="shared" ca="1" si="2"/>
        <v>#NAME?</v>
      </c>
      <c r="M10" s="136" t="e">
        <f t="shared" ca="1" si="3"/>
        <v>#NAME?</v>
      </c>
      <c r="N10" s="121"/>
      <c r="O10" s="121"/>
    </row>
    <row r="11" spans="1:15" ht="15.75" customHeight="1">
      <c r="A11" s="134" t="s">
        <v>25</v>
      </c>
      <c r="B11" s="135">
        <f ca="1">HLOOKUP(A11, 'Stats for Zce 0.41'!$A$1:$AC$116, $G$2,FALSE)</f>
        <v>5.1751825254792499E-3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  <c r="I11" s="134" t="s">
        <v>25</v>
      </c>
      <c r="J11" s="135">
        <f ca="1">HLOOKUP(I11, 'Stats for Zce 0.41'!$A$1:$AC$116, $O$2,FALSE)</f>
        <v>7.1532643739562899E-3</v>
      </c>
      <c r="K11" s="132">
        <v>6</v>
      </c>
      <c r="L11" s="121" t="e">
        <f t="shared" ca="1" si="2"/>
        <v>#NAME?</v>
      </c>
      <c r="M11" s="136" t="e">
        <f t="shared" ca="1" si="3"/>
        <v>#NAME?</v>
      </c>
      <c r="N11" s="121"/>
      <c r="O11" s="121"/>
    </row>
    <row r="12" spans="1:15" ht="15.75" customHeight="1">
      <c r="A12" s="152" t="s">
        <v>65</v>
      </c>
      <c r="B12" s="135">
        <f ca="1">HLOOKUP(A12, 'Stats for Zce 0.41'!$A$1:$AC$116, $G$2,FALSE)</f>
        <v>3.9785316064062104E-3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  <c r="I12" s="139" t="s">
        <v>65</v>
      </c>
      <c r="J12" s="135">
        <f ca="1">HLOOKUP(I12, 'Stats for Zce 0.41'!$A$1:$AC$116, $O$2,FALSE)</f>
        <v>7.3072494433570898E-3</v>
      </c>
      <c r="K12" s="132">
        <v>6</v>
      </c>
      <c r="L12" s="121" t="e">
        <f t="shared" ca="1" si="2"/>
        <v>#NAME?</v>
      </c>
      <c r="M12" s="136" t="e">
        <f t="shared" ca="1" si="3"/>
        <v>#NAME?</v>
      </c>
      <c r="N12" s="121"/>
      <c r="O12" s="121"/>
    </row>
    <row r="13" spans="1:15" ht="15.75" customHeight="1">
      <c r="A13" s="134" t="s">
        <v>22</v>
      </c>
      <c r="B13" s="135">
        <f ca="1">HLOOKUP(A13, 'Stats for Zce 0.41'!$A$1:$AC$116, $G$2,FALSE)</f>
        <v>3.1118738878104001E-4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  <c r="I13" s="134" t="s">
        <v>22</v>
      </c>
      <c r="J13" s="135">
        <f ca="1">HLOOKUP(I13, 'Stats for Zce 0.41'!$A$1:$AC$116, $O$2,FALSE)</f>
        <v>3.4569784615108302E-4</v>
      </c>
      <c r="K13" s="132">
        <v>3</v>
      </c>
      <c r="L13" s="121" t="e">
        <f t="shared" ca="1" si="2"/>
        <v>#NAME?</v>
      </c>
      <c r="M13" s="136" t="e">
        <f t="shared" ca="1" si="3"/>
        <v>#NAME?</v>
      </c>
      <c r="N13" s="121"/>
      <c r="O13" s="121"/>
    </row>
    <row r="14" spans="1:15" ht="15.75" customHeight="1">
      <c r="A14" s="134" t="s">
        <v>21</v>
      </c>
      <c r="B14" s="135">
        <f ca="1">HLOOKUP(A14, 'Stats for Zce 0.41'!$A$1:$AC$116, $G$2,FALSE)</f>
        <v>1.07097197787753E-3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  <c r="I14" s="134" t="s">
        <v>21</v>
      </c>
      <c r="J14" s="135">
        <f ca="1">HLOOKUP(I14, 'Stats for Zce 0.41'!$A$1:$AC$116, $O$2,FALSE)</f>
        <v>0</v>
      </c>
      <c r="K14" s="132">
        <v>3</v>
      </c>
      <c r="L14" s="121" t="e">
        <f t="shared" ca="1" si="2"/>
        <v>#NAME?</v>
      </c>
      <c r="M14" s="136" t="e">
        <f t="shared" ca="1" si="3"/>
        <v>#NAME?</v>
      </c>
      <c r="N14" s="121"/>
      <c r="O14" s="121"/>
    </row>
    <row r="15" spans="1:15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32" t="s">
        <v>118</v>
      </c>
      <c r="G15" s="121"/>
      <c r="I15" s="134" t="s">
        <v>20</v>
      </c>
      <c r="J15" s="121" t="str">
        <f>HLOOKUP(I15, 'Stats for Zce 0.41'!$A$1:$AC$116, $O$2,FALSE)</f>
        <v>N/A</v>
      </c>
      <c r="K15" s="132">
        <v>3</v>
      </c>
      <c r="L15" s="121" t="e">
        <f t="shared" ca="1" si="2"/>
        <v>#NAME?</v>
      </c>
      <c r="M15" s="136" t="e">
        <f t="shared" ca="1" si="3"/>
        <v>#VALUE!</v>
      </c>
      <c r="N15" s="132" t="s">
        <v>118</v>
      </c>
      <c r="O15" s="121"/>
    </row>
    <row r="16" spans="1:15" ht="15.75" customHeight="1">
      <c r="A16" s="134" t="s">
        <v>17</v>
      </c>
      <c r="B16" s="135">
        <f ca="1">HLOOKUP(A16, 'Stats for Zce 0.41'!$A$1:$AC$116, $G$2,FALSE)</f>
        <v>2.01159735703308E-4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  <c r="I16" s="134" t="s">
        <v>17</v>
      </c>
      <c r="J16" s="135">
        <f ca="1">HLOOKUP(I16, 'Stats for Zce 0.41'!$A$1:$AC$116, $O$2,FALSE)</f>
        <v>1.42335386328132E-4</v>
      </c>
      <c r="K16" s="132">
        <v>3</v>
      </c>
      <c r="L16" s="121" t="e">
        <f t="shared" ca="1" si="2"/>
        <v>#NAME?</v>
      </c>
      <c r="M16" s="136" t="e">
        <f t="shared" ca="1" si="3"/>
        <v>#NAME?</v>
      </c>
      <c r="N16" s="121"/>
      <c r="O16" s="121"/>
    </row>
    <row r="17" spans="1:15" ht="15.75" customHeight="1">
      <c r="A17" s="134" t="s">
        <v>15</v>
      </c>
      <c r="B17" s="135">
        <f ca="1">HLOOKUP(A17, 'Stats for Zce 0.41'!$A$1:$AC$116, $G$2,FALSE)</f>
        <v>3.0323630742942601E-3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  <c r="I17" s="134" t="s">
        <v>15</v>
      </c>
      <c r="J17" s="135">
        <f ca="1">HLOOKUP(I17, 'Stats for Zce 0.41'!$A$1:$AC$116, $O$2,FALSE)</f>
        <v>4.1317031028352798E-3</v>
      </c>
      <c r="K17" s="132">
        <v>3</v>
      </c>
      <c r="L17" s="121" t="e">
        <f t="shared" ca="1" si="2"/>
        <v>#NAME?</v>
      </c>
      <c r="M17" s="136" t="e">
        <f t="shared" ca="1" si="3"/>
        <v>#NAME?</v>
      </c>
      <c r="N17" s="121"/>
      <c r="O17" s="121"/>
    </row>
    <row r="18" spans="1:15" ht="15.75" customHeight="1">
      <c r="A18" s="140" t="s">
        <v>224</v>
      </c>
      <c r="B18" s="141">
        <f ca="1">HLOOKUP(A18, 'Stats for Zce 0.41'!$A$1:$AC$116, $G$2,FALSE)</f>
        <v>3.0137363756774201E-3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  <c r="I18" s="140" t="s">
        <v>224</v>
      </c>
      <c r="J18" s="141">
        <f ca="1">HLOOKUP(I18, 'Stats for Zce 0.41'!$A$1:$AC$116, $O$2,FALSE)</f>
        <v>2.9445850990285601E-3</v>
      </c>
      <c r="K18" s="142">
        <v>8</v>
      </c>
      <c r="L18" s="143" t="e">
        <f t="shared" ca="1" si="2"/>
        <v>#NAME?</v>
      </c>
      <c r="M18" s="144" t="e">
        <f t="shared" ca="1" si="3"/>
        <v>#NAME?</v>
      </c>
      <c r="N18" s="121"/>
      <c r="O18" s="121"/>
    </row>
    <row r="19" spans="1:15">
      <c r="A19" s="174" t="s">
        <v>225</v>
      </c>
      <c r="B19" s="175"/>
      <c r="C19" s="175"/>
      <c r="D19" s="175"/>
      <c r="E19" s="176"/>
      <c r="F19" s="121"/>
      <c r="G19" s="121"/>
      <c r="I19" s="174" t="s">
        <v>225</v>
      </c>
      <c r="J19" s="175"/>
      <c r="K19" s="175"/>
      <c r="L19" s="175"/>
      <c r="M19" s="176"/>
      <c r="N19" s="121"/>
      <c r="O19" s="121"/>
    </row>
    <row r="20" spans="1:15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4.4258461993448101E-2</v>
      </c>
      <c r="C20" s="147" t="s">
        <v>226</v>
      </c>
      <c r="D20" s="147">
        <f>2*5*8+5*8*2</f>
        <v>160</v>
      </c>
      <c r="E20" s="144">
        <f ca="1">B20/D20*1000000</f>
        <v>276.61538745905062</v>
      </c>
      <c r="F20" s="132" t="s">
        <v>227</v>
      </c>
      <c r="G20" s="121"/>
      <c r="I20" s="145" t="s">
        <v>86</v>
      </c>
      <c r="J20" s="146">
        <f ca="1">IF(ISNUMBER(HLOOKUP("PUSHPOP wrt MSR", 'Stats for Zce 0.41'!$A$1:$AC$116, $O$2,FALSE)),HLOOKUP("PUSHPOP wrt MSR", 'Stats for Zce 0.41'!$A$1:$AC$116, $O$2,FALSE),HLOOKUP("PUSHPOP", 'Stats for Zce 0.41'!$A$1:$AC$116, $O$2,FALSE))</f>
        <v>4.9409579465263601E-2</v>
      </c>
      <c r="K20" s="147" t="s">
        <v>226</v>
      </c>
      <c r="L20" s="147">
        <f>2*5*8+5*8*2</f>
        <v>160</v>
      </c>
      <c r="M20" s="144">
        <f ca="1">J20/L20*1000000</f>
        <v>308.80987165789753</v>
      </c>
      <c r="N20" s="132" t="s">
        <v>227</v>
      </c>
      <c r="O20" s="121"/>
    </row>
    <row r="21" spans="1:15">
      <c r="A21" s="174" t="s">
        <v>228</v>
      </c>
      <c r="B21" s="175"/>
      <c r="C21" s="175"/>
      <c r="D21" s="175"/>
      <c r="E21" s="176"/>
      <c r="F21" s="121"/>
      <c r="G21" s="121"/>
      <c r="I21" s="174" t="s">
        <v>228</v>
      </c>
      <c r="J21" s="175"/>
      <c r="K21" s="175"/>
      <c r="L21" s="175"/>
      <c r="M21" s="176"/>
      <c r="N21" s="121"/>
      <c r="O21" s="121"/>
    </row>
    <row r="22" spans="1:15" ht="15.75" customHeight="1">
      <c r="A22" s="134" t="s">
        <v>44</v>
      </c>
      <c r="B22" s="135">
        <f ca="1">HLOOKUP(A22, 'Stats for Zce 0.41'!$A$1:$AC$116, $G$2,FALSE)</f>
        <v>1.1927897506673101E-3</v>
      </c>
      <c r="C22" s="132">
        <v>21</v>
      </c>
      <c r="D22" s="121"/>
      <c r="E22" s="136"/>
      <c r="F22" s="121"/>
      <c r="G22" s="121"/>
      <c r="I22" s="134" t="s">
        <v>44</v>
      </c>
      <c r="J22" s="135">
        <f ca="1">HLOOKUP(I22, 'Stats for Zce 0.41'!$A$1:$AC$116, $O$2,FALSE)</f>
        <v>1.3867005216282699E-3</v>
      </c>
      <c r="K22" s="132">
        <v>21</v>
      </c>
      <c r="L22" s="121"/>
      <c r="M22" s="136"/>
      <c r="N22" s="121"/>
      <c r="O22" s="121"/>
    </row>
    <row r="23" spans="1:15" ht="15.75" customHeight="1">
      <c r="A23" s="134" t="s">
        <v>46</v>
      </c>
      <c r="B23" s="135">
        <f ca="1">HLOOKUP(A23, 'Stats for Zce 0.41'!$A$1:$AC$116, $G$2,FALSE)</f>
        <v>1.91607063415028E-3</v>
      </c>
      <c r="C23" s="132">
        <v>21</v>
      </c>
      <c r="D23" s="121"/>
      <c r="E23" s="136"/>
      <c r="F23" s="121"/>
      <c r="G23" s="121"/>
      <c r="I23" s="134" t="s">
        <v>46</v>
      </c>
      <c r="J23" s="135">
        <f ca="1">HLOOKUP(I23, 'Stats for Zce 0.41'!$A$1:$AC$116, $O$2,FALSE)</f>
        <v>1.5451210024959099E-3</v>
      </c>
      <c r="K23" s="132">
        <v>21</v>
      </c>
      <c r="L23" s="121"/>
      <c r="M23" s="136"/>
      <c r="N23" s="121"/>
      <c r="O23" s="121"/>
    </row>
    <row r="24" spans="1:15" ht="15.75" customHeight="1">
      <c r="A24" s="148" t="s">
        <v>83</v>
      </c>
      <c r="B24" s="141">
        <f ca="1">HLOOKUP(A24, 'Stats for Zce 0.41'!$A$1:$AC$116, $G$2,FALSE)</f>
        <v>1.88412597063819E-3</v>
      </c>
      <c r="C24" s="142">
        <v>18</v>
      </c>
      <c r="D24" s="143"/>
      <c r="E24" s="144"/>
      <c r="F24" s="121"/>
      <c r="G24" s="121"/>
      <c r="I24" s="148" t="s">
        <v>83</v>
      </c>
      <c r="J24" s="141">
        <f ca="1">HLOOKUP(I24, 'Stats for Zce 0.41'!$A$1:$AC$116, $O$2,FALSE)</f>
        <v>1.9344899310480999E-3</v>
      </c>
      <c r="K24" s="142">
        <v>18</v>
      </c>
      <c r="L24" s="143"/>
      <c r="M24" s="144"/>
      <c r="N24" s="121"/>
      <c r="O24" s="121"/>
    </row>
    <row r="26" spans="1:15" ht="15.75" customHeight="1">
      <c r="A26" s="3" t="s">
        <v>229</v>
      </c>
      <c r="B26" s="127">
        <f ca="1">SUM(B3:B24)</f>
        <v>7.539103623210372E-2</v>
      </c>
      <c r="I26" s="3" t="s">
        <v>229</v>
      </c>
      <c r="J26" s="127">
        <f ca="1">SUM(J3:J24)</f>
        <v>8.6398048158589216E-2</v>
      </c>
    </row>
  </sheetData>
  <mergeCells count="6">
    <mergeCell ref="A2:E2"/>
    <mergeCell ref="I2:M2"/>
    <mergeCell ref="A19:E19"/>
    <mergeCell ref="I19:M19"/>
    <mergeCell ref="A21:E21"/>
    <mergeCell ref="I21:M21"/>
  </mergeCells>
  <conditionalFormatting sqref="B26 J26">
    <cfRule type="cellIs" dxfId="50" priority="1" operator="greaterThan">
      <formula>"15%"</formula>
    </cfRule>
  </conditionalFormatting>
  <conditionalFormatting sqref="B26 J26">
    <cfRule type="cellIs" dxfId="49" priority="2" operator="between">
      <formula>"10%"</formula>
      <formula>"15%"</formula>
    </cfRule>
  </conditionalFormatting>
  <conditionalFormatting sqref="B26 J26">
    <cfRule type="cellIs" dxfId="48" priority="3" operator="between">
      <formula>"5%"</formula>
      <formula>"10%"</formula>
    </cfRule>
  </conditionalFormatting>
  <conditionalFormatting sqref="B26 J26">
    <cfRule type="cellIs" dxfId="47" priority="4" operator="between">
      <formula>"1%"</formula>
      <formula>"5%"</formula>
    </cfRule>
  </conditionalFormatting>
  <conditionalFormatting sqref="B26 J26">
    <cfRule type="cellIs" dxfId="46" priority="5" operator="between">
      <formula>"0.50%"</formula>
      <formula>"1.00%"</formula>
    </cfRule>
  </conditionalFormatting>
  <conditionalFormatting sqref="B26 J26">
    <cfRule type="cellIs" dxfId="45" priority="6" operator="between">
      <formula>"0.10%"</formula>
      <formula>"0.50%"</formula>
    </cfRule>
  </conditionalFormatting>
  <conditionalFormatting sqref="B26 J26">
    <cfRule type="cellIs" dxfId="44" priority="7" operator="lessThan">
      <formula>"0.10%"</formula>
    </cfRule>
  </conditionalFormatting>
  <conditionalFormatting sqref="E3:E18 M3:M18 E20 M20">
    <cfRule type="cellIs" dxfId="43" priority="8" operator="greaterThan">
      <formula>100</formula>
    </cfRule>
  </conditionalFormatting>
  <conditionalFormatting sqref="E3:E18 M3:M18 E20 M20">
    <cfRule type="cellIs" dxfId="42" priority="9" operator="greaterThan">
      <formula>50</formula>
    </cfRule>
  </conditionalFormatting>
  <conditionalFormatting sqref="E3:E18 M3:M18 E20 M20 E22:E24 M22:M24">
    <cfRule type="cellIs" dxfId="41" priority="10" operator="greaterThan">
      <formula>10</formula>
    </cfRule>
  </conditionalFormatting>
  <conditionalFormatting sqref="B3:B18 J3:J18 B20 J20 B22:B24 J22:J24">
    <cfRule type="cellIs" dxfId="40" priority="11" operator="greaterThanOrEqual">
      <formula>"0.50%"</formula>
    </cfRule>
  </conditionalFormatting>
  <conditionalFormatting sqref="B3:B18 J3:J18 B20 J20 B22:B24 J22:J24">
    <cfRule type="cellIs" dxfId="39" priority="12" operator="greaterThanOrEqual">
      <formula>"0.10%"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6"/>
  <sheetViews>
    <sheetView workbookViewId="0"/>
  </sheetViews>
  <sheetFormatPr defaultColWidth="14.453125" defaultRowHeight="15.75" customHeight="1"/>
  <cols>
    <col min="1" max="1" width="17.453125" customWidth="1"/>
    <col min="3" max="3" width="16.54296875" customWidth="1"/>
  </cols>
  <sheetData>
    <row r="1" spans="1:7" ht="15.75" customHeight="1">
      <c r="A1" s="132" t="s">
        <v>240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</row>
    <row r="2" spans="1:7">
      <c r="A2" s="174" t="s">
        <v>222</v>
      </c>
      <c r="B2" s="175"/>
      <c r="C2" s="175"/>
      <c r="D2" s="175"/>
      <c r="E2" s="176"/>
      <c r="F2" s="121"/>
      <c r="G2" s="154">
        <f>MATCH("GCC10_RV64_v8",'Stats for Zce 0.41'!$B$1:$B$116,0)</f>
        <v>28</v>
      </c>
    </row>
    <row r="3" spans="1:7" ht="15.75" customHeight="1">
      <c r="A3" s="134" t="s">
        <v>69</v>
      </c>
      <c r="B3" s="135">
        <f>HLOOKUP(A3, 'Stats for Zce 0.41'!$A$1:$AC$116, $G$2,FALSE)</f>
        <v>1.39E-3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55"/>
    </row>
    <row r="4" spans="1:7" ht="15.75" customHeight="1">
      <c r="A4" s="134" t="s">
        <v>70</v>
      </c>
      <c r="B4" s="135">
        <f>HLOOKUP(A4, 'Stats for Zce 0.41'!$A$1:$AC$116, $G$2,FALSE)</f>
        <v>1.6000000000000001E-3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</row>
    <row r="5" spans="1:7" ht="15.75" customHeight="1">
      <c r="A5" s="137" t="s">
        <v>71</v>
      </c>
      <c r="B5" s="135">
        <f>HLOOKUP(A5, 'Stats for Zce 0.41'!$A$1:$AC$116, $G$2,FALSE)</f>
        <v>4.0000000000000003E-5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</row>
    <row r="6" spans="1:7" ht="15.75" customHeight="1">
      <c r="A6" s="138" t="s">
        <v>72</v>
      </c>
      <c r="B6" s="135">
        <f>HLOOKUP(A6, 'Stats for Zce 0.41'!$A$1:$AC$116, $G$2,FALSE)</f>
        <v>4.0000000000000003E-5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</row>
    <row r="7" spans="1:7" ht="15.75" customHeight="1">
      <c r="A7" s="134" t="s">
        <v>74</v>
      </c>
      <c r="B7" s="135">
        <f>HLOOKUP(A7, 'Stats for Zce 0.41'!$A$1:$AC$116, $G$2,FALSE)</f>
        <v>5.4000000000000001E-4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</row>
    <row r="8" spans="1:7" ht="15.75" customHeight="1">
      <c r="A8" s="134" t="s">
        <v>73</v>
      </c>
      <c r="B8" s="135">
        <f>HLOOKUP(A8, 'Stats for Zce 0.41'!$A$1:$AC$116, $G$2,FALSE)</f>
        <v>8.0000000000000007E-5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</row>
    <row r="9" spans="1:7" ht="15.75" customHeight="1">
      <c r="A9" s="134" t="s">
        <v>27</v>
      </c>
      <c r="B9" s="135">
        <f>HLOOKUP(A9, 'Stats for Zce 0.41'!$A$1:$AC$116, $G$2,FALSE)</f>
        <v>1.9000000000000001E-4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</row>
    <row r="10" spans="1:7" ht="15.75" customHeight="1">
      <c r="A10" s="134" t="s">
        <v>30</v>
      </c>
      <c r="B10" s="135">
        <f>HLOOKUP(A10, 'Stats for Zce 0.41'!$A$1:$AC$116, $G$2,FALSE)</f>
        <v>1.0000000000000001E-5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</row>
    <row r="11" spans="1:7" ht="15.75" customHeight="1">
      <c r="A11" s="134" t="s">
        <v>25</v>
      </c>
      <c r="B11" s="135">
        <f>HLOOKUP(A11, 'Stats for Zce 0.41'!$A$1:$AC$116, $G$2,FALSE)</f>
        <v>6.9999999999999994E-5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</row>
    <row r="12" spans="1:7" ht="15.75" customHeight="1">
      <c r="A12" s="152" t="s">
        <v>65</v>
      </c>
      <c r="B12" s="135">
        <f>HLOOKUP(A12, 'Stats for Zce 0.41'!$A$1:$AC$116, $G$2,FALSE)</f>
        <v>1.8600000000000001E-3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</row>
    <row r="13" spans="1:7" ht="15.75" customHeight="1">
      <c r="A13" s="134" t="s">
        <v>22</v>
      </c>
      <c r="B13" s="135">
        <f>HLOOKUP(A13, 'Stats for Zce 0.41'!$A$1:$AC$116, $G$2,FALSE)</f>
        <v>1.17E-3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</row>
    <row r="14" spans="1:7" ht="15.75" customHeight="1">
      <c r="A14" s="134" t="s">
        <v>21</v>
      </c>
      <c r="B14" s="135">
        <f>HLOOKUP(A14, 'Stats for Zce 0.41'!$A$1:$AC$116, $G$2,FALSE)</f>
        <v>0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</row>
    <row r="15" spans="1:7" ht="15.75" customHeight="1">
      <c r="A15" s="134" t="s">
        <v>20</v>
      </c>
      <c r="B15" s="135">
        <f>HLOOKUP(A15, 'Stats for Zce 0.41'!$A$1:$AC$116, $G$2,FALSE)</f>
        <v>4.4999999999999999E-4</v>
      </c>
      <c r="C15" s="132">
        <v>3</v>
      </c>
      <c r="D15" s="121" t="e">
        <f t="shared" ca="1" si="0"/>
        <v>#NAME?</v>
      </c>
      <c r="E15" s="136" t="e">
        <f t="shared" ca="1" si="1"/>
        <v>#NAME?</v>
      </c>
      <c r="F15" s="132" t="s">
        <v>118</v>
      </c>
      <c r="G15" s="121"/>
    </row>
    <row r="16" spans="1:7" ht="15.75" customHeight="1">
      <c r="A16" s="134" t="s">
        <v>17</v>
      </c>
      <c r="B16" s="135">
        <f>HLOOKUP(A16, 'Stats for Zce 0.41'!$A$1:$AC$116, $G$2,FALSE)</f>
        <v>0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</row>
    <row r="17" spans="1:7" ht="15.75" customHeight="1">
      <c r="A17" s="134" t="s">
        <v>15</v>
      </c>
      <c r="B17" s="135">
        <f>HLOOKUP(A17, 'Stats for Zce 0.41'!$A$1:$AC$116, $G$2,FALSE)</f>
        <v>0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</row>
    <row r="18" spans="1:7" ht="15.75" customHeight="1">
      <c r="A18" s="140" t="s">
        <v>224</v>
      </c>
      <c r="B18" s="141">
        <f>HLOOKUP(A18, 'Stats for Zce 0.41'!$A$1:$AC$116, $G$2,FALSE)</f>
        <v>4.7829999999999998E-2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</row>
    <row r="19" spans="1:7">
      <c r="A19" s="174" t="s">
        <v>225</v>
      </c>
      <c r="B19" s="175"/>
      <c r="C19" s="175"/>
      <c r="D19" s="175"/>
      <c r="E19" s="176"/>
      <c r="F19" s="121"/>
      <c r="G19" s="121"/>
    </row>
    <row r="20" spans="1:7" ht="15.75" customHeight="1">
      <c r="A20" s="145" t="s">
        <v>86</v>
      </c>
      <c r="B20" s="146">
        <f>IF(ISNUMBER(HLOOKUP("PUSHPOP wrt MSR", 'Stats for Zce 0.41'!$A$1:$AC$116, $G$2,FALSE)),HLOOKUP("PUSHPOP wrt MSR", 'Stats for Zce 0.41'!$A$1:$AC$116, $G$2,FALSE),HLOOKUP("PUSHPOP", 'Stats for Zce 0.41'!$A$1:$AC$116, $G$2,FALSE))</f>
        <v>5.0840000000000003E-2</v>
      </c>
      <c r="C20" s="147" t="s">
        <v>226</v>
      </c>
      <c r="D20" s="147">
        <f>2*5*8+5*8*2</f>
        <v>160</v>
      </c>
      <c r="E20" s="136">
        <f>B20/D20*1000000</f>
        <v>317.75</v>
      </c>
      <c r="F20" s="132" t="s">
        <v>227</v>
      </c>
      <c r="G20" s="121"/>
    </row>
    <row r="21" spans="1:7">
      <c r="A21" s="174" t="s">
        <v>228</v>
      </c>
      <c r="B21" s="175"/>
      <c r="C21" s="175"/>
      <c r="D21" s="175"/>
      <c r="E21" s="176"/>
      <c r="F21" s="121"/>
      <c r="G21" s="121"/>
    </row>
    <row r="22" spans="1:7" ht="15.75" customHeight="1">
      <c r="A22" s="134" t="s">
        <v>44</v>
      </c>
      <c r="B22" s="135">
        <f>HLOOKUP(A22, 'Stats for Zce 0.41'!$A$1:$AC$116, $G$2,FALSE)</f>
        <v>1.72E-3</v>
      </c>
      <c r="C22" s="132">
        <v>21</v>
      </c>
      <c r="D22" s="121" t="e">
        <f t="shared" ref="D22:D24" ca="1" si="2">pow(2,C22)</f>
        <v>#NAME?</v>
      </c>
      <c r="E22" s="136" t="e">
        <f t="shared" ref="E22:E24" ca="1" si="3">B22/D22*1000000</f>
        <v>#NAME?</v>
      </c>
      <c r="F22" s="121"/>
      <c r="G22" s="121"/>
    </row>
    <row r="23" spans="1:7" ht="15.75" customHeight="1">
      <c r="A23" s="134" t="s">
        <v>46</v>
      </c>
      <c r="B23" s="135">
        <f>HLOOKUP(A23, 'Stats for Zce 0.41'!$A$1:$AC$116, $G$2,FALSE)</f>
        <v>1.7600000000000001E-3</v>
      </c>
      <c r="C23" s="132">
        <v>21</v>
      </c>
      <c r="D23" s="121" t="e">
        <f t="shared" ca="1" si="2"/>
        <v>#NAME?</v>
      </c>
      <c r="E23" s="136" t="e">
        <f t="shared" ca="1" si="3"/>
        <v>#NAME?</v>
      </c>
      <c r="F23" s="121"/>
      <c r="G23" s="121"/>
    </row>
    <row r="24" spans="1:7" ht="15.75" customHeight="1">
      <c r="A24" s="148" t="s">
        <v>83</v>
      </c>
      <c r="B24" s="141">
        <f>HLOOKUP(A24, 'Stats for Zce 0.41'!$A$1:$AC$116, $G$2,FALSE)</f>
        <v>9.9999999999999856E-6</v>
      </c>
      <c r="C24" s="142">
        <v>18</v>
      </c>
      <c r="D24" s="143" t="e">
        <f t="shared" ca="1" si="2"/>
        <v>#NAME?</v>
      </c>
      <c r="E24" s="144" t="e">
        <f t="shared" ca="1" si="3"/>
        <v>#NAME?</v>
      </c>
      <c r="F24" s="121"/>
      <c r="G24" s="121"/>
    </row>
    <row r="26" spans="1:7" ht="15.75" customHeight="1">
      <c r="A26" s="3" t="s">
        <v>229</v>
      </c>
      <c r="B26" s="127">
        <f>SUM(B3:B24)</f>
        <v>0.1096</v>
      </c>
    </row>
  </sheetData>
  <mergeCells count="3">
    <mergeCell ref="A2:E2"/>
    <mergeCell ref="A19:E19"/>
    <mergeCell ref="A21:E21"/>
  </mergeCells>
  <conditionalFormatting sqref="B26">
    <cfRule type="cellIs" dxfId="38" priority="1" operator="greaterThan">
      <formula>"15%"</formula>
    </cfRule>
  </conditionalFormatting>
  <conditionalFormatting sqref="B26">
    <cfRule type="cellIs" dxfId="37" priority="2" operator="between">
      <formula>"10%"</formula>
      <formula>"15%"</formula>
    </cfRule>
  </conditionalFormatting>
  <conditionalFormatting sqref="B26">
    <cfRule type="cellIs" dxfId="36" priority="3" operator="between">
      <formula>"5%"</formula>
      <formula>"10%"</formula>
    </cfRule>
  </conditionalFormatting>
  <conditionalFormatting sqref="B26">
    <cfRule type="cellIs" dxfId="35" priority="4" operator="between">
      <formula>"1%"</formula>
      <formula>"5%"</formula>
    </cfRule>
  </conditionalFormatting>
  <conditionalFormatting sqref="B26">
    <cfRule type="cellIs" dxfId="34" priority="5" operator="between">
      <formula>"0.50%"</formula>
      <formula>"1.00%"</formula>
    </cfRule>
  </conditionalFormatting>
  <conditionalFormatting sqref="B26">
    <cfRule type="cellIs" dxfId="33" priority="6" operator="between">
      <formula>"0.10%"</formula>
      <formula>"0.50%"</formula>
    </cfRule>
  </conditionalFormatting>
  <conditionalFormatting sqref="B26">
    <cfRule type="cellIs" dxfId="32" priority="7" operator="lessThan">
      <formula>"0.10%"</formula>
    </cfRule>
  </conditionalFormatting>
  <conditionalFormatting sqref="E3:E18 E20">
    <cfRule type="cellIs" dxfId="31" priority="8" operator="greaterThan">
      <formula>100</formula>
    </cfRule>
  </conditionalFormatting>
  <conditionalFormatting sqref="E3:E18 E20">
    <cfRule type="cellIs" dxfId="30" priority="9" operator="greaterThan">
      <formula>50</formula>
    </cfRule>
  </conditionalFormatting>
  <conditionalFormatting sqref="E3:E18 E20 E22:E24">
    <cfRule type="cellIs" dxfId="29" priority="10" operator="greaterThan">
      <formula>10</formula>
    </cfRule>
  </conditionalFormatting>
  <conditionalFormatting sqref="B3:B18 B20 B22:B24">
    <cfRule type="cellIs" dxfId="28" priority="11" operator="greaterThanOrEqual">
      <formula>"0.50%"</formula>
    </cfRule>
  </conditionalFormatting>
  <conditionalFormatting sqref="B3:B18 B20 B22:B24">
    <cfRule type="cellIs" dxfId="27" priority="12" operator="greaterThanOrEqual">
      <formula>"0.10%"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1"/>
  <sheetViews>
    <sheetView workbookViewId="0"/>
  </sheetViews>
  <sheetFormatPr defaultColWidth="14.453125" defaultRowHeight="15.75" customHeight="1"/>
  <cols>
    <col min="1" max="1" width="18.26953125" customWidth="1"/>
    <col min="2" max="2" width="30.453125" customWidth="1"/>
    <col min="3" max="3" width="27.81640625" customWidth="1"/>
  </cols>
  <sheetData>
    <row r="1" spans="1:5">
      <c r="A1" s="3" t="s">
        <v>241</v>
      </c>
      <c r="B1" s="156" t="s">
        <v>153</v>
      </c>
      <c r="C1" s="156" t="s">
        <v>154</v>
      </c>
      <c r="D1" s="156"/>
    </row>
    <row r="2" spans="1:5">
      <c r="A2" s="140" t="s">
        <v>224</v>
      </c>
      <c r="B2" s="135">
        <f>HLOOKUP($A2, 'Stats for Zce 0.41'!$A$1:$AC$116, $D$2,FALSE)</f>
        <v>5.1810000000000002E-2</v>
      </c>
      <c r="C2" s="135">
        <f>HLOOKUP($A2, 'Stats for Zce 0.41'!$A$1:$AC$116, $E$2,FALSE)</f>
        <v>3.7909999999999999E-2</v>
      </c>
      <c r="D2" s="154">
        <f>MATCH($B$1,'Stats for Zce 0.41'!$B$1:$B$116,0)</f>
        <v>57</v>
      </c>
      <c r="E2" s="154">
        <f>MATCH($C$1,'Stats for Zce 0.41'!$B$1:$B$116,0)</f>
        <v>58</v>
      </c>
    </row>
    <row r="3" spans="1:5" ht="15.75" customHeight="1">
      <c r="A3" s="140" t="s">
        <v>87</v>
      </c>
      <c r="B3" s="135">
        <f>HLOOKUP($A3, 'Stats for Zce 0.41'!$A$1:$AC$116, $D$2,FALSE)</f>
        <v>5.62E-2</v>
      </c>
      <c r="C3" s="135">
        <f>HLOOKUP($A3, 'Stats for Zce 0.41'!$A$1:$AC$116, $E$2,FALSE)</f>
        <v>4.2999999999999997E-2</v>
      </c>
    </row>
    <row r="4" spans="1:5" ht="15.75" customHeight="1">
      <c r="A4" s="151" t="s">
        <v>69</v>
      </c>
      <c r="B4" s="135">
        <f>HLOOKUP($A4, 'Stats for Zce 0.41'!$A$1:$AC$116, $D$2,FALSE)</f>
        <v>8.5199999999999998E-3</v>
      </c>
      <c r="C4" s="135">
        <f>HLOOKUP($A4, 'Stats for Zce 0.41'!$A$1:$AC$116, $E$2,FALSE)</f>
        <v>1.159E-2</v>
      </c>
    </row>
    <row r="5" spans="1:5" ht="15.75" customHeight="1">
      <c r="A5" s="151" t="s">
        <v>74</v>
      </c>
      <c r="B5" s="135">
        <f>HLOOKUP($A5, 'Stats for Zce 0.41'!$A$1:$AC$116, $D$2,FALSE)</f>
        <v>3.3600000000000001E-3</v>
      </c>
      <c r="C5" s="135">
        <f>HLOOKUP($A5, 'Stats for Zce 0.41'!$A$1:$AC$116, $E$2,FALSE)</f>
        <v>6.1000000000000004E-3</v>
      </c>
    </row>
    <row r="6" spans="1:5" ht="15.75" customHeight="1">
      <c r="A6" s="151" t="s">
        <v>21</v>
      </c>
      <c r="B6" s="135">
        <f>HLOOKUP($A6, 'Stats for Zce 0.41'!$A$1:$AC$116, $D$2,FALSE)</f>
        <v>4.2900000000000004E-3</v>
      </c>
      <c r="C6" s="135">
        <f>HLOOKUP($A6, 'Stats for Zce 0.41'!$A$1:$AC$116, $E$2,FALSE)</f>
        <v>3.4299999999999999E-3</v>
      </c>
    </row>
    <row r="7" spans="1:5" ht="15.75" customHeight="1">
      <c r="A7" s="151" t="s">
        <v>70</v>
      </c>
      <c r="B7" s="135">
        <f>HLOOKUP($A7, 'Stats for Zce 0.41'!$A$1:$AC$116, $D$2,FALSE)</f>
        <v>3.81E-3</v>
      </c>
      <c r="C7" s="135">
        <f>HLOOKUP($A7, 'Stats for Zce 0.41'!$A$1:$AC$116, $E$2,FALSE)</f>
        <v>4.4400000000000004E-3</v>
      </c>
    </row>
    <row r="8" spans="1:5" ht="15.75" customHeight="1">
      <c r="A8" s="151" t="s">
        <v>73</v>
      </c>
      <c r="B8" s="135">
        <f>HLOOKUP($A8, 'Stats for Zce 0.41'!$A$1:$AC$116, $D$2,FALSE)</f>
        <v>1.3600000000000001E-3</v>
      </c>
      <c r="C8" s="135">
        <f>HLOOKUP($A8, 'Stats for Zce 0.41'!$A$1:$AC$116, $E$2,FALSE)</f>
        <v>2.3700000000000001E-3</v>
      </c>
    </row>
    <row r="9" spans="1:5" ht="15.75" customHeight="1">
      <c r="A9" s="157" t="s">
        <v>65</v>
      </c>
      <c r="B9" s="135">
        <f>HLOOKUP($A9, 'Stats for Zce 0.41'!$A$1:$AC$116, $D$2,FALSE)</f>
        <v>3.1800000000000001E-3</v>
      </c>
      <c r="C9" s="135">
        <f>HLOOKUP($A9, 'Stats for Zce 0.41'!$A$1:$AC$116, $E$2,FALSE)</f>
        <v>2.2899999999999999E-3</v>
      </c>
    </row>
    <row r="10" spans="1:5" ht="15.75" customHeight="1">
      <c r="A10" s="151" t="s">
        <v>46</v>
      </c>
      <c r="B10" s="135">
        <f>HLOOKUP($A10, 'Stats for Zce 0.41'!$A$1:$AC$116, $D$2,FALSE)</f>
        <v>2.99E-3</v>
      </c>
      <c r="C10" s="135">
        <f>HLOOKUP($A10, 'Stats for Zce 0.41'!$A$1:$AC$116, $E$2,FALSE)</f>
        <v>3.5799999999999998E-3</v>
      </c>
    </row>
    <row r="11" spans="1:5" ht="15.75" customHeight="1">
      <c r="A11" s="151" t="s">
        <v>44</v>
      </c>
      <c r="B11" s="135">
        <f>HLOOKUP($A11, 'Stats for Zce 0.41'!$A$1:$AC$116, $D$2,FALSE)</f>
        <v>1.82E-3</v>
      </c>
      <c r="C11" s="135">
        <f>HLOOKUP($A11, 'Stats for Zce 0.41'!$A$1:$AC$116, $E$2,FALSE)</f>
        <v>2.64E-3</v>
      </c>
    </row>
    <row r="12" spans="1:5" ht="15.75" customHeight="1">
      <c r="A12" s="151" t="s">
        <v>22</v>
      </c>
      <c r="B12" s="135">
        <f>HLOOKUP($A12, 'Stats for Zce 0.41'!$A$1:$AC$116, $D$2,FALSE)</f>
        <v>1.6800000000000001E-3</v>
      </c>
      <c r="C12" s="135">
        <f>HLOOKUP($A12, 'Stats for Zce 0.41'!$A$1:$AC$116, $E$2,FALSE)</f>
        <v>2.5999999999999999E-3</v>
      </c>
    </row>
    <row r="13" spans="1:5" ht="15.75" customHeight="1">
      <c r="A13" s="151" t="s">
        <v>25</v>
      </c>
      <c r="B13" s="135">
        <f>HLOOKUP($A13, 'Stats for Zce 0.41'!$A$1:$AC$116, $D$2,FALSE)</f>
        <v>1.6000000000000001E-3</v>
      </c>
      <c r="C13" s="135">
        <f>HLOOKUP($A13, 'Stats for Zce 0.41'!$A$1:$AC$116, $E$2,FALSE)</f>
        <v>2.9199999999999999E-3</v>
      </c>
    </row>
    <row r="14" spans="1:5" ht="15.75" customHeight="1">
      <c r="A14" s="158" t="s">
        <v>83</v>
      </c>
      <c r="B14" s="135">
        <f>HLOOKUP($A14, 'Stats for Zce 0.41'!$A$1:$AC$116, $D$2,FALSE)</f>
        <v>9.7999999999999997E-4</v>
      </c>
      <c r="C14" s="135">
        <f>HLOOKUP($A14, 'Stats for Zce 0.41'!$A$1:$AC$116, $E$2,FALSE)</f>
        <v>1.6299999999999995E-3</v>
      </c>
    </row>
    <row r="15" spans="1:5" ht="15.75" customHeight="1">
      <c r="A15" s="151" t="s">
        <v>27</v>
      </c>
      <c r="B15" s="135">
        <f>HLOOKUP($A15, 'Stats for Zce 0.41'!$A$1:$AC$116, $D$2,FALSE)</f>
        <v>5.9999999999999995E-4</v>
      </c>
      <c r="C15" s="135">
        <f>HLOOKUP($A15, 'Stats for Zce 0.41'!$A$1:$AC$116, $E$2,FALSE)</f>
        <v>3.4000000000000002E-4</v>
      </c>
    </row>
    <row r="16" spans="1:5" ht="15.75" customHeight="1">
      <c r="A16" s="151" t="s">
        <v>30</v>
      </c>
      <c r="B16" s="135">
        <f>HLOOKUP($A16, 'Stats for Zce 0.41'!$A$1:$AC$116, $D$2,FALSE)</f>
        <v>4.8999999999999998E-4</v>
      </c>
      <c r="C16" s="135">
        <f>HLOOKUP($A16, 'Stats for Zce 0.41'!$A$1:$AC$116, $E$2,FALSE)</f>
        <v>2.7999999999999998E-4</v>
      </c>
    </row>
    <row r="17" spans="1:3" ht="15.75" customHeight="1">
      <c r="A17" s="151" t="s">
        <v>17</v>
      </c>
      <c r="B17" s="135">
        <f>HLOOKUP($A17, 'Stats for Zce 0.41'!$A$1:$AC$116, $D$2,FALSE)</f>
        <v>2.4000000000000001E-4</v>
      </c>
      <c r="C17" s="135">
        <f>HLOOKUP($A17, 'Stats for Zce 0.41'!$A$1:$AC$116, $E$2,FALSE)</f>
        <v>3.1E-4</v>
      </c>
    </row>
    <row r="18" spans="1:3" ht="15.75" customHeight="1">
      <c r="A18" s="151" t="s">
        <v>15</v>
      </c>
      <c r="B18" s="135">
        <f>HLOOKUP($A18, 'Stats for Zce 0.41'!$A$1:$AC$116, $D$2,FALSE)</f>
        <v>1.4999999999999999E-4</v>
      </c>
      <c r="C18" s="135">
        <f>HLOOKUP($A18, 'Stats for Zce 0.41'!$A$1:$AC$116, $E$2,FALSE)</f>
        <v>2.5000000000000001E-4</v>
      </c>
    </row>
    <row r="19" spans="1:3" ht="15.75" customHeight="1">
      <c r="A19" s="140" t="s">
        <v>72</v>
      </c>
      <c r="B19" s="135">
        <f>HLOOKUP($A19, 'Stats for Zce 0.41'!$A$1:$AC$116, $D$2,FALSE)</f>
        <v>6.0000000000000002E-5</v>
      </c>
      <c r="C19" s="135">
        <f>HLOOKUP($A19, 'Stats for Zce 0.41'!$A$1:$AC$116, $E$2,FALSE)</f>
        <v>1.2999999999999999E-4</v>
      </c>
    </row>
    <row r="20" spans="1:3" ht="15.75" customHeight="1">
      <c r="A20" s="39" t="s">
        <v>71</v>
      </c>
      <c r="B20" s="135">
        <f>HLOOKUP($A20, 'Stats for Zce 0.41'!$A$1:$AC$116, $D$2,FALSE)</f>
        <v>1.0000000000000001E-5</v>
      </c>
      <c r="C20" s="135">
        <f>HLOOKUP($A20, 'Stats for Zce 0.41'!$A$1:$AC$116, $E$2,FALSE)</f>
        <v>9.0000000000000006E-5</v>
      </c>
    </row>
    <row r="21" spans="1:3">
      <c r="A21" s="159" t="s">
        <v>88</v>
      </c>
      <c r="B21" s="160">
        <f t="shared" ref="B21:C21" si="0">SUM(B2:B20)</f>
        <v>0.14314999999999994</v>
      </c>
      <c r="C21" s="160">
        <f t="shared" si="0"/>
        <v>0.12590000000000001</v>
      </c>
    </row>
  </sheetData>
  <conditionalFormatting sqref="B2:C20">
    <cfRule type="cellIs" dxfId="26" priority="1" operator="greaterThanOrEqual">
      <formula>"0.50%"</formula>
    </cfRule>
  </conditionalFormatting>
  <conditionalFormatting sqref="B2:C20">
    <cfRule type="cellIs" dxfId="25" priority="2" operator="greaterThanOrEqual">
      <formula>"0.10%"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1"/>
  <sheetViews>
    <sheetView workbookViewId="0"/>
  </sheetViews>
  <sheetFormatPr defaultColWidth="14.453125" defaultRowHeight="15.75" customHeight="1"/>
  <cols>
    <col min="1" max="1" width="18.26953125" customWidth="1"/>
    <col min="2" max="2" width="30.453125" customWidth="1"/>
    <col min="3" max="3" width="27.81640625" customWidth="1"/>
  </cols>
  <sheetData>
    <row r="1" spans="1:5">
      <c r="A1" s="3" t="s">
        <v>241</v>
      </c>
      <c r="B1" s="155" t="s">
        <v>213</v>
      </c>
      <c r="C1" s="155"/>
      <c r="D1" s="156"/>
    </row>
    <row r="2" spans="1:5">
      <c r="A2" s="140" t="s">
        <v>224</v>
      </c>
      <c r="B2" s="135">
        <f ca="1">HLOOKUP($A2, 'Stats for Zce 0.41'!$A$1:$AC$116, $D$2,FALSE)</f>
        <v>3.0137363756774201E-3</v>
      </c>
      <c r="C2" s="122"/>
      <c r="D2" s="154">
        <f>MATCH($B$1,'Stats for Zce 0.41'!$B$1:$B$116,0)</f>
        <v>114</v>
      </c>
      <c r="E2" s="154" t="e">
        <f>MATCH($C$1,'Stats for Zce 0.41'!$B$1:$B$116,0)</f>
        <v>#N/A</v>
      </c>
    </row>
    <row r="3" spans="1:5" ht="15.75" customHeight="1">
      <c r="A3" s="140" t="s">
        <v>87</v>
      </c>
      <c r="B3" s="135">
        <f ca="1">HLOOKUP($A3, 'Stats for Zce 0.41'!$A$1:$AC$116, $D$2,FALSE)</f>
        <v>4.4258461993448101E-2</v>
      </c>
      <c r="C3" s="122"/>
    </row>
    <row r="4" spans="1:5" ht="15.75" customHeight="1">
      <c r="A4" s="140" t="s">
        <v>72</v>
      </c>
      <c r="B4" s="135">
        <f ca="1">HLOOKUP($A4, 'Stats for Zce 0.41'!$A$1:$AC$116, $D$2,FALSE)</f>
        <v>3.2379040028714702E-3</v>
      </c>
      <c r="C4" s="122"/>
    </row>
    <row r="5" spans="1:5" ht="15.75" customHeight="1">
      <c r="A5" s="151" t="s">
        <v>15</v>
      </c>
      <c r="B5" s="135">
        <f ca="1">HLOOKUP($A5, 'Stats for Zce 0.41'!$A$1:$AC$116, $D$2,FALSE)</f>
        <v>3.0323630742942601E-3</v>
      </c>
      <c r="C5" s="122"/>
    </row>
    <row r="6" spans="1:5" ht="15.75" customHeight="1">
      <c r="A6" s="151" t="s">
        <v>25</v>
      </c>
      <c r="B6" s="135">
        <f ca="1">HLOOKUP($A6, 'Stats for Zce 0.41'!$A$1:$AC$116, $D$2,FALSE)</f>
        <v>5.1751825254792499E-3</v>
      </c>
      <c r="C6" s="122"/>
    </row>
    <row r="7" spans="1:5" ht="15.75" customHeight="1">
      <c r="A7" s="157" t="s">
        <v>65</v>
      </c>
      <c r="B7" s="135">
        <f ca="1">HLOOKUP($A7, 'Stats for Zce 0.41'!$A$1:$AC$116, $D$2,FALSE)</f>
        <v>3.9785316064062104E-3</v>
      </c>
      <c r="C7" s="122"/>
    </row>
    <row r="8" spans="1:5" ht="15.75" customHeight="1">
      <c r="A8" s="151" t="s">
        <v>69</v>
      </c>
      <c r="B8" s="135">
        <f ca="1">HLOOKUP($A8, 'Stats for Zce 0.41'!$A$1:$AC$116, $D$2,FALSE)</f>
        <v>1.9876428405322302E-3</v>
      </c>
      <c r="C8" s="122"/>
    </row>
    <row r="9" spans="1:5" ht="15.75" customHeight="1">
      <c r="A9" s="151" t="s">
        <v>73</v>
      </c>
      <c r="B9" s="135">
        <f ca="1">HLOOKUP($A9, 'Stats for Zce 0.41'!$A$1:$AC$116, $D$2,FALSE)</f>
        <v>1.4648832706462801E-3</v>
      </c>
      <c r="C9" s="122"/>
    </row>
    <row r="10" spans="1:5" ht="15.75" customHeight="1">
      <c r="A10" s="158" t="s">
        <v>83</v>
      </c>
      <c r="B10" s="135">
        <f ca="1">HLOOKUP($A10, 'Stats for Zce 0.41'!$A$1:$AC$116, $D$2,FALSE)</f>
        <v>1.88412597063819E-3</v>
      </c>
      <c r="C10" s="122"/>
    </row>
    <row r="11" spans="1:5" ht="15.75" customHeight="1">
      <c r="A11" s="151" t="s">
        <v>46</v>
      </c>
      <c r="B11" s="135">
        <f ca="1">HLOOKUP($A11, 'Stats for Zce 0.41'!$A$1:$AC$116, $D$2,FALSE)</f>
        <v>1.91607063415028E-3</v>
      </c>
      <c r="C11" s="122"/>
    </row>
    <row r="12" spans="1:5" ht="15.75" customHeight="1">
      <c r="A12" s="151" t="s">
        <v>21</v>
      </c>
      <c r="B12" s="135">
        <f ca="1">HLOOKUP($A12, 'Stats for Zce 0.41'!$A$1:$AC$116, $D$2,FALSE)</f>
        <v>1.07097197787753E-3</v>
      </c>
      <c r="C12" s="122"/>
    </row>
    <row r="13" spans="1:5" ht="15.75" customHeight="1">
      <c r="A13" s="151" t="s">
        <v>44</v>
      </c>
      <c r="B13" s="135">
        <f ca="1">HLOOKUP($A13, 'Stats for Zce 0.41'!$A$1:$AC$116, $D$2,FALSE)</f>
        <v>1.1927897506673101E-3</v>
      </c>
      <c r="C13" s="122"/>
    </row>
    <row r="14" spans="1:5" ht="15.75" customHeight="1">
      <c r="A14" s="151" t="s">
        <v>74</v>
      </c>
      <c r="B14" s="135">
        <f ca="1">HLOOKUP($A14, 'Stats for Zce 0.41'!$A$1:$AC$116, $D$2,FALSE)</f>
        <v>7.4721745328803601E-4</v>
      </c>
      <c r="C14" s="122"/>
    </row>
    <row r="15" spans="1:5" ht="15.75" customHeight="1">
      <c r="A15" s="151" t="s">
        <v>70</v>
      </c>
      <c r="B15" s="135">
        <f ca="1">HLOOKUP($A15, 'Stats for Zce 0.41'!$A$1:$AC$116, $D$2,FALSE)</f>
        <v>7.8182717584728597E-4</v>
      </c>
      <c r="C15" s="122"/>
    </row>
    <row r="16" spans="1:5" ht="15.75" customHeight="1">
      <c r="A16" s="39" t="s">
        <v>71</v>
      </c>
      <c r="B16" s="135">
        <f ca="1">HLOOKUP($A16, 'Stats for Zce 0.41'!$A$1:$AC$116, $D$2,FALSE)</f>
        <v>3.2725865485723498E-4</v>
      </c>
      <c r="C16" s="122"/>
    </row>
    <row r="17" spans="1:3" ht="15.75" customHeight="1">
      <c r="A17" s="151" t="s">
        <v>30</v>
      </c>
      <c r="B17" s="135">
        <f ca="1">HLOOKUP($A17, 'Stats for Zce 0.41'!$A$1:$AC$116, $D$2,FALSE)</f>
        <v>4.5690576215319902E-4</v>
      </c>
      <c r="C17" s="122"/>
    </row>
    <row r="18" spans="1:3" ht="15.75" customHeight="1">
      <c r="A18" s="151" t="s">
        <v>27</v>
      </c>
      <c r="B18" s="135">
        <f ca="1">HLOOKUP($A18, 'Stats for Zce 0.41'!$A$1:$AC$116, $D$2,FALSE)</f>
        <v>3.5281603878508402E-4</v>
      </c>
      <c r="C18" s="122"/>
    </row>
    <row r="19" spans="1:3" ht="15.75" customHeight="1">
      <c r="A19" s="151" t="s">
        <v>22</v>
      </c>
      <c r="B19" s="135">
        <f ca="1">HLOOKUP($A19, 'Stats for Zce 0.41'!$A$1:$AC$116, $D$2,FALSE)</f>
        <v>3.1118738878104001E-4</v>
      </c>
      <c r="C19" s="122"/>
    </row>
    <row r="20" spans="1:3" ht="15.75" customHeight="1">
      <c r="A20" s="151" t="s">
        <v>17</v>
      </c>
      <c r="B20" s="135">
        <f ca="1">HLOOKUP($A20, 'Stats for Zce 0.41'!$A$1:$AC$116, $D$2,FALSE)</f>
        <v>2.01159735703308E-4</v>
      </c>
      <c r="C20" s="122"/>
    </row>
    <row r="21" spans="1:3">
      <c r="A21" s="159" t="s">
        <v>88</v>
      </c>
      <c r="B21" s="160">
        <f ca="1">SUM(B2:B20)</f>
        <v>7.539103623210372E-2</v>
      </c>
      <c r="C21" s="161"/>
    </row>
  </sheetData>
  <conditionalFormatting sqref="B2:C20">
    <cfRule type="cellIs" dxfId="24" priority="1" operator="greaterThanOrEqual">
      <formula>"0.50%"</formula>
    </cfRule>
  </conditionalFormatting>
  <conditionalFormatting sqref="B2:C20">
    <cfRule type="cellIs" dxfId="23" priority="2" operator="greaterThanOrEqual">
      <formula>"0.10%"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1" sqref="U121"/>
    </sheetView>
  </sheetViews>
  <sheetFormatPr defaultColWidth="14.453125" defaultRowHeight="15.75" customHeight="1"/>
  <cols>
    <col min="1" max="1" width="7.26953125" customWidth="1"/>
    <col min="2" max="2" width="32.26953125" customWidth="1"/>
    <col min="4" max="4" width="6.7265625" customWidth="1"/>
    <col min="5" max="5" width="6.81640625" customWidth="1"/>
    <col min="6" max="11" width="6.54296875" customWidth="1"/>
    <col min="12" max="12" width="7" customWidth="1"/>
    <col min="13" max="13" width="7.453125" customWidth="1"/>
    <col min="14" max="14" width="7" customWidth="1"/>
    <col min="15" max="15" width="6.54296875" customWidth="1"/>
    <col min="16" max="16" width="10" customWidth="1"/>
    <col min="17" max="17" width="7" customWidth="1"/>
    <col min="18" max="19" width="9.54296875" customWidth="1"/>
    <col min="20" max="20" width="10" customWidth="1"/>
    <col min="21" max="21" width="9.54296875" customWidth="1"/>
    <col min="22" max="22" width="9.7265625" customWidth="1"/>
    <col min="23" max="23" width="8.81640625" customWidth="1"/>
    <col min="24" max="24" width="10.453125" customWidth="1"/>
    <col min="25" max="25" width="11.26953125" customWidth="1"/>
    <col min="26" max="26" width="10.453125" customWidth="1"/>
    <col min="27" max="27" width="11.26953125" customWidth="1"/>
    <col min="30" max="30" width="14.453125" hidden="1"/>
  </cols>
  <sheetData>
    <row r="1" spans="1:33" ht="25">
      <c r="A1" s="36" t="s">
        <v>80</v>
      </c>
      <c r="B1" s="37" t="s">
        <v>81</v>
      </c>
      <c r="C1" s="38" t="s">
        <v>82</v>
      </c>
      <c r="D1" s="38" t="s">
        <v>69</v>
      </c>
      <c r="E1" s="38" t="s">
        <v>70</v>
      </c>
      <c r="F1" s="39" t="s">
        <v>71</v>
      </c>
      <c r="G1" s="40" t="s">
        <v>72</v>
      </c>
      <c r="H1" s="38" t="s">
        <v>74</v>
      </c>
      <c r="I1" s="38" t="s">
        <v>73</v>
      </c>
      <c r="J1" s="38" t="s">
        <v>44</v>
      </c>
      <c r="K1" s="38" t="s">
        <v>46</v>
      </c>
      <c r="L1" s="38" t="s">
        <v>27</v>
      </c>
      <c r="M1" s="38" t="s">
        <v>30</v>
      </c>
      <c r="N1" s="38" t="s">
        <v>25</v>
      </c>
      <c r="O1" s="38" t="s">
        <v>36</v>
      </c>
      <c r="P1" s="41" t="s">
        <v>83</v>
      </c>
      <c r="Q1" s="40" t="s">
        <v>65</v>
      </c>
      <c r="R1" s="38" t="s">
        <v>22</v>
      </c>
      <c r="S1" s="38" t="s">
        <v>21</v>
      </c>
      <c r="T1" s="38" t="s">
        <v>20</v>
      </c>
      <c r="U1" s="38" t="s">
        <v>17</v>
      </c>
      <c r="V1" s="38" t="s">
        <v>15</v>
      </c>
      <c r="W1" s="40" t="s">
        <v>84</v>
      </c>
      <c r="X1" s="40" t="s">
        <v>13</v>
      </c>
      <c r="Y1" s="40" t="s">
        <v>85</v>
      </c>
      <c r="Z1" s="40" t="s">
        <v>86</v>
      </c>
      <c r="AA1" s="40" t="s">
        <v>87</v>
      </c>
      <c r="AB1" s="38" t="s">
        <v>88</v>
      </c>
      <c r="AC1" s="38" t="s">
        <v>89</v>
      </c>
      <c r="AD1" s="41" t="s">
        <v>90</v>
      </c>
      <c r="AE1" s="2"/>
      <c r="AF1" s="2"/>
      <c r="AG1" s="2"/>
    </row>
    <row r="2" spans="1:33" ht="13">
      <c r="A2" s="173" t="s">
        <v>91</v>
      </c>
      <c r="B2" s="42" t="s">
        <v>92</v>
      </c>
      <c r="C2" s="43">
        <v>495742</v>
      </c>
      <c r="D2" s="44">
        <v>7.0600000000000003E-3</v>
      </c>
      <c r="E2" s="45">
        <v>5.8E-4</v>
      </c>
      <c r="F2" s="45">
        <v>0</v>
      </c>
      <c r="G2" s="45">
        <v>0</v>
      </c>
      <c r="H2" s="46">
        <v>2.2100000000000002E-3</v>
      </c>
      <c r="I2" s="45">
        <v>1.0000000000000001E-5</v>
      </c>
      <c r="J2" s="46">
        <v>1.7600000000000001E-3</v>
      </c>
      <c r="K2" s="45">
        <v>7.1000000000000002E-4</v>
      </c>
      <c r="L2" s="45">
        <v>6.0000000000000002E-5</v>
      </c>
      <c r="M2" s="45">
        <v>6.9999999999999994E-5</v>
      </c>
      <c r="N2" s="45">
        <v>4.0000000000000003E-5</v>
      </c>
      <c r="O2" s="45">
        <v>0</v>
      </c>
      <c r="P2" s="47">
        <f t="shared" ref="P2:P101" si="0">(N2+O2) - AD2</f>
        <v>0</v>
      </c>
      <c r="Q2" s="46">
        <v>1.9599999999999999E-3</v>
      </c>
      <c r="R2" s="45">
        <v>5.9000000000000003E-4</v>
      </c>
      <c r="S2" s="45">
        <v>0</v>
      </c>
      <c r="T2" s="45">
        <v>3.8000000000000002E-4</v>
      </c>
      <c r="U2" s="45">
        <v>0</v>
      </c>
      <c r="V2" s="45">
        <v>0</v>
      </c>
      <c r="W2" s="46">
        <v>1.8400000000000001E-3</v>
      </c>
      <c r="X2" s="48">
        <v>3.601E-2</v>
      </c>
      <c r="Y2" s="45">
        <v>0</v>
      </c>
      <c r="Z2" s="49">
        <v>8.4379999999999997E-2</v>
      </c>
      <c r="AA2" s="50"/>
      <c r="AB2" s="51">
        <f t="shared" ref="AB2:AB101" si="1">SUM($D2:$N2,P2:Z2)</f>
        <v>0.13766</v>
      </c>
      <c r="AC2" s="43"/>
      <c r="AD2" s="52">
        <v>4.0000000000000003E-5</v>
      </c>
      <c r="AE2" s="2"/>
      <c r="AF2" s="2"/>
      <c r="AG2" s="2"/>
    </row>
    <row r="3" spans="1:33" ht="13">
      <c r="A3" s="165"/>
      <c r="B3" s="53" t="s">
        <v>93</v>
      </c>
      <c r="C3" s="54">
        <v>262022</v>
      </c>
      <c r="D3" s="55">
        <v>2.1099999999999999E-3</v>
      </c>
      <c r="E3" s="55">
        <v>2.5899999999999999E-3</v>
      </c>
      <c r="F3" s="56">
        <v>0</v>
      </c>
      <c r="G3" s="56">
        <v>1.0000000000000001E-5</v>
      </c>
      <c r="H3" s="56">
        <v>3.6000000000000002E-4</v>
      </c>
      <c r="I3" s="56">
        <v>3.4000000000000002E-4</v>
      </c>
      <c r="J3" s="55">
        <v>1.98E-3</v>
      </c>
      <c r="K3" s="55">
        <v>1.0499999999999999E-3</v>
      </c>
      <c r="L3" s="56">
        <v>2.0000000000000002E-5</v>
      </c>
      <c r="M3" s="56">
        <v>0</v>
      </c>
      <c r="N3" s="56">
        <v>6.9999999999999994E-5</v>
      </c>
      <c r="O3" s="56">
        <v>1.0000000000000001E-5</v>
      </c>
      <c r="P3" s="57">
        <f t="shared" si="0"/>
        <v>0</v>
      </c>
      <c r="Q3" s="55">
        <v>2.5300000000000001E-3</v>
      </c>
      <c r="R3" s="56">
        <v>1.8000000000000001E-4</v>
      </c>
      <c r="S3" s="56">
        <v>0</v>
      </c>
      <c r="T3" s="56">
        <v>6.0999999999999997E-4</v>
      </c>
      <c r="U3" s="56">
        <v>0</v>
      </c>
      <c r="V3" s="56">
        <v>0</v>
      </c>
      <c r="W3" s="55">
        <v>1.23E-3</v>
      </c>
      <c r="X3" s="58">
        <v>5.74E-2</v>
      </c>
      <c r="Y3" s="56">
        <v>0</v>
      </c>
      <c r="Z3" s="58">
        <v>6.096E-2</v>
      </c>
      <c r="AA3" s="59"/>
      <c r="AB3" s="60">
        <f t="shared" si="1"/>
        <v>0.13144</v>
      </c>
      <c r="AC3" s="54"/>
      <c r="AD3" s="61">
        <v>8.0000000000000007E-5</v>
      </c>
      <c r="AE3" s="2"/>
      <c r="AF3" s="2"/>
      <c r="AG3" s="2"/>
    </row>
    <row r="4" spans="1:33" ht="13">
      <c r="A4" s="165"/>
      <c r="B4" s="53" t="s">
        <v>94</v>
      </c>
      <c r="C4" s="54">
        <v>827528</v>
      </c>
      <c r="D4" s="55">
        <v>3.0500000000000002E-3</v>
      </c>
      <c r="E4" s="56">
        <v>1.6000000000000001E-4</v>
      </c>
      <c r="F4" s="56">
        <v>0</v>
      </c>
      <c r="G4" s="56">
        <v>1.0000000000000001E-5</v>
      </c>
      <c r="H4" s="56">
        <v>2.7E-4</v>
      </c>
      <c r="I4" s="56">
        <v>5.0000000000000002E-5</v>
      </c>
      <c r="J4" s="56">
        <v>8.5999999999999998E-4</v>
      </c>
      <c r="K4" s="56">
        <v>3.8000000000000002E-4</v>
      </c>
      <c r="L4" s="56">
        <v>3.0000000000000001E-5</v>
      </c>
      <c r="M4" s="56">
        <v>2.0000000000000002E-5</v>
      </c>
      <c r="N4" s="56">
        <v>8.9999999999999998E-4</v>
      </c>
      <c r="O4" s="56">
        <v>4.8999999999999998E-4</v>
      </c>
      <c r="P4" s="57">
        <f t="shared" si="0"/>
        <v>1.9000000000000006E-4</v>
      </c>
      <c r="Q4" s="62">
        <v>5.2900000000000004E-3</v>
      </c>
      <c r="R4" s="56">
        <v>3.2000000000000003E-4</v>
      </c>
      <c r="S4" s="56">
        <v>0</v>
      </c>
      <c r="T4" s="55">
        <v>1.6100000000000001E-3</v>
      </c>
      <c r="U4" s="56">
        <v>0</v>
      </c>
      <c r="V4" s="56">
        <v>0</v>
      </c>
      <c r="W4" s="56">
        <v>9.3999999999999997E-4</v>
      </c>
      <c r="X4" s="58">
        <v>5.4010000000000002E-2</v>
      </c>
      <c r="Y4" s="56">
        <v>0</v>
      </c>
      <c r="Z4" s="58">
        <v>7.1739999999999998E-2</v>
      </c>
      <c r="AA4" s="59"/>
      <c r="AB4" s="60">
        <f t="shared" si="1"/>
        <v>0.13983000000000001</v>
      </c>
      <c r="AC4" s="54"/>
      <c r="AD4" s="63">
        <v>1.1999999999999999E-3</v>
      </c>
      <c r="AE4" s="2"/>
      <c r="AF4" s="2"/>
      <c r="AG4" s="2"/>
    </row>
    <row r="5" spans="1:33" ht="13">
      <c r="A5" s="165"/>
      <c r="B5" s="53" t="s">
        <v>95</v>
      </c>
      <c r="C5" s="54">
        <v>743742</v>
      </c>
      <c r="D5" s="62">
        <v>5.1599999999999997E-3</v>
      </c>
      <c r="E5" s="55">
        <v>1.1199999999999999E-3</v>
      </c>
      <c r="F5" s="56">
        <v>1.0000000000000001E-5</v>
      </c>
      <c r="G5" s="56">
        <v>3.0000000000000001E-5</v>
      </c>
      <c r="H5" s="55">
        <v>1.3699999999999999E-3</v>
      </c>
      <c r="I5" s="56">
        <v>1.2999999999999999E-4</v>
      </c>
      <c r="J5" s="55">
        <v>2.2799999999999999E-3</v>
      </c>
      <c r="K5" s="55">
        <v>1.0499999999999999E-3</v>
      </c>
      <c r="L5" s="56">
        <v>4.0999999999999999E-4</v>
      </c>
      <c r="M5" s="56">
        <v>1.2999999999999999E-4</v>
      </c>
      <c r="N5" s="56">
        <v>2.5000000000000001E-4</v>
      </c>
      <c r="O5" s="56">
        <v>1.2E-4</v>
      </c>
      <c r="P5" s="57">
        <f t="shared" si="0"/>
        <v>5.9999999999999995E-5</v>
      </c>
      <c r="Q5" s="55">
        <v>2.5699999999999998E-3</v>
      </c>
      <c r="R5" s="56">
        <v>7.2999999999999996E-4</v>
      </c>
      <c r="S5" s="56">
        <v>0</v>
      </c>
      <c r="T5" s="55">
        <v>1.83E-3</v>
      </c>
      <c r="U5" s="56">
        <v>0</v>
      </c>
      <c r="V5" s="56">
        <v>0</v>
      </c>
      <c r="W5" s="55">
        <v>2.2899999999999999E-3</v>
      </c>
      <c r="X5" s="64">
        <v>1.9879999999999998E-2</v>
      </c>
      <c r="Y5" s="56">
        <v>0</v>
      </c>
      <c r="Z5" s="58">
        <v>6.7339999999999997E-2</v>
      </c>
      <c r="AA5" s="59"/>
      <c r="AB5" s="60">
        <f t="shared" si="1"/>
        <v>0.10664</v>
      </c>
      <c r="AC5" s="54"/>
      <c r="AD5" s="61">
        <v>3.1E-4</v>
      </c>
      <c r="AE5" s="2"/>
      <c r="AF5" s="2"/>
      <c r="AG5" s="2"/>
    </row>
    <row r="6" spans="1:33" ht="13">
      <c r="A6" s="165"/>
      <c r="B6" s="53" t="s">
        <v>96</v>
      </c>
      <c r="C6" s="54">
        <v>770798</v>
      </c>
      <c r="D6" s="55">
        <v>2.5699999999999998E-3</v>
      </c>
      <c r="E6" s="56">
        <v>2.4000000000000001E-4</v>
      </c>
      <c r="F6" s="56">
        <v>2.0000000000000002E-5</v>
      </c>
      <c r="G6" s="56">
        <v>0</v>
      </c>
      <c r="H6" s="55">
        <v>1.41E-3</v>
      </c>
      <c r="I6" s="56">
        <v>2.0000000000000002E-5</v>
      </c>
      <c r="J6" s="55">
        <v>1.6800000000000001E-3</v>
      </c>
      <c r="K6" s="56">
        <v>8.0000000000000004E-4</v>
      </c>
      <c r="L6" s="56">
        <v>1.7000000000000001E-4</v>
      </c>
      <c r="M6" s="56">
        <v>9.0000000000000006E-5</v>
      </c>
      <c r="N6" s="56">
        <v>1.3999999999999999E-4</v>
      </c>
      <c r="O6" s="56">
        <v>2.0000000000000002E-5</v>
      </c>
      <c r="P6" s="57">
        <f t="shared" si="0"/>
        <v>9.9999999999999991E-6</v>
      </c>
      <c r="Q6" s="55">
        <v>4.9899999999999996E-3</v>
      </c>
      <c r="R6" s="56">
        <v>9.3999999999999997E-4</v>
      </c>
      <c r="S6" s="56">
        <v>0</v>
      </c>
      <c r="T6" s="55">
        <v>1.25E-3</v>
      </c>
      <c r="U6" s="56">
        <v>0</v>
      </c>
      <c r="V6" s="56">
        <v>0</v>
      </c>
      <c r="W6" s="55">
        <v>2.1900000000000001E-3</v>
      </c>
      <c r="X6" s="64">
        <v>3.3550000000000003E-2</v>
      </c>
      <c r="Y6" s="56">
        <v>0</v>
      </c>
      <c r="Z6" s="60">
        <v>0.10421</v>
      </c>
      <c r="AA6" s="59"/>
      <c r="AB6" s="65">
        <f t="shared" si="1"/>
        <v>0.15428</v>
      </c>
      <c r="AC6" s="54"/>
      <c r="AD6" s="61">
        <v>1.4999999999999999E-4</v>
      </c>
      <c r="AE6" s="2"/>
      <c r="AF6" s="2"/>
      <c r="AG6" s="2"/>
    </row>
    <row r="7" spans="1:33" ht="13">
      <c r="A7" s="165"/>
      <c r="B7" s="53" t="s">
        <v>97</v>
      </c>
      <c r="C7" s="54">
        <v>861816</v>
      </c>
      <c r="D7" s="55">
        <v>4.9500000000000004E-3</v>
      </c>
      <c r="E7" s="55">
        <v>1.01E-3</v>
      </c>
      <c r="F7" s="56">
        <v>8.0000000000000007E-5</v>
      </c>
      <c r="G7" s="56">
        <v>0</v>
      </c>
      <c r="H7" s="55">
        <v>3.6600000000000001E-3</v>
      </c>
      <c r="I7" s="56">
        <v>1.2E-4</v>
      </c>
      <c r="J7" s="55">
        <v>3.63E-3</v>
      </c>
      <c r="K7" s="55">
        <v>1.65E-3</v>
      </c>
      <c r="L7" s="56">
        <v>1.1E-4</v>
      </c>
      <c r="M7" s="56">
        <v>6.0000000000000002E-5</v>
      </c>
      <c r="N7" s="56">
        <v>3.2000000000000003E-4</v>
      </c>
      <c r="O7" s="56">
        <v>2.9E-4</v>
      </c>
      <c r="P7" s="57">
        <f t="shared" si="0"/>
        <v>1.3000000000000007E-4</v>
      </c>
      <c r="Q7" s="55">
        <v>4.4299999999999999E-3</v>
      </c>
      <c r="R7" s="56">
        <v>4.2000000000000002E-4</v>
      </c>
      <c r="S7" s="56">
        <v>0</v>
      </c>
      <c r="T7" s="55">
        <v>4.0800000000000003E-3</v>
      </c>
      <c r="U7" s="56">
        <v>0</v>
      </c>
      <c r="V7" s="56">
        <v>0</v>
      </c>
      <c r="W7" s="56">
        <v>8.4000000000000003E-4</v>
      </c>
      <c r="X7" s="64">
        <v>3.0339999999999999E-2</v>
      </c>
      <c r="Y7" s="56">
        <v>0</v>
      </c>
      <c r="Z7" s="58">
        <v>7.1050000000000002E-2</v>
      </c>
      <c r="AA7" s="59"/>
      <c r="AB7" s="60">
        <f t="shared" si="1"/>
        <v>0.12687999999999999</v>
      </c>
      <c r="AC7" s="54"/>
      <c r="AD7" s="61">
        <v>4.8000000000000001E-4</v>
      </c>
      <c r="AE7" s="2"/>
      <c r="AF7" s="2"/>
      <c r="AG7" s="2"/>
    </row>
    <row r="8" spans="1:33" ht="13">
      <c r="A8" s="165"/>
      <c r="B8" s="53" t="s">
        <v>98</v>
      </c>
      <c r="C8" s="54">
        <v>1172548</v>
      </c>
      <c r="D8" s="55">
        <v>1.9499999999999999E-3</v>
      </c>
      <c r="E8" s="55">
        <v>1.5499999999999999E-3</v>
      </c>
      <c r="F8" s="56">
        <v>1.0000000000000001E-5</v>
      </c>
      <c r="G8" s="56">
        <v>0</v>
      </c>
      <c r="H8" s="56">
        <v>6.9999999999999999E-4</v>
      </c>
      <c r="I8" s="56">
        <v>4.0999999999999999E-4</v>
      </c>
      <c r="J8" s="55">
        <v>1.83E-3</v>
      </c>
      <c r="K8" s="55">
        <v>1.5399999999999999E-3</v>
      </c>
      <c r="L8" s="56">
        <v>6.9999999999999994E-5</v>
      </c>
      <c r="M8" s="56">
        <v>1.0000000000000001E-5</v>
      </c>
      <c r="N8" s="56">
        <v>9.0000000000000006E-5</v>
      </c>
      <c r="O8" s="56">
        <v>1.3999999999999999E-4</v>
      </c>
      <c r="P8" s="57">
        <f t="shared" si="0"/>
        <v>4.9999999999999996E-5</v>
      </c>
      <c r="Q8" s="55">
        <v>3.9300000000000003E-3</v>
      </c>
      <c r="R8" s="56">
        <v>1.2E-4</v>
      </c>
      <c r="S8" s="56">
        <v>0</v>
      </c>
      <c r="T8" s="55">
        <v>2.7499999999999998E-3</v>
      </c>
      <c r="U8" s="56">
        <v>0</v>
      </c>
      <c r="V8" s="56">
        <v>0</v>
      </c>
      <c r="W8" s="64">
        <v>1.4959999999999999E-2</v>
      </c>
      <c r="X8" s="64">
        <v>3.4639999999999997E-2</v>
      </c>
      <c r="Y8" s="56">
        <v>0</v>
      </c>
      <c r="Z8" s="64">
        <v>4.8590000000000001E-2</v>
      </c>
      <c r="AA8" s="59"/>
      <c r="AB8" s="60">
        <f t="shared" si="1"/>
        <v>0.1132</v>
      </c>
      <c r="AC8" s="54"/>
      <c r="AD8" s="61">
        <v>1.8000000000000001E-4</v>
      </c>
      <c r="AE8" s="2"/>
      <c r="AF8" s="2"/>
      <c r="AG8" s="2"/>
    </row>
    <row r="9" spans="1:33" ht="13">
      <c r="A9" s="165"/>
      <c r="B9" s="53" t="s">
        <v>99</v>
      </c>
      <c r="C9" s="54">
        <v>432206</v>
      </c>
      <c r="D9" s="55">
        <v>3.8999999999999998E-3</v>
      </c>
      <c r="E9" s="56">
        <v>4.2000000000000002E-4</v>
      </c>
      <c r="F9" s="56">
        <v>3.0000000000000001E-5</v>
      </c>
      <c r="G9" s="56">
        <v>6.9999999999999994E-5</v>
      </c>
      <c r="H9" s="55">
        <v>2.4599999999999999E-3</v>
      </c>
      <c r="I9" s="56">
        <v>4.0000000000000003E-5</v>
      </c>
      <c r="J9" s="55">
        <v>1.1199999999999999E-3</v>
      </c>
      <c r="K9" s="56">
        <v>5.1000000000000004E-4</v>
      </c>
      <c r="L9" s="56">
        <v>2.9E-4</v>
      </c>
      <c r="M9" s="56">
        <v>6.9999999999999994E-5</v>
      </c>
      <c r="N9" s="56">
        <v>1.0000000000000001E-5</v>
      </c>
      <c r="O9" s="56">
        <v>2.0000000000000002E-5</v>
      </c>
      <c r="P9" s="57">
        <f t="shared" si="0"/>
        <v>0</v>
      </c>
      <c r="Q9" s="55">
        <v>3.2399999999999998E-3</v>
      </c>
      <c r="R9" s="55">
        <v>1.25E-3</v>
      </c>
      <c r="S9" s="56">
        <v>0</v>
      </c>
      <c r="T9" s="55">
        <v>2.0500000000000002E-3</v>
      </c>
      <c r="U9" s="56">
        <v>0</v>
      </c>
      <c r="V9" s="56">
        <v>0</v>
      </c>
      <c r="W9" s="56">
        <v>2.7E-4</v>
      </c>
      <c r="X9" s="64">
        <v>2.4750000000000001E-2</v>
      </c>
      <c r="Y9" s="56">
        <v>0</v>
      </c>
      <c r="Z9" s="58">
        <v>5.9060000000000001E-2</v>
      </c>
      <c r="AA9" s="59"/>
      <c r="AB9" s="58">
        <f t="shared" si="1"/>
        <v>9.9540000000000003E-2</v>
      </c>
      <c r="AC9" s="54"/>
      <c r="AD9" s="61">
        <v>3.0000000000000001E-5</v>
      </c>
      <c r="AE9" s="2"/>
      <c r="AF9" s="2"/>
      <c r="AG9" s="2"/>
    </row>
    <row r="10" spans="1:33" ht="13">
      <c r="A10" s="165"/>
      <c r="B10" s="53" t="s">
        <v>100</v>
      </c>
      <c r="C10" s="54">
        <v>649104</v>
      </c>
      <c r="D10" s="55">
        <v>1.5100000000000001E-3</v>
      </c>
      <c r="E10" s="56">
        <v>2.2000000000000001E-4</v>
      </c>
      <c r="F10" s="56">
        <v>1.0000000000000001E-5</v>
      </c>
      <c r="G10" s="56">
        <v>0</v>
      </c>
      <c r="H10" s="56">
        <v>7.3999999999999999E-4</v>
      </c>
      <c r="I10" s="56">
        <v>3.0000000000000001E-5</v>
      </c>
      <c r="J10" s="55">
        <v>2.5999999999999999E-3</v>
      </c>
      <c r="K10" s="56">
        <v>7.2999999999999996E-4</v>
      </c>
      <c r="L10" s="56">
        <v>6.9999999999999994E-5</v>
      </c>
      <c r="M10" s="56">
        <v>2.0000000000000002E-5</v>
      </c>
      <c r="N10" s="56">
        <v>5.0000000000000002E-5</v>
      </c>
      <c r="O10" s="56">
        <v>9.0000000000000006E-5</v>
      </c>
      <c r="P10" s="57">
        <f t="shared" si="0"/>
        <v>3.0000000000000011E-5</v>
      </c>
      <c r="Q10" s="55">
        <v>3.1199999999999999E-3</v>
      </c>
      <c r="R10" s="56">
        <v>3.5E-4</v>
      </c>
      <c r="S10" s="56">
        <v>0</v>
      </c>
      <c r="T10" s="55">
        <v>2.9499999999999999E-3</v>
      </c>
      <c r="U10" s="56">
        <v>0</v>
      </c>
      <c r="V10" s="56">
        <v>0</v>
      </c>
      <c r="W10" s="56">
        <v>6.8000000000000005E-4</v>
      </c>
      <c r="X10" s="64">
        <v>3.0460000000000001E-2</v>
      </c>
      <c r="Y10" s="56">
        <v>0</v>
      </c>
      <c r="Z10" s="58">
        <v>8.3710000000000007E-2</v>
      </c>
      <c r="AA10" s="59"/>
      <c r="AB10" s="60">
        <f t="shared" si="1"/>
        <v>0.12728</v>
      </c>
      <c r="AC10" s="54"/>
      <c r="AD10" s="61">
        <v>1.1E-4</v>
      </c>
      <c r="AE10" s="2"/>
      <c r="AF10" s="2"/>
      <c r="AG10" s="2"/>
    </row>
    <row r="11" spans="1:33" ht="13">
      <c r="A11" s="165"/>
      <c r="B11" s="53" t="s">
        <v>101</v>
      </c>
      <c r="C11" s="54">
        <v>283414</v>
      </c>
      <c r="D11" s="56">
        <v>1.0000000000000001E-5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5">
        <v>1.57E-3</v>
      </c>
      <c r="K11" s="56">
        <v>3.6999999999999999E-4</v>
      </c>
      <c r="L11" s="56">
        <v>8.8999999999999995E-4</v>
      </c>
      <c r="M11" s="56">
        <v>1.1E-4</v>
      </c>
      <c r="N11" s="56">
        <v>4.0000000000000003E-5</v>
      </c>
      <c r="O11" s="56">
        <v>0</v>
      </c>
      <c r="P11" s="57">
        <f t="shared" si="0"/>
        <v>0</v>
      </c>
      <c r="Q11" s="64">
        <v>1.332E-2</v>
      </c>
      <c r="R11" s="56">
        <v>1.1E-4</v>
      </c>
      <c r="S11" s="56">
        <v>0</v>
      </c>
      <c r="T11" s="56">
        <v>5.9999999999999995E-4</v>
      </c>
      <c r="U11" s="56">
        <v>0</v>
      </c>
      <c r="V11" s="56">
        <v>0</v>
      </c>
      <c r="W11" s="56">
        <v>4.4999999999999999E-4</v>
      </c>
      <c r="X11" s="64">
        <v>3.3930000000000002E-2</v>
      </c>
      <c r="Y11" s="56">
        <v>0</v>
      </c>
      <c r="Z11" s="64">
        <v>3.1230000000000001E-2</v>
      </c>
      <c r="AA11" s="59"/>
      <c r="AB11" s="58">
        <f t="shared" si="1"/>
        <v>8.2630000000000009E-2</v>
      </c>
      <c r="AC11" s="54"/>
      <c r="AD11" s="61">
        <v>4.0000000000000003E-5</v>
      </c>
      <c r="AE11" s="2"/>
      <c r="AF11" s="2"/>
      <c r="AG11" s="2"/>
    </row>
    <row r="12" spans="1:33" ht="13">
      <c r="A12" s="165"/>
      <c r="B12" s="53" t="s">
        <v>102</v>
      </c>
      <c r="C12" s="54">
        <v>446116</v>
      </c>
      <c r="D12" s="56">
        <v>4.2000000000000002E-4</v>
      </c>
      <c r="E12" s="56">
        <v>4.0000000000000003E-5</v>
      </c>
      <c r="F12" s="56">
        <v>0</v>
      </c>
      <c r="G12" s="56">
        <v>0</v>
      </c>
      <c r="H12" s="56">
        <v>8.0000000000000007E-5</v>
      </c>
      <c r="I12" s="56">
        <v>1.0000000000000001E-5</v>
      </c>
      <c r="J12" s="56">
        <v>1.7000000000000001E-4</v>
      </c>
      <c r="K12" s="56">
        <v>6.0000000000000002E-5</v>
      </c>
      <c r="L12" s="56">
        <v>6.9999999999999994E-5</v>
      </c>
      <c r="M12" s="56">
        <v>1.0000000000000001E-5</v>
      </c>
      <c r="N12" s="56">
        <v>0</v>
      </c>
      <c r="O12" s="56">
        <v>2.0000000000000002E-5</v>
      </c>
      <c r="P12" s="57">
        <f t="shared" si="0"/>
        <v>0</v>
      </c>
      <c r="Q12" s="55">
        <v>3.0200000000000001E-3</v>
      </c>
      <c r="R12" s="56">
        <v>1.0000000000000001E-5</v>
      </c>
      <c r="S12" s="56">
        <v>0</v>
      </c>
      <c r="T12" s="56">
        <v>2.0000000000000001E-4</v>
      </c>
      <c r="U12" s="56">
        <v>0</v>
      </c>
      <c r="V12" s="56">
        <v>0</v>
      </c>
      <c r="W12" s="56">
        <v>7.7999999999999999E-4</v>
      </c>
      <c r="X12" s="64">
        <v>3.524E-2</v>
      </c>
      <c r="Y12" s="56">
        <v>0</v>
      </c>
      <c r="Z12" s="58">
        <v>9.1050000000000006E-2</v>
      </c>
      <c r="AA12" s="59"/>
      <c r="AB12" s="60">
        <f t="shared" si="1"/>
        <v>0.13116</v>
      </c>
      <c r="AC12" s="54"/>
      <c r="AD12" s="61">
        <v>2.0000000000000002E-5</v>
      </c>
      <c r="AE12" s="2"/>
      <c r="AF12" s="2"/>
      <c r="AG12" s="2"/>
    </row>
    <row r="13" spans="1:33" ht="13">
      <c r="A13" s="165"/>
      <c r="B13" s="53" t="s">
        <v>103</v>
      </c>
      <c r="C13" s="54">
        <v>332782</v>
      </c>
      <c r="D13" s="56">
        <v>6.8999999999999997E-4</v>
      </c>
      <c r="E13" s="56">
        <v>9.3999999999999997E-4</v>
      </c>
      <c r="F13" s="56">
        <v>0</v>
      </c>
      <c r="G13" s="56">
        <v>1.0000000000000001E-5</v>
      </c>
      <c r="H13" s="56">
        <v>2.9E-4</v>
      </c>
      <c r="I13" s="56">
        <v>1.6000000000000001E-4</v>
      </c>
      <c r="J13" s="55">
        <v>2.2699999999999999E-3</v>
      </c>
      <c r="K13" s="55">
        <v>1.42E-3</v>
      </c>
      <c r="L13" s="56">
        <v>5.0000000000000002E-5</v>
      </c>
      <c r="M13" s="56">
        <v>1.0000000000000001E-5</v>
      </c>
      <c r="N13" s="56">
        <v>0</v>
      </c>
      <c r="O13" s="56">
        <v>0</v>
      </c>
      <c r="P13" s="57">
        <f t="shared" si="0"/>
        <v>0</v>
      </c>
      <c r="Q13" s="55">
        <v>3.4199999999999999E-3</v>
      </c>
      <c r="R13" s="56">
        <v>4.0000000000000003E-5</v>
      </c>
      <c r="S13" s="56">
        <v>0</v>
      </c>
      <c r="T13" s="55">
        <v>2.48E-3</v>
      </c>
      <c r="U13" s="56">
        <v>0</v>
      </c>
      <c r="V13" s="56">
        <v>0</v>
      </c>
      <c r="W13" s="55">
        <v>2.2399999999999998E-3</v>
      </c>
      <c r="X13" s="64">
        <v>4.129E-2</v>
      </c>
      <c r="Y13" s="56">
        <v>0</v>
      </c>
      <c r="Z13" s="60">
        <v>0.10882</v>
      </c>
      <c r="AA13" s="59"/>
      <c r="AB13" s="65">
        <f t="shared" si="1"/>
        <v>0.16413</v>
      </c>
      <c r="AC13" s="54"/>
      <c r="AD13" s="61">
        <v>0</v>
      </c>
      <c r="AE13" s="2"/>
      <c r="AF13" s="2"/>
      <c r="AG13" s="2"/>
    </row>
    <row r="14" spans="1:33" ht="13">
      <c r="A14" s="165"/>
      <c r="B14" s="53" t="s">
        <v>104</v>
      </c>
      <c r="C14" s="54">
        <v>647776</v>
      </c>
      <c r="D14" s="55">
        <v>1.98E-3</v>
      </c>
      <c r="E14" s="56">
        <v>4.2000000000000002E-4</v>
      </c>
      <c r="F14" s="55">
        <v>1.99E-3</v>
      </c>
      <c r="G14" s="56">
        <v>2.0000000000000001E-4</v>
      </c>
      <c r="H14" s="55">
        <v>2.14E-3</v>
      </c>
      <c r="I14" s="56">
        <v>2.2000000000000001E-4</v>
      </c>
      <c r="J14" s="55">
        <v>1.16E-3</v>
      </c>
      <c r="K14" s="55">
        <v>1.9E-3</v>
      </c>
      <c r="L14" s="56">
        <v>6.9999999999999994E-5</v>
      </c>
      <c r="M14" s="56">
        <v>2.7999999999999998E-4</v>
      </c>
      <c r="N14" s="56">
        <v>1.7000000000000001E-4</v>
      </c>
      <c r="O14" s="56">
        <v>0</v>
      </c>
      <c r="P14" s="57">
        <f t="shared" si="0"/>
        <v>0</v>
      </c>
      <c r="Q14" s="56">
        <v>1.0000000000000001E-5</v>
      </c>
      <c r="R14" s="55">
        <v>2.96E-3</v>
      </c>
      <c r="S14" s="56">
        <v>0</v>
      </c>
      <c r="T14" s="55">
        <v>2.2799999999999999E-3</v>
      </c>
      <c r="U14" s="56">
        <v>0</v>
      </c>
      <c r="V14" s="56">
        <v>0</v>
      </c>
      <c r="W14" s="56">
        <v>9.8999999999999999E-4</v>
      </c>
      <c r="X14" s="64">
        <v>1.661E-2</v>
      </c>
      <c r="Y14" s="56">
        <v>0</v>
      </c>
      <c r="Z14" s="64">
        <v>3.4259999999999999E-2</v>
      </c>
      <c r="AA14" s="59"/>
      <c r="AB14" s="58">
        <f t="shared" si="1"/>
        <v>6.7640000000000006E-2</v>
      </c>
      <c r="AC14" s="54"/>
      <c r="AD14" s="61">
        <v>1.7000000000000001E-4</v>
      </c>
      <c r="AE14" s="2"/>
      <c r="AF14" s="2"/>
      <c r="AG14" s="2"/>
    </row>
    <row r="15" spans="1:33" ht="13">
      <c r="A15" s="165"/>
      <c r="B15" s="53" t="s">
        <v>105</v>
      </c>
      <c r="C15" s="54">
        <v>528126</v>
      </c>
      <c r="D15" s="55">
        <v>2.3800000000000002E-3</v>
      </c>
      <c r="E15" s="56">
        <v>2.2000000000000001E-4</v>
      </c>
      <c r="F15" s="56">
        <v>0</v>
      </c>
      <c r="G15" s="56">
        <v>0</v>
      </c>
      <c r="H15" s="56">
        <v>8.0000000000000004E-4</v>
      </c>
      <c r="I15" s="56">
        <v>5.0000000000000002E-5</v>
      </c>
      <c r="J15" s="55">
        <v>1.6800000000000001E-3</v>
      </c>
      <c r="K15" s="56">
        <v>8.8000000000000003E-4</v>
      </c>
      <c r="L15" s="56">
        <v>1.2E-4</v>
      </c>
      <c r="M15" s="56">
        <v>2.0000000000000002E-5</v>
      </c>
      <c r="N15" s="56">
        <v>6.9999999999999994E-5</v>
      </c>
      <c r="O15" s="56">
        <v>1.0000000000000001E-5</v>
      </c>
      <c r="P15" s="57">
        <f t="shared" si="0"/>
        <v>9.9999999999999991E-6</v>
      </c>
      <c r="Q15" s="55">
        <v>4.2300000000000003E-3</v>
      </c>
      <c r="R15" s="56">
        <v>9.7000000000000005E-4</v>
      </c>
      <c r="S15" s="56">
        <v>0</v>
      </c>
      <c r="T15" s="56">
        <v>2.0000000000000001E-4</v>
      </c>
      <c r="U15" s="56">
        <v>0</v>
      </c>
      <c r="V15" s="56">
        <v>0</v>
      </c>
      <c r="W15" s="55">
        <v>2.2200000000000002E-3</v>
      </c>
      <c r="X15" s="64">
        <v>3.4950000000000002E-2</v>
      </c>
      <c r="Y15" s="56">
        <v>0</v>
      </c>
      <c r="Z15" s="60">
        <v>0.10491</v>
      </c>
      <c r="AA15" s="59"/>
      <c r="AB15" s="65">
        <f t="shared" si="1"/>
        <v>0.15371000000000001</v>
      </c>
      <c r="AC15" s="54"/>
      <c r="AD15" s="61">
        <v>6.9999999999999994E-5</v>
      </c>
      <c r="AE15" s="2"/>
      <c r="AF15" s="2"/>
      <c r="AG15" s="2"/>
    </row>
    <row r="16" spans="1:33" ht="13">
      <c r="A16" s="165"/>
      <c r="B16" s="53" t="s">
        <v>106</v>
      </c>
      <c r="C16" s="54">
        <v>253446</v>
      </c>
      <c r="D16" s="62">
        <v>5.8599999999999998E-3</v>
      </c>
      <c r="E16" s="56">
        <v>1.7000000000000001E-4</v>
      </c>
      <c r="F16" s="56">
        <v>2.0000000000000002E-5</v>
      </c>
      <c r="G16" s="56">
        <v>0</v>
      </c>
      <c r="H16" s="56">
        <v>6.4999999999999997E-4</v>
      </c>
      <c r="I16" s="56">
        <v>1.0000000000000001E-5</v>
      </c>
      <c r="J16" s="55">
        <v>1.81E-3</v>
      </c>
      <c r="K16" s="56">
        <v>8.4000000000000003E-4</v>
      </c>
      <c r="L16" s="56">
        <v>3.0000000000000001E-5</v>
      </c>
      <c r="M16" s="56">
        <v>8.0000000000000007E-5</v>
      </c>
      <c r="N16" s="56">
        <v>2.9E-4</v>
      </c>
      <c r="O16" s="56">
        <v>6.0000000000000002E-5</v>
      </c>
      <c r="P16" s="57">
        <f t="shared" si="0"/>
        <v>2.999999999999997E-5</v>
      </c>
      <c r="Q16" s="55">
        <v>2.3900000000000002E-3</v>
      </c>
      <c r="R16" s="56">
        <v>4.2999999999999999E-4</v>
      </c>
      <c r="S16" s="56">
        <v>0</v>
      </c>
      <c r="T16" s="55">
        <v>1.3500000000000001E-3</v>
      </c>
      <c r="U16" s="56">
        <v>0</v>
      </c>
      <c r="V16" s="56">
        <v>0</v>
      </c>
      <c r="W16" s="56">
        <v>1.9000000000000001E-4</v>
      </c>
      <c r="X16" s="64">
        <v>3.7479999999999999E-2</v>
      </c>
      <c r="Y16" s="56">
        <v>0</v>
      </c>
      <c r="Z16" s="58">
        <v>8.0579999999999999E-2</v>
      </c>
      <c r="AA16" s="59"/>
      <c r="AB16" s="60">
        <f t="shared" si="1"/>
        <v>0.13220999999999999</v>
      </c>
      <c r="AC16" s="54"/>
      <c r="AD16" s="61">
        <v>3.2000000000000003E-4</v>
      </c>
      <c r="AE16" s="2"/>
      <c r="AF16" s="2"/>
      <c r="AG16" s="2"/>
    </row>
    <row r="17" spans="1:33" ht="13">
      <c r="A17" s="165"/>
      <c r="B17" s="53" t="s">
        <v>107</v>
      </c>
      <c r="C17" s="54">
        <v>833592</v>
      </c>
      <c r="D17" s="55">
        <v>4.3800000000000002E-3</v>
      </c>
      <c r="E17" s="56">
        <v>3.8999999999999999E-4</v>
      </c>
      <c r="F17" s="56">
        <v>1.0000000000000001E-5</v>
      </c>
      <c r="G17" s="56">
        <v>0</v>
      </c>
      <c r="H17" s="56">
        <v>8.9999999999999998E-4</v>
      </c>
      <c r="I17" s="56">
        <v>1E-4</v>
      </c>
      <c r="J17" s="55">
        <v>1.4400000000000001E-3</v>
      </c>
      <c r="K17" s="56">
        <v>7.2000000000000005E-4</v>
      </c>
      <c r="L17" s="56">
        <v>5.0000000000000002E-5</v>
      </c>
      <c r="M17" s="56">
        <v>6.9999999999999994E-5</v>
      </c>
      <c r="N17" s="56">
        <v>1.7000000000000001E-4</v>
      </c>
      <c r="O17" s="56">
        <v>6.0000000000000002E-5</v>
      </c>
      <c r="P17" s="57">
        <f t="shared" si="0"/>
        <v>9.9999999999999991E-6</v>
      </c>
      <c r="Q17" s="55">
        <v>2.8300000000000001E-3</v>
      </c>
      <c r="R17" s="56">
        <v>4.0999999999999999E-4</v>
      </c>
      <c r="S17" s="56">
        <v>0</v>
      </c>
      <c r="T17" s="55">
        <v>1.24E-3</v>
      </c>
      <c r="U17" s="56">
        <v>0</v>
      </c>
      <c r="V17" s="56">
        <v>0</v>
      </c>
      <c r="W17" s="56">
        <v>7.2000000000000005E-4</v>
      </c>
      <c r="X17" s="64">
        <v>4.199E-2</v>
      </c>
      <c r="Y17" s="56">
        <v>0</v>
      </c>
      <c r="Z17" s="58">
        <v>8.813E-2</v>
      </c>
      <c r="AA17" s="59"/>
      <c r="AB17" s="60">
        <f t="shared" si="1"/>
        <v>0.14355999999999999</v>
      </c>
      <c r="AC17" s="54"/>
      <c r="AD17" s="61">
        <v>2.2000000000000001E-4</v>
      </c>
      <c r="AE17" s="2"/>
      <c r="AF17" s="2"/>
      <c r="AG17" s="2"/>
    </row>
    <row r="18" spans="1:33" ht="13">
      <c r="A18" s="165"/>
      <c r="B18" s="53" t="s">
        <v>108</v>
      </c>
      <c r="C18" s="54">
        <v>150470</v>
      </c>
      <c r="D18" s="62">
        <v>7.4799999999999997E-3</v>
      </c>
      <c r="E18" s="55">
        <v>2.0300000000000001E-3</v>
      </c>
      <c r="F18" s="56">
        <v>6.9999999999999994E-5</v>
      </c>
      <c r="G18" s="55">
        <v>1.24E-3</v>
      </c>
      <c r="H18" s="55">
        <v>1.06E-3</v>
      </c>
      <c r="I18" s="56">
        <v>4.0999999999999999E-4</v>
      </c>
      <c r="J18" s="55">
        <v>3.5100000000000001E-3</v>
      </c>
      <c r="K18" s="55">
        <v>2.0300000000000001E-3</v>
      </c>
      <c r="L18" s="56">
        <v>6.8999999999999997E-4</v>
      </c>
      <c r="M18" s="56">
        <v>1.2999999999999999E-4</v>
      </c>
      <c r="N18" s="56">
        <v>1.7000000000000001E-4</v>
      </c>
      <c r="O18" s="56">
        <v>2.3000000000000001E-4</v>
      </c>
      <c r="P18" s="57">
        <f t="shared" si="0"/>
        <v>1.1000000000000002E-4</v>
      </c>
      <c r="Q18" s="55">
        <v>1.9300000000000001E-3</v>
      </c>
      <c r="R18" s="56">
        <v>9.6000000000000002E-4</v>
      </c>
      <c r="S18" s="56">
        <v>0</v>
      </c>
      <c r="T18" s="55">
        <v>1.9E-3</v>
      </c>
      <c r="U18" s="56">
        <v>0</v>
      </c>
      <c r="V18" s="56">
        <v>0</v>
      </c>
      <c r="W18" s="55">
        <v>4.1099999999999999E-3</v>
      </c>
      <c r="X18" s="64">
        <v>2.8029999999999999E-2</v>
      </c>
      <c r="Y18" s="56">
        <v>0</v>
      </c>
      <c r="Z18" s="58">
        <v>5.321E-2</v>
      </c>
      <c r="AA18" s="59"/>
      <c r="AB18" s="60">
        <f t="shared" si="1"/>
        <v>0.10907</v>
      </c>
      <c r="AC18" s="54"/>
      <c r="AD18" s="61">
        <v>2.9E-4</v>
      </c>
      <c r="AE18" s="2"/>
      <c r="AF18" s="2"/>
      <c r="AG18" s="2"/>
    </row>
    <row r="19" spans="1:33" ht="13">
      <c r="A19" s="165"/>
      <c r="B19" s="53" t="s">
        <v>109</v>
      </c>
      <c r="C19" s="54">
        <v>476384</v>
      </c>
      <c r="D19" s="64">
        <v>2.427E-2</v>
      </c>
      <c r="E19" s="56">
        <v>2.0000000000000001E-4</v>
      </c>
      <c r="F19" s="56">
        <v>0</v>
      </c>
      <c r="G19" s="56">
        <v>2.0000000000000002E-5</v>
      </c>
      <c r="H19" s="56">
        <v>9.8999999999999999E-4</v>
      </c>
      <c r="I19" s="56">
        <v>3.1E-4</v>
      </c>
      <c r="J19" s="55">
        <v>1.08E-3</v>
      </c>
      <c r="K19" s="56">
        <v>5.5000000000000003E-4</v>
      </c>
      <c r="L19" s="56">
        <v>1.2999999999999999E-4</v>
      </c>
      <c r="M19" s="56">
        <v>6.9999999999999994E-5</v>
      </c>
      <c r="N19" s="56">
        <v>2.3000000000000001E-4</v>
      </c>
      <c r="O19" s="56">
        <v>3.0000000000000001E-5</v>
      </c>
      <c r="P19" s="57">
        <f t="shared" si="0"/>
        <v>1.0000000000000026E-5</v>
      </c>
      <c r="Q19" s="55">
        <v>1.15E-3</v>
      </c>
      <c r="R19" s="56">
        <v>2.5000000000000001E-4</v>
      </c>
      <c r="S19" s="56">
        <v>0</v>
      </c>
      <c r="T19" s="62">
        <v>6.9499999999999996E-3</v>
      </c>
      <c r="U19" s="56">
        <v>0</v>
      </c>
      <c r="V19" s="56">
        <v>0</v>
      </c>
      <c r="W19" s="56">
        <v>3.5E-4</v>
      </c>
      <c r="X19" s="62">
        <v>8.4600000000000005E-3</v>
      </c>
      <c r="Y19" s="56">
        <v>0</v>
      </c>
      <c r="Z19" s="64">
        <v>2.886E-2</v>
      </c>
      <c r="AA19" s="59"/>
      <c r="AB19" s="58">
        <f t="shared" si="1"/>
        <v>7.3880000000000001E-2</v>
      </c>
      <c r="AC19" s="54"/>
      <c r="AD19" s="61">
        <v>2.5000000000000001E-4</v>
      </c>
      <c r="AE19" s="2"/>
      <c r="AF19" s="2"/>
      <c r="AG19" s="2"/>
    </row>
    <row r="20" spans="1:33" ht="13">
      <c r="A20" s="165"/>
      <c r="B20" s="53" t="s">
        <v>110</v>
      </c>
      <c r="C20" s="54">
        <v>185186</v>
      </c>
      <c r="D20" s="55">
        <v>1.8699999999999999E-3</v>
      </c>
      <c r="E20" s="56">
        <v>1.6000000000000001E-4</v>
      </c>
      <c r="F20" s="56">
        <v>0</v>
      </c>
      <c r="G20" s="56">
        <v>0</v>
      </c>
      <c r="H20" s="56">
        <v>3.2000000000000003E-4</v>
      </c>
      <c r="I20" s="56">
        <v>0</v>
      </c>
      <c r="J20" s="55">
        <v>2.97E-3</v>
      </c>
      <c r="K20" s="55">
        <v>1.0300000000000001E-3</v>
      </c>
      <c r="L20" s="56">
        <v>1.7000000000000001E-4</v>
      </c>
      <c r="M20" s="56">
        <v>3.0000000000000001E-5</v>
      </c>
      <c r="N20" s="56">
        <v>2.0000000000000002E-5</v>
      </c>
      <c r="O20" s="56">
        <v>4.0000000000000003E-5</v>
      </c>
      <c r="P20" s="57">
        <f t="shared" si="0"/>
        <v>1.0000000000000006E-5</v>
      </c>
      <c r="Q20" s="55">
        <v>4.2100000000000002E-3</v>
      </c>
      <c r="R20" s="56">
        <v>9.0000000000000006E-5</v>
      </c>
      <c r="S20" s="56">
        <v>0</v>
      </c>
      <c r="T20" s="56">
        <v>5.0000000000000001E-4</v>
      </c>
      <c r="U20" s="56">
        <v>0</v>
      </c>
      <c r="V20" s="56">
        <v>0</v>
      </c>
      <c r="W20" s="55">
        <v>4.0600000000000002E-3</v>
      </c>
      <c r="X20" s="58">
        <v>5.8029999999999998E-2</v>
      </c>
      <c r="Y20" s="56">
        <v>0</v>
      </c>
      <c r="Z20" s="58">
        <v>5.2569999999999999E-2</v>
      </c>
      <c r="AA20" s="59"/>
      <c r="AB20" s="60">
        <f t="shared" si="1"/>
        <v>0.12603999999999999</v>
      </c>
      <c r="AC20" s="54"/>
      <c r="AD20" s="61">
        <v>5.0000000000000002E-5</v>
      </c>
      <c r="AE20" s="2"/>
      <c r="AF20" s="2"/>
      <c r="AG20" s="2"/>
    </row>
    <row r="21" spans="1:33" ht="13">
      <c r="A21" s="165"/>
      <c r="B21" s="53" t="s">
        <v>111</v>
      </c>
      <c r="C21" s="54">
        <v>989430</v>
      </c>
      <c r="D21" s="62">
        <v>8.9700000000000005E-3</v>
      </c>
      <c r="E21" s="56">
        <v>2.5000000000000001E-4</v>
      </c>
      <c r="F21" s="56">
        <v>2.0000000000000002E-5</v>
      </c>
      <c r="G21" s="56">
        <v>6.0000000000000002E-5</v>
      </c>
      <c r="H21" s="56">
        <v>6.8000000000000005E-4</v>
      </c>
      <c r="I21" s="56">
        <v>6.9999999999999994E-5</v>
      </c>
      <c r="J21" s="55">
        <v>2.5500000000000002E-3</v>
      </c>
      <c r="K21" s="55">
        <v>1.2600000000000001E-3</v>
      </c>
      <c r="L21" s="56">
        <v>2.7E-4</v>
      </c>
      <c r="M21" s="56">
        <v>1.8000000000000001E-4</v>
      </c>
      <c r="N21" s="56">
        <v>6.0000000000000002E-5</v>
      </c>
      <c r="O21" s="56">
        <v>2.0000000000000002E-5</v>
      </c>
      <c r="P21" s="57">
        <f t="shared" si="0"/>
        <v>1.0000000000000013E-5</v>
      </c>
      <c r="Q21" s="62">
        <v>7.6099999999999996E-3</v>
      </c>
      <c r="R21" s="55">
        <v>1.2899999999999999E-3</v>
      </c>
      <c r="S21" s="56">
        <v>0</v>
      </c>
      <c r="T21" s="56">
        <v>7.6999999999999996E-4</v>
      </c>
      <c r="U21" s="56">
        <v>0</v>
      </c>
      <c r="V21" s="56">
        <v>0</v>
      </c>
      <c r="W21" s="62">
        <v>5.4099999999999999E-3</v>
      </c>
      <c r="X21" s="64">
        <v>2.5839999999999998E-2</v>
      </c>
      <c r="Y21" s="56">
        <v>0</v>
      </c>
      <c r="Z21" s="58">
        <v>5.3740000000000003E-2</v>
      </c>
      <c r="AA21" s="59"/>
      <c r="AB21" s="60">
        <f t="shared" si="1"/>
        <v>0.10904</v>
      </c>
      <c r="AC21" s="54"/>
      <c r="AD21" s="61">
        <v>6.9999999999999994E-5</v>
      </c>
      <c r="AE21" s="2"/>
      <c r="AF21" s="2"/>
      <c r="AG21" s="2"/>
    </row>
    <row r="22" spans="1:33" ht="13">
      <c r="A22" s="165"/>
      <c r="B22" s="53" t="s">
        <v>112</v>
      </c>
      <c r="C22" s="54">
        <v>989430</v>
      </c>
      <c r="D22" s="62">
        <v>8.9700000000000005E-3</v>
      </c>
      <c r="E22" s="56">
        <v>2.5000000000000001E-4</v>
      </c>
      <c r="F22" s="56">
        <v>2.0000000000000002E-5</v>
      </c>
      <c r="G22" s="56">
        <v>6.0000000000000002E-5</v>
      </c>
      <c r="H22" s="56">
        <v>6.8000000000000005E-4</v>
      </c>
      <c r="I22" s="56">
        <v>6.9999999999999994E-5</v>
      </c>
      <c r="J22" s="55">
        <v>2.5500000000000002E-3</v>
      </c>
      <c r="K22" s="55">
        <v>1.2600000000000001E-3</v>
      </c>
      <c r="L22" s="56">
        <v>2.7E-4</v>
      </c>
      <c r="M22" s="56">
        <v>1.8000000000000001E-4</v>
      </c>
      <c r="N22" s="56">
        <v>6.0000000000000002E-5</v>
      </c>
      <c r="O22" s="56">
        <v>2.0000000000000002E-5</v>
      </c>
      <c r="P22" s="57">
        <f t="shared" si="0"/>
        <v>1.0000000000000013E-5</v>
      </c>
      <c r="Q22" s="62">
        <v>7.6099999999999996E-3</v>
      </c>
      <c r="R22" s="55">
        <v>1.2899999999999999E-3</v>
      </c>
      <c r="S22" s="56">
        <v>0</v>
      </c>
      <c r="T22" s="56">
        <v>7.6999999999999996E-4</v>
      </c>
      <c r="U22" s="56">
        <v>0</v>
      </c>
      <c r="V22" s="56">
        <v>0</v>
      </c>
      <c r="W22" s="62">
        <v>5.4099999999999999E-3</v>
      </c>
      <c r="X22" s="64">
        <v>2.5839999999999998E-2</v>
      </c>
      <c r="Y22" s="56">
        <v>0</v>
      </c>
      <c r="Z22" s="58">
        <v>5.3740000000000003E-2</v>
      </c>
      <c r="AA22" s="59"/>
      <c r="AB22" s="60">
        <f t="shared" si="1"/>
        <v>0.10904</v>
      </c>
      <c r="AC22" s="54"/>
      <c r="AD22" s="61">
        <v>6.9999999999999994E-5</v>
      </c>
      <c r="AE22" s="2"/>
      <c r="AF22" s="2"/>
      <c r="AG22" s="2"/>
    </row>
    <row r="23" spans="1:33" ht="13">
      <c r="A23" s="165"/>
      <c r="B23" s="53" t="s">
        <v>113</v>
      </c>
      <c r="C23" s="54">
        <v>268896</v>
      </c>
      <c r="D23" s="62">
        <v>8.5199999999999998E-3</v>
      </c>
      <c r="E23" s="56">
        <v>7.6999999999999996E-4</v>
      </c>
      <c r="F23" s="56">
        <v>2.0000000000000002E-5</v>
      </c>
      <c r="G23" s="56">
        <v>0</v>
      </c>
      <c r="H23" s="56">
        <v>6.7000000000000002E-4</v>
      </c>
      <c r="I23" s="56">
        <v>1.9000000000000001E-4</v>
      </c>
      <c r="J23" s="55">
        <v>2.3800000000000002E-3</v>
      </c>
      <c r="K23" s="55">
        <v>2.1700000000000001E-3</v>
      </c>
      <c r="L23" s="56">
        <v>2.7999999999999998E-4</v>
      </c>
      <c r="M23" s="56">
        <v>3.3E-4</v>
      </c>
      <c r="N23" s="56">
        <v>5.0000000000000002E-5</v>
      </c>
      <c r="O23" s="56">
        <v>3.0000000000000001E-5</v>
      </c>
      <c r="P23" s="57">
        <f t="shared" si="0"/>
        <v>0</v>
      </c>
      <c r="Q23" s="55">
        <v>2.66E-3</v>
      </c>
      <c r="R23" s="55">
        <v>2.1700000000000001E-3</v>
      </c>
      <c r="S23" s="56">
        <v>0</v>
      </c>
      <c r="T23" s="55">
        <v>1.25E-3</v>
      </c>
      <c r="U23" s="56">
        <v>0</v>
      </c>
      <c r="V23" s="56">
        <v>0</v>
      </c>
      <c r="W23" s="62">
        <v>9.5899999999999996E-3</v>
      </c>
      <c r="X23" s="64">
        <v>2.734E-2</v>
      </c>
      <c r="Y23" s="56">
        <v>0</v>
      </c>
      <c r="Z23" s="64">
        <v>1.29E-2</v>
      </c>
      <c r="AA23" s="59"/>
      <c r="AB23" s="58">
        <f t="shared" si="1"/>
        <v>7.1289999999999992E-2</v>
      </c>
      <c r="AC23" s="54"/>
      <c r="AD23" s="61">
        <v>8.0000000000000007E-5</v>
      </c>
      <c r="AE23" s="2"/>
      <c r="AF23" s="2"/>
      <c r="AG23" s="2"/>
    </row>
    <row r="24" spans="1:33" ht="13">
      <c r="A24" s="165"/>
      <c r="B24" s="53" t="s">
        <v>114</v>
      </c>
      <c r="C24" s="54">
        <v>422322</v>
      </c>
      <c r="D24" s="56">
        <v>8.4000000000000003E-4</v>
      </c>
      <c r="E24" s="56">
        <v>3.0000000000000001E-5</v>
      </c>
      <c r="F24" s="56">
        <v>1.0000000000000001E-5</v>
      </c>
      <c r="G24" s="56">
        <v>0</v>
      </c>
      <c r="H24" s="56">
        <v>2.5000000000000001E-4</v>
      </c>
      <c r="I24" s="56">
        <v>9.0000000000000006E-5</v>
      </c>
      <c r="J24" s="55">
        <v>1.6000000000000001E-3</v>
      </c>
      <c r="K24" s="55">
        <v>1.2800000000000001E-3</v>
      </c>
      <c r="L24" s="56">
        <v>6.9999999999999994E-5</v>
      </c>
      <c r="M24" s="56">
        <v>4.0000000000000003E-5</v>
      </c>
      <c r="N24" s="56">
        <v>3.0000000000000001E-5</v>
      </c>
      <c r="O24" s="56">
        <v>6.9999999999999994E-5</v>
      </c>
      <c r="P24" s="57">
        <f t="shared" si="0"/>
        <v>9.9999999999999856E-6</v>
      </c>
      <c r="Q24" s="55">
        <v>2.5100000000000001E-3</v>
      </c>
      <c r="R24" s="56">
        <v>1.6000000000000001E-4</v>
      </c>
      <c r="S24" s="56">
        <v>0</v>
      </c>
      <c r="T24" s="56">
        <v>3.5E-4</v>
      </c>
      <c r="U24" s="56">
        <v>0</v>
      </c>
      <c r="V24" s="56">
        <v>0</v>
      </c>
      <c r="W24" s="55">
        <v>1.6100000000000001E-3</v>
      </c>
      <c r="X24" s="64">
        <v>4.4040000000000003E-2</v>
      </c>
      <c r="Y24" s="56">
        <v>0</v>
      </c>
      <c r="Z24" s="58">
        <v>6.8099999999999994E-2</v>
      </c>
      <c r="AA24" s="59"/>
      <c r="AB24" s="60">
        <f t="shared" si="1"/>
        <v>0.12101999999999999</v>
      </c>
      <c r="AC24" s="54"/>
      <c r="AD24" s="61">
        <v>9.0000000000000006E-5</v>
      </c>
      <c r="AE24" s="2"/>
      <c r="AF24" s="2"/>
      <c r="AG24" s="2"/>
    </row>
    <row r="25" spans="1:33" ht="13">
      <c r="A25" s="165"/>
      <c r="B25" s="66" t="s">
        <v>115</v>
      </c>
      <c r="C25" s="54">
        <v>319894</v>
      </c>
      <c r="D25" s="55">
        <v>1.01E-3</v>
      </c>
      <c r="E25" s="56">
        <v>2.0000000000000002E-5</v>
      </c>
      <c r="F25" s="56">
        <v>3.0000000000000001E-5</v>
      </c>
      <c r="G25" s="56">
        <v>1.0000000000000001E-5</v>
      </c>
      <c r="H25" s="56">
        <v>2.7E-4</v>
      </c>
      <c r="I25" s="56">
        <v>6.0000000000000002E-5</v>
      </c>
      <c r="J25" s="55">
        <v>1.14E-3</v>
      </c>
      <c r="K25" s="55">
        <v>1.08E-3</v>
      </c>
      <c r="L25" s="56">
        <v>8.0000000000000007E-5</v>
      </c>
      <c r="M25" s="56">
        <v>1.0000000000000001E-5</v>
      </c>
      <c r="N25" s="56">
        <v>5.0000000000000002E-5</v>
      </c>
      <c r="O25" s="56">
        <v>9.0000000000000006E-5</v>
      </c>
      <c r="P25" s="57">
        <f t="shared" si="0"/>
        <v>1.0000000000000026E-5</v>
      </c>
      <c r="Q25" s="55">
        <v>3.0400000000000002E-3</v>
      </c>
      <c r="R25" s="56">
        <v>1.9000000000000001E-4</v>
      </c>
      <c r="S25" s="56">
        <v>0</v>
      </c>
      <c r="T25" s="56">
        <v>2.9E-4</v>
      </c>
      <c r="U25" s="56">
        <v>0</v>
      </c>
      <c r="V25" s="56">
        <v>0</v>
      </c>
      <c r="W25" s="56">
        <v>6.8999999999999997E-4</v>
      </c>
      <c r="X25" s="64">
        <v>4.6170000000000003E-2</v>
      </c>
      <c r="Y25" s="56">
        <v>0</v>
      </c>
      <c r="Z25" s="58">
        <v>7.349E-2</v>
      </c>
      <c r="AA25" s="59"/>
      <c r="AB25" s="60">
        <f t="shared" si="1"/>
        <v>0.12764</v>
      </c>
      <c r="AC25" s="54"/>
      <c r="AD25" s="61">
        <v>1.2999999999999999E-4</v>
      </c>
      <c r="AE25" s="2"/>
      <c r="AF25" s="2"/>
      <c r="AG25" s="2"/>
    </row>
    <row r="26" spans="1:33" ht="13">
      <c r="A26" s="165"/>
      <c r="B26" s="53" t="s">
        <v>116</v>
      </c>
      <c r="C26" s="54">
        <v>668724</v>
      </c>
      <c r="D26" s="55">
        <v>3.7699999999999999E-3</v>
      </c>
      <c r="E26" s="56">
        <v>4.0999999999999999E-4</v>
      </c>
      <c r="F26" s="56">
        <v>2.0000000000000002E-5</v>
      </c>
      <c r="G26" s="56">
        <v>0</v>
      </c>
      <c r="H26" s="55">
        <v>1.0399999999999999E-3</v>
      </c>
      <c r="I26" s="56">
        <v>1.2E-4</v>
      </c>
      <c r="J26" s="55">
        <v>1.56E-3</v>
      </c>
      <c r="K26" s="56">
        <v>9.5E-4</v>
      </c>
      <c r="L26" s="56">
        <v>4.0000000000000003E-5</v>
      </c>
      <c r="M26" s="56">
        <v>6.0000000000000002E-5</v>
      </c>
      <c r="N26" s="56">
        <v>1.8000000000000001E-4</v>
      </c>
      <c r="O26" s="56">
        <v>4.0000000000000003E-5</v>
      </c>
      <c r="P26" s="57">
        <f t="shared" si="0"/>
        <v>1.9999999999999998E-5</v>
      </c>
      <c r="Q26" s="55">
        <v>2.32E-3</v>
      </c>
      <c r="R26" s="56">
        <v>4.8000000000000001E-4</v>
      </c>
      <c r="S26" s="56">
        <v>0</v>
      </c>
      <c r="T26" s="55">
        <v>1.33E-3</v>
      </c>
      <c r="U26" s="56">
        <v>0</v>
      </c>
      <c r="V26" s="56">
        <v>0</v>
      </c>
      <c r="W26" s="56">
        <v>4.4999999999999999E-4</v>
      </c>
      <c r="X26" s="64">
        <v>3.9480000000000001E-2</v>
      </c>
      <c r="Y26" s="56">
        <v>0</v>
      </c>
      <c r="Z26" s="58">
        <v>8.5720000000000005E-2</v>
      </c>
      <c r="AA26" s="59"/>
      <c r="AB26" s="60">
        <f t="shared" si="1"/>
        <v>0.13795000000000002</v>
      </c>
      <c r="AC26" s="54"/>
      <c r="AD26" s="61">
        <v>2.0000000000000001E-4</v>
      </c>
      <c r="AE26" s="2"/>
      <c r="AF26" s="2"/>
      <c r="AG26" s="2"/>
    </row>
    <row r="27" spans="1:33" ht="13">
      <c r="A27" s="166"/>
      <c r="B27" s="67" t="s">
        <v>117</v>
      </c>
      <c r="C27" s="54">
        <v>557944</v>
      </c>
      <c r="D27" s="62">
        <v>7.3800000000000003E-3</v>
      </c>
      <c r="E27" s="56">
        <v>2.3000000000000001E-4</v>
      </c>
      <c r="F27" s="56">
        <v>1.0000000000000001E-5</v>
      </c>
      <c r="G27" s="56">
        <v>6.0000000000000002E-5</v>
      </c>
      <c r="H27" s="55">
        <v>1.3799999999999999E-3</v>
      </c>
      <c r="I27" s="56">
        <v>1E-4</v>
      </c>
      <c r="J27" s="55">
        <v>2.6199999999999999E-3</v>
      </c>
      <c r="K27" s="55">
        <v>1.14E-3</v>
      </c>
      <c r="L27" s="56">
        <v>5.0000000000000001E-4</v>
      </c>
      <c r="M27" s="56">
        <v>1.2E-4</v>
      </c>
      <c r="N27" s="56">
        <v>1.2999999999999999E-4</v>
      </c>
      <c r="O27" s="56">
        <v>6.0000000000000002E-5</v>
      </c>
      <c r="P27" s="57">
        <f t="shared" si="0"/>
        <v>1.9999999999999971E-5</v>
      </c>
      <c r="Q27" s="55">
        <v>1.3500000000000001E-3</v>
      </c>
      <c r="R27" s="56">
        <v>4.6999999999999999E-4</v>
      </c>
      <c r="S27" s="56">
        <v>0</v>
      </c>
      <c r="T27" s="56">
        <v>8.8999999999999995E-4</v>
      </c>
      <c r="U27" s="56">
        <v>0</v>
      </c>
      <c r="V27" s="56">
        <v>0</v>
      </c>
      <c r="W27" s="62">
        <v>5.6899999999999997E-3</v>
      </c>
      <c r="X27" s="64">
        <v>2.5649999999999999E-2</v>
      </c>
      <c r="Y27" s="56">
        <v>0</v>
      </c>
      <c r="Z27" s="58">
        <v>6.8349999999999994E-2</v>
      </c>
      <c r="AA27" s="59"/>
      <c r="AB27" s="60">
        <f t="shared" si="1"/>
        <v>0.11609</v>
      </c>
      <c r="AC27" s="54"/>
      <c r="AD27" s="61">
        <v>1.7000000000000001E-4</v>
      </c>
      <c r="AE27" s="2"/>
      <c r="AF27" s="2"/>
      <c r="AG27" s="2"/>
    </row>
    <row r="28" spans="1:33" ht="13">
      <c r="A28" s="68" t="s">
        <v>118</v>
      </c>
      <c r="B28" s="69" t="s">
        <v>119</v>
      </c>
      <c r="C28" s="70">
        <v>29959100</v>
      </c>
      <c r="D28" s="46">
        <v>1.39E-3</v>
      </c>
      <c r="E28" s="46">
        <v>1.6000000000000001E-3</v>
      </c>
      <c r="F28" s="45">
        <v>4.0000000000000003E-5</v>
      </c>
      <c r="G28" s="45">
        <v>4.0000000000000003E-5</v>
      </c>
      <c r="H28" s="45">
        <v>5.4000000000000001E-4</v>
      </c>
      <c r="I28" s="45">
        <v>8.0000000000000007E-5</v>
      </c>
      <c r="J28" s="46">
        <v>1.72E-3</v>
      </c>
      <c r="K28" s="46">
        <v>1.7600000000000001E-3</v>
      </c>
      <c r="L28" s="45">
        <v>1.9000000000000001E-4</v>
      </c>
      <c r="M28" s="45">
        <v>1.0000000000000001E-5</v>
      </c>
      <c r="N28" s="45">
        <v>6.9999999999999994E-5</v>
      </c>
      <c r="O28" s="45">
        <v>2.0000000000000002E-5</v>
      </c>
      <c r="P28" s="47">
        <f t="shared" si="0"/>
        <v>9.9999999999999856E-6</v>
      </c>
      <c r="Q28" s="46">
        <v>1.8600000000000001E-3</v>
      </c>
      <c r="R28" s="46">
        <v>1.17E-3</v>
      </c>
      <c r="S28" s="45">
        <v>0</v>
      </c>
      <c r="T28" s="45">
        <v>4.4999999999999999E-4</v>
      </c>
      <c r="U28" s="45">
        <v>0</v>
      </c>
      <c r="V28" s="45">
        <v>0</v>
      </c>
      <c r="W28" s="48">
        <v>4.7829999999999998E-2</v>
      </c>
      <c r="X28" s="46">
        <v>2.8400000000000001E-3</v>
      </c>
      <c r="Y28" s="45">
        <v>0</v>
      </c>
      <c r="Z28" s="49">
        <v>5.0840000000000003E-2</v>
      </c>
      <c r="AA28" s="50"/>
      <c r="AB28" s="51">
        <f t="shared" si="1"/>
        <v>0.11244000000000001</v>
      </c>
      <c r="AC28" s="71"/>
      <c r="AD28" s="52">
        <v>8.0000000000000007E-5</v>
      </c>
      <c r="AE28" s="2"/>
      <c r="AF28" s="2"/>
      <c r="AG28" s="2"/>
    </row>
    <row r="29" spans="1:33" ht="13">
      <c r="A29" s="172" t="s">
        <v>120</v>
      </c>
      <c r="B29" s="72" t="s">
        <v>121</v>
      </c>
      <c r="C29" s="73">
        <v>251946</v>
      </c>
      <c r="D29" s="46">
        <v>3.9399999999999999E-3</v>
      </c>
      <c r="E29" s="45">
        <v>8.9999999999999998E-4</v>
      </c>
      <c r="F29" s="45">
        <v>2.3000000000000001E-4</v>
      </c>
      <c r="G29" s="44">
        <v>6.4799999999999996E-3</v>
      </c>
      <c r="H29" s="46">
        <v>1.7099999999999999E-3</v>
      </c>
      <c r="I29" s="46">
        <v>2.2899999999999999E-3</v>
      </c>
      <c r="J29" s="45">
        <v>9.3000000000000005E-4</v>
      </c>
      <c r="K29" s="46">
        <v>1.3600000000000001E-3</v>
      </c>
      <c r="L29" s="45">
        <v>2.5999999999999998E-4</v>
      </c>
      <c r="M29" s="45">
        <v>2.1000000000000001E-4</v>
      </c>
      <c r="N29" s="44">
        <v>5.2500000000000003E-3</v>
      </c>
      <c r="O29" s="44">
        <v>8.5299999999999994E-3</v>
      </c>
      <c r="P29" s="46">
        <f t="shared" si="0"/>
        <v>4.0499999999999998E-3</v>
      </c>
      <c r="Q29" s="44">
        <v>6.4700000000000001E-3</v>
      </c>
      <c r="R29" s="45">
        <v>3.5E-4</v>
      </c>
      <c r="S29" s="45">
        <v>8.8999999999999995E-4</v>
      </c>
      <c r="T29" s="43" t="s">
        <v>122</v>
      </c>
      <c r="U29" s="45">
        <v>2.0000000000000002E-5</v>
      </c>
      <c r="V29" s="46">
        <v>3.49E-3</v>
      </c>
      <c r="W29" s="46">
        <v>3.82E-3</v>
      </c>
      <c r="X29" s="49">
        <v>8.4449999999999997E-2</v>
      </c>
      <c r="Y29" s="46">
        <v>2.9299999999999999E-3</v>
      </c>
      <c r="Z29" s="49">
        <v>6.9010000000000002E-2</v>
      </c>
      <c r="AA29" s="48">
        <v>3.5400000000000001E-2</v>
      </c>
      <c r="AB29" s="74">
        <f t="shared" si="1"/>
        <v>0.19903999999999999</v>
      </c>
      <c r="AC29" s="74">
        <f t="shared" ref="AC29:AC101" si="2">SUM($D29:$N29,P29:Y29,AA29)</f>
        <v>0.16542999999999997</v>
      </c>
      <c r="AD29" s="75">
        <v>9.7300000000000008E-3</v>
      </c>
      <c r="AE29" s="2"/>
      <c r="AF29" s="2"/>
      <c r="AG29" s="2"/>
    </row>
    <row r="30" spans="1:33" ht="13">
      <c r="A30" s="165"/>
      <c r="B30" s="76" t="s">
        <v>123</v>
      </c>
      <c r="C30" s="77">
        <v>173248</v>
      </c>
      <c r="D30" s="56">
        <v>8.9999999999999998E-4</v>
      </c>
      <c r="E30" s="55">
        <v>1.17E-3</v>
      </c>
      <c r="F30" s="56">
        <v>5.4000000000000001E-4</v>
      </c>
      <c r="G30" s="55">
        <v>3.3600000000000001E-3</v>
      </c>
      <c r="H30" s="56">
        <v>3.5E-4</v>
      </c>
      <c r="I30" s="55">
        <v>1.92E-3</v>
      </c>
      <c r="J30" s="55">
        <v>1.0300000000000001E-3</v>
      </c>
      <c r="K30" s="55">
        <v>2.3900000000000002E-3</v>
      </c>
      <c r="L30" s="56">
        <v>5.5000000000000003E-4</v>
      </c>
      <c r="M30" s="55">
        <v>1.06E-3</v>
      </c>
      <c r="N30" s="62">
        <v>9.3900000000000008E-3</v>
      </c>
      <c r="O30" s="55">
        <v>2.7899999999999999E-3</v>
      </c>
      <c r="P30" s="55">
        <f t="shared" si="0"/>
        <v>1.1800000000000005E-3</v>
      </c>
      <c r="Q30" s="55">
        <v>1.3500000000000001E-3</v>
      </c>
      <c r="R30" s="56">
        <v>1.3999999999999999E-4</v>
      </c>
      <c r="S30" s="55">
        <v>2.1700000000000001E-3</v>
      </c>
      <c r="T30" s="54" t="s">
        <v>122</v>
      </c>
      <c r="U30" s="56">
        <v>4.4000000000000002E-4</v>
      </c>
      <c r="V30" s="62">
        <v>6.3800000000000003E-3</v>
      </c>
      <c r="W30" s="55">
        <v>2.33E-3</v>
      </c>
      <c r="X30" s="64">
        <v>1.0749999999999999E-2</v>
      </c>
      <c r="Y30" s="55">
        <v>1.64E-3</v>
      </c>
      <c r="Z30" s="58">
        <v>6.8470000000000003E-2</v>
      </c>
      <c r="AA30" s="64">
        <v>4.82E-2</v>
      </c>
      <c r="AB30" s="60">
        <f t="shared" si="1"/>
        <v>0.11751</v>
      </c>
      <c r="AC30" s="58">
        <f t="shared" si="2"/>
        <v>9.7239999999999993E-2</v>
      </c>
      <c r="AD30" s="78">
        <v>1.0999999999999999E-2</v>
      </c>
      <c r="AE30" s="2"/>
      <c r="AF30" s="2"/>
      <c r="AG30" s="2"/>
    </row>
    <row r="31" spans="1:33" ht="13">
      <c r="A31" s="165"/>
      <c r="B31" s="76" t="s">
        <v>124</v>
      </c>
      <c r="C31" s="77">
        <v>159828</v>
      </c>
      <c r="D31" s="55">
        <v>1.66E-3</v>
      </c>
      <c r="E31" s="56">
        <v>5.9000000000000003E-4</v>
      </c>
      <c r="F31" s="56">
        <v>4.0000000000000003E-5</v>
      </c>
      <c r="G31" s="56">
        <v>2.5000000000000001E-4</v>
      </c>
      <c r="H31" s="56">
        <v>2.5000000000000001E-4</v>
      </c>
      <c r="I31" s="56">
        <v>4.8999999999999998E-4</v>
      </c>
      <c r="J31" s="55">
        <v>1.8E-3</v>
      </c>
      <c r="K31" s="55">
        <v>1.99E-3</v>
      </c>
      <c r="L31" s="56">
        <v>1.6000000000000001E-4</v>
      </c>
      <c r="M31" s="56">
        <v>2.4000000000000001E-4</v>
      </c>
      <c r="N31" s="55">
        <v>1.0499999999999999E-3</v>
      </c>
      <c r="O31" s="56">
        <v>7.9000000000000001E-4</v>
      </c>
      <c r="P31" s="56">
        <f t="shared" si="0"/>
        <v>4.8999999999999998E-4</v>
      </c>
      <c r="Q31" s="55">
        <v>3.3500000000000001E-3</v>
      </c>
      <c r="R31" s="56">
        <v>4.4999999999999999E-4</v>
      </c>
      <c r="S31" s="56">
        <v>8.4999999999999995E-4</v>
      </c>
      <c r="T31" s="54" t="s">
        <v>122</v>
      </c>
      <c r="U31" s="56">
        <v>1.0000000000000001E-5</v>
      </c>
      <c r="V31" s="56">
        <v>4.0000000000000003E-5</v>
      </c>
      <c r="W31" s="55">
        <v>2.8500000000000001E-3</v>
      </c>
      <c r="X31" s="58">
        <v>5.1049999999999998E-2</v>
      </c>
      <c r="Y31" s="55">
        <v>1.41E-3</v>
      </c>
      <c r="Z31" s="58">
        <v>7.5020000000000003E-2</v>
      </c>
      <c r="AA31" s="58">
        <v>5.0799999999999998E-2</v>
      </c>
      <c r="AB31" s="60">
        <f t="shared" si="1"/>
        <v>0.14404</v>
      </c>
      <c r="AC31" s="60">
        <f t="shared" si="2"/>
        <v>0.11982</v>
      </c>
      <c r="AD31" s="63">
        <v>1.3500000000000001E-3</v>
      </c>
      <c r="AE31" s="2"/>
      <c r="AF31" s="2"/>
      <c r="AG31" s="2"/>
    </row>
    <row r="32" spans="1:33" ht="13">
      <c r="A32" s="166"/>
      <c r="B32" s="79" t="s">
        <v>125</v>
      </c>
      <c r="C32" s="77">
        <v>206210</v>
      </c>
      <c r="D32" s="56">
        <v>7.6999999999999996E-4</v>
      </c>
      <c r="E32" s="56">
        <v>4.6000000000000001E-4</v>
      </c>
      <c r="F32" s="56">
        <v>4.8999999999999998E-4</v>
      </c>
      <c r="G32" s="55">
        <v>1.49E-3</v>
      </c>
      <c r="H32" s="56">
        <v>2.9E-4</v>
      </c>
      <c r="I32" s="56">
        <v>8.3000000000000001E-4</v>
      </c>
      <c r="J32" s="55">
        <v>1.1800000000000001E-3</v>
      </c>
      <c r="K32" s="55">
        <v>2.14E-3</v>
      </c>
      <c r="L32" s="56">
        <v>4.4999999999999999E-4</v>
      </c>
      <c r="M32" s="56">
        <v>4.2000000000000002E-4</v>
      </c>
      <c r="N32" s="55">
        <v>4.7400000000000003E-3</v>
      </c>
      <c r="O32" s="55">
        <v>2.1199999999999999E-3</v>
      </c>
      <c r="P32" s="56">
        <f t="shared" si="0"/>
        <v>9.0999999999999935E-4</v>
      </c>
      <c r="Q32" s="55">
        <v>3.63E-3</v>
      </c>
      <c r="R32" s="56">
        <v>2.9999999999999997E-4</v>
      </c>
      <c r="S32" s="56">
        <v>5.4000000000000001E-4</v>
      </c>
      <c r="T32" s="54" t="s">
        <v>122</v>
      </c>
      <c r="U32" s="56">
        <v>3.6999999999999999E-4</v>
      </c>
      <c r="V32" s="55">
        <v>1.98E-3</v>
      </c>
      <c r="W32" s="55">
        <v>2.7299999999999998E-3</v>
      </c>
      <c r="X32" s="64">
        <v>3.9109999999999999E-2</v>
      </c>
      <c r="Y32" s="55">
        <v>1.7600000000000001E-3</v>
      </c>
      <c r="Z32" s="58">
        <v>7.4880000000000002E-2</v>
      </c>
      <c r="AA32" s="64">
        <v>4.6699999999999998E-2</v>
      </c>
      <c r="AB32" s="60">
        <f t="shared" si="1"/>
        <v>0.13946999999999998</v>
      </c>
      <c r="AC32" s="60">
        <f t="shared" si="2"/>
        <v>0.11129</v>
      </c>
      <c r="AD32" s="80">
        <v>5.9500000000000004E-3</v>
      </c>
      <c r="AE32" s="2"/>
      <c r="AF32" s="2"/>
      <c r="AG32" s="2"/>
    </row>
    <row r="33" spans="1:33" ht="13">
      <c r="A33" s="76"/>
      <c r="B33" s="81" t="s">
        <v>126</v>
      </c>
      <c r="C33" s="73">
        <v>19360</v>
      </c>
      <c r="D33" s="46">
        <v>2.7899999999999999E-3</v>
      </c>
      <c r="E33" s="46">
        <v>3.2000000000000002E-3</v>
      </c>
      <c r="F33" s="45">
        <v>1E-4</v>
      </c>
      <c r="G33" s="46">
        <v>3.5100000000000001E-3</v>
      </c>
      <c r="H33" s="45">
        <v>7.2000000000000005E-4</v>
      </c>
      <c r="I33" s="46">
        <v>3.5100000000000001E-3</v>
      </c>
      <c r="J33" s="46">
        <v>1.5499999999999999E-3</v>
      </c>
      <c r="K33" s="46">
        <v>3.2000000000000002E-3</v>
      </c>
      <c r="L33" s="45">
        <v>1E-4</v>
      </c>
      <c r="M33" s="46">
        <v>1.0300000000000001E-3</v>
      </c>
      <c r="N33" s="46">
        <v>1.24E-3</v>
      </c>
      <c r="O33" s="45">
        <v>2.1000000000000001E-4</v>
      </c>
      <c r="P33" s="45">
        <f t="shared" si="0"/>
        <v>1.0999999999999985E-4</v>
      </c>
      <c r="Q33" s="46">
        <v>1.24E-3</v>
      </c>
      <c r="R33" s="46">
        <v>1.24E-3</v>
      </c>
      <c r="S33" s="46">
        <v>4.2399999999999998E-3</v>
      </c>
      <c r="T33" s="43" t="s">
        <v>122</v>
      </c>
      <c r="U33" s="45">
        <v>0</v>
      </c>
      <c r="V33" s="46">
        <v>1.0300000000000001E-3</v>
      </c>
      <c r="W33" s="46">
        <v>3.0000000000000001E-3</v>
      </c>
      <c r="X33" s="44">
        <v>9.8099999999999993E-3</v>
      </c>
      <c r="Y33" s="46">
        <v>1.24E-3</v>
      </c>
      <c r="Z33" s="74">
        <v>0.15759000000000001</v>
      </c>
      <c r="AA33" s="74">
        <v>0.1512</v>
      </c>
      <c r="AB33" s="74">
        <f t="shared" si="1"/>
        <v>0.20045000000000002</v>
      </c>
      <c r="AC33" s="74">
        <f t="shared" si="2"/>
        <v>0.19406000000000001</v>
      </c>
      <c r="AD33" s="82">
        <v>1.34E-3</v>
      </c>
      <c r="AE33" s="76"/>
      <c r="AF33" s="76"/>
      <c r="AG33" s="76"/>
    </row>
    <row r="34" spans="1:33" ht="13">
      <c r="A34" s="170" t="s">
        <v>127</v>
      </c>
      <c r="B34" s="72" t="s">
        <v>128</v>
      </c>
      <c r="C34" s="73">
        <v>1204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6">
        <v>1.66E-3</v>
      </c>
      <c r="N34" s="46">
        <v>1.66E-3</v>
      </c>
      <c r="O34" s="45">
        <v>0</v>
      </c>
      <c r="P34" s="45">
        <f t="shared" si="0"/>
        <v>0</v>
      </c>
      <c r="Q34" s="46">
        <v>1.66E-3</v>
      </c>
      <c r="R34" s="46">
        <v>1.66E-3</v>
      </c>
      <c r="S34" s="45">
        <v>0</v>
      </c>
      <c r="T34" s="43" t="s">
        <v>122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9">
        <v>7.7780000000000002E-2</v>
      </c>
      <c r="AA34" s="74">
        <v>0.17280000000000001</v>
      </c>
      <c r="AB34" s="49">
        <f t="shared" si="1"/>
        <v>8.4419999999999995E-2</v>
      </c>
      <c r="AC34" s="74">
        <f t="shared" si="2"/>
        <v>0.17944000000000002</v>
      </c>
      <c r="AD34" s="82">
        <v>1.66E-3</v>
      </c>
      <c r="AE34" s="2"/>
      <c r="AF34" s="2"/>
      <c r="AG34" s="2"/>
    </row>
    <row r="35" spans="1:33" ht="13">
      <c r="A35" s="165"/>
      <c r="B35" s="76" t="s">
        <v>129</v>
      </c>
      <c r="C35" s="77">
        <v>388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62">
        <v>5.1500000000000001E-3</v>
      </c>
      <c r="O35" s="56">
        <v>0</v>
      </c>
      <c r="P35" s="56">
        <f t="shared" si="0"/>
        <v>0</v>
      </c>
      <c r="Q35" s="56">
        <v>0</v>
      </c>
      <c r="R35" s="62">
        <v>5.1500000000000001E-3</v>
      </c>
      <c r="S35" s="56">
        <v>0</v>
      </c>
      <c r="T35" s="54" t="s">
        <v>122</v>
      </c>
      <c r="U35" s="56">
        <v>0</v>
      </c>
      <c r="V35" s="56">
        <v>0</v>
      </c>
      <c r="W35" s="56">
        <v>0</v>
      </c>
      <c r="X35" s="56">
        <v>0</v>
      </c>
      <c r="Y35" s="62">
        <v>5.1500000000000001E-3</v>
      </c>
      <c r="Z35" s="65">
        <v>0.17544000000000001</v>
      </c>
      <c r="AA35" s="65">
        <v>0.51549999999999996</v>
      </c>
      <c r="AB35" s="65">
        <f t="shared" si="1"/>
        <v>0.19089</v>
      </c>
      <c r="AC35" s="65">
        <f t="shared" si="2"/>
        <v>0.53094999999999992</v>
      </c>
      <c r="AD35" s="80">
        <v>5.1500000000000001E-3</v>
      </c>
      <c r="AE35" s="2"/>
      <c r="AF35" s="2"/>
      <c r="AG35" s="2"/>
    </row>
    <row r="36" spans="1:33" ht="13">
      <c r="A36" s="165"/>
      <c r="B36" s="76" t="s">
        <v>130</v>
      </c>
      <c r="C36" s="77">
        <v>45632</v>
      </c>
      <c r="D36" s="56">
        <v>1.8000000000000001E-4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5">
        <v>2.4499999999999999E-3</v>
      </c>
      <c r="K36" s="55">
        <v>1.4499999999999999E-3</v>
      </c>
      <c r="L36" s="56">
        <v>2.5999999999999998E-4</v>
      </c>
      <c r="M36" s="56">
        <v>4.0000000000000003E-5</v>
      </c>
      <c r="N36" s="56">
        <v>9.0000000000000006E-5</v>
      </c>
      <c r="O36" s="56">
        <v>0</v>
      </c>
      <c r="P36" s="56">
        <f t="shared" si="0"/>
        <v>0</v>
      </c>
      <c r="Q36" s="56">
        <v>4.4000000000000002E-4</v>
      </c>
      <c r="R36" s="56">
        <v>0</v>
      </c>
      <c r="S36" s="55">
        <v>2.5000000000000001E-3</v>
      </c>
      <c r="T36" s="54" t="s">
        <v>122</v>
      </c>
      <c r="U36" s="56">
        <v>0</v>
      </c>
      <c r="V36" s="56">
        <v>0</v>
      </c>
      <c r="W36" s="55">
        <v>4.8199999999999996E-3</v>
      </c>
      <c r="X36" s="64">
        <v>2.104E-2</v>
      </c>
      <c r="Y36" s="56">
        <v>0</v>
      </c>
      <c r="Z36" s="58">
        <v>5.348E-2</v>
      </c>
      <c r="AA36" s="58">
        <v>5.28E-2</v>
      </c>
      <c r="AB36" s="58">
        <f t="shared" si="1"/>
        <v>8.6749999999999994E-2</v>
      </c>
      <c r="AC36" s="58">
        <f t="shared" si="2"/>
        <v>8.6070000000000008E-2</v>
      </c>
      <c r="AD36" s="61">
        <v>9.0000000000000006E-5</v>
      </c>
      <c r="AE36" s="2"/>
      <c r="AF36" s="2"/>
      <c r="AG36" s="2"/>
    </row>
    <row r="37" spans="1:33" ht="13">
      <c r="A37" s="165"/>
      <c r="B37" s="76" t="s">
        <v>131</v>
      </c>
      <c r="C37" s="77">
        <v>1696</v>
      </c>
      <c r="D37" s="55">
        <v>1.1800000000000001E-3</v>
      </c>
      <c r="E37" s="55">
        <v>3.5400000000000002E-3</v>
      </c>
      <c r="F37" s="56">
        <v>0</v>
      </c>
      <c r="G37" s="64">
        <v>1.179E-2</v>
      </c>
      <c r="H37" s="56">
        <v>0</v>
      </c>
      <c r="I37" s="62">
        <v>9.4299999999999991E-3</v>
      </c>
      <c r="J37" s="56">
        <v>0</v>
      </c>
      <c r="K37" s="55">
        <v>2.3600000000000001E-3</v>
      </c>
      <c r="L37" s="56">
        <v>0</v>
      </c>
      <c r="M37" s="56">
        <v>0</v>
      </c>
      <c r="N37" s="64">
        <v>1.179E-2</v>
      </c>
      <c r="O37" s="64">
        <v>1.061E-2</v>
      </c>
      <c r="P37" s="56">
        <f t="shared" si="0"/>
        <v>-9.9999999999995925E-6</v>
      </c>
      <c r="Q37" s="56">
        <v>0</v>
      </c>
      <c r="R37" s="56">
        <v>0</v>
      </c>
      <c r="S37" s="62">
        <v>9.4299999999999991E-3</v>
      </c>
      <c r="T37" s="54" t="s">
        <v>122</v>
      </c>
      <c r="U37" s="56">
        <v>0</v>
      </c>
      <c r="V37" s="55">
        <v>3.5400000000000002E-3</v>
      </c>
      <c r="W37" s="56">
        <v>0</v>
      </c>
      <c r="X37" s="56">
        <v>0</v>
      </c>
      <c r="Y37" s="56">
        <v>0</v>
      </c>
      <c r="Z37" s="58">
        <v>7.4310000000000001E-2</v>
      </c>
      <c r="AA37" s="60">
        <v>0.1333</v>
      </c>
      <c r="AB37" s="60">
        <f t="shared" si="1"/>
        <v>0.12736</v>
      </c>
      <c r="AC37" s="65">
        <f t="shared" si="2"/>
        <v>0.18635000000000002</v>
      </c>
      <c r="AD37" s="78">
        <v>2.2409999999999999E-2</v>
      </c>
      <c r="AE37" s="2"/>
      <c r="AF37" s="2"/>
      <c r="AG37" s="2"/>
    </row>
    <row r="38" spans="1:33" ht="13">
      <c r="A38" s="165"/>
      <c r="B38" s="76" t="s">
        <v>132</v>
      </c>
      <c r="C38" s="77">
        <v>1888</v>
      </c>
      <c r="D38" s="62">
        <v>5.3E-3</v>
      </c>
      <c r="E38" s="56">
        <v>0</v>
      </c>
      <c r="F38" s="56">
        <v>0</v>
      </c>
      <c r="G38" s="56">
        <v>0</v>
      </c>
      <c r="H38" s="55">
        <v>4.2399999999999998E-3</v>
      </c>
      <c r="I38" s="56">
        <v>0</v>
      </c>
      <c r="J38" s="56">
        <v>0</v>
      </c>
      <c r="K38" s="55">
        <v>2.1199999999999999E-3</v>
      </c>
      <c r="L38" s="56">
        <v>0</v>
      </c>
      <c r="M38" s="55">
        <v>1.06E-3</v>
      </c>
      <c r="N38" s="56">
        <v>0</v>
      </c>
      <c r="O38" s="56">
        <v>0</v>
      </c>
      <c r="P38" s="56">
        <f t="shared" si="0"/>
        <v>0</v>
      </c>
      <c r="Q38" s="55">
        <v>3.1800000000000001E-3</v>
      </c>
      <c r="R38" s="55">
        <v>1.06E-3</v>
      </c>
      <c r="S38" s="56">
        <v>0</v>
      </c>
      <c r="T38" s="54" t="s">
        <v>122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8">
        <v>5.6239999999999998E-2</v>
      </c>
      <c r="AA38" s="60">
        <v>0.11119999999999999</v>
      </c>
      <c r="AB38" s="58">
        <f t="shared" si="1"/>
        <v>7.3200000000000001E-2</v>
      </c>
      <c r="AC38" s="60">
        <f t="shared" si="2"/>
        <v>0.12816</v>
      </c>
      <c r="AD38" s="61">
        <v>0</v>
      </c>
      <c r="AE38" s="2"/>
      <c r="AF38" s="2"/>
      <c r="AG38" s="2"/>
    </row>
    <row r="39" spans="1:33" ht="13">
      <c r="A39" s="165"/>
      <c r="B39" s="76" t="s">
        <v>133</v>
      </c>
      <c r="C39" s="77">
        <v>652</v>
      </c>
      <c r="D39" s="55">
        <v>3.0699999999999998E-3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62">
        <v>6.13E-3</v>
      </c>
      <c r="L39" s="56">
        <v>0</v>
      </c>
      <c r="M39" s="56">
        <v>0</v>
      </c>
      <c r="N39" s="55">
        <v>3.0699999999999998E-3</v>
      </c>
      <c r="O39" s="62">
        <v>6.13E-3</v>
      </c>
      <c r="P39" s="55">
        <f t="shared" si="0"/>
        <v>3.0699999999999998E-3</v>
      </c>
      <c r="Q39" s="56">
        <v>0</v>
      </c>
      <c r="R39" s="56">
        <v>0</v>
      </c>
      <c r="S39" s="56">
        <v>0</v>
      </c>
      <c r="T39" s="54" t="s">
        <v>122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60">
        <v>0.13358999999999999</v>
      </c>
      <c r="AA39" s="65">
        <v>0.30370000000000003</v>
      </c>
      <c r="AB39" s="60">
        <f t="shared" si="1"/>
        <v>0.14892999999999998</v>
      </c>
      <c r="AC39" s="65">
        <f t="shared" si="2"/>
        <v>0.31904000000000005</v>
      </c>
      <c r="AD39" s="80">
        <v>6.13E-3</v>
      </c>
      <c r="AE39" s="2"/>
      <c r="AF39" s="2"/>
      <c r="AG39" s="2"/>
    </row>
    <row r="40" spans="1:33" ht="13">
      <c r="A40" s="165"/>
      <c r="B40" s="76" t="s">
        <v>134</v>
      </c>
      <c r="C40" s="77">
        <v>8944</v>
      </c>
      <c r="D40" s="56">
        <v>8.8999999999999995E-4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62">
        <v>5.8100000000000001E-3</v>
      </c>
      <c r="K40" s="55">
        <v>1.34E-3</v>
      </c>
      <c r="L40" s="56">
        <v>2.2000000000000001E-4</v>
      </c>
      <c r="M40" s="56">
        <v>0</v>
      </c>
      <c r="N40" s="56">
        <v>2.2000000000000001E-4</v>
      </c>
      <c r="O40" s="56">
        <v>6.7000000000000002E-4</v>
      </c>
      <c r="P40" s="56">
        <f t="shared" si="0"/>
        <v>2.2000000000000003E-4</v>
      </c>
      <c r="Q40" s="56">
        <v>2.2000000000000001E-4</v>
      </c>
      <c r="R40" s="55">
        <v>3.3500000000000001E-3</v>
      </c>
      <c r="S40" s="56">
        <v>0</v>
      </c>
      <c r="T40" s="54" t="s">
        <v>122</v>
      </c>
      <c r="U40" s="56">
        <v>0</v>
      </c>
      <c r="V40" s="56">
        <v>0</v>
      </c>
      <c r="W40" s="62">
        <v>9.1699999999999993E-3</v>
      </c>
      <c r="X40" s="55">
        <v>3.5799999999999998E-3</v>
      </c>
      <c r="Y40" s="56">
        <v>0</v>
      </c>
      <c r="Z40" s="58">
        <v>5.4960000000000002E-2</v>
      </c>
      <c r="AA40" s="58">
        <v>5.79E-2</v>
      </c>
      <c r="AB40" s="58">
        <f t="shared" si="1"/>
        <v>7.9979999999999996E-2</v>
      </c>
      <c r="AC40" s="58">
        <f t="shared" si="2"/>
        <v>8.2919999999999994E-2</v>
      </c>
      <c r="AD40" s="61">
        <v>6.7000000000000002E-4</v>
      </c>
      <c r="AE40" s="2"/>
      <c r="AF40" s="2"/>
      <c r="AG40" s="2"/>
    </row>
    <row r="41" spans="1:33" ht="13">
      <c r="A41" s="165"/>
      <c r="B41" s="76" t="s">
        <v>135</v>
      </c>
      <c r="C41" s="77">
        <v>10026</v>
      </c>
      <c r="D41" s="56">
        <v>8.0000000000000004E-4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5">
        <v>3.9899999999999996E-3</v>
      </c>
      <c r="K41" s="55">
        <v>2.3900000000000002E-3</v>
      </c>
      <c r="L41" s="56">
        <v>0</v>
      </c>
      <c r="M41" s="56">
        <v>0</v>
      </c>
      <c r="N41" s="56">
        <v>0</v>
      </c>
      <c r="O41" s="56">
        <v>0</v>
      </c>
      <c r="P41" s="56">
        <f t="shared" si="0"/>
        <v>0</v>
      </c>
      <c r="Q41" s="55">
        <v>1.1999999999999999E-3</v>
      </c>
      <c r="R41" s="56">
        <v>0</v>
      </c>
      <c r="S41" s="55">
        <v>1.1999999999999999E-3</v>
      </c>
      <c r="T41" s="54" t="s">
        <v>122</v>
      </c>
      <c r="U41" s="56">
        <v>0</v>
      </c>
      <c r="V41" s="56">
        <v>0</v>
      </c>
      <c r="W41" s="62">
        <v>7.9799999999999992E-3</v>
      </c>
      <c r="X41" s="62">
        <v>5.7800000000000004E-3</v>
      </c>
      <c r="Y41" s="56">
        <v>0</v>
      </c>
      <c r="Z41" s="58">
        <v>5.8810000000000001E-2</v>
      </c>
      <c r="AA41" s="58">
        <v>6.1400000000000003E-2</v>
      </c>
      <c r="AB41" s="58">
        <f t="shared" si="1"/>
        <v>8.2150000000000001E-2</v>
      </c>
      <c r="AC41" s="58">
        <f t="shared" si="2"/>
        <v>8.474000000000001E-2</v>
      </c>
      <c r="AD41" s="61">
        <v>0</v>
      </c>
      <c r="AE41" s="2"/>
      <c r="AF41" s="2"/>
      <c r="AG41" s="2"/>
    </row>
    <row r="42" spans="1:33" ht="13">
      <c r="A42" s="165"/>
      <c r="B42" s="76" t="s">
        <v>136</v>
      </c>
      <c r="C42" s="77">
        <v>3290</v>
      </c>
      <c r="D42" s="64">
        <v>1.9449999999999999E-2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6.0999999999999997E-4</v>
      </c>
      <c r="N42" s="56">
        <v>0</v>
      </c>
      <c r="O42" s="56">
        <v>6.0999999999999997E-4</v>
      </c>
      <c r="P42" s="56">
        <f t="shared" si="0"/>
        <v>0</v>
      </c>
      <c r="Q42" s="56">
        <v>6.0999999999999997E-4</v>
      </c>
      <c r="R42" s="55">
        <v>3.0400000000000002E-3</v>
      </c>
      <c r="S42" s="56">
        <v>0</v>
      </c>
      <c r="T42" s="54" t="s">
        <v>122</v>
      </c>
      <c r="U42" s="56">
        <v>0</v>
      </c>
      <c r="V42" s="56">
        <v>0</v>
      </c>
      <c r="W42" s="55">
        <v>1.2199999999999999E-3</v>
      </c>
      <c r="X42" s="56">
        <v>6.0999999999999997E-4</v>
      </c>
      <c r="Y42" s="55">
        <v>3.0400000000000002E-3</v>
      </c>
      <c r="Z42" s="60">
        <v>0.10006</v>
      </c>
      <c r="AA42" s="60">
        <v>0.1143</v>
      </c>
      <c r="AB42" s="60">
        <f t="shared" si="1"/>
        <v>0.12864</v>
      </c>
      <c r="AC42" s="60">
        <f t="shared" si="2"/>
        <v>0.14288000000000001</v>
      </c>
      <c r="AD42" s="61">
        <v>6.0999999999999997E-4</v>
      </c>
      <c r="AE42" s="2"/>
      <c r="AF42" s="2"/>
      <c r="AG42" s="2"/>
    </row>
    <row r="43" spans="1:33" ht="13">
      <c r="A43" s="165"/>
      <c r="B43" s="76" t="s">
        <v>137</v>
      </c>
      <c r="C43" s="77">
        <v>6120</v>
      </c>
      <c r="D43" s="55">
        <v>1.31E-3</v>
      </c>
      <c r="E43" s="56">
        <v>0</v>
      </c>
      <c r="F43" s="56">
        <v>0</v>
      </c>
      <c r="G43" s="56">
        <v>0</v>
      </c>
      <c r="H43" s="56">
        <v>9.7999999999999997E-4</v>
      </c>
      <c r="I43" s="56">
        <v>0</v>
      </c>
      <c r="J43" s="56">
        <v>3.3E-4</v>
      </c>
      <c r="K43" s="56">
        <v>3.3E-4</v>
      </c>
      <c r="L43" s="56">
        <v>0</v>
      </c>
      <c r="M43" s="56">
        <v>3.3E-4</v>
      </c>
      <c r="N43" s="56">
        <v>3.3E-4</v>
      </c>
      <c r="O43" s="56">
        <v>6.4999999999999997E-4</v>
      </c>
      <c r="P43" s="56">
        <f t="shared" si="0"/>
        <v>3.3E-4</v>
      </c>
      <c r="Q43" s="56">
        <v>9.7999999999999997E-4</v>
      </c>
      <c r="R43" s="56">
        <v>0</v>
      </c>
      <c r="S43" s="56">
        <v>3.3E-4</v>
      </c>
      <c r="T43" s="54" t="s">
        <v>122</v>
      </c>
      <c r="U43" s="56">
        <v>0</v>
      </c>
      <c r="V43" s="56">
        <v>0</v>
      </c>
      <c r="W43" s="56">
        <v>0</v>
      </c>
      <c r="X43" s="56">
        <v>6.4999999999999997E-4</v>
      </c>
      <c r="Y43" s="56">
        <v>0</v>
      </c>
      <c r="Z43" s="64">
        <v>4.3589999999999997E-2</v>
      </c>
      <c r="AA43" s="58">
        <v>6.08E-2</v>
      </c>
      <c r="AB43" s="64">
        <f t="shared" si="1"/>
        <v>4.9489999999999992E-2</v>
      </c>
      <c r="AC43" s="58">
        <f t="shared" si="2"/>
        <v>6.6699999999999995E-2</v>
      </c>
      <c r="AD43" s="61">
        <v>6.4999999999999997E-4</v>
      </c>
      <c r="AE43" s="2"/>
      <c r="AF43" s="2"/>
      <c r="AG43" s="2"/>
    </row>
    <row r="44" spans="1:33" ht="12.5">
      <c r="A44" s="165"/>
      <c r="B44" s="76" t="s">
        <v>138</v>
      </c>
      <c r="C44" s="77">
        <v>15208</v>
      </c>
      <c r="D44" s="56">
        <v>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2.5999999999999998E-4</v>
      </c>
      <c r="L44" s="56">
        <v>0</v>
      </c>
      <c r="M44" s="56">
        <v>0</v>
      </c>
      <c r="N44" s="56">
        <v>0</v>
      </c>
      <c r="O44" s="56">
        <v>0</v>
      </c>
      <c r="P44" s="56">
        <f t="shared" si="0"/>
        <v>0</v>
      </c>
      <c r="Q44" s="56">
        <v>0</v>
      </c>
      <c r="R44" s="56">
        <v>0</v>
      </c>
      <c r="S44" s="56">
        <v>0</v>
      </c>
      <c r="T44" s="54" t="s">
        <v>122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  <c r="Z44" s="56">
        <v>9.3000000000000005E-4</v>
      </c>
      <c r="AA44" s="64">
        <v>1.37E-2</v>
      </c>
      <c r="AB44" s="55">
        <f t="shared" si="1"/>
        <v>1.1900000000000001E-3</v>
      </c>
      <c r="AC44" s="64">
        <f t="shared" si="2"/>
        <v>1.396E-2</v>
      </c>
      <c r="AD44" s="61">
        <v>0</v>
      </c>
      <c r="AE44" s="2"/>
      <c r="AF44" s="2"/>
      <c r="AG44" s="2"/>
    </row>
    <row r="45" spans="1:33" ht="13">
      <c r="A45" s="165"/>
      <c r="B45" s="76" t="s">
        <v>139</v>
      </c>
      <c r="C45" s="77">
        <v>8164</v>
      </c>
      <c r="D45" s="62">
        <v>9.7999999999999997E-3</v>
      </c>
      <c r="E45" s="55">
        <v>3.1800000000000001E-3</v>
      </c>
      <c r="F45" s="56">
        <v>9.7999999999999997E-4</v>
      </c>
      <c r="G45" s="55">
        <v>2.2000000000000001E-3</v>
      </c>
      <c r="H45" s="62">
        <v>7.1000000000000004E-3</v>
      </c>
      <c r="I45" s="62">
        <v>6.8599999999999998E-3</v>
      </c>
      <c r="J45" s="55">
        <v>3.1800000000000001E-3</v>
      </c>
      <c r="K45" s="55">
        <v>1.47E-3</v>
      </c>
      <c r="L45" s="56">
        <v>4.8999999999999998E-4</v>
      </c>
      <c r="M45" s="56">
        <v>0</v>
      </c>
      <c r="N45" s="55">
        <v>4.8999999999999998E-3</v>
      </c>
      <c r="O45" s="62">
        <v>9.3100000000000006E-3</v>
      </c>
      <c r="P45" s="55">
        <f t="shared" si="0"/>
        <v>3.680000000000001E-3</v>
      </c>
      <c r="Q45" s="56">
        <v>2.4000000000000001E-4</v>
      </c>
      <c r="R45" s="62">
        <v>7.8399999999999997E-3</v>
      </c>
      <c r="S45" s="64">
        <v>1.421E-2</v>
      </c>
      <c r="T45" s="54" t="s">
        <v>122</v>
      </c>
      <c r="U45" s="56">
        <v>0</v>
      </c>
      <c r="V45" s="64">
        <v>1.102E-2</v>
      </c>
      <c r="W45" s="55">
        <v>3.6700000000000001E-3</v>
      </c>
      <c r="X45" s="64">
        <v>1.7639999999999999E-2</v>
      </c>
      <c r="Y45" s="55">
        <v>2.6900000000000001E-3</v>
      </c>
      <c r="Z45" s="58">
        <v>8.1129999999999994E-2</v>
      </c>
      <c r="AA45" s="64">
        <v>3.7199999999999997E-2</v>
      </c>
      <c r="AB45" s="65">
        <f t="shared" si="1"/>
        <v>0.18228</v>
      </c>
      <c r="AC45" s="60">
        <f t="shared" si="2"/>
        <v>0.13835</v>
      </c>
      <c r="AD45" s="78">
        <v>1.0529999999999999E-2</v>
      </c>
      <c r="AE45" s="2"/>
      <c r="AF45" s="2"/>
      <c r="AG45" s="2"/>
    </row>
    <row r="46" spans="1:33" ht="13">
      <c r="A46" s="165"/>
      <c r="B46" s="76" t="s">
        <v>140</v>
      </c>
      <c r="C46" s="77">
        <v>6314</v>
      </c>
      <c r="D46" s="64">
        <v>2.597E-2</v>
      </c>
      <c r="E46" s="56">
        <v>0</v>
      </c>
      <c r="F46" s="56">
        <v>0</v>
      </c>
      <c r="G46" s="56">
        <v>0</v>
      </c>
      <c r="H46" s="64">
        <v>1.14E-2</v>
      </c>
      <c r="I46" s="56">
        <v>0</v>
      </c>
      <c r="J46" s="56">
        <v>3.2000000000000003E-4</v>
      </c>
      <c r="K46" s="55">
        <v>1.9E-3</v>
      </c>
      <c r="L46" s="56">
        <v>3.2000000000000003E-4</v>
      </c>
      <c r="M46" s="56">
        <v>0</v>
      </c>
      <c r="N46" s="62">
        <v>9.1900000000000003E-3</v>
      </c>
      <c r="O46" s="56">
        <v>3.2000000000000003E-4</v>
      </c>
      <c r="P46" s="56">
        <f t="shared" si="0"/>
        <v>3.2000000000000084E-4</v>
      </c>
      <c r="Q46" s="55">
        <v>3.1700000000000001E-3</v>
      </c>
      <c r="R46" s="64">
        <v>1.457E-2</v>
      </c>
      <c r="S46" s="56">
        <v>0</v>
      </c>
      <c r="T46" s="54" t="s">
        <v>122</v>
      </c>
      <c r="U46" s="55">
        <v>2.2200000000000002E-3</v>
      </c>
      <c r="V46" s="56">
        <v>0</v>
      </c>
      <c r="W46" s="56">
        <v>0</v>
      </c>
      <c r="X46" s="56">
        <v>9.5E-4</v>
      </c>
      <c r="Y46" s="55">
        <v>1.58E-3</v>
      </c>
      <c r="Z46" s="58">
        <v>5.704E-2</v>
      </c>
      <c r="AA46" s="64">
        <v>4.1799999999999997E-2</v>
      </c>
      <c r="AB46" s="60">
        <f t="shared" si="1"/>
        <v>0.12895000000000001</v>
      </c>
      <c r="AC46" s="60">
        <f t="shared" si="2"/>
        <v>0.11371000000000001</v>
      </c>
      <c r="AD46" s="80">
        <v>9.1900000000000003E-3</v>
      </c>
      <c r="AE46" s="2"/>
      <c r="AF46" s="2"/>
      <c r="AG46" s="2"/>
    </row>
    <row r="47" spans="1:33" ht="13">
      <c r="A47" s="165"/>
      <c r="B47" s="76" t="s">
        <v>141</v>
      </c>
      <c r="C47" s="77">
        <v>2542</v>
      </c>
      <c r="D47" s="64">
        <v>1.18E-2</v>
      </c>
      <c r="E47" s="56">
        <v>0</v>
      </c>
      <c r="F47" s="56">
        <v>0</v>
      </c>
      <c r="G47" s="56">
        <v>0</v>
      </c>
      <c r="H47" s="55">
        <v>3.15E-3</v>
      </c>
      <c r="I47" s="56">
        <v>0</v>
      </c>
      <c r="J47" s="56">
        <v>7.9000000000000001E-4</v>
      </c>
      <c r="K47" s="62">
        <v>6.2899999999999996E-3</v>
      </c>
      <c r="L47" s="56">
        <v>0</v>
      </c>
      <c r="M47" s="56">
        <v>0</v>
      </c>
      <c r="N47" s="56">
        <v>0</v>
      </c>
      <c r="O47" s="56">
        <v>0</v>
      </c>
      <c r="P47" s="56">
        <f t="shared" si="0"/>
        <v>0</v>
      </c>
      <c r="Q47" s="55">
        <v>2.3600000000000001E-3</v>
      </c>
      <c r="R47" s="56">
        <v>0</v>
      </c>
      <c r="S47" s="56">
        <v>0</v>
      </c>
      <c r="T47" s="54" t="s">
        <v>122</v>
      </c>
      <c r="U47" s="56">
        <v>0</v>
      </c>
      <c r="V47" s="56">
        <v>7.9000000000000001E-4</v>
      </c>
      <c r="W47" s="56">
        <v>0</v>
      </c>
      <c r="X47" s="56">
        <v>0</v>
      </c>
      <c r="Y47" s="55">
        <v>3.15E-3</v>
      </c>
      <c r="Z47" s="58">
        <v>7.442E-2</v>
      </c>
      <c r="AA47" s="58">
        <v>6.0600000000000001E-2</v>
      </c>
      <c r="AB47" s="60">
        <f t="shared" si="1"/>
        <v>0.10275000000000001</v>
      </c>
      <c r="AC47" s="58">
        <f t="shared" si="2"/>
        <v>8.8930000000000009E-2</v>
      </c>
      <c r="AD47" s="61">
        <v>0</v>
      </c>
      <c r="AE47" s="2"/>
      <c r="AF47" s="2"/>
      <c r="AG47" s="2"/>
    </row>
    <row r="48" spans="1:33" ht="13">
      <c r="A48" s="165"/>
      <c r="B48" s="76" t="s">
        <v>142</v>
      </c>
      <c r="C48" s="77">
        <v>2672</v>
      </c>
      <c r="D48" s="64">
        <v>2.9940000000000001E-2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5">
        <v>4.4900000000000001E-3</v>
      </c>
      <c r="L48" s="56">
        <v>0</v>
      </c>
      <c r="M48" s="56">
        <v>0</v>
      </c>
      <c r="N48" s="56">
        <v>0</v>
      </c>
      <c r="O48" s="56">
        <v>0</v>
      </c>
      <c r="P48" s="56">
        <f t="shared" si="0"/>
        <v>0</v>
      </c>
      <c r="Q48" s="56">
        <v>0</v>
      </c>
      <c r="R48" s="55">
        <v>2.2499999999999998E-3</v>
      </c>
      <c r="S48" s="56">
        <v>0</v>
      </c>
      <c r="T48" s="54" t="s">
        <v>122</v>
      </c>
      <c r="U48" s="56">
        <v>0</v>
      </c>
      <c r="V48" s="56">
        <v>0</v>
      </c>
      <c r="W48" s="56">
        <v>0</v>
      </c>
      <c r="X48" s="56">
        <v>0</v>
      </c>
      <c r="Y48" s="56">
        <v>7.5000000000000002E-4</v>
      </c>
      <c r="Z48" s="58">
        <v>0.08</v>
      </c>
      <c r="AA48" s="58">
        <v>7.0400000000000004E-2</v>
      </c>
      <c r="AB48" s="60">
        <f t="shared" si="1"/>
        <v>0.11743000000000001</v>
      </c>
      <c r="AC48" s="60">
        <f t="shared" si="2"/>
        <v>0.10783000000000001</v>
      </c>
      <c r="AD48" s="61">
        <v>0</v>
      </c>
      <c r="AE48" s="2"/>
      <c r="AF48" s="2"/>
      <c r="AG48" s="2"/>
    </row>
    <row r="49" spans="1:33" ht="13">
      <c r="A49" s="165"/>
      <c r="B49" s="76" t="s">
        <v>143</v>
      </c>
      <c r="C49" s="77">
        <v>10228</v>
      </c>
      <c r="D49" s="56">
        <v>7.7999999999999999E-4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5">
        <v>3.9100000000000003E-3</v>
      </c>
      <c r="K49" s="55">
        <v>1.9599999999999999E-3</v>
      </c>
      <c r="L49" s="56">
        <v>2.0000000000000001E-4</v>
      </c>
      <c r="M49" s="56">
        <v>0</v>
      </c>
      <c r="N49" s="56">
        <v>2.0000000000000001E-4</v>
      </c>
      <c r="O49" s="56">
        <v>3.8999999999999999E-4</v>
      </c>
      <c r="P49" s="56">
        <f t="shared" si="0"/>
        <v>2.0000000000000004E-4</v>
      </c>
      <c r="Q49" s="55">
        <v>1.7600000000000001E-3</v>
      </c>
      <c r="R49" s="56">
        <v>0</v>
      </c>
      <c r="S49" s="55">
        <v>1.17E-3</v>
      </c>
      <c r="T49" s="54" t="s">
        <v>122</v>
      </c>
      <c r="U49" s="56">
        <v>0</v>
      </c>
      <c r="V49" s="56">
        <v>0</v>
      </c>
      <c r="W49" s="62">
        <v>7.8200000000000006E-3</v>
      </c>
      <c r="X49" s="62">
        <v>5.0800000000000003E-3</v>
      </c>
      <c r="Y49" s="56">
        <v>0</v>
      </c>
      <c r="Z49" s="58">
        <v>6.3950000000000007E-2</v>
      </c>
      <c r="AA49" s="58">
        <v>6.6900000000000001E-2</v>
      </c>
      <c r="AB49" s="58">
        <f t="shared" si="1"/>
        <v>8.703000000000001E-2</v>
      </c>
      <c r="AC49" s="58">
        <f t="shared" si="2"/>
        <v>8.9980000000000004E-2</v>
      </c>
      <c r="AD49" s="61">
        <v>3.8999999999999999E-4</v>
      </c>
      <c r="AE49" s="2"/>
      <c r="AF49" s="2"/>
      <c r="AG49" s="2"/>
    </row>
    <row r="50" spans="1:33" ht="13">
      <c r="A50" s="165"/>
      <c r="B50" s="76" t="s">
        <v>144</v>
      </c>
      <c r="C50" s="77">
        <v>4312</v>
      </c>
      <c r="D50" s="64">
        <v>2.3650000000000001E-2</v>
      </c>
      <c r="E50" s="56">
        <v>0</v>
      </c>
      <c r="F50" s="56">
        <v>0</v>
      </c>
      <c r="G50" s="56">
        <v>0</v>
      </c>
      <c r="H50" s="64">
        <v>3.85E-2</v>
      </c>
      <c r="I50" s="56">
        <v>4.6000000000000001E-4</v>
      </c>
      <c r="J50" s="62">
        <v>9.7400000000000004E-3</v>
      </c>
      <c r="K50" s="62">
        <v>5.1000000000000004E-3</v>
      </c>
      <c r="L50" s="56">
        <v>0</v>
      </c>
      <c r="M50" s="56">
        <v>0</v>
      </c>
      <c r="N50" s="56">
        <v>0</v>
      </c>
      <c r="O50" s="56">
        <v>0</v>
      </c>
      <c r="P50" s="56">
        <f t="shared" si="0"/>
        <v>0</v>
      </c>
      <c r="Q50" s="56">
        <v>0</v>
      </c>
      <c r="R50" s="55">
        <v>1.8600000000000001E-3</v>
      </c>
      <c r="S50" s="56">
        <v>0</v>
      </c>
      <c r="T50" s="54" t="s">
        <v>122</v>
      </c>
      <c r="U50" s="56">
        <v>0</v>
      </c>
      <c r="V50" s="56">
        <v>0</v>
      </c>
      <c r="W50" s="56">
        <v>0</v>
      </c>
      <c r="X50" s="56">
        <v>0</v>
      </c>
      <c r="Y50" s="56">
        <v>4.6000000000000001E-4</v>
      </c>
      <c r="Z50" s="64">
        <v>2.0070000000000001E-2</v>
      </c>
      <c r="AA50" s="64">
        <v>4.87E-2</v>
      </c>
      <c r="AB50" s="58">
        <f t="shared" si="1"/>
        <v>9.9839999999999998E-2</v>
      </c>
      <c r="AC50" s="60">
        <f t="shared" si="2"/>
        <v>0.12847</v>
      </c>
      <c r="AD50" s="61">
        <v>0</v>
      </c>
      <c r="AE50" s="2"/>
      <c r="AF50" s="2"/>
      <c r="AG50" s="2"/>
    </row>
    <row r="51" spans="1:33" ht="13">
      <c r="A51" s="165"/>
      <c r="B51" s="76" t="s">
        <v>145</v>
      </c>
      <c r="C51" s="77">
        <v>3522</v>
      </c>
      <c r="D51" s="55">
        <v>2.8400000000000001E-3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5">
        <v>1.14E-3</v>
      </c>
      <c r="K51" s="55">
        <v>1.14E-3</v>
      </c>
      <c r="L51" s="56">
        <v>5.6999999999999998E-4</v>
      </c>
      <c r="M51" s="56">
        <v>0</v>
      </c>
      <c r="N51" s="56">
        <v>5.6999999999999998E-4</v>
      </c>
      <c r="O51" s="55">
        <v>1.14E-3</v>
      </c>
      <c r="P51" s="56">
        <f t="shared" si="0"/>
        <v>5.6999999999999998E-4</v>
      </c>
      <c r="Q51" s="56">
        <v>0</v>
      </c>
      <c r="R51" s="56">
        <v>0</v>
      </c>
      <c r="S51" s="56">
        <v>0</v>
      </c>
      <c r="T51" s="54" t="s">
        <v>122</v>
      </c>
      <c r="U51" s="56">
        <v>0</v>
      </c>
      <c r="V51" s="56">
        <v>0</v>
      </c>
      <c r="W51" s="62">
        <v>6.8100000000000001E-3</v>
      </c>
      <c r="X51" s="56">
        <v>5.6999999999999998E-4</v>
      </c>
      <c r="Y51" s="56">
        <v>5.6999999999999998E-4</v>
      </c>
      <c r="Z51" s="64">
        <v>4.709E-2</v>
      </c>
      <c r="AA51" s="58">
        <v>8.0600000000000005E-2</v>
      </c>
      <c r="AB51" s="58">
        <f t="shared" si="1"/>
        <v>6.1869999999999994E-2</v>
      </c>
      <c r="AC51" s="58">
        <f t="shared" si="2"/>
        <v>9.5380000000000006E-2</v>
      </c>
      <c r="AD51" s="63">
        <v>1.14E-3</v>
      </c>
      <c r="AE51" s="2"/>
      <c r="AF51" s="2"/>
      <c r="AG51" s="2"/>
    </row>
    <row r="52" spans="1:33" ht="13">
      <c r="A52" s="166"/>
      <c r="B52" s="79" t="s">
        <v>146</v>
      </c>
      <c r="C52" s="77">
        <v>13776</v>
      </c>
      <c r="D52" s="56">
        <v>7.2999999999999996E-4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5">
        <v>2.8999999999999998E-3</v>
      </c>
      <c r="K52" s="55">
        <v>1.74E-3</v>
      </c>
      <c r="L52" s="56">
        <v>1.4999999999999999E-4</v>
      </c>
      <c r="M52" s="56">
        <v>0</v>
      </c>
      <c r="N52" s="56">
        <v>1.4999999999999999E-4</v>
      </c>
      <c r="O52" s="56">
        <v>0</v>
      </c>
      <c r="P52" s="56">
        <f t="shared" si="0"/>
        <v>0</v>
      </c>
      <c r="Q52" s="55">
        <v>1.74E-3</v>
      </c>
      <c r="R52" s="56">
        <v>0</v>
      </c>
      <c r="S52" s="56">
        <v>8.7000000000000001E-4</v>
      </c>
      <c r="T52" s="54" t="s">
        <v>122</v>
      </c>
      <c r="U52" s="56">
        <v>0</v>
      </c>
      <c r="V52" s="56">
        <v>0</v>
      </c>
      <c r="W52" s="62">
        <v>6.8199999999999997E-3</v>
      </c>
      <c r="X52" s="62">
        <v>5.3699999999999998E-3</v>
      </c>
      <c r="Y52" s="55">
        <v>1.0200000000000001E-3</v>
      </c>
      <c r="Z52" s="58">
        <v>6.6729999999999998E-2</v>
      </c>
      <c r="AA52" s="64">
        <v>4.9799999999999997E-2</v>
      </c>
      <c r="AB52" s="58">
        <f t="shared" si="1"/>
        <v>8.8219999999999993E-2</v>
      </c>
      <c r="AC52" s="58">
        <f t="shared" si="2"/>
        <v>7.1289999999999992E-2</v>
      </c>
      <c r="AD52" s="61">
        <v>1.4999999999999999E-4</v>
      </c>
      <c r="AE52" s="2"/>
      <c r="AF52" s="2"/>
      <c r="AG52" s="2"/>
    </row>
    <row r="53" spans="1:33" ht="13">
      <c r="A53" s="169" t="s">
        <v>147</v>
      </c>
      <c r="B53" s="72" t="s">
        <v>148</v>
      </c>
      <c r="C53" s="73">
        <v>80278</v>
      </c>
      <c r="D53" s="46">
        <v>3.0400000000000002E-3</v>
      </c>
      <c r="E53" s="46">
        <v>1.42E-3</v>
      </c>
      <c r="F53" s="45">
        <v>6.2E-4</v>
      </c>
      <c r="G53" s="46">
        <v>1.0499999999999999E-3</v>
      </c>
      <c r="H53" s="45">
        <v>5.0000000000000001E-4</v>
      </c>
      <c r="I53" s="46">
        <v>1.3699999999999999E-3</v>
      </c>
      <c r="J53" s="46">
        <v>1.5399999999999999E-3</v>
      </c>
      <c r="K53" s="46">
        <v>1.82E-3</v>
      </c>
      <c r="L53" s="45">
        <v>2.2000000000000001E-4</v>
      </c>
      <c r="M53" s="45">
        <v>6.2E-4</v>
      </c>
      <c r="N53" s="45">
        <v>5.1999999999999995E-4</v>
      </c>
      <c r="O53" s="45">
        <v>4.2000000000000002E-4</v>
      </c>
      <c r="P53" s="45">
        <f t="shared" si="0"/>
        <v>6.9999999999999967E-5</v>
      </c>
      <c r="Q53" s="46">
        <v>1.1199999999999999E-3</v>
      </c>
      <c r="R53" s="45">
        <v>8.1999999999999998E-4</v>
      </c>
      <c r="S53" s="45">
        <v>6.9999999999999999E-4</v>
      </c>
      <c r="T53" s="43" t="s">
        <v>122</v>
      </c>
      <c r="U53" s="45">
        <v>2.0000000000000002E-5</v>
      </c>
      <c r="V53" s="45">
        <v>6.9999999999999994E-5</v>
      </c>
      <c r="W53" s="44">
        <v>5.0800000000000003E-3</v>
      </c>
      <c r="X53" s="48">
        <v>1.719E-2</v>
      </c>
      <c r="Y53" s="46">
        <v>2.6199999999999999E-3</v>
      </c>
      <c r="Z53" s="51">
        <v>0.13633000000000001</v>
      </c>
      <c r="AA53" s="51">
        <v>0.1198</v>
      </c>
      <c r="AB53" s="74">
        <f t="shared" si="1"/>
        <v>0.17674000000000001</v>
      </c>
      <c r="AC53" s="74">
        <f t="shared" si="2"/>
        <v>0.16021000000000002</v>
      </c>
      <c r="AD53" s="52">
        <v>8.7000000000000001E-4</v>
      </c>
      <c r="AE53" s="83"/>
      <c r="AF53" s="2"/>
      <c r="AG53" s="2"/>
    </row>
    <row r="54" spans="1:33" ht="13">
      <c r="A54" s="165"/>
      <c r="B54" s="76" t="s">
        <v>149</v>
      </c>
      <c r="C54" s="77">
        <v>94838</v>
      </c>
      <c r="D54" s="55">
        <v>2.5699999999999998E-3</v>
      </c>
      <c r="E54" s="55">
        <v>1.1999999999999999E-3</v>
      </c>
      <c r="F54" s="56">
        <v>5.2999999999999998E-4</v>
      </c>
      <c r="G54" s="56">
        <v>8.8999999999999995E-4</v>
      </c>
      <c r="H54" s="56">
        <v>4.2000000000000002E-4</v>
      </c>
      <c r="I54" s="55">
        <v>1.16E-3</v>
      </c>
      <c r="J54" s="55">
        <v>1.3699999999999999E-3</v>
      </c>
      <c r="K54" s="55">
        <v>1.6000000000000001E-3</v>
      </c>
      <c r="L54" s="56">
        <v>2.7E-4</v>
      </c>
      <c r="M54" s="56">
        <v>5.2999999999999998E-4</v>
      </c>
      <c r="N54" s="56">
        <v>5.6999999999999998E-4</v>
      </c>
      <c r="O54" s="56">
        <v>6.0999999999999997E-4</v>
      </c>
      <c r="P54" s="56">
        <f t="shared" si="0"/>
        <v>1.9000000000000006E-4</v>
      </c>
      <c r="Q54" s="55">
        <v>2.7799999999999999E-3</v>
      </c>
      <c r="R54" s="56">
        <v>6.9999999999999999E-4</v>
      </c>
      <c r="S54" s="56">
        <v>5.9000000000000003E-4</v>
      </c>
      <c r="T54" s="54" t="s">
        <v>122</v>
      </c>
      <c r="U54" s="56">
        <v>2.0000000000000002E-5</v>
      </c>
      <c r="V54" s="56">
        <v>6.0000000000000002E-5</v>
      </c>
      <c r="W54" s="62">
        <v>5.0200000000000002E-3</v>
      </c>
      <c r="X54" s="64">
        <v>2.4629999999999999E-2</v>
      </c>
      <c r="Y54" s="55">
        <v>2.9299999999999999E-3</v>
      </c>
      <c r="Z54" s="60">
        <v>0.13367000000000001</v>
      </c>
      <c r="AA54" s="60">
        <v>0.1069</v>
      </c>
      <c r="AB54" s="65">
        <f t="shared" si="1"/>
        <v>0.1817</v>
      </c>
      <c r="AC54" s="65">
        <f t="shared" si="2"/>
        <v>0.15492999999999998</v>
      </c>
      <c r="AD54" s="61">
        <v>9.8999999999999999E-4</v>
      </c>
      <c r="AE54" s="83"/>
      <c r="AF54" s="2"/>
      <c r="AG54" s="2"/>
    </row>
    <row r="55" spans="1:33" ht="13">
      <c r="A55" s="165"/>
      <c r="B55" s="76" t="s">
        <v>150</v>
      </c>
      <c r="C55" s="77">
        <v>87132</v>
      </c>
      <c r="D55" s="55">
        <v>2.8E-3</v>
      </c>
      <c r="E55" s="55">
        <v>1.31E-3</v>
      </c>
      <c r="F55" s="56">
        <v>5.6999999999999998E-4</v>
      </c>
      <c r="G55" s="56">
        <v>9.6000000000000002E-4</v>
      </c>
      <c r="H55" s="56">
        <v>4.6000000000000001E-4</v>
      </c>
      <c r="I55" s="55">
        <v>1.2600000000000001E-3</v>
      </c>
      <c r="J55" s="55">
        <v>1.65E-3</v>
      </c>
      <c r="K55" s="55">
        <v>1.8799999999999999E-3</v>
      </c>
      <c r="L55" s="56">
        <v>2.3000000000000001E-4</v>
      </c>
      <c r="M55" s="56">
        <v>5.9999999999999995E-4</v>
      </c>
      <c r="N55" s="56">
        <v>5.0000000000000001E-4</v>
      </c>
      <c r="O55" s="56">
        <v>3.8999999999999999E-4</v>
      </c>
      <c r="P55" s="56">
        <f t="shared" si="0"/>
        <v>5.9999999999999941E-5</v>
      </c>
      <c r="Q55" s="55">
        <v>1.24E-3</v>
      </c>
      <c r="R55" s="56">
        <v>7.6000000000000004E-4</v>
      </c>
      <c r="S55" s="56">
        <v>6.4000000000000005E-4</v>
      </c>
      <c r="T55" s="54" t="s">
        <v>122</v>
      </c>
      <c r="U55" s="56">
        <v>2.0000000000000002E-5</v>
      </c>
      <c r="V55" s="56">
        <v>6.9999999999999994E-5</v>
      </c>
      <c r="W55" s="55">
        <v>4.8399999999999997E-3</v>
      </c>
      <c r="X55" s="64">
        <v>2.0199999999999999E-2</v>
      </c>
      <c r="Y55" s="55">
        <v>2.5500000000000002E-3</v>
      </c>
      <c r="Z55" s="60">
        <v>0.13349</v>
      </c>
      <c r="AA55" s="60">
        <v>0.1173</v>
      </c>
      <c r="AB55" s="65">
        <f t="shared" si="1"/>
        <v>0.17609</v>
      </c>
      <c r="AC55" s="65">
        <f t="shared" si="2"/>
        <v>0.15989999999999999</v>
      </c>
      <c r="AD55" s="61">
        <v>8.3000000000000001E-4</v>
      </c>
      <c r="AE55" s="83"/>
      <c r="AF55" s="2"/>
      <c r="AG55" s="2"/>
    </row>
    <row r="56" spans="1:33" ht="13">
      <c r="A56" s="166"/>
      <c r="B56" s="79" t="s">
        <v>151</v>
      </c>
      <c r="C56" s="77">
        <v>80950</v>
      </c>
      <c r="D56" s="55">
        <v>2.99E-3</v>
      </c>
      <c r="E56" s="55">
        <v>1.41E-3</v>
      </c>
      <c r="F56" s="56">
        <v>6.2E-4</v>
      </c>
      <c r="G56" s="55">
        <v>1.0399999999999999E-3</v>
      </c>
      <c r="H56" s="56">
        <v>4.8999999999999998E-4</v>
      </c>
      <c r="I56" s="55">
        <v>1.3600000000000001E-3</v>
      </c>
      <c r="J56" s="55">
        <v>1.58E-3</v>
      </c>
      <c r="K56" s="55">
        <v>1.8799999999999999E-3</v>
      </c>
      <c r="L56" s="56">
        <v>2.5000000000000001E-4</v>
      </c>
      <c r="M56" s="56">
        <v>5.9000000000000003E-4</v>
      </c>
      <c r="N56" s="56">
        <v>5.1999999999999995E-4</v>
      </c>
      <c r="O56" s="56">
        <v>4.4000000000000002E-4</v>
      </c>
      <c r="P56" s="56">
        <f t="shared" si="0"/>
        <v>9.9999999999999937E-5</v>
      </c>
      <c r="Q56" s="55">
        <v>1.14E-3</v>
      </c>
      <c r="R56" s="56">
        <v>6.7000000000000002E-4</v>
      </c>
      <c r="S56" s="56">
        <v>6.7000000000000002E-4</v>
      </c>
      <c r="T56" s="54" t="s">
        <v>122</v>
      </c>
      <c r="U56" s="56">
        <v>2.0000000000000002E-5</v>
      </c>
      <c r="V56" s="56">
        <v>6.9999999999999994E-5</v>
      </c>
      <c r="W56" s="55">
        <v>4.3200000000000001E-3</v>
      </c>
      <c r="X56" s="64">
        <v>1.9740000000000001E-2</v>
      </c>
      <c r="Y56" s="55">
        <v>1.9300000000000001E-3</v>
      </c>
      <c r="Z56" s="60">
        <v>0.13414000000000001</v>
      </c>
      <c r="AA56" s="60">
        <v>0.121</v>
      </c>
      <c r="AB56" s="65">
        <f t="shared" si="1"/>
        <v>0.17553000000000002</v>
      </c>
      <c r="AC56" s="65">
        <f t="shared" si="2"/>
        <v>0.16239000000000001</v>
      </c>
      <c r="AD56" s="61">
        <v>8.5999999999999998E-4</v>
      </c>
      <c r="AE56" s="83"/>
      <c r="AF56" s="2"/>
      <c r="AG56" s="2"/>
    </row>
    <row r="57" spans="1:33" ht="13">
      <c r="A57" s="171" t="s">
        <v>152</v>
      </c>
      <c r="B57" s="42" t="s">
        <v>153</v>
      </c>
      <c r="C57" s="73">
        <v>338824</v>
      </c>
      <c r="D57" s="44">
        <v>8.5199999999999998E-3</v>
      </c>
      <c r="E57" s="46">
        <v>3.81E-3</v>
      </c>
      <c r="F57" s="45">
        <v>1.0000000000000001E-5</v>
      </c>
      <c r="G57" s="45">
        <v>6.0000000000000002E-5</v>
      </c>
      <c r="H57" s="46">
        <v>3.3600000000000001E-3</v>
      </c>
      <c r="I57" s="46">
        <v>1.3600000000000001E-3</v>
      </c>
      <c r="J57" s="46">
        <v>1.82E-3</v>
      </c>
      <c r="K57" s="46">
        <v>2.99E-3</v>
      </c>
      <c r="L57" s="45">
        <v>5.9999999999999995E-4</v>
      </c>
      <c r="M57" s="45">
        <v>4.8999999999999998E-4</v>
      </c>
      <c r="N57" s="46">
        <v>1.6000000000000001E-3</v>
      </c>
      <c r="O57" s="46">
        <v>1.7600000000000001E-3</v>
      </c>
      <c r="P57" s="45">
        <f t="shared" si="0"/>
        <v>9.7999999999999997E-4</v>
      </c>
      <c r="Q57" s="46">
        <v>3.1800000000000001E-3</v>
      </c>
      <c r="R57" s="46">
        <v>1.6800000000000001E-3</v>
      </c>
      <c r="S57" s="46">
        <v>4.2900000000000004E-3</v>
      </c>
      <c r="T57" s="43" t="s">
        <v>122</v>
      </c>
      <c r="U57" s="45">
        <v>2.4000000000000001E-4</v>
      </c>
      <c r="V57" s="45">
        <v>1.4999999999999999E-4</v>
      </c>
      <c r="W57" s="49">
        <v>5.1810000000000002E-2</v>
      </c>
      <c r="X57" s="48">
        <v>2.384E-2</v>
      </c>
      <c r="Y57" s="48">
        <v>1.7989999999999999E-2</v>
      </c>
      <c r="Z57" s="51">
        <v>0.10972</v>
      </c>
      <c r="AA57" s="49">
        <v>5.62E-2</v>
      </c>
      <c r="AB57" s="74">
        <f t="shared" si="1"/>
        <v>0.23849999999999999</v>
      </c>
      <c r="AC57" s="74">
        <f t="shared" si="2"/>
        <v>0.18498000000000001</v>
      </c>
      <c r="AD57" s="82">
        <v>2.3800000000000002E-3</v>
      </c>
      <c r="AE57" s="83"/>
      <c r="AF57" s="2"/>
      <c r="AG57" s="2"/>
    </row>
    <row r="58" spans="1:33" ht="13">
      <c r="A58" s="165"/>
      <c r="B58" s="53" t="s">
        <v>154</v>
      </c>
      <c r="C58" s="77">
        <v>948178</v>
      </c>
      <c r="D58" s="64">
        <v>1.159E-2</v>
      </c>
      <c r="E58" s="55">
        <v>4.4400000000000004E-3</v>
      </c>
      <c r="F58" s="56">
        <v>9.0000000000000006E-5</v>
      </c>
      <c r="G58" s="56">
        <v>1.2999999999999999E-4</v>
      </c>
      <c r="H58" s="62">
        <v>6.1000000000000004E-3</v>
      </c>
      <c r="I58" s="55">
        <v>2.3700000000000001E-3</v>
      </c>
      <c r="J58" s="55">
        <v>2.64E-3</v>
      </c>
      <c r="K58" s="55">
        <v>3.5799999999999998E-3</v>
      </c>
      <c r="L58" s="56">
        <v>3.4000000000000002E-4</v>
      </c>
      <c r="M58" s="56">
        <v>2.7999999999999998E-4</v>
      </c>
      <c r="N58" s="55">
        <v>2.9199999999999999E-3</v>
      </c>
      <c r="O58" s="55">
        <v>3.4099999999999998E-3</v>
      </c>
      <c r="P58" s="55">
        <f t="shared" si="0"/>
        <v>1.6299999999999995E-3</v>
      </c>
      <c r="Q58" s="55">
        <v>2.2899999999999999E-3</v>
      </c>
      <c r="R58" s="55">
        <v>2.5999999999999999E-3</v>
      </c>
      <c r="S58" s="55">
        <v>3.4299999999999999E-3</v>
      </c>
      <c r="T58" s="54" t="s">
        <v>122</v>
      </c>
      <c r="U58" s="56">
        <v>3.1E-4</v>
      </c>
      <c r="V58" s="56">
        <v>2.5000000000000001E-4</v>
      </c>
      <c r="W58" s="64">
        <v>3.7909999999999999E-2</v>
      </c>
      <c r="X58" s="64">
        <v>1.865E-2</v>
      </c>
      <c r="Y58" s="64">
        <v>1.41E-2</v>
      </c>
      <c r="Z58" s="60">
        <v>0.10255</v>
      </c>
      <c r="AA58" s="64">
        <v>4.2999999999999997E-2</v>
      </c>
      <c r="AB58" s="65">
        <f t="shared" si="1"/>
        <v>0.21820000000000001</v>
      </c>
      <c r="AC58" s="65">
        <f t="shared" si="2"/>
        <v>0.15865000000000001</v>
      </c>
      <c r="AD58" s="63">
        <v>4.7000000000000002E-3</v>
      </c>
      <c r="AE58" s="83"/>
      <c r="AF58" s="2"/>
      <c r="AG58" s="2"/>
    </row>
    <row r="59" spans="1:33" ht="13">
      <c r="A59" s="165"/>
      <c r="B59" s="53" t="s">
        <v>155</v>
      </c>
      <c r="C59" s="77">
        <v>43434</v>
      </c>
      <c r="D59" s="64">
        <v>1.865E-2</v>
      </c>
      <c r="E59" s="55">
        <v>4.5999999999999999E-3</v>
      </c>
      <c r="F59" s="56">
        <v>5.9999999999999995E-4</v>
      </c>
      <c r="G59" s="56">
        <v>0</v>
      </c>
      <c r="H59" s="62">
        <v>8.2400000000000008E-3</v>
      </c>
      <c r="I59" s="55">
        <v>1.1100000000000001E-3</v>
      </c>
      <c r="J59" s="55">
        <v>1.8400000000000001E-3</v>
      </c>
      <c r="K59" s="55">
        <v>2.3500000000000001E-3</v>
      </c>
      <c r="L59" s="56">
        <v>3.6999999999999999E-4</v>
      </c>
      <c r="M59" s="56">
        <v>1.8000000000000001E-4</v>
      </c>
      <c r="N59" s="55">
        <v>1.2899999999999999E-3</v>
      </c>
      <c r="O59" s="56">
        <v>7.7999999999999999E-4</v>
      </c>
      <c r="P59" s="56">
        <f t="shared" si="0"/>
        <v>5.9999999999999984E-4</v>
      </c>
      <c r="Q59" s="55">
        <v>4.8799999999999998E-3</v>
      </c>
      <c r="R59" s="55">
        <v>1.15E-3</v>
      </c>
      <c r="S59" s="55">
        <v>2.3900000000000002E-3</v>
      </c>
      <c r="T59" s="54" t="s">
        <v>122</v>
      </c>
      <c r="U59" s="56">
        <v>1.3999999999999999E-4</v>
      </c>
      <c r="V59" s="56">
        <v>0</v>
      </c>
      <c r="W59" s="64">
        <v>1.3310000000000001E-2</v>
      </c>
      <c r="X59" s="64">
        <v>3.09E-2</v>
      </c>
      <c r="Y59" s="64">
        <v>1.414E-2</v>
      </c>
      <c r="Z59" s="60">
        <v>0.13894999999999999</v>
      </c>
      <c r="AA59" s="58">
        <v>5.7500000000000002E-2</v>
      </c>
      <c r="AB59" s="65">
        <f t="shared" si="1"/>
        <v>0.24569000000000002</v>
      </c>
      <c r="AC59" s="65">
        <f t="shared" si="2"/>
        <v>0.16424000000000002</v>
      </c>
      <c r="AD59" s="63">
        <v>1.47E-3</v>
      </c>
      <c r="AE59" s="83"/>
      <c r="AF59" s="2"/>
      <c r="AG59" s="2"/>
    </row>
    <row r="60" spans="1:33" ht="13">
      <c r="A60" s="166"/>
      <c r="B60" s="67" t="s">
        <v>156</v>
      </c>
      <c r="C60" s="77">
        <v>76246</v>
      </c>
      <c r="D60" s="64">
        <v>1.537E-2</v>
      </c>
      <c r="E60" s="55">
        <v>3.2000000000000002E-3</v>
      </c>
      <c r="F60" s="56">
        <v>5.1999999999999995E-4</v>
      </c>
      <c r="G60" s="56">
        <v>0</v>
      </c>
      <c r="H60" s="62">
        <v>5.9300000000000004E-3</v>
      </c>
      <c r="I60" s="56">
        <v>8.7000000000000001E-4</v>
      </c>
      <c r="J60" s="55">
        <v>1.2099999999999999E-3</v>
      </c>
      <c r="K60" s="55">
        <v>2.0500000000000002E-3</v>
      </c>
      <c r="L60" s="56">
        <v>3.6999999999999999E-4</v>
      </c>
      <c r="M60" s="56">
        <v>1.6000000000000001E-4</v>
      </c>
      <c r="N60" s="55">
        <v>1E-3</v>
      </c>
      <c r="O60" s="56">
        <v>7.2999999999999996E-4</v>
      </c>
      <c r="P60" s="56">
        <f t="shared" si="0"/>
        <v>5.8E-4</v>
      </c>
      <c r="Q60" s="55">
        <v>4.2500000000000003E-3</v>
      </c>
      <c r="R60" s="55">
        <v>1.1000000000000001E-3</v>
      </c>
      <c r="S60" s="55">
        <v>1.5E-3</v>
      </c>
      <c r="T60" s="54" t="s">
        <v>122</v>
      </c>
      <c r="U60" s="56">
        <v>1.8000000000000001E-4</v>
      </c>
      <c r="V60" s="56">
        <v>0</v>
      </c>
      <c r="W60" s="64">
        <v>1.2930000000000001E-2</v>
      </c>
      <c r="X60" s="64">
        <v>3.9109999999999999E-2</v>
      </c>
      <c r="Y60" s="64">
        <v>1.338E-2</v>
      </c>
      <c r="Z60" s="60">
        <v>0.13186999999999999</v>
      </c>
      <c r="AA60" s="58">
        <v>5.1900000000000002E-2</v>
      </c>
      <c r="AB60" s="65">
        <f t="shared" si="1"/>
        <v>0.23557999999999998</v>
      </c>
      <c r="AC60" s="65">
        <f t="shared" si="2"/>
        <v>0.15561</v>
      </c>
      <c r="AD60" s="63">
        <v>1.15E-3</v>
      </c>
      <c r="AE60" s="83"/>
      <c r="AF60" s="2"/>
      <c r="AG60" s="2"/>
    </row>
    <row r="61" spans="1:33" ht="13">
      <c r="A61" s="84"/>
      <c r="B61" s="72" t="s">
        <v>157</v>
      </c>
      <c r="C61" s="73">
        <v>135738</v>
      </c>
      <c r="D61" s="46">
        <v>2.9499999999999999E-3</v>
      </c>
      <c r="E61" s="46">
        <v>1.2700000000000001E-3</v>
      </c>
      <c r="F61" s="45">
        <v>0</v>
      </c>
      <c r="G61" s="45">
        <v>2.2000000000000001E-4</v>
      </c>
      <c r="H61" s="46">
        <v>1E-3</v>
      </c>
      <c r="I61" s="45">
        <v>6.8999999999999997E-4</v>
      </c>
      <c r="J61" s="45">
        <v>7.5000000000000002E-4</v>
      </c>
      <c r="K61" s="46">
        <v>2.4499999999999999E-3</v>
      </c>
      <c r="L61" s="46">
        <v>1.1900000000000001E-3</v>
      </c>
      <c r="M61" s="45">
        <v>8.8000000000000003E-4</v>
      </c>
      <c r="N61" s="45">
        <v>3.8000000000000002E-4</v>
      </c>
      <c r="O61" s="45">
        <v>3.0000000000000001E-5</v>
      </c>
      <c r="P61" s="45">
        <f t="shared" si="0"/>
        <v>1.0000000000000026E-5</v>
      </c>
      <c r="Q61" s="46">
        <v>3.2000000000000002E-3</v>
      </c>
      <c r="R61" s="45">
        <v>3.6999999999999999E-4</v>
      </c>
      <c r="S61" s="46">
        <v>3.7000000000000002E-3</v>
      </c>
      <c r="T61" s="43" t="s">
        <v>122</v>
      </c>
      <c r="U61" s="45">
        <v>3.0000000000000001E-5</v>
      </c>
      <c r="V61" s="45">
        <v>8.4999999999999995E-4</v>
      </c>
      <c r="W61" s="44">
        <v>6.0600000000000003E-3</v>
      </c>
      <c r="X61" s="48">
        <v>3.2750000000000001E-2</v>
      </c>
      <c r="Y61" s="46">
        <v>3.5200000000000001E-3</v>
      </c>
      <c r="Z61" s="51">
        <v>0.12637000000000001</v>
      </c>
      <c r="AA61" s="51">
        <v>0.108</v>
      </c>
      <c r="AB61" s="74">
        <f t="shared" si="1"/>
        <v>0.18864</v>
      </c>
      <c r="AC61" s="74">
        <f t="shared" si="2"/>
        <v>0.17027</v>
      </c>
      <c r="AD61" s="52">
        <v>4.0000000000000002E-4</v>
      </c>
      <c r="AE61" s="83"/>
      <c r="AF61" s="2"/>
      <c r="AG61" s="2"/>
    </row>
    <row r="62" spans="1:33" ht="13">
      <c r="A62" s="167" t="s">
        <v>158</v>
      </c>
      <c r="B62" s="85" t="s">
        <v>159</v>
      </c>
      <c r="C62" s="54">
        <v>117468</v>
      </c>
      <c r="D62" s="55">
        <v>3.4199999999999999E-3</v>
      </c>
      <c r="E62" s="56">
        <v>8.8999999999999995E-4</v>
      </c>
      <c r="F62" s="56">
        <v>9.0000000000000006E-5</v>
      </c>
      <c r="G62" s="55">
        <v>1.0399999999999999E-3</v>
      </c>
      <c r="H62" s="56">
        <v>5.9999999999999995E-4</v>
      </c>
      <c r="I62" s="55">
        <v>1.41E-3</v>
      </c>
      <c r="J62" s="55">
        <v>3.29E-3</v>
      </c>
      <c r="K62" s="55">
        <v>2.4199999999999998E-3</v>
      </c>
      <c r="L62" s="56">
        <v>7.6999999999999996E-4</v>
      </c>
      <c r="M62" s="56">
        <v>7.7999999999999999E-4</v>
      </c>
      <c r="N62" s="55">
        <v>1.0200000000000001E-3</v>
      </c>
      <c r="O62" s="56">
        <v>7.5000000000000002E-4</v>
      </c>
      <c r="P62" s="56">
        <f t="shared" si="0"/>
        <v>3.1000000000000016E-4</v>
      </c>
      <c r="Q62" s="55">
        <v>4.0699999999999998E-3</v>
      </c>
      <c r="R62" s="56">
        <v>4.4000000000000002E-4</v>
      </c>
      <c r="S62" s="56">
        <v>8.8999999999999995E-4</v>
      </c>
      <c r="T62" s="54" t="s">
        <v>122</v>
      </c>
      <c r="U62" s="56">
        <v>0</v>
      </c>
      <c r="V62" s="56">
        <v>1E-4</v>
      </c>
      <c r="W62" s="55">
        <v>1.48E-3</v>
      </c>
      <c r="X62" s="64">
        <v>1.345E-2</v>
      </c>
      <c r="Y62" s="55">
        <v>1E-3</v>
      </c>
      <c r="Z62" s="58">
        <v>5.067E-2</v>
      </c>
      <c r="AA62" s="64">
        <v>3.32E-2</v>
      </c>
      <c r="AB62" s="58">
        <f t="shared" si="1"/>
        <v>8.8139999999999996E-2</v>
      </c>
      <c r="AC62" s="58">
        <f t="shared" si="2"/>
        <v>7.0670000000000011E-2</v>
      </c>
      <c r="AD62" s="63">
        <v>1.4599999999999999E-3</v>
      </c>
      <c r="AE62" s="2"/>
      <c r="AF62" s="2"/>
      <c r="AG62" s="2"/>
    </row>
    <row r="63" spans="1:33" ht="13">
      <c r="A63" s="168"/>
      <c r="B63" s="86" t="s">
        <v>160</v>
      </c>
      <c r="C63" s="54">
        <v>68994</v>
      </c>
      <c r="D63" s="55">
        <v>3.5400000000000002E-3</v>
      </c>
      <c r="E63" s="55">
        <v>1.57E-3</v>
      </c>
      <c r="F63" s="56">
        <v>0</v>
      </c>
      <c r="G63" s="55">
        <v>1.57E-3</v>
      </c>
      <c r="H63" s="55">
        <v>1.5100000000000001E-3</v>
      </c>
      <c r="I63" s="55">
        <v>2.1199999999999999E-3</v>
      </c>
      <c r="J63" s="55">
        <v>3.9100000000000003E-3</v>
      </c>
      <c r="K63" s="55">
        <v>1.2199999999999999E-3</v>
      </c>
      <c r="L63" s="56">
        <v>2.9E-4</v>
      </c>
      <c r="M63" s="55">
        <v>1.1000000000000001E-3</v>
      </c>
      <c r="N63" s="56">
        <v>3.2000000000000003E-4</v>
      </c>
      <c r="O63" s="56">
        <v>1.2E-4</v>
      </c>
      <c r="P63" s="56">
        <f t="shared" si="0"/>
        <v>3.0000000000000024E-5</v>
      </c>
      <c r="Q63" s="62">
        <v>5.5399999999999998E-3</v>
      </c>
      <c r="R63" s="56">
        <v>5.1999999999999995E-4</v>
      </c>
      <c r="S63" s="55">
        <v>1.2199999999999999E-3</v>
      </c>
      <c r="T63" s="54" t="s">
        <v>122</v>
      </c>
      <c r="U63" s="56">
        <v>0</v>
      </c>
      <c r="V63" s="56">
        <v>1.7000000000000001E-4</v>
      </c>
      <c r="W63" s="56">
        <v>6.9999999999999999E-4</v>
      </c>
      <c r="X63" s="64">
        <v>1.7510000000000001E-2</v>
      </c>
      <c r="Y63" s="56">
        <v>2.0000000000000001E-4</v>
      </c>
      <c r="Z63" s="58">
        <v>5.6009999999999997E-2</v>
      </c>
      <c r="AA63" s="58">
        <v>5.21E-2</v>
      </c>
      <c r="AB63" s="58">
        <f t="shared" si="1"/>
        <v>9.9049999999999999E-2</v>
      </c>
      <c r="AC63" s="58">
        <f t="shared" si="2"/>
        <v>9.5140000000000002E-2</v>
      </c>
      <c r="AD63" s="61">
        <v>4.0999999999999999E-4</v>
      </c>
      <c r="AE63" s="2"/>
      <c r="AF63" s="2"/>
      <c r="AG63" s="2"/>
    </row>
    <row r="64" spans="1:33" ht="13">
      <c r="A64" s="168"/>
      <c r="B64" s="86" t="s">
        <v>161</v>
      </c>
      <c r="C64" s="54">
        <v>78520</v>
      </c>
      <c r="D64" s="55">
        <v>2.7799999999999999E-3</v>
      </c>
      <c r="E64" s="55">
        <v>1.15E-3</v>
      </c>
      <c r="F64" s="56">
        <v>0</v>
      </c>
      <c r="G64" s="55">
        <v>1.5E-3</v>
      </c>
      <c r="H64" s="56">
        <v>7.1000000000000002E-4</v>
      </c>
      <c r="I64" s="55">
        <v>1.91E-3</v>
      </c>
      <c r="J64" s="55">
        <v>3.1800000000000001E-3</v>
      </c>
      <c r="K64" s="55">
        <v>1.2700000000000001E-3</v>
      </c>
      <c r="L64" s="56">
        <v>3.0000000000000001E-5</v>
      </c>
      <c r="M64" s="56">
        <v>9.7000000000000005E-4</v>
      </c>
      <c r="N64" s="56">
        <v>3.3E-4</v>
      </c>
      <c r="O64" s="56">
        <v>2.3000000000000001E-4</v>
      </c>
      <c r="P64" s="56">
        <f t="shared" si="0"/>
        <v>7.9999999999999939E-5</v>
      </c>
      <c r="Q64" s="62">
        <v>6.7499999999999999E-3</v>
      </c>
      <c r="R64" s="56">
        <v>5.1000000000000004E-4</v>
      </c>
      <c r="S64" s="55">
        <v>1.1199999999999999E-3</v>
      </c>
      <c r="T64" s="54" t="s">
        <v>122</v>
      </c>
      <c r="U64" s="56">
        <v>0</v>
      </c>
      <c r="V64" s="56">
        <v>1.8000000000000001E-4</v>
      </c>
      <c r="W64" s="56">
        <v>8.8999999999999995E-4</v>
      </c>
      <c r="X64" s="64">
        <v>3.1940000000000003E-2</v>
      </c>
      <c r="Y64" s="56">
        <v>2.5000000000000001E-4</v>
      </c>
      <c r="Z64" s="58">
        <v>5.3039999999999997E-2</v>
      </c>
      <c r="AA64" s="64">
        <v>4.87E-2</v>
      </c>
      <c r="AB64" s="60">
        <f t="shared" si="1"/>
        <v>0.10858999999999999</v>
      </c>
      <c r="AC64" s="60">
        <f t="shared" si="2"/>
        <v>0.10425000000000001</v>
      </c>
      <c r="AD64" s="61">
        <v>4.8000000000000001E-4</v>
      </c>
      <c r="AE64" s="2"/>
      <c r="AF64" s="2"/>
      <c r="AG64" s="2"/>
    </row>
    <row r="65" spans="1:33" ht="13">
      <c r="A65" s="168"/>
      <c r="B65" s="86" t="s">
        <v>162</v>
      </c>
      <c r="C65" s="54">
        <v>422990</v>
      </c>
      <c r="D65" s="55">
        <v>3.16E-3</v>
      </c>
      <c r="E65" s="56">
        <v>3.3E-4</v>
      </c>
      <c r="F65" s="56">
        <v>2.0000000000000002E-5</v>
      </c>
      <c r="G65" s="56">
        <v>3.4000000000000002E-4</v>
      </c>
      <c r="H65" s="56">
        <v>6.8000000000000005E-4</v>
      </c>
      <c r="I65" s="56">
        <v>5.5999999999999995E-4</v>
      </c>
      <c r="J65" s="55">
        <v>1.2800000000000001E-3</v>
      </c>
      <c r="K65" s="55">
        <v>1.3500000000000001E-3</v>
      </c>
      <c r="L65" s="56">
        <v>1.9000000000000001E-4</v>
      </c>
      <c r="M65" s="56">
        <v>3.6999999999999999E-4</v>
      </c>
      <c r="N65" s="56">
        <v>5.4000000000000001E-4</v>
      </c>
      <c r="O65" s="56">
        <v>2.3000000000000001E-4</v>
      </c>
      <c r="P65" s="56">
        <f t="shared" si="0"/>
        <v>1.200000000000001E-4</v>
      </c>
      <c r="Q65" s="55">
        <v>3.9699999999999996E-3</v>
      </c>
      <c r="R65" s="56">
        <v>8.1999999999999998E-4</v>
      </c>
      <c r="S65" s="56">
        <v>6.4000000000000005E-4</v>
      </c>
      <c r="T65" s="54" t="s">
        <v>122</v>
      </c>
      <c r="U65" s="56">
        <v>8.0000000000000007E-5</v>
      </c>
      <c r="V65" s="56">
        <v>9.0000000000000006E-5</v>
      </c>
      <c r="W65" s="55">
        <v>3.5000000000000001E-3</v>
      </c>
      <c r="X65" s="64">
        <v>3.5580000000000001E-2</v>
      </c>
      <c r="Y65" s="55">
        <v>1.1900000000000001E-3</v>
      </c>
      <c r="Z65" s="60">
        <v>0.12565000000000001</v>
      </c>
      <c r="AA65" s="60">
        <v>0.11459999999999999</v>
      </c>
      <c r="AB65" s="65">
        <f t="shared" si="1"/>
        <v>0.18046000000000001</v>
      </c>
      <c r="AC65" s="65">
        <f t="shared" si="2"/>
        <v>0.16941000000000001</v>
      </c>
      <c r="AD65" s="61">
        <v>6.4999999999999997E-4</v>
      </c>
      <c r="AE65" s="2"/>
      <c r="AF65" s="2"/>
      <c r="AG65" s="2"/>
    </row>
    <row r="66" spans="1:33" ht="13">
      <c r="A66" s="168"/>
      <c r="B66" s="86" t="s">
        <v>163</v>
      </c>
      <c r="C66" s="54">
        <v>71372</v>
      </c>
      <c r="D66" s="55">
        <v>4.0400000000000002E-3</v>
      </c>
      <c r="E66" s="55">
        <v>1.3500000000000001E-3</v>
      </c>
      <c r="F66" s="56">
        <v>0</v>
      </c>
      <c r="G66" s="55">
        <v>1.65E-3</v>
      </c>
      <c r="H66" s="56">
        <v>9.2000000000000003E-4</v>
      </c>
      <c r="I66" s="55">
        <v>2.1900000000000001E-3</v>
      </c>
      <c r="J66" s="55">
        <v>2.0999999999999999E-3</v>
      </c>
      <c r="K66" s="55">
        <v>1.1199999999999999E-3</v>
      </c>
      <c r="L66" s="56">
        <v>3.0000000000000001E-5</v>
      </c>
      <c r="M66" s="55">
        <v>1.4599999999999999E-3</v>
      </c>
      <c r="N66" s="55">
        <v>1.06E-3</v>
      </c>
      <c r="O66" s="56">
        <v>8.0999999999999996E-4</v>
      </c>
      <c r="P66" s="56">
        <f t="shared" si="0"/>
        <v>2.3999999999999998E-4</v>
      </c>
      <c r="Q66" s="62">
        <v>5.3800000000000002E-3</v>
      </c>
      <c r="R66" s="56">
        <v>4.2000000000000002E-4</v>
      </c>
      <c r="S66" s="55">
        <v>1.4599999999999999E-3</v>
      </c>
      <c r="T66" s="54" t="s">
        <v>122</v>
      </c>
      <c r="U66" s="56">
        <v>0</v>
      </c>
      <c r="V66" s="56">
        <v>1.7000000000000001E-4</v>
      </c>
      <c r="W66" s="55">
        <v>1.1800000000000001E-3</v>
      </c>
      <c r="X66" s="64">
        <v>1.0789999999999999E-2</v>
      </c>
      <c r="Y66" s="56">
        <v>5.0000000000000001E-4</v>
      </c>
      <c r="Z66" s="58">
        <v>6.5170000000000006E-2</v>
      </c>
      <c r="AA66" s="58">
        <v>5.5E-2</v>
      </c>
      <c r="AB66" s="60">
        <f t="shared" si="1"/>
        <v>0.10123000000000001</v>
      </c>
      <c r="AC66" s="58">
        <f t="shared" si="2"/>
        <v>9.1060000000000002E-2</v>
      </c>
      <c r="AD66" s="63">
        <v>1.6299999999999999E-3</v>
      </c>
      <c r="AE66" s="2"/>
      <c r="AF66" s="2"/>
      <c r="AG66" s="2"/>
    </row>
    <row r="67" spans="1:33" ht="13">
      <c r="A67" s="168"/>
      <c r="B67" s="86" t="s">
        <v>164</v>
      </c>
      <c r="C67" s="54">
        <v>173188</v>
      </c>
      <c r="D67" s="55">
        <v>4.8500000000000001E-3</v>
      </c>
      <c r="E67" s="56">
        <v>6.6E-4</v>
      </c>
      <c r="F67" s="56">
        <v>0</v>
      </c>
      <c r="G67" s="56">
        <v>7.2000000000000005E-4</v>
      </c>
      <c r="H67" s="56">
        <v>7.6999999999999996E-4</v>
      </c>
      <c r="I67" s="56">
        <v>9.7999999999999997E-4</v>
      </c>
      <c r="J67" s="55">
        <v>1.6199999999999999E-3</v>
      </c>
      <c r="K67" s="55">
        <v>1.5200000000000001E-3</v>
      </c>
      <c r="L67" s="56">
        <v>2.0000000000000001E-4</v>
      </c>
      <c r="M67" s="56">
        <v>5.0000000000000001E-4</v>
      </c>
      <c r="N67" s="56">
        <v>5.9999999999999995E-4</v>
      </c>
      <c r="O67" s="56">
        <v>5.1999999999999995E-4</v>
      </c>
      <c r="P67" s="56">
        <f t="shared" si="0"/>
        <v>1.5999999999999988E-4</v>
      </c>
      <c r="Q67" s="62">
        <v>7.3800000000000003E-3</v>
      </c>
      <c r="R67" s="56">
        <v>4.2000000000000002E-4</v>
      </c>
      <c r="S67" s="56">
        <v>5.1000000000000004E-4</v>
      </c>
      <c r="T67" s="54" t="s">
        <v>122</v>
      </c>
      <c r="U67" s="56">
        <v>0</v>
      </c>
      <c r="V67" s="56">
        <v>8.0000000000000007E-5</v>
      </c>
      <c r="W67" s="55">
        <v>2.7899999999999999E-3</v>
      </c>
      <c r="X67" s="64">
        <v>3.8460000000000001E-2</v>
      </c>
      <c r="Y67" s="55">
        <v>2.4099999999999998E-3</v>
      </c>
      <c r="Z67" s="58">
        <v>6.4860000000000001E-2</v>
      </c>
      <c r="AA67" s="64">
        <v>3.3399999999999999E-2</v>
      </c>
      <c r="AB67" s="60">
        <f t="shared" si="1"/>
        <v>0.12948999999999999</v>
      </c>
      <c r="AC67" s="58">
        <f t="shared" si="2"/>
        <v>9.8030000000000006E-2</v>
      </c>
      <c r="AD67" s="61">
        <v>9.6000000000000002E-4</v>
      </c>
      <c r="AE67" s="2"/>
      <c r="AF67" s="2"/>
      <c r="AG67" s="2"/>
    </row>
    <row r="68" spans="1:33" ht="13">
      <c r="A68" s="168"/>
      <c r="B68" s="86" t="s">
        <v>165</v>
      </c>
      <c r="C68" s="54">
        <v>981308</v>
      </c>
      <c r="D68" s="55">
        <v>1.5100000000000001E-3</v>
      </c>
      <c r="E68" s="55">
        <v>1.6199999999999999E-3</v>
      </c>
      <c r="F68" s="56">
        <v>1.0000000000000001E-5</v>
      </c>
      <c r="G68" s="56">
        <v>1.4999999999999999E-4</v>
      </c>
      <c r="H68" s="56">
        <v>5.4000000000000001E-4</v>
      </c>
      <c r="I68" s="55">
        <v>2.9299999999999999E-3</v>
      </c>
      <c r="J68" s="56">
        <v>6.8000000000000005E-4</v>
      </c>
      <c r="K68" s="56">
        <v>6.2E-4</v>
      </c>
      <c r="L68" s="56">
        <v>9.0000000000000006E-5</v>
      </c>
      <c r="M68" s="56">
        <v>1.6000000000000001E-4</v>
      </c>
      <c r="N68" s="56">
        <v>8.4000000000000003E-4</v>
      </c>
      <c r="O68" s="56">
        <v>8.5999999999999998E-4</v>
      </c>
      <c r="P68" s="56">
        <f t="shared" si="0"/>
        <v>6.0000000000000006E-4</v>
      </c>
      <c r="Q68" s="62">
        <v>6.6600000000000001E-3</v>
      </c>
      <c r="R68" s="56">
        <v>3.4000000000000002E-4</v>
      </c>
      <c r="S68" s="56">
        <v>3.8999999999999999E-4</v>
      </c>
      <c r="T68" s="54" t="s">
        <v>122</v>
      </c>
      <c r="U68" s="56">
        <v>3.0000000000000001E-5</v>
      </c>
      <c r="V68" s="56">
        <v>4.0000000000000003E-5</v>
      </c>
      <c r="W68" s="55">
        <v>1.17E-3</v>
      </c>
      <c r="X68" s="58">
        <v>5.9659999999999998E-2</v>
      </c>
      <c r="Y68" s="56">
        <v>2.5999999999999998E-4</v>
      </c>
      <c r="Z68" s="58">
        <v>5.2449999999999997E-2</v>
      </c>
      <c r="AA68" s="64">
        <v>4.4699999999999997E-2</v>
      </c>
      <c r="AB68" s="60">
        <f t="shared" si="1"/>
        <v>0.13074999999999998</v>
      </c>
      <c r="AC68" s="60">
        <f t="shared" si="2"/>
        <v>0.123</v>
      </c>
      <c r="AD68" s="63">
        <v>1.1000000000000001E-3</v>
      </c>
      <c r="AE68" s="2"/>
      <c r="AF68" s="2"/>
      <c r="AG68" s="2"/>
    </row>
    <row r="69" spans="1:33" ht="13">
      <c r="A69" s="168"/>
      <c r="B69" s="86" t="s">
        <v>166</v>
      </c>
      <c r="C69" s="54">
        <v>718090</v>
      </c>
      <c r="D69" s="55">
        <v>1.83E-3</v>
      </c>
      <c r="E69" s="56">
        <v>7.6999999999999996E-4</v>
      </c>
      <c r="F69" s="56">
        <v>1.0000000000000001E-5</v>
      </c>
      <c r="G69" s="56">
        <v>2.9999999999999997E-4</v>
      </c>
      <c r="H69" s="56">
        <v>4.8000000000000001E-4</v>
      </c>
      <c r="I69" s="56">
        <v>6.4000000000000005E-4</v>
      </c>
      <c r="J69" s="55">
        <v>1.3500000000000001E-3</v>
      </c>
      <c r="K69" s="56">
        <v>9.5E-4</v>
      </c>
      <c r="L69" s="56">
        <v>2.3000000000000001E-4</v>
      </c>
      <c r="M69" s="56">
        <v>2.1000000000000001E-4</v>
      </c>
      <c r="N69" s="56">
        <v>5.0000000000000001E-4</v>
      </c>
      <c r="O69" s="56">
        <v>7.6999999999999996E-4</v>
      </c>
      <c r="P69" s="56">
        <f t="shared" si="0"/>
        <v>2.5999999999999981E-4</v>
      </c>
      <c r="Q69" s="64">
        <v>1.4080000000000001E-2</v>
      </c>
      <c r="R69" s="56">
        <v>3.3E-4</v>
      </c>
      <c r="S69" s="56">
        <v>2.5000000000000001E-4</v>
      </c>
      <c r="T69" s="54" t="s">
        <v>122</v>
      </c>
      <c r="U69" s="56">
        <v>3.0000000000000001E-5</v>
      </c>
      <c r="V69" s="56">
        <v>8.0000000000000007E-5</v>
      </c>
      <c r="W69" s="62">
        <v>6.7499999999999999E-3</v>
      </c>
      <c r="X69" s="58">
        <v>7.1830000000000005E-2</v>
      </c>
      <c r="Y69" s="55">
        <v>3.7200000000000002E-3</v>
      </c>
      <c r="Z69" s="58">
        <v>7.5020000000000003E-2</v>
      </c>
      <c r="AA69" s="64">
        <v>2.8000000000000001E-2</v>
      </c>
      <c r="AB69" s="65">
        <f t="shared" si="1"/>
        <v>0.17962</v>
      </c>
      <c r="AC69" s="60">
        <f t="shared" si="2"/>
        <v>0.1326</v>
      </c>
      <c r="AD69" s="63">
        <v>1.01E-3</v>
      </c>
      <c r="AE69" s="2"/>
      <c r="AF69" s="2"/>
      <c r="AG69" s="2"/>
    </row>
    <row r="70" spans="1:33" ht="13">
      <c r="A70" s="168"/>
      <c r="B70" s="86" t="s">
        <v>167</v>
      </c>
      <c r="C70" s="54">
        <v>34442</v>
      </c>
      <c r="D70" s="55">
        <v>1.8600000000000001E-3</v>
      </c>
      <c r="E70" s="55">
        <v>1.6800000000000001E-3</v>
      </c>
      <c r="F70" s="56">
        <v>0</v>
      </c>
      <c r="G70" s="55">
        <v>2.4399999999999999E-3</v>
      </c>
      <c r="H70" s="55">
        <v>1.34E-3</v>
      </c>
      <c r="I70" s="55">
        <v>2.96E-3</v>
      </c>
      <c r="J70" s="55">
        <v>3.31E-3</v>
      </c>
      <c r="K70" s="55">
        <v>1.0499999999999999E-3</v>
      </c>
      <c r="L70" s="56">
        <v>1.2E-4</v>
      </c>
      <c r="M70" s="55">
        <v>1.74E-3</v>
      </c>
      <c r="N70" s="56">
        <v>6.9999999999999999E-4</v>
      </c>
      <c r="O70" s="56">
        <v>1.7000000000000001E-4</v>
      </c>
      <c r="P70" s="56">
        <f t="shared" si="0"/>
        <v>6.0000000000000049E-5</v>
      </c>
      <c r="Q70" s="62">
        <v>5.1700000000000001E-3</v>
      </c>
      <c r="R70" s="56">
        <v>4.6000000000000001E-4</v>
      </c>
      <c r="S70" s="55">
        <v>1.8E-3</v>
      </c>
      <c r="T70" s="54" t="s">
        <v>122</v>
      </c>
      <c r="U70" s="56">
        <v>0</v>
      </c>
      <c r="V70" s="56">
        <v>2.3000000000000001E-4</v>
      </c>
      <c r="W70" s="56">
        <v>7.5000000000000002E-4</v>
      </c>
      <c r="X70" s="62">
        <v>7.9600000000000001E-3</v>
      </c>
      <c r="Y70" s="56">
        <v>3.5E-4</v>
      </c>
      <c r="Z70" s="58">
        <v>7.3679999999999995E-2</v>
      </c>
      <c r="AA70" s="58">
        <v>7.3499999999999996E-2</v>
      </c>
      <c r="AB70" s="60">
        <f t="shared" si="1"/>
        <v>0.10766000000000001</v>
      </c>
      <c r="AC70" s="60">
        <f t="shared" si="2"/>
        <v>0.10747999999999999</v>
      </c>
      <c r="AD70" s="61">
        <v>8.0999999999999996E-4</v>
      </c>
      <c r="AE70" s="2"/>
      <c r="AF70" s="2"/>
      <c r="AG70" s="2"/>
    </row>
    <row r="71" spans="1:33" ht="13">
      <c r="A71" s="168"/>
      <c r="B71" s="86" t="s">
        <v>168</v>
      </c>
      <c r="C71" s="54">
        <v>34442</v>
      </c>
      <c r="D71" s="55">
        <v>1.8600000000000001E-3</v>
      </c>
      <c r="E71" s="55">
        <v>1.6800000000000001E-3</v>
      </c>
      <c r="F71" s="56">
        <v>0</v>
      </c>
      <c r="G71" s="55">
        <v>2.4399999999999999E-3</v>
      </c>
      <c r="H71" s="55">
        <v>1.34E-3</v>
      </c>
      <c r="I71" s="55">
        <v>2.96E-3</v>
      </c>
      <c r="J71" s="55">
        <v>3.31E-3</v>
      </c>
      <c r="K71" s="55">
        <v>1.0499999999999999E-3</v>
      </c>
      <c r="L71" s="56">
        <v>1.2E-4</v>
      </c>
      <c r="M71" s="55">
        <v>1.74E-3</v>
      </c>
      <c r="N71" s="56">
        <v>6.9999999999999999E-4</v>
      </c>
      <c r="O71" s="56">
        <v>1.7000000000000001E-4</v>
      </c>
      <c r="P71" s="56">
        <f t="shared" si="0"/>
        <v>6.0000000000000049E-5</v>
      </c>
      <c r="Q71" s="62">
        <v>5.1700000000000001E-3</v>
      </c>
      <c r="R71" s="56">
        <v>4.6000000000000001E-4</v>
      </c>
      <c r="S71" s="55">
        <v>1.8E-3</v>
      </c>
      <c r="T71" s="54" t="s">
        <v>122</v>
      </c>
      <c r="U71" s="56">
        <v>0</v>
      </c>
      <c r="V71" s="56">
        <v>2.3000000000000001E-4</v>
      </c>
      <c r="W71" s="56">
        <v>7.5000000000000002E-4</v>
      </c>
      <c r="X71" s="62">
        <v>7.9600000000000001E-3</v>
      </c>
      <c r="Y71" s="56">
        <v>3.5E-4</v>
      </c>
      <c r="Z71" s="58">
        <v>7.3679999999999995E-2</v>
      </c>
      <c r="AA71" s="58">
        <v>7.3499999999999996E-2</v>
      </c>
      <c r="AB71" s="60">
        <f t="shared" si="1"/>
        <v>0.10766000000000001</v>
      </c>
      <c r="AC71" s="60">
        <f t="shared" si="2"/>
        <v>0.10747999999999999</v>
      </c>
      <c r="AD71" s="61">
        <v>8.0999999999999996E-4</v>
      </c>
      <c r="AE71" s="2"/>
      <c r="AF71" s="2"/>
      <c r="AG71" s="2"/>
    </row>
    <row r="72" spans="1:33" ht="13">
      <c r="A72" s="168"/>
      <c r="B72" s="87" t="s">
        <v>169</v>
      </c>
      <c r="C72" s="54">
        <v>118522</v>
      </c>
      <c r="D72" s="62">
        <v>5.3E-3</v>
      </c>
      <c r="E72" s="55">
        <v>1.08E-3</v>
      </c>
      <c r="F72" s="56">
        <v>0</v>
      </c>
      <c r="G72" s="56">
        <v>7.3999999999999999E-4</v>
      </c>
      <c r="H72" s="55">
        <v>1.5200000000000001E-3</v>
      </c>
      <c r="I72" s="55">
        <v>1.67E-3</v>
      </c>
      <c r="J72" s="55">
        <v>2.4499999999999999E-3</v>
      </c>
      <c r="K72" s="55">
        <v>1.48E-3</v>
      </c>
      <c r="L72" s="56">
        <v>5.6999999999999998E-4</v>
      </c>
      <c r="M72" s="56">
        <v>6.6E-4</v>
      </c>
      <c r="N72" s="55">
        <v>1.6199999999999999E-3</v>
      </c>
      <c r="O72" s="56">
        <v>8.8000000000000003E-4</v>
      </c>
      <c r="P72" s="56">
        <f t="shared" si="0"/>
        <v>2.8999999999999989E-4</v>
      </c>
      <c r="Q72" s="55">
        <v>3.98E-3</v>
      </c>
      <c r="R72" s="56">
        <v>4.6000000000000001E-4</v>
      </c>
      <c r="S72" s="55">
        <v>1.5499999999999999E-3</v>
      </c>
      <c r="T72" s="54" t="s">
        <v>122</v>
      </c>
      <c r="U72" s="56">
        <v>5.0000000000000002E-5</v>
      </c>
      <c r="V72" s="56">
        <v>6.9999999999999994E-5</v>
      </c>
      <c r="W72" s="62">
        <v>5.8199999999999997E-3</v>
      </c>
      <c r="X72" s="64">
        <v>1.703E-2</v>
      </c>
      <c r="Y72" s="55">
        <v>4.4200000000000003E-3</v>
      </c>
      <c r="Z72" s="58">
        <v>8.5730000000000001E-2</v>
      </c>
      <c r="AA72" s="64">
        <v>4.0800000000000003E-2</v>
      </c>
      <c r="AB72" s="60">
        <f t="shared" si="1"/>
        <v>0.13649</v>
      </c>
      <c r="AC72" s="58">
        <f t="shared" si="2"/>
        <v>9.1560000000000002E-2</v>
      </c>
      <c r="AD72" s="63">
        <v>2.2100000000000002E-3</v>
      </c>
      <c r="AE72" s="2"/>
      <c r="AF72" s="2"/>
      <c r="AG72" s="2"/>
    </row>
    <row r="73" spans="1:33" ht="13">
      <c r="A73" s="164" t="s">
        <v>170</v>
      </c>
      <c r="B73" s="88" t="s">
        <v>171</v>
      </c>
      <c r="C73" s="73">
        <v>304186</v>
      </c>
      <c r="D73" s="46">
        <v>1.47E-3</v>
      </c>
      <c r="E73" s="45">
        <v>8.7000000000000001E-4</v>
      </c>
      <c r="F73" s="46">
        <v>3.0300000000000001E-3</v>
      </c>
      <c r="G73" s="46">
        <v>4.3499999999999997E-3</v>
      </c>
      <c r="H73" s="46">
        <v>1.6199999999999999E-3</v>
      </c>
      <c r="I73" s="46">
        <v>1.92E-3</v>
      </c>
      <c r="J73" s="46">
        <v>1.48E-3</v>
      </c>
      <c r="K73" s="45">
        <v>9.3999999999999997E-4</v>
      </c>
      <c r="L73" s="45">
        <v>1.8000000000000001E-4</v>
      </c>
      <c r="M73" s="45">
        <v>8.0000000000000007E-5</v>
      </c>
      <c r="N73" s="44">
        <v>6.1599999999999997E-3</v>
      </c>
      <c r="O73" s="48">
        <v>1.0030000000000001E-2</v>
      </c>
      <c r="P73" s="46">
        <f t="shared" si="0"/>
        <v>4.6199999999999991E-3</v>
      </c>
      <c r="Q73" s="44">
        <v>9.3399999999999993E-3</v>
      </c>
      <c r="R73" s="45">
        <v>4.4999999999999999E-4</v>
      </c>
      <c r="S73" s="45">
        <v>0</v>
      </c>
      <c r="T73" s="43" t="s">
        <v>122</v>
      </c>
      <c r="U73" s="45">
        <v>3.0000000000000001E-5</v>
      </c>
      <c r="V73" s="44">
        <v>6.11E-3</v>
      </c>
      <c r="W73" s="46">
        <v>3.2499999999999999E-3</v>
      </c>
      <c r="X73" s="49">
        <v>5.7250000000000002E-2</v>
      </c>
      <c r="Y73" s="46">
        <v>1.74E-3</v>
      </c>
      <c r="Z73" s="48">
        <v>4.648E-2</v>
      </c>
      <c r="AA73" s="48">
        <v>3.1699999999999999E-2</v>
      </c>
      <c r="AB73" s="74">
        <f t="shared" si="1"/>
        <v>0.15137</v>
      </c>
      <c r="AC73" s="51">
        <f t="shared" si="2"/>
        <v>0.13658999999999999</v>
      </c>
      <c r="AD73" s="89">
        <v>1.157E-2</v>
      </c>
      <c r="AE73" s="2"/>
      <c r="AF73" s="2"/>
      <c r="AG73" s="2"/>
    </row>
    <row r="74" spans="1:33" ht="13">
      <c r="A74" s="165"/>
      <c r="B74" s="76" t="s">
        <v>172</v>
      </c>
      <c r="C74" s="77">
        <v>203430</v>
      </c>
      <c r="D74" s="55">
        <v>1.1999999999999999E-3</v>
      </c>
      <c r="E74" s="56">
        <v>6.0999999999999997E-4</v>
      </c>
      <c r="F74" s="56">
        <v>5.9999999999999995E-4</v>
      </c>
      <c r="G74" s="55">
        <v>4.8799999999999998E-3</v>
      </c>
      <c r="H74" s="56">
        <v>4.8000000000000001E-4</v>
      </c>
      <c r="I74" s="55">
        <v>2.3800000000000002E-3</v>
      </c>
      <c r="J74" s="56">
        <v>7.7999999999999999E-4</v>
      </c>
      <c r="K74" s="55">
        <v>1.7799999999999999E-3</v>
      </c>
      <c r="L74" s="55">
        <v>1.8600000000000001E-3</v>
      </c>
      <c r="M74" s="56">
        <v>8.3000000000000001E-4</v>
      </c>
      <c r="N74" s="64">
        <v>1.328E-2</v>
      </c>
      <c r="O74" s="55">
        <v>2.0899999999999998E-3</v>
      </c>
      <c r="P74" s="56">
        <f t="shared" si="0"/>
        <v>6.9999999999999923E-4</v>
      </c>
      <c r="Q74" s="55">
        <v>1.6000000000000001E-3</v>
      </c>
      <c r="R74" s="56">
        <v>1.4999999999999999E-4</v>
      </c>
      <c r="S74" s="56">
        <v>0</v>
      </c>
      <c r="T74" s="54" t="s">
        <v>122</v>
      </c>
      <c r="U74" s="56">
        <v>2.9E-4</v>
      </c>
      <c r="V74" s="62">
        <v>6.1199999999999996E-3</v>
      </c>
      <c r="W74" s="55">
        <v>2.5200000000000001E-3</v>
      </c>
      <c r="X74" s="62">
        <v>7.6800000000000002E-3</v>
      </c>
      <c r="Y74" s="55">
        <v>1.6999999999999999E-3</v>
      </c>
      <c r="Z74" s="64">
        <v>4.8689999999999997E-2</v>
      </c>
      <c r="AA74" s="64">
        <v>1.67E-2</v>
      </c>
      <c r="AB74" s="58">
        <f t="shared" si="1"/>
        <v>9.8129999999999995E-2</v>
      </c>
      <c r="AC74" s="58">
        <f t="shared" si="2"/>
        <v>6.6140000000000004E-2</v>
      </c>
      <c r="AD74" s="78">
        <v>1.4670000000000001E-2</v>
      </c>
      <c r="AE74" s="2"/>
      <c r="AF74" s="2"/>
      <c r="AG74" s="2"/>
    </row>
    <row r="75" spans="1:33" ht="13">
      <c r="A75" s="165"/>
      <c r="B75" s="76" t="s">
        <v>173</v>
      </c>
      <c r="C75" s="77">
        <v>157638</v>
      </c>
      <c r="D75" s="55">
        <v>1.9400000000000001E-3</v>
      </c>
      <c r="E75" s="56">
        <v>4.6999999999999999E-4</v>
      </c>
      <c r="F75" s="56">
        <v>6.0000000000000002E-5</v>
      </c>
      <c r="G75" s="56">
        <v>1.8000000000000001E-4</v>
      </c>
      <c r="H75" s="56">
        <v>2.9999999999999997E-4</v>
      </c>
      <c r="I75" s="56">
        <v>4.2000000000000002E-4</v>
      </c>
      <c r="J75" s="55">
        <v>2.8300000000000001E-3</v>
      </c>
      <c r="K75" s="55">
        <v>1.9300000000000001E-3</v>
      </c>
      <c r="L75" s="56">
        <v>3.6000000000000002E-4</v>
      </c>
      <c r="M75" s="56">
        <v>1.2999999999999999E-4</v>
      </c>
      <c r="N75" s="55">
        <v>1.34E-3</v>
      </c>
      <c r="O75" s="56">
        <v>6.4999999999999997E-4</v>
      </c>
      <c r="P75" s="56">
        <f t="shared" si="0"/>
        <v>2.9999999999999992E-4</v>
      </c>
      <c r="Q75" s="64">
        <v>1.119E-2</v>
      </c>
      <c r="R75" s="56">
        <v>6.2E-4</v>
      </c>
      <c r="S75" s="56">
        <v>0</v>
      </c>
      <c r="T75" s="54" t="s">
        <v>122</v>
      </c>
      <c r="U75" s="56">
        <v>0</v>
      </c>
      <c r="V75" s="56">
        <v>1E-4</v>
      </c>
      <c r="W75" s="55">
        <v>3.0100000000000001E-3</v>
      </c>
      <c r="X75" s="64">
        <v>4.947E-2</v>
      </c>
      <c r="Y75" s="55">
        <v>1.1900000000000001E-3</v>
      </c>
      <c r="Z75" s="64">
        <v>4.6149999999999997E-2</v>
      </c>
      <c r="AA75" s="64">
        <v>1.9E-2</v>
      </c>
      <c r="AB75" s="60">
        <f t="shared" si="1"/>
        <v>0.12198999999999999</v>
      </c>
      <c r="AC75" s="58">
        <f t="shared" si="2"/>
        <v>9.4839999999999994E-2</v>
      </c>
      <c r="AD75" s="63">
        <v>1.6900000000000001E-3</v>
      </c>
      <c r="AE75" s="2"/>
      <c r="AF75" s="2"/>
      <c r="AG75" s="2"/>
    </row>
    <row r="76" spans="1:33" ht="13">
      <c r="A76" s="166"/>
      <c r="B76" s="79" t="s">
        <v>174</v>
      </c>
      <c r="C76" s="77">
        <v>225802</v>
      </c>
      <c r="D76" s="55">
        <v>1.1000000000000001E-3</v>
      </c>
      <c r="E76" s="56">
        <v>5.0000000000000001E-4</v>
      </c>
      <c r="F76" s="56">
        <v>5.5000000000000003E-4</v>
      </c>
      <c r="G76" s="55">
        <v>2.15E-3</v>
      </c>
      <c r="H76" s="56">
        <v>4.2999999999999999E-4</v>
      </c>
      <c r="I76" s="55">
        <v>1.15E-3</v>
      </c>
      <c r="J76" s="56">
        <v>8.0000000000000004E-4</v>
      </c>
      <c r="K76" s="55">
        <v>1.8799999999999999E-3</v>
      </c>
      <c r="L76" s="55">
        <v>1.0499999999999999E-3</v>
      </c>
      <c r="M76" s="56">
        <v>4.4000000000000002E-4</v>
      </c>
      <c r="N76" s="62">
        <v>7.0299999999999998E-3</v>
      </c>
      <c r="O76" s="55">
        <v>1.7099999999999999E-3</v>
      </c>
      <c r="P76" s="56">
        <f t="shared" si="0"/>
        <v>5.6999999999999933E-4</v>
      </c>
      <c r="Q76" s="62">
        <v>7.0000000000000001E-3</v>
      </c>
      <c r="R76" s="56">
        <v>1.9000000000000001E-4</v>
      </c>
      <c r="S76" s="56">
        <v>0</v>
      </c>
      <c r="T76" s="54" t="s">
        <v>122</v>
      </c>
      <c r="U76" s="56">
        <v>2.5999999999999998E-4</v>
      </c>
      <c r="V76" s="55">
        <v>2.49E-3</v>
      </c>
      <c r="W76" s="55">
        <v>2.8700000000000002E-3</v>
      </c>
      <c r="X76" s="64">
        <v>3.5099999999999999E-2</v>
      </c>
      <c r="Y76" s="55">
        <v>1.7899999999999999E-3</v>
      </c>
      <c r="Z76" s="58">
        <v>5.6279999999999997E-2</v>
      </c>
      <c r="AA76" s="64">
        <v>1.9400000000000001E-2</v>
      </c>
      <c r="AB76" s="60">
        <f t="shared" si="1"/>
        <v>0.12362999999999999</v>
      </c>
      <c r="AC76" s="58">
        <f t="shared" si="2"/>
        <v>8.6749999999999994E-2</v>
      </c>
      <c r="AD76" s="80">
        <v>8.1700000000000002E-3</v>
      </c>
      <c r="AE76" s="2"/>
      <c r="AF76" s="2"/>
      <c r="AG76" s="2"/>
    </row>
    <row r="77" spans="1:33" ht="13">
      <c r="A77" s="81"/>
      <c r="B77" s="90" t="s">
        <v>175</v>
      </c>
      <c r="C77" s="91">
        <v>17628</v>
      </c>
      <c r="D77" s="92">
        <v>4.3099999999999996E-3</v>
      </c>
      <c r="E77" s="92">
        <v>2.3800000000000002E-3</v>
      </c>
      <c r="F77" s="93">
        <v>3.4000000000000002E-4</v>
      </c>
      <c r="G77" s="92">
        <v>3.3999999999999998E-3</v>
      </c>
      <c r="H77" s="92">
        <v>1.47E-3</v>
      </c>
      <c r="I77" s="92">
        <v>3.29E-3</v>
      </c>
      <c r="J77" s="92">
        <v>1.0200000000000001E-3</v>
      </c>
      <c r="K77" s="92">
        <v>3.29E-3</v>
      </c>
      <c r="L77" s="93">
        <v>3.4000000000000002E-4</v>
      </c>
      <c r="M77" s="93">
        <v>5.6999999999999998E-4</v>
      </c>
      <c r="N77" s="92">
        <v>2.8400000000000001E-3</v>
      </c>
      <c r="O77" s="93">
        <v>5.6999999999999998E-4</v>
      </c>
      <c r="P77" s="93">
        <f t="shared" si="0"/>
        <v>2.2999999999999974E-4</v>
      </c>
      <c r="Q77" s="92">
        <v>4.6499999999999996E-3</v>
      </c>
      <c r="R77" s="93">
        <v>9.1E-4</v>
      </c>
      <c r="S77" s="93">
        <v>0</v>
      </c>
      <c r="T77" s="91" t="s">
        <v>122</v>
      </c>
      <c r="U77" s="93">
        <v>0</v>
      </c>
      <c r="V77" s="93">
        <v>9.1E-4</v>
      </c>
      <c r="W77" s="92">
        <v>3.63E-3</v>
      </c>
      <c r="X77" s="94">
        <v>7.7099999999999998E-3</v>
      </c>
      <c r="Y77" s="93">
        <v>9.1E-4</v>
      </c>
      <c r="Z77" s="95">
        <v>9.257E-2</v>
      </c>
      <c r="AA77" s="95">
        <v>8.2500000000000004E-2</v>
      </c>
      <c r="AB77" s="96">
        <f t="shared" si="1"/>
        <v>0.13477</v>
      </c>
      <c r="AC77" s="97">
        <f t="shared" si="2"/>
        <v>0.12470000000000001</v>
      </c>
      <c r="AD77" s="98">
        <v>3.1800000000000001E-3</v>
      </c>
      <c r="AE77" s="2"/>
      <c r="AF77" s="2"/>
      <c r="AG77" s="2"/>
    </row>
    <row r="78" spans="1:33" ht="13">
      <c r="A78" s="170" t="s">
        <v>176</v>
      </c>
      <c r="B78" s="42" t="s">
        <v>177</v>
      </c>
      <c r="C78" s="43">
        <v>1134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4">
        <v>8.8199999999999997E-3</v>
      </c>
      <c r="O78" s="45">
        <v>0</v>
      </c>
      <c r="P78" s="45">
        <f t="shared" si="0"/>
        <v>0</v>
      </c>
      <c r="Q78" s="46">
        <v>1.7600000000000001E-3</v>
      </c>
      <c r="R78" s="45">
        <v>0</v>
      </c>
      <c r="S78" s="45">
        <v>0</v>
      </c>
      <c r="T78" s="43" t="s">
        <v>122</v>
      </c>
      <c r="U78" s="45">
        <v>0</v>
      </c>
      <c r="V78" s="45">
        <v>0</v>
      </c>
      <c r="W78" s="45">
        <v>0</v>
      </c>
      <c r="X78" s="45">
        <v>0</v>
      </c>
      <c r="Y78" s="45">
        <v>0</v>
      </c>
      <c r="Z78" s="49">
        <v>8.4379999999999997E-2</v>
      </c>
      <c r="AA78" s="51">
        <v>0.10050000000000001</v>
      </c>
      <c r="AB78" s="49">
        <f t="shared" si="1"/>
        <v>9.4959999999999989E-2</v>
      </c>
      <c r="AC78" s="99">
        <f t="shared" si="2"/>
        <v>0.11108000000000001</v>
      </c>
      <c r="AD78" s="75">
        <v>8.8199999999999997E-3</v>
      </c>
      <c r="AE78" s="2"/>
      <c r="AF78" s="2"/>
      <c r="AG78" s="2"/>
    </row>
    <row r="79" spans="1:33" ht="13">
      <c r="A79" s="165"/>
      <c r="B79" s="53" t="s">
        <v>178</v>
      </c>
      <c r="C79" s="54">
        <v>310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62">
        <v>6.45E-3</v>
      </c>
      <c r="O79" s="56">
        <v>0</v>
      </c>
      <c r="P79" s="56">
        <f t="shared" si="0"/>
        <v>0</v>
      </c>
      <c r="Q79" s="56">
        <v>0</v>
      </c>
      <c r="R79" s="62">
        <v>6.45E-3</v>
      </c>
      <c r="S79" s="56">
        <v>0</v>
      </c>
      <c r="T79" s="54" t="s">
        <v>122</v>
      </c>
      <c r="U79" s="56">
        <v>0</v>
      </c>
      <c r="V79" s="56">
        <v>0</v>
      </c>
      <c r="W79" s="56">
        <v>0</v>
      </c>
      <c r="X79" s="56">
        <v>0</v>
      </c>
      <c r="Y79" s="62">
        <v>6.45E-3</v>
      </c>
      <c r="Z79" s="65">
        <v>0.16528999999999999</v>
      </c>
      <c r="AA79" s="65">
        <v>0.34839999999999999</v>
      </c>
      <c r="AB79" s="65">
        <f t="shared" si="1"/>
        <v>0.18464</v>
      </c>
      <c r="AC79" s="100">
        <f t="shared" si="2"/>
        <v>0.36774999999999997</v>
      </c>
      <c r="AD79" s="80">
        <v>6.45E-3</v>
      </c>
      <c r="AE79" s="2"/>
      <c r="AF79" s="2"/>
      <c r="AG79" s="2"/>
    </row>
    <row r="80" spans="1:33" ht="13">
      <c r="A80" s="165"/>
      <c r="B80" s="53" t="s">
        <v>179</v>
      </c>
      <c r="C80" s="54">
        <v>55760</v>
      </c>
      <c r="D80" s="56">
        <v>0</v>
      </c>
      <c r="E80" s="56">
        <v>1.8000000000000001E-4</v>
      </c>
      <c r="F80" s="56">
        <v>0</v>
      </c>
      <c r="G80" s="56">
        <v>0</v>
      </c>
      <c r="H80" s="56">
        <v>0</v>
      </c>
      <c r="I80" s="56">
        <v>0</v>
      </c>
      <c r="J80" s="55">
        <v>2.5500000000000002E-3</v>
      </c>
      <c r="K80" s="55">
        <v>3.4399999999999999E-3</v>
      </c>
      <c r="L80" s="56">
        <v>8.9999999999999998E-4</v>
      </c>
      <c r="M80" s="56">
        <v>0</v>
      </c>
      <c r="N80" s="55">
        <v>1.08E-3</v>
      </c>
      <c r="O80" s="56">
        <v>0</v>
      </c>
      <c r="P80" s="56">
        <f t="shared" si="0"/>
        <v>0</v>
      </c>
      <c r="Q80" s="62">
        <v>7.9299999999999995E-3</v>
      </c>
      <c r="R80" s="56">
        <v>0</v>
      </c>
      <c r="S80" s="56">
        <v>0</v>
      </c>
      <c r="T80" s="54" t="s">
        <v>122</v>
      </c>
      <c r="U80" s="56">
        <v>0</v>
      </c>
      <c r="V80" s="56">
        <v>0</v>
      </c>
      <c r="W80" s="55">
        <v>3.1199999999999999E-3</v>
      </c>
      <c r="X80" s="64">
        <v>1.865E-2</v>
      </c>
      <c r="Y80" s="56">
        <v>0</v>
      </c>
      <c r="Z80" s="64">
        <v>1.9789999999999999E-2</v>
      </c>
      <c r="AA80" s="64">
        <v>1.78E-2</v>
      </c>
      <c r="AB80" s="58">
        <f t="shared" si="1"/>
        <v>5.7639999999999997E-2</v>
      </c>
      <c r="AC80" s="101">
        <f t="shared" si="2"/>
        <v>5.5649999999999991E-2</v>
      </c>
      <c r="AD80" s="63">
        <v>1.08E-3</v>
      </c>
      <c r="AE80" s="2"/>
      <c r="AF80" s="2"/>
      <c r="AG80" s="2"/>
    </row>
    <row r="81" spans="1:33" ht="13">
      <c r="A81" s="165"/>
      <c r="B81" s="53" t="s">
        <v>180</v>
      </c>
      <c r="C81" s="54">
        <v>1538</v>
      </c>
      <c r="D81" s="55">
        <v>2.5999999999999999E-3</v>
      </c>
      <c r="E81" s="55">
        <v>1.2999999999999999E-3</v>
      </c>
      <c r="F81" s="56">
        <v>0</v>
      </c>
      <c r="G81" s="64">
        <v>2.4709999999999999E-2</v>
      </c>
      <c r="H81" s="56">
        <v>0</v>
      </c>
      <c r="I81" s="64">
        <v>1.821E-2</v>
      </c>
      <c r="J81" s="62">
        <v>9.1000000000000004E-3</v>
      </c>
      <c r="K81" s="56">
        <v>0</v>
      </c>
      <c r="L81" s="56">
        <v>0</v>
      </c>
      <c r="M81" s="56">
        <v>0</v>
      </c>
      <c r="N81" s="64">
        <v>1.6910000000000001E-2</v>
      </c>
      <c r="O81" s="55">
        <v>1.2999999999999999E-3</v>
      </c>
      <c r="P81" s="56">
        <f t="shared" si="0"/>
        <v>0</v>
      </c>
      <c r="Q81" s="62">
        <v>9.1000000000000004E-3</v>
      </c>
      <c r="R81" s="56">
        <v>0</v>
      </c>
      <c r="S81" s="56">
        <v>0</v>
      </c>
      <c r="T81" s="54" t="s">
        <v>122</v>
      </c>
      <c r="U81" s="56">
        <v>0</v>
      </c>
      <c r="V81" s="64">
        <v>1.6910000000000001E-2</v>
      </c>
      <c r="W81" s="56">
        <v>0</v>
      </c>
      <c r="X81" s="56">
        <v>0</v>
      </c>
      <c r="Y81" s="55">
        <v>2.5999999999999999E-3</v>
      </c>
      <c r="Z81" s="58">
        <v>8.6120000000000002E-2</v>
      </c>
      <c r="AA81" s="58">
        <v>7.5399999999999995E-2</v>
      </c>
      <c r="AB81" s="65">
        <f t="shared" si="1"/>
        <v>0.18756</v>
      </c>
      <c r="AC81" s="100">
        <f t="shared" si="2"/>
        <v>0.17684</v>
      </c>
      <c r="AD81" s="78">
        <v>1.821E-2</v>
      </c>
      <c r="AE81" s="2"/>
      <c r="AF81" s="2"/>
      <c r="AG81" s="2"/>
    </row>
    <row r="82" spans="1:33" ht="13">
      <c r="A82" s="165"/>
      <c r="B82" s="53" t="s">
        <v>181</v>
      </c>
      <c r="C82" s="54">
        <v>1618</v>
      </c>
      <c r="D82" s="62">
        <v>8.6499999999999997E-3</v>
      </c>
      <c r="E82" s="56">
        <v>0</v>
      </c>
      <c r="F82" s="55">
        <v>2.47E-3</v>
      </c>
      <c r="G82" s="56">
        <v>0</v>
      </c>
      <c r="H82" s="55">
        <v>4.9399999999999999E-3</v>
      </c>
      <c r="I82" s="56">
        <v>0</v>
      </c>
      <c r="J82" s="62">
        <v>6.1799999999999997E-3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f t="shared" si="0"/>
        <v>0</v>
      </c>
      <c r="Q82" s="55">
        <v>1.24E-3</v>
      </c>
      <c r="R82" s="55">
        <v>2.47E-3</v>
      </c>
      <c r="S82" s="56">
        <v>0</v>
      </c>
      <c r="T82" s="54" t="s">
        <v>122</v>
      </c>
      <c r="U82" s="56">
        <v>0</v>
      </c>
      <c r="V82" s="56">
        <v>0</v>
      </c>
      <c r="W82" s="56">
        <v>0</v>
      </c>
      <c r="X82" s="56">
        <v>0</v>
      </c>
      <c r="Y82" s="55">
        <v>1.24E-3</v>
      </c>
      <c r="Z82" s="64">
        <v>2.6540000000000001E-2</v>
      </c>
      <c r="AA82" s="55">
        <v>2.5000000000000001E-3</v>
      </c>
      <c r="AB82" s="58">
        <f t="shared" si="1"/>
        <v>5.373E-2</v>
      </c>
      <c r="AC82" s="102">
        <f t="shared" si="2"/>
        <v>2.9689999999999998E-2</v>
      </c>
      <c r="AD82" s="61">
        <v>0</v>
      </c>
      <c r="AE82" s="2"/>
      <c r="AF82" s="2"/>
      <c r="AG82" s="2"/>
    </row>
    <row r="83" spans="1:33" ht="13">
      <c r="A83" s="165"/>
      <c r="B83" s="53" t="s">
        <v>182</v>
      </c>
      <c r="C83" s="54">
        <v>564</v>
      </c>
      <c r="D83" s="62">
        <v>7.0899999999999999E-3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64">
        <v>2.8369999999999999E-2</v>
      </c>
      <c r="K83" s="56">
        <v>0</v>
      </c>
      <c r="L83" s="56">
        <v>0</v>
      </c>
      <c r="M83" s="56">
        <v>0</v>
      </c>
      <c r="N83" s="55">
        <v>3.5500000000000002E-3</v>
      </c>
      <c r="O83" s="56">
        <v>0</v>
      </c>
      <c r="P83" s="56">
        <f t="shared" si="0"/>
        <v>0</v>
      </c>
      <c r="Q83" s="64">
        <v>1.064E-2</v>
      </c>
      <c r="R83" s="56">
        <v>0</v>
      </c>
      <c r="S83" s="56">
        <v>0</v>
      </c>
      <c r="T83" s="54" t="s">
        <v>122</v>
      </c>
      <c r="U83" s="56">
        <v>0</v>
      </c>
      <c r="V83" s="56">
        <v>0</v>
      </c>
      <c r="W83" s="56">
        <v>0</v>
      </c>
      <c r="X83" s="56">
        <v>0</v>
      </c>
      <c r="Y83" s="55">
        <v>3.5500000000000002E-3</v>
      </c>
      <c r="Z83" s="60">
        <v>0.10317</v>
      </c>
      <c r="AA83" s="65">
        <v>0.1986</v>
      </c>
      <c r="AB83" s="65">
        <f t="shared" si="1"/>
        <v>0.15637000000000001</v>
      </c>
      <c r="AC83" s="100">
        <f t="shared" si="2"/>
        <v>0.25180000000000002</v>
      </c>
      <c r="AD83" s="63">
        <v>3.5500000000000002E-3</v>
      </c>
      <c r="AE83" s="2"/>
      <c r="AF83" s="2"/>
      <c r="AG83" s="2"/>
    </row>
    <row r="84" spans="1:33" ht="13">
      <c r="A84" s="165"/>
      <c r="B84" s="53" t="s">
        <v>183</v>
      </c>
      <c r="C84" s="54">
        <v>10640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62">
        <v>7.3299999999999997E-3</v>
      </c>
      <c r="K84" s="64">
        <v>1.034E-2</v>
      </c>
      <c r="L84" s="55">
        <v>1.1299999999999999E-3</v>
      </c>
      <c r="M84" s="56">
        <v>0</v>
      </c>
      <c r="N84" s="55">
        <v>1.6900000000000001E-3</v>
      </c>
      <c r="O84" s="56">
        <v>5.5999999999999995E-4</v>
      </c>
      <c r="P84" s="56">
        <f t="shared" si="0"/>
        <v>-9.9999999999995925E-6</v>
      </c>
      <c r="Q84" s="56">
        <v>7.5000000000000002E-4</v>
      </c>
      <c r="R84" s="55">
        <v>1.1299999999999999E-3</v>
      </c>
      <c r="S84" s="56">
        <v>0</v>
      </c>
      <c r="T84" s="54" t="s">
        <v>122</v>
      </c>
      <c r="U84" s="56">
        <v>0</v>
      </c>
      <c r="V84" s="56">
        <v>0</v>
      </c>
      <c r="W84" s="64">
        <v>1.2409999999999999E-2</v>
      </c>
      <c r="X84" s="55">
        <v>1.5E-3</v>
      </c>
      <c r="Y84" s="56">
        <v>1.9000000000000001E-4</v>
      </c>
      <c r="Z84" s="64">
        <v>3.3779999999999998E-2</v>
      </c>
      <c r="AA84" s="64">
        <v>2.1399999999999999E-2</v>
      </c>
      <c r="AB84" s="58">
        <f t="shared" si="1"/>
        <v>7.0239999999999997E-2</v>
      </c>
      <c r="AC84" s="101">
        <f t="shared" si="2"/>
        <v>5.7859999999999995E-2</v>
      </c>
      <c r="AD84" s="63">
        <v>2.2599999999999999E-3</v>
      </c>
      <c r="AE84" s="2"/>
      <c r="AF84" s="2"/>
      <c r="AG84" s="2"/>
    </row>
    <row r="85" spans="1:33" ht="13">
      <c r="A85" s="165"/>
      <c r="B85" s="53" t="s">
        <v>184</v>
      </c>
      <c r="C85" s="54">
        <v>10240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5">
        <v>4.1000000000000003E-3</v>
      </c>
      <c r="K85" s="64">
        <v>1.0160000000000001E-2</v>
      </c>
      <c r="L85" s="55">
        <v>1.17E-3</v>
      </c>
      <c r="M85" s="56">
        <v>0</v>
      </c>
      <c r="N85" s="55">
        <v>3.13E-3</v>
      </c>
      <c r="O85" s="56">
        <v>0</v>
      </c>
      <c r="P85" s="56">
        <f t="shared" si="0"/>
        <v>0</v>
      </c>
      <c r="Q85" s="55">
        <v>2.3400000000000001E-3</v>
      </c>
      <c r="R85" s="56">
        <v>0</v>
      </c>
      <c r="S85" s="56">
        <v>0</v>
      </c>
      <c r="T85" s="54" t="s">
        <v>122</v>
      </c>
      <c r="U85" s="56">
        <v>0</v>
      </c>
      <c r="V85" s="56">
        <v>0</v>
      </c>
      <c r="W85" s="62">
        <v>8.2000000000000007E-3</v>
      </c>
      <c r="X85" s="55">
        <v>3.32E-3</v>
      </c>
      <c r="Y85" s="56">
        <v>2.0000000000000001E-4</v>
      </c>
      <c r="Z85" s="64">
        <v>3.313E-2</v>
      </c>
      <c r="AA85" s="64">
        <v>2.52E-2</v>
      </c>
      <c r="AB85" s="58">
        <f t="shared" si="1"/>
        <v>6.5750000000000003E-2</v>
      </c>
      <c r="AC85" s="101">
        <f t="shared" si="2"/>
        <v>5.7820000000000003E-2</v>
      </c>
      <c r="AD85" s="63">
        <v>3.13E-3</v>
      </c>
      <c r="AE85" s="2"/>
      <c r="AF85" s="2"/>
      <c r="AG85" s="2"/>
    </row>
    <row r="86" spans="1:33" ht="13">
      <c r="A86" s="165"/>
      <c r="B86" s="53" t="s">
        <v>185</v>
      </c>
      <c r="C86" s="54">
        <v>3298</v>
      </c>
      <c r="D86" s="64">
        <v>2.7289999999999998E-2</v>
      </c>
      <c r="E86" s="56">
        <v>0</v>
      </c>
      <c r="F86" s="62">
        <v>9.1000000000000004E-3</v>
      </c>
      <c r="G86" s="56">
        <v>0</v>
      </c>
      <c r="H86" s="64">
        <v>1.6979999999999999E-2</v>
      </c>
      <c r="I86" s="56">
        <v>0</v>
      </c>
      <c r="J86" s="55">
        <v>1.2099999999999999E-3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f t="shared" si="0"/>
        <v>0</v>
      </c>
      <c r="Q86" s="56">
        <v>6.0999999999999997E-4</v>
      </c>
      <c r="R86" s="64">
        <v>1.213E-2</v>
      </c>
      <c r="S86" s="56">
        <v>0</v>
      </c>
      <c r="T86" s="54" t="s">
        <v>122</v>
      </c>
      <c r="U86" s="56">
        <v>0</v>
      </c>
      <c r="V86" s="56">
        <v>0</v>
      </c>
      <c r="W86" s="56">
        <v>0</v>
      </c>
      <c r="X86" s="56">
        <v>0</v>
      </c>
      <c r="Y86" s="55">
        <v>1.2099999999999999E-3</v>
      </c>
      <c r="Z86" s="58">
        <v>8.0049999999999996E-2</v>
      </c>
      <c r="AA86" s="58">
        <v>6.6100000000000006E-2</v>
      </c>
      <c r="AB86" s="60">
        <f t="shared" si="1"/>
        <v>0.14857999999999999</v>
      </c>
      <c r="AC86" s="103">
        <f t="shared" si="2"/>
        <v>0.13463000000000003</v>
      </c>
      <c r="AD86" s="61">
        <v>0</v>
      </c>
      <c r="AE86" s="2"/>
      <c r="AF86" s="2"/>
      <c r="AG86" s="2"/>
    </row>
    <row r="87" spans="1:33" ht="13">
      <c r="A87" s="165"/>
      <c r="B87" s="53" t="s">
        <v>186</v>
      </c>
      <c r="C87" s="54">
        <v>6354</v>
      </c>
      <c r="D87" s="55">
        <v>1.89E-3</v>
      </c>
      <c r="E87" s="56">
        <v>3.1E-4</v>
      </c>
      <c r="F87" s="56">
        <v>3.1E-4</v>
      </c>
      <c r="G87" s="56">
        <v>0</v>
      </c>
      <c r="H87" s="55">
        <v>1.89E-3</v>
      </c>
      <c r="I87" s="56">
        <v>0</v>
      </c>
      <c r="J87" s="55">
        <v>2.2000000000000001E-3</v>
      </c>
      <c r="K87" s="56">
        <v>3.1E-4</v>
      </c>
      <c r="L87" s="56">
        <v>0</v>
      </c>
      <c r="M87" s="56">
        <v>0</v>
      </c>
      <c r="N87" s="56">
        <v>0</v>
      </c>
      <c r="O87" s="56">
        <v>0</v>
      </c>
      <c r="P87" s="56">
        <f t="shared" si="0"/>
        <v>0</v>
      </c>
      <c r="Q87" s="55">
        <v>2.5200000000000001E-3</v>
      </c>
      <c r="R87" s="56">
        <v>0</v>
      </c>
      <c r="S87" s="56">
        <v>0</v>
      </c>
      <c r="T87" s="54" t="s">
        <v>122</v>
      </c>
      <c r="U87" s="56">
        <v>0</v>
      </c>
      <c r="V87" s="56">
        <v>0</v>
      </c>
      <c r="W87" s="56">
        <v>0</v>
      </c>
      <c r="X87" s="56">
        <v>6.3000000000000003E-4</v>
      </c>
      <c r="Y87" s="56">
        <v>6.3000000000000003E-4</v>
      </c>
      <c r="Z87" s="58">
        <v>6.0909999999999999E-2</v>
      </c>
      <c r="AA87" s="58">
        <v>5.8500000000000003E-2</v>
      </c>
      <c r="AB87" s="58">
        <f t="shared" si="1"/>
        <v>7.1599999999999997E-2</v>
      </c>
      <c r="AC87" s="101">
        <f t="shared" si="2"/>
        <v>6.9190000000000002E-2</v>
      </c>
      <c r="AD87" s="61">
        <v>0</v>
      </c>
      <c r="AE87" s="2"/>
      <c r="AF87" s="2"/>
      <c r="AG87" s="2"/>
    </row>
    <row r="88" spans="1:33" ht="12.5">
      <c r="A88" s="165"/>
      <c r="B88" s="53" t="s">
        <v>187</v>
      </c>
      <c r="C88" s="54">
        <v>13450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2.9999999999999997E-4</v>
      </c>
      <c r="L88" s="56">
        <v>0</v>
      </c>
      <c r="M88" s="56">
        <v>0</v>
      </c>
      <c r="N88" s="56">
        <v>0</v>
      </c>
      <c r="O88" s="56">
        <v>0</v>
      </c>
      <c r="P88" s="56">
        <f t="shared" si="0"/>
        <v>0</v>
      </c>
      <c r="Q88" s="56">
        <v>0</v>
      </c>
      <c r="R88" s="56">
        <v>0</v>
      </c>
      <c r="S88" s="56">
        <v>0</v>
      </c>
      <c r="T88" s="54" t="s">
        <v>122</v>
      </c>
      <c r="U88" s="56">
        <v>0</v>
      </c>
      <c r="V88" s="56">
        <v>0</v>
      </c>
      <c r="W88" s="56">
        <v>0</v>
      </c>
      <c r="X88" s="56">
        <v>0</v>
      </c>
      <c r="Y88" s="56">
        <v>2.9999999999999997E-4</v>
      </c>
      <c r="Z88" s="55">
        <v>2.0899999999999998E-3</v>
      </c>
      <c r="AA88" s="62">
        <v>8.0000000000000002E-3</v>
      </c>
      <c r="AB88" s="55">
        <f t="shared" si="1"/>
        <v>2.6899999999999997E-3</v>
      </c>
      <c r="AC88" s="104">
        <f t="shared" si="2"/>
        <v>8.6E-3</v>
      </c>
      <c r="AD88" s="61">
        <v>0</v>
      </c>
      <c r="AE88" s="2"/>
      <c r="AF88" s="2"/>
      <c r="AG88" s="2"/>
    </row>
    <row r="89" spans="1:33" ht="13">
      <c r="A89" s="165"/>
      <c r="B89" s="53" t="s">
        <v>188</v>
      </c>
      <c r="C89" s="54">
        <v>8708</v>
      </c>
      <c r="D89" s="64">
        <v>1.1480000000000001E-2</v>
      </c>
      <c r="E89" s="55">
        <v>1.15E-3</v>
      </c>
      <c r="F89" s="55">
        <v>1.6100000000000001E-3</v>
      </c>
      <c r="G89" s="56">
        <v>9.2000000000000003E-4</v>
      </c>
      <c r="H89" s="62">
        <v>9.1900000000000003E-3</v>
      </c>
      <c r="I89" s="55">
        <v>4.13E-3</v>
      </c>
      <c r="J89" s="55">
        <v>3.8999999999999998E-3</v>
      </c>
      <c r="K89" s="55">
        <v>1.3799999999999999E-3</v>
      </c>
      <c r="L89" s="64">
        <v>1.125E-2</v>
      </c>
      <c r="M89" s="56">
        <v>0</v>
      </c>
      <c r="N89" s="62">
        <v>7.1199999999999996E-3</v>
      </c>
      <c r="O89" s="64">
        <v>1.1480000000000001E-2</v>
      </c>
      <c r="P89" s="62">
        <f t="shared" si="0"/>
        <v>5.7399999999999986E-3</v>
      </c>
      <c r="Q89" s="56">
        <v>6.8999999999999997E-4</v>
      </c>
      <c r="R89" s="55">
        <v>2.0699999999999998E-3</v>
      </c>
      <c r="S89" s="56">
        <v>0</v>
      </c>
      <c r="T89" s="54" t="s">
        <v>122</v>
      </c>
      <c r="U89" s="56">
        <v>0</v>
      </c>
      <c r="V89" s="62">
        <v>6.6600000000000001E-3</v>
      </c>
      <c r="W89" s="56">
        <v>9.2000000000000003E-4</v>
      </c>
      <c r="X89" s="62">
        <v>6.43E-3</v>
      </c>
      <c r="Y89" s="55">
        <v>1.3799999999999999E-3</v>
      </c>
      <c r="Z89" s="64">
        <v>4.0289999999999999E-2</v>
      </c>
      <c r="AA89" s="64">
        <v>2.07E-2</v>
      </c>
      <c r="AB89" s="60">
        <f t="shared" si="1"/>
        <v>0.11631000000000002</v>
      </c>
      <c r="AC89" s="101">
        <f t="shared" si="2"/>
        <v>9.6720000000000028E-2</v>
      </c>
      <c r="AD89" s="78">
        <v>1.286E-2</v>
      </c>
      <c r="AE89" s="2"/>
      <c r="AF89" s="2"/>
      <c r="AG89" s="2"/>
    </row>
    <row r="90" spans="1:33" ht="13">
      <c r="A90" s="165"/>
      <c r="B90" s="53" t="s">
        <v>189</v>
      </c>
      <c r="C90" s="54">
        <v>6382</v>
      </c>
      <c r="D90" s="62">
        <v>8.1499999999999993E-3</v>
      </c>
      <c r="E90" s="56">
        <v>0</v>
      </c>
      <c r="F90" s="64">
        <v>1.473E-2</v>
      </c>
      <c r="G90" s="56">
        <v>0</v>
      </c>
      <c r="H90" s="64">
        <v>1.5980000000000001E-2</v>
      </c>
      <c r="I90" s="56">
        <v>0</v>
      </c>
      <c r="J90" s="62">
        <v>6.5799999999999999E-3</v>
      </c>
      <c r="K90" s="56">
        <v>0</v>
      </c>
      <c r="L90" s="56">
        <v>6.3000000000000003E-4</v>
      </c>
      <c r="M90" s="56">
        <v>3.1E-4</v>
      </c>
      <c r="N90" s="64">
        <v>1.128E-2</v>
      </c>
      <c r="O90" s="56">
        <v>0</v>
      </c>
      <c r="P90" s="56">
        <f t="shared" si="0"/>
        <v>0</v>
      </c>
      <c r="Q90" s="56">
        <v>3.1E-4</v>
      </c>
      <c r="R90" s="55">
        <v>3.7599999999999999E-3</v>
      </c>
      <c r="S90" s="56">
        <v>0</v>
      </c>
      <c r="T90" s="54" t="s">
        <v>122</v>
      </c>
      <c r="U90" s="56">
        <v>6.3000000000000003E-4</v>
      </c>
      <c r="V90" s="56">
        <v>0</v>
      </c>
      <c r="W90" s="56">
        <v>6.3000000000000003E-4</v>
      </c>
      <c r="X90" s="56">
        <v>6.3000000000000003E-4</v>
      </c>
      <c r="Y90" s="55">
        <v>1.25E-3</v>
      </c>
      <c r="Z90" s="58">
        <v>5.738E-2</v>
      </c>
      <c r="AA90" s="64">
        <v>2.7E-2</v>
      </c>
      <c r="AB90" s="60">
        <f t="shared" si="1"/>
        <v>0.12225</v>
      </c>
      <c r="AC90" s="101">
        <f t="shared" si="2"/>
        <v>9.1869999999999993E-2</v>
      </c>
      <c r="AD90" s="78">
        <v>1.128E-2</v>
      </c>
      <c r="AE90" s="2"/>
      <c r="AF90" s="2"/>
      <c r="AG90" s="2"/>
    </row>
    <row r="91" spans="1:33" ht="14.25" customHeight="1">
      <c r="A91" s="165"/>
      <c r="B91" s="53" t="s">
        <v>190</v>
      </c>
      <c r="C91" s="54">
        <v>2646</v>
      </c>
      <c r="D91" s="64">
        <v>1.3610000000000001E-2</v>
      </c>
      <c r="E91" s="56">
        <v>0</v>
      </c>
      <c r="F91" s="56">
        <v>7.6000000000000004E-4</v>
      </c>
      <c r="G91" s="56">
        <v>0</v>
      </c>
      <c r="H91" s="55">
        <v>3.7799999999999999E-3</v>
      </c>
      <c r="I91" s="56">
        <v>0</v>
      </c>
      <c r="J91" s="55">
        <v>4.5399999999999998E-3</v>
      </c>
      <c r="K91" s="62">
        <v>9.8300000000000002E-3</v>
      </c>
      <c r="L91" s="56">
        <v>0</v>
      </c>
      <c r="M91" s="56">
        <v>0</v>
      </c>
      <c r="N91" s="56">
        <v>0</v>
      </c>
      <c r="O91" s="56">
        <v>0</v>
      </c>
      <c r="P91" s="56">
        <f t="shared" si="0"/>
        <v>0</v>
      </c>
      <c r="Q91" s="55">
        <v>2.2699999999999999E-3</v>
      </c>
      <c r="R91" s="56">
        <v>0</v>
      </c>
      <c r="S91" s="56">
        <v>0</v>
      </c>
      <c r="T91" s="54" t="s">
        <v>122</v>
      </c>
      <c r="U91" s="56">
        <v>0</v>
      </c>
      <c r="V91" s="55">
        <v>1.5100000000000001E-3</v>
      </c>
      <c r="W91" s="55">
        <v>3.0200000000000001E-3</v>
      </c>
      <c r="X91" s="56">
        <v>0</v>
      </c>
      <c r="Y91" s="55">
        <v>3.0200000000000001E-3</v>
      </c>
      <c r="Z91" s="58">
        <v>7.7420000000000003E-2</v>
      </c>
      <c r="AA91" s="64">
        <v>2.7199999999999998E-2</v>
      </c>
      <c r="AB91" s="60">
        <f t="shared" si="1"/>
        <v>0.11976000000000001</v>
      </c>
      <c r="AC91" s="101">
        <f t="shared" si="2"/>
        <v>6.9540000000000005E-2</v>
      </c>
      <c r="AD91" s="61">
        <v>0</v>
      </c>
      <c r="AE91" s="2"/>
      <c r="AF91" s="2"/>
      <c r="AG91" s="2"/>
    </row>
    <row r="92" spans="1:33" ht="13">
      <c r="A92" s="165"/>
      <c r="B92" s="53" t="s">
        <v>191</v>
      </c>
      <c r="C92" s="54">
        <v>2778</v>
      </c>
      <c r="D92" s="64">
        <v>3.024E-2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5">
        <v>2.16E-3</v>
      </c>
      <c r="K92" s="55">
        <v>3.5999999999999999E-3</v>
      </c>
      <c r="L92" s="56">
        <v>0</v>
      </c>
      <c r="M92" s="56">
        <v>0</v>
      </c>
      <c r="N92" s="56">
        <v>0</v>
      </c>
      <c r="O92" s="56">
        <v>0</v>
      </c>
      <c r="P92" s="56">
        <f t="shared" si="0"/>
        <v>0</v>
      </c>
      <c r="Q92" s="56">
        <v>7.2000000000000005E-4</v>
      </c>
      <c r="R92" s="56">
        <v>7.2000000000000005E-4</v>
      </c>
      <c r="S92" s="56">
        <v>0</v>
      </c>
      <c r="T92" s="54" t="s">
        <v>122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8">
        <v>6.9800000000000001E-2</v>
      </c>
      <c r="AA92" s="64">
        <v>3.1E-2</v>
      </c>
      <c r="AB92" s="60">
        <f t="shared" si="1"/>
        <v>0.10724</v>
      </c>
      <c r="AC92" s="101">
        <f t="shared" si="2"/>
        <v>6.8440000000000001E-2</v>
      </c>
      <c r="AD92" s="61">
        <v>0</v>
      </c>
      <c r="AE92" s="2"/>
      <c r="AF92" s="2"/>
      <c r="AG92" s="2"/>
    </row>
    <row r="93" spans="1:33" ht="13">
      <c r="A93" s="165"/>
      <c r="B93" s="53" t="s">
        <v>192</v>
      </c>
      <c r="C93" s="54">
        <v>10548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5">
        <v>3.79E-3</v>
      </c>
      <c r="K93" s="64">
        <v>1.005E-2</v>
      </c>
      <c r="L93" s="55">
        <v>1.33E-3</v>
      </c>
      <c r="M93" s="56">
        <v>0</v>
      </c>
      <c r="N93" s="55">
        <v>3.2200000000000002E-3</v>
      </c>
      <c r="O93" s="56">
        <v>0</v>
      </c>
      <c r="P93" s="56">
        <f t="shared" si="0"/>
        <v>0</v>
      </c>
      <c r="Q93" s="55">
        <v>3.4099999999999998E-3</v>
      </c>
      <c r="R93" s="56">
        <v>0</v>
      </c>
      <c r="S93" s="56">
        <v>0</v>
      </c>
      <c r="T93" s="54" t="s">
        <v>122</v>
      </c>
      <c r="U93" s="56">
        <v>0</v>
      </c>
      <c r="V93" s="56">
        <v>0</v>
      </c>
      <c r="W93" s="62">
        <v>7.9600000000000001E-3</v>
      </c>
      <c r="X93" s="55">
        <v>2.65E-3</v>
      </c>
      <c r="Y93" s="56">
        <v>1.9000000000000001E-4</v>
      </c>
      <c r="Z93" s="64">
        <v>3.7870000000000001E-2</v>
      </c>
      <c r="AA93" s="64">
        <v>2.69E-2</v>
      </c>
      <c r="AB93" s="58">
        <f t="shared" si="1"/>
        <v>7.0470000000000005E-2</v>
      </c>
      <c r="AC93" s="101">
        <f t="shared" si="2"/>
        <v>5.9500000000000004E-2</v>
      </c>
      <c r="AD93" s="63">
        <v>3.2200000000000002E-3</v>
      </c>
      <c r="AE93" s="2"/>
      <c r="AF93" s="2"/>
      <c r="AG93" s="2"/>
    </row>
    <row r="94" spans="1:33" ht="13">
      <c r="A94" s="165"/>
      <c r="B94" s="53" t="s">
        <v>193</v>
      </c>
      <c r="C94" s="54">
        <v>4082</v>
      </c>
      <c r="D94" s="55">
        <v>4.8999999999999998E-3</v>
      </c>
      <c r="E94" s="56">
        <v>0</v>
      </c>
      <c r="F94" s="55">
        <v>2.9399999999999999E-3</v>
      </c>
      <c r="G94" s="56">
        <v>0</v>
      </c>
      <c r="H94" s="62">
        <v>6.8599999999999998E-3</v>
      </c>
      <c r="I94" s="56">
        <v>0</v>
      </c>
      <c r="J94" s="62">
        <v>9.3100000000000006E-3</v>
      </c>
      <c r="K94" s="62">
        <v>7.8399999999999997E-3</v>
      </c>
      <c r="L94" s="56">
        <v>0</v>
      </c>
      <c r="M94" s="56">
        <v>0</v>
      </c>
      <c r="N94" s="56">
        <v>0</v>
      </c>
      <c r="O94" s="56">
        <v>0</v>
      </c>
      <c r="P94" s="56">
        <f t="shared" si="0"/>
        <v>0</v>
      </c>
      <c r="Q94" s="56">
        <v>0</v>
      </c>
      <c r="R94" s="56">
        <v>4.8999999999999998E-4</v>
      </c>
      <c r="S94" s="56">
        <v>0</v>
      </c>
      <c r="T94" s="54" t="s">
        <v>122</v>
      </c>
      <c r="U94" s="56">
        <v>0</v>
      </c>
      <c r="V94" s="56">
        <v>0</v>
      </c>
      <c r="W94" s="56">
        <v>0</v>
      </c>
      <c r="X94" s="56">
        <v>0</v>
      </c>
      <c r="Y94" s="56">
        <v>9.7999999999999997E-4</v>
      </c>
      <c r="Z94" s="64">
        <v>2.419E-2</v>
      </c>
      <c r="AA94" s="64">
        <v>3.1399999999999997E-2</v>
      </c>
      <c r="AB94" s="58">
        <f t="shared" si="1"/>
        <v>5.7510000000000006E-2</v>
      </c>
      <c r="AC94" s="101">
        <f t="shared" si="2"/>
        <v>6.472E-2</v>
      </c>
      <c r="AD94" s="61">
        <v>0</v>
      </c>
      <c r="AE94" s="2"/>
      <c r="AF94" s="2"/>
      <c r="AG94" s="2"/>
    </row>
    <row r="95" spans="1:33" ht="13">
      <c r="A95" s="165"/>
      <c r="B95" s="53" t="s">
        <v>194</v>
      </c>
      <c r="C95" s="54">
        <v>808</v>
      </c>
      <c r="D95" s="55">
        <v>4.9500000000000004E-3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5">
        <v>2.48E-3</v>
      </c>
      <c r="K95" s="56">
        <v>0</v>
      </c>
      <c r="L95" s="56">
        <v>0</v>
      </c>
      <c r="M95" s="56">
        <v>0</v>
      </c>
      <c r="N95" s="64">
        <v>1.238E-2</v>
      </c>
      <c r="O95" s="55">
        <v>4.9500000000000004E-3</v>
      </c>
      <c r="P95" s="55">
        <f t="shared" si="0"/>
        <v>2.4800000000000013E-3</v>
      </c>
      <c r="Q95" s="56">
        <v>0</v>
      </c>
      <c r="R95" s="56">
        <v>0</v>
      </c>
      <c r="S95" s="56">
        <v>0</v>
      </c>
      <c r="T95" s="54" t="s">
        <v>122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8">
        <v>9.9010000000000001E-2</v>
      </c>
      <c r="AA95" s="58">
        <v>9.9000000000000005E-2</v>
      </c>
      <c r="AB95" s="60">
        <f t="shared" si="1"/>
        <v>0.12130000000000001</v>
      </c>
      <c r="AC95" s="103">
        <f t="shared" si="2"/>
        <v>0.12129000000000001</v>
      </c>
      <c r="AD95" s="78">
        <v>1.485E-2</v>
      </c>
      <c r="AE95" s="2"/>
      <c r="AF95" s="2"/>
      <c r="AG95" s="2"/>
    </row>
    <row r="96" spans="1:33" ht="13">
      <c r="A96" s="166"/>
      <c r="B96" s="67" t="s">
        <v>195</v>
      </c>
      <c r="C96" s="105">
        <v>14538</v>
      </c>
      <c r="D96" s="106">
        <v>2.7999999999999998E-4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7">
        <v>2.48E-3</v>
      </c>
      <c r="K96" s="108">
        <v>7.43E-3</v>
      </c>
      <c r="L96" s="106">
        <v>9.6000000000000002E-4</v>
      </c>
      <c r="M96" s="106">
        <v>0</v>
      </c>
      <c r="N96" s="107">
        <v>2.7499999999999998E-3</v>
      </c>
      <c r="O96" s="106">
        <v>0</v>
      </c>
      <c r="P96" s="106">
        <f t="shared" si="0"/>
        <v>0</v>
      </c>
      <c r="Q96" s="107">
        <v>2.0600000000000002E-3</v>
      </c>
      <c r="R96" s="106">
        <v>0</v>
      </c>
      <c r="S96" s="106">
        <v>0</v>
      </c>
      <c r="T96" s="105" t="s">
        <v>122</v>
      </c>
      <c r="U96" s="106">
        <v>0</v>
      </c>
      <c r="V96" s="106">
        <v>0</v>
      </c>
      <c r="W96" s="108">
        <v>6.4700000000000001E-3</v>
      </c>
      <c r="X96" s="107">
        <v>2.48E-3</v>
      </c>
      <c r="Y96" s="106">
        <v>8.3000000000000001E-4</v>
      </c>
      <c r="Z96" s="109">
        <v>3.7969999999999997E-2</v>
      </c>
      <c r="AA96" s="109">
        <v>3.1E-2</v>
      </c>
      <c r="AB96" s="110">
        <f t="shared" si="1"/>
        <v>6.3709999999999989E-2</v>
      </c>
      <c r="AC96" s="111">
        <f t="shared" si="2"/>
        <v>5.6739999999999999E-2</v>
      </c>
      <c r="AD96" s="63">
        <v>2.7499999999999998E-3</v>
      </c>
      <c r="AE96" s="2"/>
      <c r="AF96" s="2"/>
      <c r="AG96" s="2"/>
    </row>
    <row r="97" spans="1:33" ht="13">
      <c r="A97" s="169" t="s">
        <v>196</v>
      </c>
      <c r="B97" s="42" t="s">
        <v>197</v>
      </c>
      <c r="C97" s="43">
        <v>69152</v>
      </c>
      <c r="D97" s="46">
        <v>4.4799999999999996E-3</v>
      </c>
      <c r="E97" s="46">
        <v>1.2700000000000001E-3</v>
      </c>
      <c r="F97" s="45">
        <v>6.7000000000000002E-4</v>
      </c>
      <c r="G97" s="45">
        <v>8.7000000000000001E-4</v>
      </c>
      <c r="H97" s="45">
        <v>7.5000000000000002E-4</v>
      </c>
      <c r="I97" s="46">
        <v>1.33E-3</v>
      </c>
      <c r="J97" s="46">
        <v>2.1099999999999999E-3</v>
      </c>
      <c r="K97" s="46">
        <v>2.5500000000000002E-3</v>
      </c>
      <c r="L97" s="45">
        <v>4.0000000000000002E-4</v>
      </c>
      <c r="M97" s="45">
        <v>2.9E-4</v>
      </c>
      <c r="N97" s="45">
        <v>8.4000000000000003E-4</v>
      </c>
      <c r="O97" s="45">
        <v>2.9E-4</v>
      </c>
      <c r="P97" s="45">
        <f t="shared" si="0"/>
        <v>9.0000000000000019E-5</v>
      </c>
      <c r="Q97" s="44">
        <v>7.3800000000000003E-3</v>
      </c>
      <c r="R97" s="46">
        <v>1.7099999999999999E-3</v>
      </c>
      <c r="S97" s="45">
        <v>0</v>
      </c>
      <c r="T97" s="43" t="s">
        <v>122</v>
      </c>
      <c r="U97" s="45">
        <v>6.0000000000000002E-5</v>
      </c>
      <c r="V97" s="45">
        <v>2.5999999999999998E-4</v>
      </c>
      <c r="W97" s="44">
        <v>5.3800000000000002E-3</v>
      </c>
      <c r="X97" s="48">
        <v>1.787E-2</v>
      </c>
      <c r="Y97" s="46">
        <v>2.81E-3</v>
      </c>
      <c r="Z97" s="49">
        <v>9.9070000000000005E-2</v>
      </c>
      <c r="AA97" s="49">
        <v>7.6799999999999993E-2</v>
      </c>
      <c r="AB97" s="74">
        <f t="shared" si="1"/>
        <v>0.15019000000000002</v>
      </c>
      <c r="AC97" s="99">
        <f t="shared" si="2"/>
        <v>0.12792000000000001</v>
      </c>
      <c r="AD97" s="82">
        <v>1.0399999999999999E-3</v>
      </c>
      <c r="AE97" s="2"/>
      <c r="AF97" s="2"/>
      <c r="AG97" s="2"/>
    </row>
    <row r="98" spans="1:33" ht="13">
      <c r="A98" s="165"/>
      <c r="B98" s="53" t="s">
        <v>198</v>
      </c>
      <c r="C98" s="54">
        <v>85214</v>
      </c>
      <c r="D98" s="55">
        <v>3.64E-3</v>
      </c>
      <c r="E98" s="55">
        <v>1.0300000000000001E-3</v>
      </c>
      <c r="F98" s="56">
        <v>5.4000000000000001E-4</v>
      </c>
      <c r="G98" s="56">
        <v>6.8000000000000005E-4</v>
      </c>
      <c r="H98" s="56">
        <v>6.0999999999999997E-4</v>
      </c>
      <c r="I98" s="55">
        <v>1.08E-3</v>
      </c>
      <c r="J98" s="55">
        <v>2.7499999999999998E-3</v>
      </c>
      <c r="K98" s="55">
        <v>2.14E-3</v>
      </c>
      <c r="L98" s="56">
        <v>3.3E-4</v>
      </c>
      <c r="M98" s="56">
        <v>2.3000000000000001E-4</v>
      </c>
      <c r="N98" s="56">
        <v>8.0000000000000004E-4</v>
      </c>
      <c r="O98" s="56">
        <v>3.8000000000000002E-4</v>
      </c>
      <c r="P98" s="56">
        <f t="shared" si="0"/>
        <v>1.0000000000000005E-4</v>
      </c>
      <c r="Q98" s="62">
        <v>9.1800000000000007E-3</v>
      </c>
      <c r="R98" s="55">
        <v>1.3799999999999999E-3</v>
      </c>
      <c r="S98" s="56">
        <v>0</v>
      </c>
      <c r="T98" s="54" t="s">
        <v>122</v>
      </c>
      <c r="U98" s="56">
        <v>5.0000000000000002E-5</v>
      </c>
      <c r="V98" s="56">
        <v>2.1000000000000001E-4</v>
      </c>
      <c r="W98" s="62">
        <v>5.1900000000000002E-3</v>
      </c>
      <c r="X98" s="64">
        <v>2.5610000000000001E-2</v>
      </c>
      <c r="Y98" s="55">
        <v>2.9099999999999998E-3</v>
      </c>
      <c r="Z98" s="60">
        <v>0.10138999999999999</v>
      </c>
      <c r="AA98" s="58">
        <v>7.2700000000000001E-2</v>
      </c>
      <c r="AB98" s="65">
        <f t="shared" si="1"/>
        <v>0.15984999999999999</v>
      </c>
      <c r="AC98" s="103">
        <f t="shared" si="2"/>
        <v>0.13116</v>
      </c>
      <c r="AD98" s="63">
        <v>1.08E-3</v>
      </c>
      <c r="AE98" s="2"/>
      <c r="AF98" s="2"/>
      <c r="AG98" s="2"/>
    </row>
    <row r="99" spans="1:33" ht="13">
      <c r="A99" s="165"/>
      <c r="B99" s="53" t="s">
        <v>199</v>
      </c>
      <c r="C99" s="54">
        <v>75168</v>
      </c>
      <c r="D99" s="55">
        <v>4.1200000000000004E-3</v>
      </c>
      <c r="E99" s="55">
        <v>1.17E-3</v>
      </c>
      <c r="F99" s="56">
        <v>6.0999999999999997E-4</v>
      </c>
      <c r="G99" s="56">
        <v>7.6999999999999996E-4</v>
      </c>
      <c r="H99" s="56">
        <v>6.8999999999999997E-4</v>
      </c>
      <c r="I99" s="55">
        <v>1.2199999999999999E-3</v>
      </c>
      <c r="J99" s="55">
        <v>2.0799999999999998E-3</v>
      </c>
      <c r="K99" s="55">
        <v>2.5000000000000001E-3</v>
      </c>
      <c r="L99" s="56">
        <v>3.6999999999999999E-4</v>
      </c>
      <c r="M99" s="56">
        <v>2.7E-4</v>
      </c>
      <c r="N99" s="56">
        <v>8.1999999999999998E-4</v>
      </c>
      <c r="O99" s="56">
        <v>2.7E-4</v>
      </c>
      <c r="P99" s="56">
        <f t="shared" si="0"/>
        <v>7.9999999999999993E-5</v>
      </c>
      <c r="Q99" s="62">
        <v>9.1299999999999992E-3</v>
      </c>
      <c r="R99" s="55">
        <v>1.57E-3</v>
      </c>
      <c r="S99" s="56">
        <v>0</v>
      </c>
      <c r="T99" s="54" t="s">
        <v>122</v>
      </c>
      <c r="U99" s="56">
        <v>5.0000000000000002E-5</v>
      </c>
      <c r="V99" s="56">
        <v>2.4000000000000001E-4</v>
      </c>
      <c r="W99" s="62">
        <v>5.0000000000000001E-3</v>
      </c>
      <c r="X99" s="64">
        <v>2.0809999999999999E-2</v>
      </c>
      <c r="Y99" s="55">
        <v>2.5799999999999998E-3</v>
      </c>
      <c r="Z99" s="58">
        <v>9.5839999999999995E-2</v>
      </c>
      <c r="AA99" s="58">
        <v>7.51E-2</v>
      </c>
      <c r="AB99" s="60">
        <f t="shared" si="1"/>
        <v>0.14992</v>
      </c>
      <c r="AC99" s="103">
        <f t="shared" si="2"/>
        <v>0.12918000000000002</v>
      </c>
      <c r="AD99" s="63">
        <v>1.01E-3</v>
      </c>
      <c r="AE99" s="2"/>
      <c r="AF99" s="2"/>
      <c r="AG99" s="2"/>
    </row>
    <row r="100" spans="1:33" ht="13">
      <c r="A100" s="166"/>
      <c r="B100" s="67" t="s">
        <v>200</v>
      </c>
      <c r="C100" s="105">
        <v>68422</v>
      </c>
      <c r="D100" s="107">
        <v>4.5300000000000002E-3</v>
      </c>
      <c r="E100" s="107">
        <v>1.2899999999999999E-3</v>
      </c>
      <c r="F100" s="106">
        <v>6.7000000000000002E-4</v>
      </c>
      <c r="G100" s="106">
        <v>8.4999999999999995E-4</v>
      </c>
      <c r="H100" s="106">
        <v>7.2999999999999996E-4</v>
      </c>
      <c r="I100" s="107">
        <v>1.34E-3</v>
      </c>
      <c r="J100" s="107">
        <v>1.58E-3</v>
      </c>
      <c r="K100" s="107">
        <v>2.31E-3</v>
      </c>
      <c r="L100" s="106">
        <v>3.2000000000000003E-4</v>
      </c>
      <c r="M100" s="106">
        <v>2.3000000000000001E-4</v>
      </c>
      <c r="N100" s="106">
        <v>8.1999999999999998E-4</v>
      </c>
      <c r="O100" s="106">
        <v>3.5E-4</v>
      </c>
      <c r="P100" s="106">
        <f t="shared" si="0"/>
        <v>9.0000000000000019E-5</v>
      </c>
      <c r="Q100" s="108">
        <v>9.7599999999999996E-3</v>
      </c>
      <c r="R100" s="107">
        <v>1.5200000000000001E-3</v>
      </c>
      <c r="S100" s="106">
        <v>0</v>
      </c>
      <c r="T100" s="105" t="s">
        <v>122</v>
      </c>
      <c r="U100" s="106">
        <v>6.0000000000000002E-5</v>
      </c>
      <c r="V100" s="106">
        <v>2.5999999999999998E-4</v>
      </c>
      <c r="W100" s="107">
        <v>4.0299999999999997E-3</v>
      </c>
      <c r="X100" s="109">
        <v>2.1479999999999999E-2</v>
      </c>
      <c r="Y100" s="107">
        <v>2.0200000000000001E-3</v>
      </c>
      <c r="Z100" s="110">
        <v>9.4740000000000005E-2</v>
      </c>
      <c r="AA100" s="110">
        <v>7.9399999999999998E-2</v>
      </c>
      <c r="AB100" s="112">
        <f t="shared" si="1"/>
        <v>0.14863000000000001</v>
      </c>
      <c r="AC100" s="113">
        <f t="shared" si="2"/>
        <v>0.13328999999999999</v>
      </c>
      <c r="AD100" s="63">
        <v>1.08E-3</v>
      </c>
      <c r="AE100" s="2"/>
      <c r="AF100" s="2"/>
      <c r="AG100" s="2"/>
    </row>
    <row r="101" spans="1:33" ht="13">
      <c r="A101" s="114"/>
      <c r="B101" s="115" t="s">
        <v>201</v>
      </c>
      <c r="C101" s="116">
        <v>143872</v>
      </c>
      <c r="D101" s="92">
        <v>2.8900000000000002E-3</v>
      </c>
      <c r="E101" s="93">
        <v>8.5999999999999998E-4</v>
      </c>
      <c r="F101" s="93">
        <v>4.2000000000000002E-4</v>
      </c>
      <c r="G101" s="93">
        <v>3.1E-4</v>
      </c>
      <c r="H101" s="92">
        <v>1.5E-3</v>
      </c>
      <c r="I101" s="93">
        <v>8.3000000000000001E-4</v>
      </c>
      <c r="J101" s="92">
        <v>1.01E-3</v>
      </c>
      <c r="K101" s="92">
        <v>1.4499999999999999E-3</v>
      </c>
      <c r="L101" s="92">
        <v>1.3500000000000001E-3</v>
      </c>
      <c r="M101" s="93">
        <v>5.8E-4</v>
      </c>
      <c r="N101" s="93">
        <v>5.0000000000000001E-4</v>
      </c>
      <c r="O101" s="93">
        <v>3.0000000000000001E-5</v>
      </c>
      <c r="P101" s="93">
        <f t="shared" si="0"/>
        <v>0</v>
      </c>
      <c r="Q101" s="92">
        <v>4.0499999999999998E-3</v>
      </c>
      <c r="R101" s="93">
        <v>3.3E-4</v>
      </c>
      <c r="S101" s="93">
        <v>0</v>
      </c>
      <c r="T101" s="91" t="s">
        <v>122</v>
      </c>
      <c r="U101" s="92">
        <v>1.4599999999999999E-3</v>
      </c>
      <c r="V101" s="92">
        <v>1.07E-3</v>
      </c>
      <c r="W101" s="94">
        <v>5.96E-3</v>
      </c>
      <c r="X101" s="117">
        <v>2.333E-2</v>
      </c>
      <c r="Y101" s="92">
        <v>3.32E-3</v>
      </c>
      <c r="Z101" s="96">
        <v>0.11394</v>
      </c>
      <c r="AA101" s="96">
        <v>0.10009999999999999</v>
      </c>
      <c r="AB101" s="118">
        <f t="shared" si="1"/>
        <v>0.16516</v>
      </c>
      <c r="AC101" s="119">
        <f t="shared" si="2"/>
        <v>0.15132000000000001</v>
      </c>
      <c r="AD101" s="120">
        <v>5.2999999999999998E-4</v>
      </c>
      <c r="AE101" s="2"/>
      <c r="AF101" s="2"/>
      <c r="AG101" s="2"/>
    </row>
    <row r="102" spans="1:33" ht="12.5">
      <c r="A102" s="121"/>
      <c r="B102" s="122"/>
      <c r="C102" s="123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123"/>
      <c r="AB102" s="123"/>
      <c r="AC102" s="123"/>
      <c r="AD102" s="124"/>
      <c r="AF102" s="125"/>
      <c r="AG102" s="125"/>
    </row>
    <row r="103" spans="1:33" ht="12.5">
      <c r="A103" s="121"/>
      <c r="B103" s="123" t="s">
        <v>202</v>
      </c>
      <c r="C103" s="126"/>
      <c r="D103" s="127">
        <f t="shared" ref="D103:AC103" si="3">MAX(D2:D102)</f>
        <v>3.024E-2</v>
      </c>
      <c r="E103" s="127">
        <f t="shared" si="3"/>
        <v>4.5999999999999999E-3</v>
      </c>
      <c r="F103" s="127">
        <f t="shared" si="3"/>
        <v>1.473E-2</v>
      </c>
      <c r="G103" s="127">
        <f t="shared" si="3"/>
        <v>2.4709999999999999E-2</v>
      </c>
      <c r="H103" s="127">
        <f t="shared" si="3"/>
        <v>3.85E-2</v>
      </c>
      <c r="I103" s="127">
        <f t="shared" si="3"/>
        <v>1.821E-2</v>
      </c>
      <c r="J103" s="127">
        <f t="shared" si="3"/>
        <v>2.8369999999999999E-2</v>
      </c>
      <c r="K103" s="127">
        <f t="shared" si="3"/>
        <v>1.034E-2</v>
      </c>
      <c r="L103" s="127">
        <f t="shared" si="3"/>
        <v>1.125E-2</v>
      </c>
      <c r="M103" s="127">
        <f t="shared" si="3"/>
        <v>1.74E-3</v>
      </c>
      <c r="N103" s="127">
        <f t="shared" si="3"/>
        <v>1.6910000000000001E-2</v>
      </c>
      <c r="O103" s="127">
        <f t="shared" si="3"/>
        <v>1.1480000000000001E-2</v>
      </c>
      <c r="P103" s="127">
        <f t="shared" si="3"/>
        <v>5.7399999999999986E-3</v>
      </c>
      <c r="Q103" s="127">
        <f t="shared" si="3"/>
        <v>1.4080000000000001E-2</v>
      </c>
      <c r="R103" s="127">
        <f t="shared" si="3"/>
        <v>1.457E-2</v>
      </c>
      <c r="S103" s="127">
        <f t="shared" si="3"/>
        <v>1.421E-2</v>
      </c>
      <c r="T103" s="127">
        <f t="shared" si="3"/>
        <v>6.9499999999999996E-3</v>
      </c>
      <c r="U103" s="127">
        <f t="shared" si="3"/>
        <v>2.2200000000000002E-3</v>
      </c>
      <c r="V103" s="127">
        <f t="shared" si="3"/>
        <v>1.6910000000000001E-2</v>
      </c>
      <c r="W103" s="127">
        <f t="shared" si="3"/>
        <v>5.1810000000000002E-2</v>
      </c>
      <c r="X103" s="127">
        <f t="shared" si="3"/>
        <v>8.4449999999999997E-2</v>
      </c>
      <c r="Y103" s="127">
        <f t="shared" si="3"/>
        <v>1.7989999999999999E-2</v>
      </c>
      <c r="Z103" s="127">
        <f t="shared" si="3"/>
        <v>0.17544000000000001</v>
      </c>
      <c r="AA103" s="127">
        <f t="shared" si="3"/>
        <v>0.51549999999999996</v>
      </c>
      <c r="AB103" s="127">
        <f t="shared" si="3"/>
        <v>0.24569000000000002</v>
      </c>
      <c r="AC103" s="127">
        <f t="shared" si="3"/>
        <v>0.53094999999999992</v>
      </c>
      <c r="AD103" s="123"/>
      <c r="AE103" s="121"/>
      <c r="AF103" s="128"/>
      <c r="AG103" s="128"/>
    </row>
    <row r="104" spans="1:33" ht="12.5">
      <c r="A104" s="121"/>
      <c r="B104" s="88" t="s">
        <v>203</v>
      </c>
      <c r="C104" s="126"/>
      <c r="D104" s="123" t="s">
        <v>9</v>
      </c>
      <c r="E104" s="123" t="s">
        <v>9</v>
      </c>
      <c r="F104" s="129" t="s">
        <v>204</v>
      </c>
      <c r="G104" s="129" t="s">
        <v>204</v>
      </c>
      <c r="H104" s="123" t="s">
        <v>9</v>
      </c>
      <c r="I104" s="123" t="s">
        <v>9</v>
      </c>
      <c r="J104" s="123" t="s">
        <v>9</v>
      </c>
      <c r="K104" s="123" t="s">
        <v>9</v>
      </c>
      <c r="L104" s="129" t="s">
        <v>9</v>
      </c>
      <c r="M104" s="129" t="s">
        <v>204</v>
      </c>
      <c r="N104" s="123" t="s">
        <v>9</v>
      </c>
      <c r="O104" s="129" t="s">
        <v>204</v>
      </c>
      <c r="P104" s="129" t="s">
        <v>204</v>
      </c>
      <c r="Q104" s="129" t="s">
        <v>204</v>
      </c>
      <c r="R104" s="123" t="s">
        <v>9</v>
      </c>
      <c r="S104" s="123" t="s">
        <v>9</v>
      </c>
      <c r="T104" s="123" t="s">
        <v>9</v>
      </c>
      <c r="U104" s="123" t="s">
        <v>204</v>
      </c>
      <c r="V104" s="129" t="s">
        <v>9</v>
      </c>
      <c r="W104" s="123" t="s">
        <v>9</v>
      </c>
      <c r="X104" s="129" t="s">
        <v>9</v>
      </c>
      <c r="Y104" s="129" t="s">
        <v>9</v>
      </c>
      <c r="Z104" s="123" t="s">
        <v>9</v>
      </c>
      <c r="AA104" s="123"/>
      <c r="AB104" s="123"/>
      <c r="AC104" s="123"/>
      <c r="AD104" s="123"/>
      <c r="AE104" s="121"/>
      <c r="AF104" s="128"/>
      <c r="AG104" s="128"/>
    </row>
    <row r="105" spans="1:33" ht="12.5">
      <c r="A105" s="121"/>
      <c r="B105" s="122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1"/>
      <c r="AF105" s="128"/>
      <c r="AG105" s="128"/>
    </row>
    <row r="106" spans="1:33" ht="12.5">
      <c r="A106" s="130">
        <f>ROW(A106)</f>
        <v>106</v>
      </c>
      <c r="B106" s="88" t="s">
        <v>205</v>
      </c>
      <c r="C106" s="123"/>
      <c r="D106" s="127">
        <f ca="1">IFERROR(__xludf.DUMMYFUNCTION("average.weighted(D57:D60,$C57:$C60)"),0.0112734140480933)</f>
        <v>1.1273414048093299E-2</v>
      </c>
      <c r="E106" s="127">
        <f ca="1">IFERROR(__xludf.DUMMYFUNCTION("average.weighted(E57:E60,$C57:$C60)"),0.00422598238976542)</f>
        <v>4.2259823897654201E-3</v>
      </c>
      <c r="F106" s="127">
        <f ca="1">IFERROR(__xludf.DUMMYFUNCTION("average.weighted(F57:F60,$C57:$C60)"),0.000109784997604291)</f>
        <v>1.09784997604291E-4</v>
      </c>
      <c r="G106" s="127">
        <f ca="1">IFERROR(__xludf.DUMMYFUNCTION("average.weighted(G57:G60,$C57:$C60)"),0.000102078920466743)</f>
        <v>1.02078920466743E-4</v>
      </c>
      <c r="H106" s="127">
        <f ca="1">IFERROR(__xludf.DUMMYFUNCTION("average.weighted(H57:H60,$C57:$C60)"),0.00549688513821887)</f>
        <v>5.4968851382188703E-3</v>
      </c>
      <c r="I106" s="127">
        <f ca="1">IFERROR(__xludf.DUMMYFUNCTION("average.weighted(I57:I60,$C57:$C60)"),0.00200651480576278)</f>
        <v>2.0065148057627799E-3</v>
      </c>
      <c r="J106" s="127">
        <f ca="1">IFERROR(__xludf.DUMMYFUNCTION("average.weighted(J57:J60,$C57:$C60)"),0.00234027720550913)</f>
        <v>2.3402772055091301E-3</v>
      </c>
      <c r="K106" s="127">
        <f ca="1">IFERROR(__xludf.DUMMYFUNCTION("average.weighted(K57:K60,$C57:$C60)"),0.00331697938837633)</f>
        <v>3.3169793883763301E-3</v>
      </c>
      <c r="L106" s="127">
        <f ca="1">IFERROR(__xludf.DUMMYFUNCTION("average.weighted(L57:L60,$C57:$C60)"),0.000405177943557961)</f>
        <v>4.0517794355796099E-4</v>
      </c>
      <c r="M106" s="127">
        <f ca="1">IFERROR(__xludf.DUMMYFUNCTION("average.weighted(M57:M60,$C57:$C60)"),0.000320990159822902)</f>
        <v>3.2099015982290198E-4</v>
      </c>
      <c r="N106" s="127">
        <f ca="1">IFERROR(__xludf.DUMMYFUNCTION("average.weighted(N57:N60,$C57:$C60)"),0.00244765627199324)</f>
        <v>2.4476562719932399E-3</v>
      </c>
      <c r="O106" s="127">
        <f ca="1">IFERROR(__xludf.DUMMYFUNCTION("average.weighted(O57:O60,$C57:$C60)"),0.002786099004608)</f>
        <v>2.786099004608E-3</v>
      </c>
      <c r="P106" s="127">
        <f ca="1">IFERROR(__xludf.DUMMYFUNCTION("average.weighted(P57:P60,$C57:$C60)"),0.00138472002911816)</f>
        <v>1.38472002911816E-3</v>
      </c>
      <c r="Q106" s="127">
        <f ca="1">IFERROR(__xludf.DUMMYFUNCTION("average.weighted(Q57:Q60,$C57:$C60)"),0.00269058064295981)</f>
        <v>2.6905806429598101E-3</v>
      </c>
      <c r="R106" s="127">
        <f ca="1">IFERROR(__xludf.DUMMYFUNCTION("average.weighted(R57:R60,$C57:$C60)"),0.00225232626848143)</f>
        <v>2.25232626848143E-3</v>
      </c>
      <c r="S106" s="127">
        <f ca="1">IFERROR(__xludf.DUMMYFUNCTION("average.weighted(S57:S60,$C57:$C60)"),0.00350042281055704)</f>
        <v>3.5004228105570399E-3</v>
      </c>
      <c r="T106" s="129" t="s">
        <v>122</v>
      </c>
      <c r="U106" s="127">
        <f ca="1">IFERROR(__xludf.DUMMYFUNCTION("average.weighted(U57:U60,$C57:$C60)"),0.00028084384388227)</f>
        <v>2.8084384388227002E-4</v>
      </c>
      <c r="V106" s="127">
        <f ca="1">IFERROR(__xludf.DUMMYFUNCTION("average.weighted(V57:V60,$C57:$C60)"),0.000204643338011007)</f>
        <v>2.04643338011007E-4</v>
      </c>
      <c r="W106" s="127">
        <f ca="1">IFERROR(__xludf.DUMMYFUNCTION("average.weighted(W57:W60,$C57:$C60)"),0.0391445022684586)</f>
        <v>3.91445022684586E-2</v>
      </c>
      <c r="X106" s="127">
        <f ca="1">IFERROR(__xludf.DUMMYFUNCTION("average.weighted(X57:X60,$C57:$C60)"),0.0213873324034856)</f>
        <v>2.1387332403485601E-2</v>
      </c>
      <c r="Y106" s="127">
        <f ca="1">IFERROR(__xludf.DUMMYFUNCTION("average.weighted(Y57:Y60,$C57:$C60)"),0.0149991837529733)</f>
        <v>1.4999183752973299E-2</v>
      </c>
      <c r="Z106" s="127">
        <f ca="1">IFERROR(__xludf.DUMMYFUNCTION("average.weighted(Z57:Z60,$C57:$C60)"),0.106990163732812)</f>
        <v>0.106990163732812</v>
      </c>
      <c r="AA106" s="127">
        <f ca="1">IFERROR(__xludf.DUMMYFUNCTION("average.weighted(AA57:AA60,$C57:$C60)"),0.0471095707487548)</f>
        <v>4.7109570748754798E-2</v>
      </c>
      <c r="AB106" s="127">
        <f t="shared" ref="AB106:AC106" ca="1" si="4">IF(ISNUMBER(AA106),SUM(D106:AA106)-Z106,SUM(D106:AA106))</f>
        <v>0.16778596638046095</v>
      </c>
      <c r="AC106" s="127">
        <f t="shared" ca="1" si="4"/>
        <v>0.3841791116968859</v>
      </c>
      <c r="AD106" s="124"/>
      <c r="AE106" s="121"/>
      <c r="AF106" s="128"/>
      <c r="AG106" s="128"/>
    </row>
    <row r="107" spans="1:33" ht="12.5">
      <c r="A107" s="121"/>
      <c r="B107" s="88" t="s">
        <v>206</v>
      </c>
      <c r="C107" s="123"/>
      <c r="D107" s="127">
        <f ca="1">IFERROR(__xludf.DUMMYFUNCTION("average.weighted(D2:D27,$C2:$C27)"),0.00481150332085561)</f>
        <v>4.8115033208556103E-3</v>
      </c>
      <c r="E107" s="127">
        <f ca="1">IFERROR(__xludf.DUMMYFUNCTION("average.weighted(E2:E27,$C2:$C27)"),0.000533278255482469)</f>
        <v>5.3327825548246904E-4</v>
      </c>
      <c r="F107" s="127">
        <f ca="1">IFERROR(__xludf.DUMMYFUNCTION("average.weighted(F2:F27,$C2:$C27)"),0.000103897104335802)</f>
        <v>1.03897104335802E-4</v>
      </c>
      <c r="G107" s="127">
        <f ca="1">IFERROR(__xludf.DUMMYFUNCTION("average.weighted(G2:G27,$C2:$C27)"),0.000037603568511016)</f>
        <v>3.7603568511016E-5</v>
      </c>
      <c r="H107" s="127">
        <f ca="1">IFERROR(__xludf.DUMMYFUNCTION("average.weighted(H2:H27,$C2:$C27)"),0.00108220760883158)</f>
        <v>1.0822076088315799E-3</v>
      </c>
      <c r="I107" s="127">
        <f ca="1">IFERROR(__xludf.DUMMYFUNCTION("average.weighted(I2:I27,$C2:$C27)"),0.000121706185235147)</f>
        <v>1.2170618523514699E-4</v>
      </c>
      <c r="J107" s="127">
        <f ca="1">IFERROR(__xludf.DUMMYFUNCTION("average.weighted(J2:J27,$C2:$C27)"),0.00191755356795505)</f>
        <v>1.91755356795505E-3</v>
      </c>
      <c r="K107" s="127">
        <f ca="1">IFERROR(__xludf.DUMMYFUNCTION("average.weighted(K2:K27,$C2:$C27)"),0.00105469974476709)</f>
        <v>1.0546997447670901E-3</v>
      </c>
      <c r="L107" s="127">
        <f ca="1">IFERROR(__xludf.DUMMYFUNCTION("average.weighted(L2:L27,$C2:$C27)"),0.000169480652582481)</f>
        <v>1.6948065258248101E-4</v>
      </c>
      <c r="M107" s="127">
        <f ca="1">IFERROR(__xludf.DUMMYFUNCTION("average.weighted(M2:M27,$C2:$C27)"),0.0000867621482722943)</f>
        <v>8.6762148272294298E-5</v>
      </c>
      <c r="N107" s="127">
        <f ca="1">IFERROR(__xludf.DUMMYFUNCTION("average.weighted(N2:N27,$C2:$C27)"),0.0001620593985849)</f>
        <v>1.6205939858489999E-4</v>
      </c>
      <c r="O107" s="127">
        <f ca="1">IFERROR(__xludf.DUMMYFUNCTION("average.weighted(O2:O27,$C2:$C27)"),0.0000889448433083005)</f>
        <v>8.8944843308300504E-5</v>
      </c>
      <c r="P107" s="127">
        <f ca="1">IFERROR(__xludf.DUMMYFUNCTION("average.weighted(P2:P27,$C2:$C27)"),0.0000340323010400264)</f>
        <v>3.4032301040026398E-5</v>
      </c>
      <c r="Q107" s="127">
        <f ca="1">IFERROR(__xludf.DUMMYFUNCTION("average.weighted(Q2:Q27,$C2:$C27)"),0.00389970797500905)</f>
        <v>3.8997079750090501E-3</v>
      </c>
      <c r="R107" s="127">
        <f ca="1">IFERROR(__xludf.DUMMYFUNCTION("average.weighted(R2:R27,$C2:$C27)"),0.000700059725021651)</f>
        <v>7.0005972502165095E-4</v>
      </c>
      <c r="S107" s="127">
        <f ca="1">IFERROR(__xludf.DUMMYFUNCTION("average.weighted(S2:S27,$C2:$C27)"),0)</f>
        <v>0</v>
      </c>
      <c r="T107" s="127">
        <f ca="1">IFERROR(__xludf.DUMMYFUNCTION("average.weighted(T2:T27,$C2:$C27)"),0.00169981572796424)</f>
        <v>1.69981572796424E-3</v>
      </c>
      <c r="U107" s="127">
        <f ca="1">IFERROR(__xludf.DUMMYFUNCTION("average.weighted(U2:U27,$C2:$C27)"),0)</f>
        <v>0</v>
      </c>
      <c r="V107" s="127">
        <f ca="1">IFERROR(__xludf.DUMMYFUNCTION("average.weighted(V2:V27,$C2:$C27)"),0)</f>
        <v>0</v>
      </c>
      <c r="W107" s="127">
        <f ca="1">IFERROR(__xludf.DUMMYFUNCTION("average.weighted(W2:W27,$C2:$C27)"),0.00323331288825279)</f>
        <v>3.2333128882527898E-3</v>
      </c>
      <c r="X107" s="127">
        <f ca="1">IFERROR(__xludf.DUMMYFUNCTION("average.weighted(X2:X27,$C2:$C27)"),0.0329335675171547)</f>
        <v>3.2933567517154698E-2</v>
      </c>
      <c r="Y107" s="127">
        <f ca="1">IFERROR(__xludf.DUMMYFUNCTION("average.weighted(Y2:Y27,$C2:$C27)"),0)</f>
        <v>0</v>
      </c>
      <c r="Z107" s="127">
        <f ca="1">IFERROR(__xludf.DUMMYFUNCTION("average.weighted(Z2:Z27,$C2:$C27)"),0.0680772286480782)</f>
        <v>6.8077228648078206E-2</v>
      </c>
      <c r="AA107" s="127">
        <f ca="1">IFERROR(__xludf.DUMMYFUNCTION("average.weighted(AA58:AA61,$C58:$C61)"),0.0514175690181755)</f>
        <v>5.1417569018175499E-2</v>
      </c>
      <c r="AB107" s="127">
        <f t="shared" ref="AB107:AC107" ca="1" si="5">IF(ISNUMBER(AA107),SUM(D107:AA107)-Z107,SUM(D107:AA107))</f>
        <v>0.10408776155133968</v>
      </c>
      <c r="AC107" s="127">
        <f t="shared" ca="1" si="5"/>
        <v>0.22002367941172646</v>
      </c>
      <c r="AD107" s="131"/>
      <c r="AE107" s="121"/>
      <c r="AF107" s="128"/>
      <c r="AG107" s="128"/>
    </row>
    <row r="108" spans="1:33" ht="12.5">
      <c r="A108" s="122"/>
      <c r="B108" s="88" t="s">
        <v>207</v>
      </c>
      <c r="C108" s="123"/>
      <c r="D108" s="127">
        <f t="shared" ref="D108:S108" si="6">AVERAGE(D77,D33)</f>
        <v>3.5499999999999998E-3</v>
      </c>
      <c r="E108" s="127">
        <f t="shared" si="6"/>
        <v>2.7899999999999999E-3</v>
      </c>
      <c r="F108" s="127">
        <f t="shared" si="6"/>
        <v>2.2000000000000001E-4</v>
      </c>
      <c r="G108" s="127">
        <f t="shared" si="6"/>
        <v>3.4549999999999997E-3</v>
      </c>
      <c r="H108" s="127">
        <f t="shared" si="6"/>
        <v>1.0950000000000001E-3</v>
      </c>
      <c r="I108" s="127">
        <f t="shared" si="6"/>
        <v>3.4000000000000002E-3</v>
      </c>
      <c r="J108" s="127">
        <f t="shared" si="6"/>
        <v>1.2850000000000001E-3</v>
      </c>
      <c r="K108" s="127">
        <f t="shared" si="6"/>
        <v>3.2450000000000001E-3</v>
      </c>
      <c r="L108" s="127">
        <f t="shared" si="6"/>
        <v>2.2000000000000001E-4</v>
      </c>
      <c r="M108" s="127">
        <f t="shared" si="6"/>
        <v>8.0000000000000004E-4</v>
      </c>
      <c r="N108" s="127">
        <f t="shared" si="6"/>
        <v>2.0400000000000001E-3</v>
      </c>
      <c r="O108" s="127">
        <f t="shared" si="6"/>
        <v>3.8999999999999999E-4</v>
      </c>
      <c r="P108" s="127">
        <f t="shared" si="6"/>
        <v>1.699999999999998E-4</v>
      </c>
      <c r="Q108" s="127">
        <f t="shared" si="6"/>
        <v>2.9449999999999997E-3</v>
      </c>
      <c r="R108" s="127">
        <f t="shared" si="6"/>
        <v>1.075E-3</v>
      </c>
      <c r="S108" s="127">
        <f t="shared" si="6"/>
        <v>2.1199999999999999E-3</v>
      </c>
      <c r="T108" s="129" t="s">
        <v>122</v>
      </c>
      <c r="U108" s="127">
        <f t="shared" ref="U108:Z108" si="7">AVERAGE(U77,U33)</f>
        <v>0</v>
      </c>
      <c r="V108" s="127">
        <f t="shared" si="7"/>
        <v>9.7000000000000005E-4</v>
      </c>
      <c r="W108" s="127">
        <f t="shared" si="7"/>
        <v>3.3150000000000002E-3</v>
      </c>
      <c r="X108" s="127">
        <f t="shared" si="7"/>
        <v>8.7600000000000004E-3</v>
      </c>
      <c r="Y108" s="127">
        <f t="shared" si="7"/>
        <v>1.075E-3</v>
      </c>
      <c r="Z108" s="127">
        <f t="shared" si="7"/>
        <v>0.12508</v>
      </c>
      <c r="AA108" s="127">
        <f ca="1">IFERROR(__xludf.DUMMYFUNCTION("average.weighted(AA59:AA72,$C59:$C72)"),0.0534959960374065)</f>
        <v>5.3495996037406499E-2</v>
      </c>
      <c r="AB108" s="127">
        <f t="shared" ref="AB108:AC108" ca="1" si="8">IF(ISNUMBER(AA108),SUM(D108:AA108)-Z108,SUM(D108:AA108))</f>
        <v>9.6415996037406498E-2</v>
      </c>
      <c r="AC108" s="127">
        <f t="shared" ca="1" si="8"/>
        <v>0.26086599603740646</v>
      </c>
      <c r="AD108" s="131"/>
      <c r="AE108" s="121"/>
      <c r="AF108" s="128"/>
      <c r="AG108" s="128"/>
    </row>
    <row r="109" spans="1:33" ht="12.5">
      <c r="A109" s="121"/>
      <c r="B109" s="88" t="s">
        <v>208</v>
      </c>
      <c r="C109" s="123"/>
      <c r="D109" s="127">
        <f t="shared" ref="D109:S109" si="9">AVERAGE(D61,D101)</f>
        <v>2.9199999999999999E-3</v>
      </c>
      <c r="E109" s="127">
        <f t="shared" si="9"/>
        <v>1.065E-3</v>
      </c>
      <c r="F109" s="127">
        <f t="shared" si="9"/>
        <v>2.1000000000000001E-4</v>
      </c>
      <c r="G109" s="127">
        <f t="shared" si="9"/>
        <v>2.6499999999999999E-4</v>
      </c>
      <c r="H109" s="127">
        <f t="shared" si="9"/>
        <v>1.25E-3</v>
      </c>
      <c r="I109" s="127">
        <f t="shared" si="9"/>
        <v>7.6000000000000004E-4</v>
      </c>
      <c r="J109" s="127">
        <f t="shared" si="9"/>
        <v>8.8000000000000003E-4</v>
      </c>
      <c r="K109" s="127">
        <f t="shared" si="9"/>
        <v>1.9499999999999999E-3</v>
      </c>
      <c r="L109" s="127">
        <f t="shared" si="9"/>
        <v>1.2700000000000001E-3</v>
      </c>
      <c r="M109" s="127">
        <f t="shared" si="9"/>
        <v>7.2999999999999996E-4</v>
      </c>
      <c r="N109" s="127">
        <f t="shared" si="9"/>
        <v>4.4000000000000002E-4</v>
      </c>
      <c r="O109" s="127">
        <f t="shared" si="9"/>
        <v>3.0000000000000001E-5</v>
      </c>
      <c r="P109" s="127">
        <f t="shared" si="9"/>
        <v>5.0000000000000131E-6</v>
      </c>
      <c r="Q109" s="127">
        <f t="shared" si="9"/>
        <v>3.6249999999999998E-3</v>
      </c>
      <c r="R109" s="127">
        <f t="shared" si="9"/>
        <v>3.5E-4</v>
      </c>
      <c r="S109" s="127">
        <f t="shared" si="9"/>
        <v>1.8500000000000001E-3</v>
      </c>
      <c r="T109" s="129" t="s">
        <v>122</v>
      </c>
      <c r="U109" s="127">
        <f t="shared" ref="U109:AC109" si="10">AVERAGE(U61,U101)</f>
        <v>7.45E-4</v>
      </c>
      <c r="V109" s="127">
        <f t="shared" si="10"/>
        <v>9.5999999999999992E-4</v>
      </c>
      <c r="W109" s="127">
        <f t="shared" si="10"/>
        <v>6.0099999999999997E-3</v>
      </c>
      <c r="X109" s="127">
        <f t="shared" si="10"/>
        <v>2.8040000000000002E-2</v>
      </c>
      <c r="Y109" s="127">
        <f t="shared" si="10"/>
        <v>3.4200000000000003E-3</v>
      </c>
      <c r="Z109" s="127">
        <f t="shared" si="10"/>
        <v>0.12015500000000001</v>
      </c>
      <c r="AA109" s="127">
        <f t="shared" si="10"/>
        <v>0.10405</v>
      </c>
      <c r="AB109" s="127">
        <f t="shared" si="10"/>
        <v>0.1769</v>
      </c>
      <c r="AC109" s="127">
        <f t="shared" si="10"/>
        <v>0.16079500000000002</v>
      </c>
      <c r="AD109" s="131"/>
      <c r="AE109" s="121"/>
      <c r="AF109" s="128"/>
      <c r="AG109" s="128"/>
    </row>
    <row r="110" spans="1:33" ht="12.5">
      <c r="A110" s="121"/>
      <c r="B110" s="88" t="s">
        <v>209</v>
      </c>
      <c r="C110" s="123"/>
      <c r="D110" s="127">
        <f ca="1">IFERROR(__xludf.DUMMYFUNCTION("average.weighted(D34:D52,$C34:$C52)"),0.00405384436955068)</f>
        <v>4.05384436955068E-3</v>
      </c>
      <c r="E110" s="127">
        <f ca="1">IFERROR(__xludf.DUMMYFUNCTION("average.weighted(E34:E52,$C34:$C52)"),0.000218077474109347)</f>
        <v>2.18077474109347E-4</v>
      </c>
      <c r="F110" s="127">
        <f ca="1">IFERROR(__xludf.DUMMYFUNCTION("average.weighted(F34:F52,$C34:$C52)"),0.0000545833617596092)</f>
        <v>5.4583361759609203E-5</v>
      </c>
      <c r="G110" s="127">
        <f ca="1">IFERROR(__xludf.DUMMYFUNCTION("average.weighted(G34:G52,$C34:$C52)"),0.000258951820873528)</f>
        <v>2.58951820873528E-4</v>
      </c>
      <c r="H110" s="127">
        <f ca="1">IFERROR(__xludf.DUMMYFUNCTION("average.weighted(H34:H52,$C34:$C52)"),0.00216926155357557)</f>
        <v>2.16926155357557E-3</v>
      </c>
      <c r="I110" s="127">
        <f ca="1">IFERROR(__xludf.DUMMYFUNCTION("average.weighted(I34:I52,$C34:$C52)"),0.000504726766636193)</f>
        <v>5.0472676663619305E-4</v>
      </c>
      <c r="J110" s="127">
        <f ca="1">IFERROR(__xludf.DUMMYFUNCTION("average.weighted(J34:J52,$C34:$C52)"),0.00246784919974348)</f>
        <v>2.4678491997434798E-3</v>
      </c>
      <c r="K110" s="127">
        <f ca="1">IFERROR(__xludf.DUMMYFUNCTION("average.weighted(K34:K52,$C34:$C52)"),0.00165165713817899)</f>
        <v>1.6516571381789899E-3</v>
      </c>
      <c r="L110" s="127">
        <f ca="1">IFERROR(__xludf.DUMMYFUNCTION("average.weighted(L34:L52,$C34:$C52)"),0.000177191529424606)</f>
        <v>1.7719152942460601E-4</v>
      </c>
      <c r="M110" s="127">
        <f ca="1">IFERROR(__xludf.DUMMYFUNCTION("average.weighted(M34:M52,$C34:$C52)"),0.0000672113141126226)</f>
        <v>6.7211314112622595E-5</v>
      </c>
      <c r="N110" s="127">
        <f ca="1">IFERROR(__xludf.DUMMYFUNCTION("average.weighted(N34:N52,$C34:$C52)"),0.000943097054128177)</f>
        <v>9.4309705412817704E-4</v>
      </c>
      <c r="O110" s="127">
        <f ca="1">IFERROR(__xludf.DUMMYFUNCTION("average.weighted(O34:O52,$C34:$C52)"),0.000818676881933168)</f>
        <v>8.1867688193316805E-4</v>
      </c>
      <c r="P110" s="127">
        <f ca="1">IFERROR(__xludf.DUMMYFUNCTION("average.weighted(P34:P52,$C34:$C52)"),0.000287144728403989)</f>
        <v>2.8714472840398901E-4</v>
      </c>
      <c r="Q110" s="127">
        <f ca="1">IFERROR(__xludf.DUMMYFUNCTION("average.weighted(Q34:Q52,$C34:$C52)"),0.000818876775505191)</f>
        <v>8.1887677550519095E-4</v>
      </c>
      <c r="R110" s="127">
        <f ca="1">IFERROR(__xludf.DUMMYFUNCTION("average.weighted(R34:R52,$C34:$C52)"),0.00147358525836073)</f>
        <v>1.4735852583607301E-3</v>
      </c>
      <c r="S110" s="127">
        <f ca="1">IFERROR(__xludf.DUMMYFUNCTION("average.weighted(S34:S52,$C34:$C52)"),0.00193812441157608)</f>
        <v>1.9381244115760799E-3</v>
      </c>
      <c r="T110" s="129" t="s">
        <v>122</v>
      </c>
      <c r="U110" s="127">
        <f ca="1">IFERROR(__xludf.DUMMYFUNCTION("average.weighted(U34:U52,$C34:$C52)"),0.0000956288119635961)</f>
        <v>9.5628811963596104E-5</v>
      </c>
      <c r="V110" s="127">
        <f ca="1">IFERROR(__xludf.DUMMYFUNCTION("average.weighted(V34:V52,$C34:$C52)"),0.000668444787075823)</f>
        <v>6.6844478707582305E-4</v>
      </c>
      <c r="W110" s="127">
        <f ca="1">IFERROR(__xludf.DUMMYFUNCTION("average.weighted(W34:W52,$C34:$C52)"),0.00418798168893012)</f>
        <v>4.1879816889301199E-3</v>
      </c>
      <c r="X110" s="127">
        <f ca="1">IFERROR(__xludf.DUMMYFUNCTION("average.weighted(X34:X52,$C34:$C52)"),0.00910099837629112)</f>
        <v>9.1009983762911206E-3</v>
      </c>
      <c r="Y110" s="127">
        <f ca="1">IFERROR(__xludf.DUMMYFUNCTION("average.weighted(Y34:Y52,$C34:$C52)"),0.000491144373644066)</f>
        <v>4.9114437364406599E-4</v>
      </c>
      <c r="Z110" s="127">
        <f ca="1">IFERROR(__xludf.DUMMYFUNCTION("average.weighted(Z34:Z52,$C34:$C52)"),0.0536499960430624)</f>
        <v>5.3649996043062399E-2</v>
      </c>
      <c r="AA110" s="127">
        <f ca="1">IFERROR(__xludf.DUMMYFUNCTION("average.weighted(AA34:AA52,$C34:$C52)"),0.0567299444664274)</f>
        <v>5.6729944466427401E-2</v>
      </c>
      <c r="AB110" s="127">
        <f t="shared" ref="AB110:AC110" ca="1" si="11">IF(ISNUMBER(AA110),SUM(D110:AA110)-Z110,SUM(D110:AA110))</f>
        <v>8.9177002142204115E-2</v>
      </c>
      <c r="AC110" s="127">
        <f t="shared" ca="1" si="11"/>
        <v>0.17122021149149252</v>
      </c>
      <c r="AD110" s="131"/>
      <c r="AE110" s="121"/>
      <c r="AF110" s="128"/>
      <c r="AG110" s="128"/>
    </row>
    <row r="111" spans="1:33" ht="12.5">
      <c r="A111" s="121"/>
      <c r="B111" s="88" t="s">
        <v>210</v>
      </c>
      <c r="C111" s="123"/>
      <c r="D111" s="127">
        <f ca="1">IFERROR(__xludf.DUMMYFUNCTION("average.weighted(D78:D96,$C78:$C96)"),0.00272900653813482)</f>
        <v>2.7290065381348201E-3</v>
      </c>
      <c r="E111" s="127">
        <f ca="1">IFERROR(__xludf.DUMMYFUNCTION("average.weighted(E78:E96,$C78:$C96)"),0.000154573734201652)</f>
        <v>1.54573734201652E-4</v>
      </c>
      <c r="F111" s="127">
        <f ca="1">IFERROR(__xludf.DUMMYFUNCTION("average.weighted(F78:F96,$C78:$C96)"),0.00101686517027465)</f>
        <v>1.0168651702746499E-3</v>
      </c>
      <c r="G111" s="127">
        <f ca="1">IFERROR(__xludf.DUMMYFUNCTION("average.weighted(G78:G96,$C78:$C96)"),0.000296116631058714)</f>
        <v>2.9611663105871399E-4</v>
      </c>
      <c r="H111" s="127">
        <f ca="1">IFERROR(__xludf.DUMMYFUNCTION("average.weighted(H78:H96,$C78:$C96)"),0.00190492226312131)</f>
        <v>1.90492226312131E-3</v>
      </c>
      <c r="I111" s="127">
        <f ca="1">IFERROR(__xludf.DUMMYFUNCTION("average.weighted(I78:I96,$C78:$C96)"),0.000411664521609307)</f>
        <v>4.1166452160930702E-4</v>
      </c>
      <c r="J111" s="127">
        <f ca="1">IFERROR(__xludf.DUMMYFUNCTION("average.weighted(J78:J96,$C78:$C96)"),0.00341150866174161)</f>
        <v>3.41150866174161E-3</v>
      </c>
      <c r="K111" s="127">
        <f ca="1">IFERROR(__xludf.DUMMYFUNCTION("average.weighted(K78:K96,$C78:$C96)"),0.0045427860433988)</f>
        <v>4.5427860433988002E-3</v>
      </c>
      <c r="L111" s="127">
        <f ca="1">IFERROR(__xludf.DUMMYFUNCTION("average.weighted(L78:L96,$C78:$C96)"),0.00131379816726299)</f>
        <v>1.3137981672629901E-3</v>
      </c>
      <c r="M111" s="127">
        <f ca="1">IFERROR(__xludf.DUMMYFUNCTION("average.weighted(M78:M96,$C78:$C96)"),0.0000127314731395917)</f>
        <v>1.27314731395917E-5</v>
      </c>
      <c r="N111" s="127">
        <f ca="1">IFERROR(__xludf.DUMMYFUNCTION("average.weighted(N78:N96,$C78:$C96)"),0.00236944181317408)</f>
        <v>2.3694418131740801E-3</v>
      </c>
      <c r="O111" s="127">
        <f ca="1">IFERROR(__xludf.DUMMYFUNCTION("average.weighted(O78:O96,$C78:$C96)"),0.000720258179103709)</f>
        <v>7.2025817910370896E-4</v>
      </c>
      <c r="P111" s="127">
        <f ca="1">IFERROR(__xludf.DUMMYFUNCTION("average.weighted(P78:P96,$C78:$C96)"),0.000333865479162912)</f>
        <v>3.3386547916291201E-4</v>
      </c>
      <c r="Q111" s="127">
        <f ca="1">IFERROR(__xludf.DUMMYFUNCTION("average.weighted(Q78:Q96,$C78:$C96)"),0.00384856534273726)</f>
        <v>3.84856534273726E-3</v>
      </c>
      <c r="R111" s="127">
        <f ca="1">IFERROR(__xludf.DUMMYFUNCTION("average.weighted(R78:R96,$C78:$C96)"),0.000669554686092306)</f>
        <v>6.6955468609230595E-4</v>
      </c>
      <c r="S111" s="127">
        <f ca="1">IFERROR(__xludf.DUMMYFUNCTION("average.weighted(S78:S96,$C78:$C96)"),0)</f>
        <v>0</v>
      </c>
      <c r="T111" s="129" t="s">
        <v>122</v>
      </c>
      <c r="U111" s="127">
        <f ca="1">IFERROR(__xludf.DUMMYFUNCTION("average.weighted(U78:U96,$C78:$C96)"),0.0000258736389611058)</f>
        <v>2.5873638961105801E-5</v>
      </c>
      <c r="V111" s="127">
        <f ca="1">IFERROR(__xludf.DUMMYFUNCTION("average.weighted(V78:V96,$C78:$C96)"),0.000566284331643028)</f>
        <v>5.6628433164302805E-4</v>
      </c>
      <c r="W111" s="127">
        <f ca="1">IFERROR(__xludf.DUMMYFUNCTION("average.weighted(W78:W96,$C78:$C96)"),0.00378405801951144)</f>
        <v>3.7840580195114401E-3</v>
      </c>
      <c r="X111" s="127">
        <f ca="1">IFERROR(__xludf.DUMMYFUNCTION("average.weighted(X78:X96,$C78:$C96)"),0.00783741769414914)</f>
        <v>7.8374176941491402E-3</v>
      </c>
      <c r="Y111" s="127">
        <f ca="1">IFERROR(__xludf.DUMMYFUNCTION("average.weighted(Y78:Y96,$C78:$C96)"),0.00046437166979845)</f>
        <v>4.6437166979844998E-4</v>
      </c>
      <c r="Z111" s="127">
        <f ca="1">IFERROR(__xludf.DUMMYFUNCTION("average.weighted(Z78:Z96,$C78:$C96)"),0.0328696607377281)</f>
        <v>3.2869660737728103E-2</v>
      </c>
      <c r="AA111" s="129" t="s">
        <v>122</v>
      </c>
      <c r="AB111" s="127">
        <f t="shared" ref="AB111:AB116" ca="1" si="12">IF(ISNUMBER(AA111),SUM(D111:AA111)-Z111,SUM(D111:AA111))</f>
        <v>6.9283324796004991E-2</v>
      </c>
      <c r="AC111" s="129" t="s">
        <v>122</v>
      </c>
      <c r="AD111" s="131"/>
      <c r="AE111" s="121"/>
      <c r="AF111" s="128"/>
      <c r="AG111" s="128"/>
    </row>
    <row r="112" spans="1:33" ht="12.5">
      <c r="A112" s="122"/>
      <c r="B112" s="88" t="s">
        <v>211</v>
      </c>
      <c r="C112" s="123"/>
      <c r="D112" s="127">
        <f ca="1">IFERROR(__xludf.DUMMYFUNCTION("average.weighted(D53:D56,$C53:$C56)"),0.00283739672142611)</f>
        <v>2.8373967214261101E-3</v>
      </c>
      <c r="E112" s="127">
        <f ca="1">IFERROR(__xludf.DUMMYFUNCTION("average.weighted(E53:E56,$C53:$C56)"),0.00132892027342816)</f>
        <v>1.32892027342816E-3</v>
      </c>
      <c r="F112" s="127">
        <f ca="1">IFERROR(__xludf.DUMMYFUNCTION("average.weighted(F53:F56,$C53:$C56)"),0.000582435620254197)</f>
        <v>5.8243562025419703E-4</v>
      </c>
      <c r="G112" s="127">
        <f ca="1">IFERROR(__xludf.DUMMYFUNCTION("average.weighted(G53:G56,$C53:$C56)"),0.000980578091946922)</f>
        <v>9.8057809194692204E-4</v>
      </c>
      <c r="H112" s="127">
        <f ca="1">IFERROR(__xludf.DUMMYFUNCTION("average.weighted(H53:H56,$C53:$C56)"),0.000465379110600877)</f>
        <v>4.6537911060087701E-4</v>
      </c>
      <c r="I112" s="127">
        <f ca="1">IFERROR(__xludf.DUMMYFUNCTION("average.weighted(I53:I56,$C53:$C56)"),0.00128168363452001)</f>
        <v>1.2816836345200099E-3</v>
      </c>
      <c r="J112" s="127">
        <f ca="1">IFERROR(__xludf.DUMMYFUNCTION("average.weighted(J53:J56,$C53:$C56)"),0.00153038473417677)</f>
        <v>1.53038473417677E-3</v>
      </c>
      <c r="K112" s="127">
        <f ca="1">IFERROR(__xludf.DUMMYFUNCTION("average.weighted(K53:K56,$C53:$C56)"),0.00178859119225636)</f>
        <v>1.7885911922563601E-3</v>
      </c>
      <c r="L112" s="127">
        <f ca="1">IFERROR(__xludf.DUMMYFUNCTION("average.weighted(L53:L56,$C53:$C56)"),0.000243431721630079)</f>
        <v>2.43431721630079E-4</v>
      </c>
      <c r="M112" s="127">
        <f ca="1">IFERROR(__xludf.DUMMYFUNCTION("average.weighted(M53:M56,$C53:$C56)"),0.000582976008018694)</f>
        <v>5.8297600801869402E-4</v>
      </c>
      <c r="N112" s="127">
        <f ca="1">IFERROR(__xludf.DUMMYFUNCTION("average.weighted(N53:N56,$C53:$C56)"),0.00052873915349157)</f>
        <v>5.2873915349157001E-4</v>
      </c>
      <c r="O112" s="127">
        <f ca="1">IFERROR(__xludf.DUMMYFUNCTION("average.weighted(O53:O56,$C53:$C56)"),0.000469604776251609)</f>
        <v>4.6960477625160898E-4</v>
      </c>
      <c r="P112" s="127">
        <f ca="1">IFERROR(__xludf.DUMMYFUNCTION("average.weighted(P53:P56,$C53:$C56)"),0.000107697597305345)</f>
        <v>1.0769759730534501E-4</v>
      </c>
      <c r="Q112" s="127">
        <f ca="1">IFERROR(__xludf.DUMMYFUNCTION("average.weighted(Q53:Q56,$C53:$C56)"),0.00161390124651076)</f>
        <v>1.61390124651076E-3</v>
      </c>
      <c r="R112" s="127">
        <f ca="1">IFERROR(__xludf.DUMMYFUNCTION("average.weighted(R53:R56,$C53:$C56)"),0.00073622626005979)</f>
        <v>7.3622626005978998E-4</v>
      </c>
      <c r="S112" s="127">
        <f ca="1">IFERROR(__xludf.DUMMYFUNCTION("average.weighted(S53:S56,$C53:$C56)"),0.000647293981899661)</f>
        <v>6.4729398189966104E-4</v>
      </c>
      <c r="T112" s="129" t="s">
        <v>122</v>
      </c>
      <c r="U112" s="127">
        <f ca="1">IFERROR(__xludf.DUMMYFUNCTION("average.weighted(U53:U56,$C53:$C56)"),0.00002)</f>
        <v>2.0000000000000002E-5</v>
      </c>
      <c r="V112" s="127">
        <f ca="1">IFERROR(__xludf.DUMMYFUNCTION("average.weighted(V53:V56,$C53:$C56)"),0.0000672366389081521)</f>
        <v>6.7236638908152097E-5</v>
      </c>
      <c r="W112" s="127">
        <f ca="1">IFERROR(__xludf.DUMMYFUNCTION("average.weighted(W53:W56,$C53:$C56)"),0.00482322705843274)</f>
        <v>4.8232270584327398E-3</v>
      </c>
      <c r="X112" s="127">
        <f ca="1">IFERROR(__xludf.DUMMYFUNCTION("average.weighted(X53:X56,$C53:$C56)"),0.0206115949393644)</f>
        <v>2.0611594939364399E-2</v>
      </c>
      <c r="Y112" s="127">
        <f ca="1">IFERROR(__xludf.DUMMYFUNCTION("average.weighted(Y53:Y56,$C53:$C56)"),0.00252514233765931)</f>
        <v>2.52514233765931E-3</v>
      </c>
      <c r="Z112" s="127">
        <f ca="1">IFERROR(__xludf.DUMMYFUNCTION("average.weighted(Z53:Z56,$C53:$C56)"),0.134357364786508)</f>
        <v>0.134357364786508</v>
      </c>
      <c r="AA112" s="127">
        <f ca="1">IFERROR(__xludf.DUMMYFUNCTION("average.weighted(AA53:AA56,$C53:$C56)"),0.115883601303037)</f>
        <v>0.115883601303037</v>
      </c>
      <c r="AB112" s="127">
        <f t="shared" ca="1" si="12"/>
        <v>0.15965604240117853</v>
      </c>
      <c r="AC112" s="127">
        <f ca="1">IF(ISNUMBER(AB112),SUM(E112:AB112)-AA112,SUM(E112:AB112))</f>
        <v>0.33494845156440195</v>
      </c>
      <c r="AD112" s="131"/>
      <c r="AE112" s="121"/>
      <c r="AF112" s="128"/>
      <c r="AG112" s="128"/>
    </row>
    <row r="113" spans="1:33" ht="12.5">
      <c r="A113" s="121"/>
      <c r="B113" s="132" t="s">
        <v>212</v>
      </c>
      <c r="C113" s="123"/>
      <c r="D113" s="127">
        <f ca="1">IFERROR(__xludf.DUMMYFUNCTION("average.weighted(D97:D100,$C97:$C100)"),0.00416042549906697)</f>
        <v>4.1604254990669698E-3</v>
      </c>
      <c r="E113" s="127">
        <f ca="1">IFERROR(__xludf.DUMMYFUNCTION("average.weighted(E97:E100,$C97:$C100)"),0.00118072601323685)</f>
        <v>1.18072601323685E-3</v>
      </c>
      <c r="F113" s="127">
        <f ca="1">IFERROR(__xludf.DUMMYFUNCTION("average.weighted(F97:F100,$C97:$C100)"),0.000617683886211386)</f>
        <v>6.1768388621138602E-4</v>
      </c>
      <c r="G113" s="127">
        <f ca="1">IFERROR(__xludf.DUMMYFUNCTION("average.weighted(G97:G100,$C97:$C100)"),0.00078584025829317)</f>
        <v>7.8584025829317005E-4</v>
      </c>
      <c r="H113" s="127">
        <f ca="1">IFERROR(__xludf.DUMMYFUNCTION("average.weighted(H97:H100,$C97:$C100)"),0.000690231175072829)</f>
        <v>6.9023117507282898E-4</v>
      </c>
      <c r="I113" s="127">
        <f ca="1">IFERROR(__xludf.DUMMYFUNCTION("average.weighted(I97:I100,$C97:$C100)"),0.00123304689282981)</f>
        <v>1.2330468928298101E-3</v>
      </c>
      <c r="J113" s="127">
        <f ca="1">IFERROR(__xludf.DUMMYFUNCTION("average.weighted(J97:J100,$C97:$C100)"),0.00216376048812576)</f>
        <v>2.1637604881257601E-3</v>
      </c>
      <c r="K113" s="127">
        <f ca="1">IFERROR(__xludf.DUMMYFUNCTION("average.weighted(K97:K100,$C97:$C100)"),0.00236501490152908)</f>
        <v>2.36501490152908E-3</v>
      </c>
      <c r="L113" s="127">
        <f ca="1">IFERROR(__xludf.DUMMYFUNCTION("average.weighted(L97:L100,$C97:$C100)"),0.000354040932218179)</f>
        <v>3.5404093221817903E-4</v>
      </c>
      <c r="M113" s="127">
        <f ca="1">IFERROR(__xludf.DUMMYFUNCTION("average.weighted(M97:M100,$C97:$C100)"),0.000254016431956396)</f>
        <v>2.5401643195639597E-4</v>
      </c>
      <c r="N113" s="127">
        <f ca="1">IFERROR(__xludf.DUMMYFUNCTION("average.weighted(N97:N100,$C97:$C100)"),0.000818921854233511)</f>
        <v>8.1892185423351098E-4</v>
      </c>
      <c r="O113" s="127">
        <f ca="1">IFERROR(__xludf.DUMMYFUNCTION("average.weighted(O97:O100,$C97:$C100)"),0.000324472271073581)</f>
        <v>3.2447227107358097E-4</v>
      </c>
      <c r="P113" s="127">
        <f ca="1">IFERROR(__xludf.DUMMYFUNCTION("average.weighted(P97:P100,$C97:$C100)"),0.0000903371638765455)</f>
        <v>9.0337163876545498E-5</v>
      </c>
      <c r="Q113" s="127">
        <f ca="1">IFERROR(__xludf.DUMMYFUNCTION("average.weighted(Q97:Q100,$C97:$C100)"),0.00888281773147713)</f>
        <v>8.8828177314771301E-3</v>
      </c>
      <c r="R113" s="127">
        <f ca="1">IFERROR(__xludf.DUMMYFUNCTION("average.weighted(R97:R100,$C97:$C100)"),0.00153667132059767)</f>
        <v>1.53667132059767E-3</v>
      </c>
      <c r="S113" s="127">
        <f ca="1">IFERROR(__xludf.DUMMYFUNCTION("average.weighted(S97:S100,$C97:$C100)"),0)</f>
        <v>0</v>
      </c>
      <c r="T113" s="129" t="s">
        <v>122</v>
      </c>
      <c r="U113" s="127">
        <f ca="1">IFERROR(__xludf.DUMMYFUNCTION("average.weighted(U97:U100,$C97:$C100)"),0.0000546172589241364)</f>
        <v>5.46172589241364E-5</v>
      </c>
      <c r="V113" s="127">
        <f ca="1">IFERROR(__xludf.DUMMYFUNCTION("average.weighted(V97:V100,$C97:$C100)"),0.000240654660419659)</f>
        <v>2.4065466041965901E-4</v>
      </c>
      <c r="W113" s="127">
        <f ca="1">IFERROR(__xludf.DUMMYFUNCTION("average.weighted(W97:W100,$C97:$C100)"),0.00491978372645625)</f>
        <v>4.9197837264562498E-3</v>
      </c>
      <c r="X113" s="127">
        <f ca="1">IFERROR(__xludf.DUMMYFUNCTION("average.weighted(X97:X100,$C97:$C100)"),0.0216542960034367)</f>
        <v>2.1654296003436699E-2</v>
      </c>
      <c r="Y113" s="127">
        <f ca="1">IFERROR(__xludf.DUMMYFUNCTION("average.weighted(Y97:Y100,$C97:$C100)"),0.00259916141980695)</f>
        <v>2.5991614198069501E-3</v>
      </c>
      <c r="Z113" s="127">
        <f ca="1">IFERROR(__xludf.DUMMYFUNCTION("average.weighted(Z97:Z100,$C97:$C100)"),0.0979243160063902)</f>
        <v>9.7924316006390205E-2</v>
      </c>
      <c r="AA113" s="129" t="s">
        <v>122</v>
      </c>
      <c r="AB113" s="127">
        <f t="shared" ca="1" si="12"/>
        <v>0.15285083589523277</v>
      </c>
      <c r="AC113" s="129" t="s">
        <v>122</v>
      </c>
      <c r="AD113" s="131"/>
      <c r="AE113" s="121"/>
      <c r="AF113" s="128"/>
      <c r="AG113" s="128"/>
    </row>
    <row r="114" spans="1:33" ht="12.5">
      <c r="A114" s="121"/>
      <c r="B114" s="132" t="s">
        <v>213</v>
      </c>
      <c r="C114" s="123"/>
      <c r="D114" s="127">
        <f ca="1">IFERROR(__xludf.DUMMYFUNCTION("average.weighted(D29:D32,$C29:$C32)"),0.00198764284053223)</f>
        <v>1.9876428405322302E-3</v>
      </c>
      <c r="E114" s="127">
        <f ca="1">IFERROR(__xludf.DUMMYFUNCTION("average.weighted(E29:E32,$C29:$C32)"),0.000781827175847286)</f>
        <v>7.8182717584728597E-4</v>
      </c>
      <c r="F114" s="127">
        <f ca="1">IFERROR(__xludf.DUMMYFUNCTION("average.weighted(F29:F32,$C29:$C32)"),0.000327258654857235)</f>
        <v>3.2725865485723498E-4</v>
      </c>
      <c r="G114" s="127">
        <f ca="1">IFERROR(__xludf.DUMMYFUNCTION("average.weighted(G29:G32,$C29:$C32)"),0.00323790400287147)</f>
        <v>3.2379040028714702E-3</v>
      </c>
      <c r="H114" s="127">
        <f ca="1">IFERROR(__xludf.DUMMYFUNCTION("average.weighted(H29:H32,$C29:$C32)"),0.000747217453288036)</f>
        <v>7.4721745328803601E-4</v>
      </c>
      <c r="I114" s="127">
        <f ca="1">IFERROR(__xludf.DUMMYFUNCTION("average.weighted(I29:I32,$C29:$C32)"),0.00146488327064628)</f>
        <v>1.4648832706462801E-3</v>
      </c>
      <c r="J114" s="127">
        <f ca="1">IFERROR(__xludf.DUMMYFUNCTION("average.weighted(J29:J32,$C29:$C32)"),0.00119278975066731)</f>
        <v>1.1927897506673101E-3</v>
      </c>
      <c r="K114" s="127">
        <f ca="1">IFERROR(__xludf.DUMMYFUNCTION("average.weighted(K29:K32,$C29:$C32)"),0.00191607063415028)</f>
        <v>1.91607063415028E-3</v>
      </c>
      <c r="L114" s="127">
        <f ca="1">IFERROR(__xludf.DUMMYFUNCTION("average.weighted(L29:L32,$C29:$C32)"),0.000352816038785084)</f>
        <v>3.5281603878508402E-4</v>
      </c>
      <c r="M114" s="127">
        <f ca="1">IFERROR(__xludf.DUMMYFUNCTION("average.weighted(M29:M32,$C29:$C32)"),0.000456905762153199)</f>
        <v>4.5690576215319902E-4</v>
      </c>
      <c r="N114" s="127">
        <f ca="1">IFERROR(__xludf.DUMMYFUNCTION("average.weighted(N29:N32,$C29:$C32)"),0.00517518252547925)</f>
        <v>5.1751825254792499E-3</v>
      </c>
      <c r="O114" s="127">
        <f ca="1">IFERROR(__xludf.DUMMYFUNCTION("average.weighted(O29:O32,$C29:$C32)"),0.00403913216351209)</f>
        <v>4.0391321635120901E-3</v>
      </c>
      <c r="P114" s="127">
        <f ca="1">IFERROR(__xludf.DUMMYFUNCTION("average.weighted(P29:P32,$C29:$C32)"),0.00188412597063819)</f>
        <v>1.88412597063819E-3</v>
      </c>
      <c r="Q114" s="127">
        <f ca="1">IFERROR(__xludf.DUMMYFUNCTION("average.weighted(Q29:Q32,$C29:$C32)"),0.00397853160640621)</f>
        <v>3.9785316064062104E-3</v>
      </c>
      <c r="R114" s="127">
        <f ca="1">IFERROR(__xludf.DUMMYFUNCTION("average.weighted(R29:R32,$C29:$C32)"),0.00031118738878104)</f>
        <v>3.1118738878104001E-4</v>
      </c>
      <c r="S114" s="127">
        <f ca="1">IFERROR(__xludf.DUMMYFUNCTION("average.weighted(S29:S32,$C29:$C32)"),0.00107097197787753)</f>
        <v>1.07097197787753E-3</v>
      </c>
      <c r="T114" s="129" t="s">
        <v>122</v>
      </c>
      <c r="U114" s="127">
        <f ca="1">IFERROR(__xludf.DUMMYFUNCTION("average.weighted(U29:U32,$C29:$C32)"),0.000201159735703308)</f>
        <v>2.01159735703308E-4</v>
      </c>
      <c r="V114" s="127">
        <f ca="1">IFERROR(__xludf.DUMMYFUNCTION("average.weighted(V29:V32,$C29:$C32)"),0.00303236307429426)</f>
        <v>3.0323630742942601E-3</v>
      </c>
      <c r="W114" s="127">
        <f ca="1">IFERROR(__xludf.DUMMYFUNCTION("average.weighted(W29:W32,$C29:$C32)"),0.00301373637567742)</f>
        <v>3.0137363756774201E-3</v>
      </c>
      <c r="X114" s="127">
        <f ca="1">IFERROR(__xludf.DUMMYFUNCTION("average.weighted(X29:X32,$C29:$C32)"),0.0497494391025641)</f>
        <v>4.9749439102564103E-2</v>
      </c>
      <c r="Y114" s="127">
        <f ca="1">IFERROR(__xludf.DUMMYFUNCTION("average.weighted(Y29:Y32,$C29:$C32)"),0.00203557942550351)</f>
        <v>2.0355794255035101E-3</v>
      </c>
      <c r="Z114" s="127">
        <f ca="1">IFERROR(__xludf.DUMMYFUNCTION("average.weighted(Z29:Z32,$C29:$C32)"),0.0716356079885545)</f>
        <v>7.1635607988554506E-2</v>
      </c>
      <c r="AA114" s="127">
        <f ca="1">IFERROR(__xludf.DUMMYFUNCTION("average.weighted(AA29:AA32,$C29:$C32)"),0.0442584619934481)</f>
        <v>4.4258461993448101E-2</v>
      </c>
      <c r="AB114" s="127">
        <f t="shared" ca="1" si="12"/>
        <v>0.13121518692368342</v>
      </c>
      <c r="AC114" s="127">
        <f ca="1">IF(ISNUMBER(AB114),SUM(E114:AB114)-AA114,SUM(E114:AB114))</f>
        <v>0.287819877001941</v>
      </c>
      <c r="AD114" s="131"/>
      <c r="AE114" s="121"/>
      <c r="AF114" s="128"/>
      <c r="AG114" s="128"/>
    </row>
    <row r="115" spans="1:33" ht="12.5">
      <c r="A115" s="121"/>
      <c r="B115" s="132" t="s">
        <v>214</v>
      </c>
      <c r="C115" s="123"/>
      <c r="D115" s="127">
        <f ca="1">IFERROR(__xludf.DUMMYFUNCTION("average.weighted(D73:D76,$C73:$C76)"),0.00139774530444775)</f>
        <v>1.3977453044477499E-3</v>
      </c>
      <c r="E115" s="127">
        <f ca="1">IFERROR(__xludf.DUMMYFUNCTION("average.weighted(E73:E76,$C73:$C76)"),0.000646115373220089)</f>
        <v>6.4611537322008901E-4</v>
      </c>
      <c r="F115" s="127">
        <f ca="1">IFERROR(__xludf.DUMMYFUNCTION("average.weighted(F73:F76,$C73:$C76)"),0.00132134339480346)</f>
        <v>1.3213433948034601E-3</v>
      </c>
      <c r="G115" s="127">
        <f ca="1">IFERROR(__xludf.DUMMYFUNCTION("average.weighted(G73:G76,$C73:$C76)"),0.00317577867159864)</f>
        <v>3.1757786715986402E-3</v>
      </c>
      <c r="H115" s="127">
        <f ca="1">IFERROR(__xludf.DUMMYFUNCTION("average.weighted(H73:H76,$C73:$C76)"),0.000824655218078325)</f>
        <v>8.2465521807832502E-4</v>
      </c>
      <c r="I115" s="127">
        <f ca="1">IFERROR(__xludf.DUMMYFUNCTION("average.weighted(I73:I76,$C73:$C76)"),0.00156452656174247)</f>
        <v>1.5645265617424699E-3</v>
      </c>
      <c r="J115" s="127">
        <f ca="1">IFERROR(__xludf.DUMMYFUNCTION("average.weighted(J73:J76,$C73:$C76)"),0.00138670052162827)</f>
        <v>1.3867005216282699E-3</v>
      </c>
      <c r="K115" s="127">
        <f ca="1">IFERROR(__xludf.DUMMYFUNCTION("average.weighted(K73:K76,$C73:$C76)"),0.00154512100249591)</f>
        <v>1.5451210024959099E-3</v>
      </c>
      <c r="L115" s="127">
        <f ca="1">IFERROR(__xludf.DUMMYFUNCTION("average.weighted(L73:L76,$C73:$C76)"),0.000815857880986155)</f>
        <v>8.1585788098615503E-4</v>
      </c>
      <c r="M115" s="127">
        <f ca="1">IFERROR(__xludf.DUMMYFUNCTION("average.weighted(M73:M76,$C73:$C76)"),0.00035129958162001)</f>
        <v>3.5129958162000998E-4</v>
      </c>
      <c r="N115" s="127">
        <f ca="1">IFERROR(__xludf.DUMMYFUNCTION("average.weighted(N73:N76,$C73:$C76)"),0.00715326437395629)</f>
        <v>7.1532643739562899E-3</v>
      </c>
      <c r="O115" s="127">
        <f ca="1">IFERROR(__xludf.DUMMYFUNCTION("average.weighted(O73:O76,$C73:$C76)"),0.00444948510531324)</f>
        <v>4.4494851053132403E-3</v>
      </c>
      <c r="P115" s="127">
        <f ca="1">IFERROR(__xludf.DUMMYFUNCTION("average.weighted(P73:P76,$C73:$C76)"),0.0019344899310481)</f>
        <v>1.9344899310480999E-3</v>
      </c>
      <c r="Q115" s="127">
        <f ca="1">IFERROR(__xludf.DUMMYFUNCTION("average.weighted(Q73:Q76,$C73:$C76)"),0.00730724944335709)</f>
        <v>7.3072494433570898E-3</v>
      </c>
      <c r="R115" s="127">
        <f ca="1">IFERROR(__xludf.DUMMYFUNCTION("average.weighted(R73:R76,$C73:$C76)"),0.000345697846151083)</f>
        <v>3.4569784615108302E-4</v>
      </c>
      <c r="S115" s="127">
        <f ca="1">IFERROR(__xludf.DUMMYFUNCTION("average.weighted(S73:S76,$C73:$C76)"),0)</f>
        <v>0</v>
      </c>
      <c r="T115" s="129" t="s">
        <v>122</v>
      </c>
      <c r="U115" s="127">
        <f ca="1">IFERROR(__xludf.DUMMYFUNCTION("average.weighted(U73:U76,$C73:$C76)"),0.000142335386328132)</f>
        <v>1.42335386328132E-4</v>
      </c>
      <c r="V115" s="127">
        <f ca="1">IFERROR(__xludf.DUMMYFUNCTION("average.weighted(V73:V76,$C73:$C76)"),0.00413170310283528)</f>
        <v>4.1317031028352798E-3</v>
      </c>
      <c r="W115" s="127">
        <f ca="1">IFERROR(__xludf.DUMMYFUNCTION("average.weighted(W73:W76,$C73:$C76)"),0.00294458509902856)</f>
        <v>2.9445850990285601E-3</v>
      </c>
      <c r="X115" s="127">
        <f ca="1">IFERROR(__xludf.DUMMYFUNCTION("average.weighted(X73:X76,$C73:$C76)"),0.0389436724066725)</f>
        <v>3.89436724066725E-2</v>
      </c>
      <c r="Y115" s="127">
        <f ca="1">IFERROR(__xludf.DUMMYFUNCTION("average.weighted(Y73:Y76,$C73:$C76)"),0.00164623709396491)</f>
        <v>1.6462370939649099E-3</v>
      </c>
      <c r="Z115" s="127">
        <f ca="1">IFERROR(__xludf.DUMMYFUNCTION("average.weighted(Z73:Z76,$C73:$C76)"),0.0494095794652636)</f>
        <v>4.9409579465263601E-2</v>
      </c>
      <c r="AA115" s="129" t="s">
        <v>122</v>
      </c>
      <c r="AB115" s="127">
        <f t="shared" ca="1" si="12"/>
        <v>0.13143744276453989</v>
      </c>
      <c r="AC115" s="129" t="s">
        <v>122</v>
      </c>
      <c r="AD115" s="131"/>
      <c r="AE115" s="121"/>
      <c r="AF115" s="128"/>
      <c r="AG115" s="128"/>
    </row>
    <row r="116" spans="1:33" ht="12.5">
      <c r="A116" s="121"/>
      <c r="B116" s="132" t="s">
        <v>215</v>
      </c>
      <c r="C116" s="123"/>
      <c r="D116" s="127">
        <f ca="1">IFERROR(__xludf.DUMMYFUNCTION("average.weighted(D2:D101,$C2:$C101)"),0.0027367309571989)</f>
        <v>2.7367309571989002E-3</v>
      </c>
      <c r="E116" s="127">
        <f ca="1">IFERROR(__xludf.DUMMYFUNCTION("average.weighted(E2:E101,$C2:$C101)"),0.00129886279147726)</f>
        <v>1.2988627914772601E-3</v>
      </c>
      <c r="F116" s="127">
        <f ca="1">IFERROR(__xludf.DUMMYFUNCTION("average.weighted(F2:F101,$C2:$C101)"),0.000095889920743291)</f>
        <v>9.5889920743290994E-5</v>
      </c>
      <c r="G116" s="127">
        <f ca="1">IFERROR(__xludf.DUMMYFUNCTION("average.weighted(G2:G101,$C2:$C101)"),0.000183600199394273)</f>
        <v>1.83600199394273E-4</v>
      </c>
      <c r="H116" s="127">
        <f ca="1">IFERROR(__xludf.DUMMYFUNCTION("average.weighted(H2:H101,$C2:$C101)"),0.000855730707472468)</f>
        <v>8.5573070747246795E-4</v>
      </c>
      <c r="I116" s="127">
        <f ca="1">IFERROR(__xludf.DUMMYFUNCTION("average.weighted(I2:I101,$C2:$C101)"),0.000301591438658309)</f>
        <v>3.0159143865830898E-4</v>
      </c>
      <c r="J116" s="127">
        <f ca="1">IFERROR(__xludf.DUMMYFUNCTION("average.weighted(J2:J101,$C2:$C101)"),0.0017666269920809)</f>
        <v>1.7666269920808999E-3</v>
      </c>
      <c r="K116" s="127">
        <f ca="1">IFERROR(__xludf.DUMMYFUNCTION("average.weighted(K2:K101,$C2:$C101)"),0.00157653709985014)</f>
        <v>1.5765370998501399E-3</v>
      </c>
      <c r="L116" s="127">
        <f ca="1">IFERROR(__xludf.DUMMYFUNCTION("average.weighted(L2:L101,$C2:$C101)"),0.000214321203515049)</f>
        <v>2.1432120351504901E-4</v>
      </c>
      <c r="M116" s="127">
        <f ca="1">IFERROR(__xludf.DUMMYFUNCTION("average.weighted(M2:M101,$C2:$C101)"),0.0000833149472005589)</f>
        <v>8.3314947200558895E-5</v>
      </c>
      <c r="N116" s="127">
        <f ca="1">IFERROR(__xludf.DUMMYFUNCTION("average.weighted(N2:N101,$C2:$C101)"),0.000415867083251364)</f>
        <v>4.1586708325136402E-4</v>
      </c>
      <c r="O116" s="127">
        <f ca="1">IFERROR(__xludf.DUMMYFUNCTION("average.weighted(O2:O101,$C2:$C101)"),0.000297110198993859)</f>
        <v>2.9711019899385899E-4</v>
      </c>
      <c r="P116" s="127">
        <f ca="1">IFERROR(__xludf.DUMMYFUNCTION("average.weighted(P2:P101,$C2:$C101)"),0.000136905603601941)</f>
        <v>1.3690560360194099E-4</v>
      </c>
      <c r="Q116" s="127">
        <f ca="1">IFERROR(__xludf.DUMMYFUNCTION("average.weighted(Q2:Q102,$C2:$C102)"),0.00296406193176839)</f>
        <v>2.9640619317683899E-3</v>
      </c>
      <c r="R116" s="127">
        <f ca="1">IFERROR(__xludf.DUMMYFUNCTION("average.weighted(R2:R102,$C2:$C102)"),0.000993808798920315)</f>
        <v>9.9380879892031499E-4</v>
      </c>
      <c r="S116" s="127">
        <f ca="1">IFERROR(__xludf.DUMMYFUNCTION("average.weighted(S2:S102,$C2:$C102)"),0.000163874693814309)</f>
        <v>1.6387469381430901E-4</v>
      </c>
      <c r="T116" s="127">
        <f ca="1">IFERROR(__xludf.DUMMYFUNCTION("average.weighted(T2:T28,$C2:$C28)"),0.000858931296149898)</f>
        <v>8.5893129614989796E-4</v>
      </c>
      <c r="U116" s="127">
        <f ca="1">IFERROR(__xludf.DUMMYFUNCTION("average.weighted(U2:U102,$C2:$C102)"),0.0000198678275947514)</f>
        <v>1.9867827594751401E-5</v>
      </c>
      <c r="V116" s="127">
        <f ca="1">IFERROR(__xludf.DUMMYFUNCTION("average.weighted(V2:V102,$C2:$C102)"),0.00013883543917904)</f>
        <v>1.3883543917904E-4</v>
      </c>
      <c r="W116" s="127">
        <f ca="1">IFERROR(__xludf.DUMMYFUNCTION("average.weighted(W2:W102,$C2:$C102)"),0.0300856584558704)</f>
        <v>3.0085658455870402E-2</v>
      </c>
      <c r="X116" s="127">
        <f ca="1">IFERROR(__xludf.DUMMYFUNCTION("average.weighted(X2:X102,$C2:$C102)"),0.0161274017935812)</f>
        <v>1.61274017935812E-2</v>
      </c>
      <c r="Y116" s="127">
        <f ca="1">IFERROR(__xludf.DUMMYFUNCTION("average.weighted(Y2:Y102,$C2:$C102)"),0.0006100798370182)</f>
        <v>6.100798370182E-4</v>
      </c>
      <c r="Z116" s="127">
        <f ca="1">IFERROR(__xludf.DUMMYFUNCTION("average.weighted(Z2:Z102,$C2:$C102)"),0.0598928660609398)</f>
        <v>5.9892866060939798E-2</v>
      </c>
      <c r="AA116" s="127">
        <f ca="1">IFERROR(__xludf.DUMMYFUNCTION("average.weighted(AA29:AA61,$C29:$C61)"),0.0587311521647059)</f>
        <v>5.8731152164705903E-2</v>
      </c>
      <c r="AB116" s="127">
        <f t="shared" ca="1" si="12"/>
        <v>0.12065676138204071</v>
      </c>
      <c r="AC116" s="127">
        <f ca="1">IF(ISNUMBER(AB116),SUM(E116:AB116)-AA116,SUM(E116:AB116))</f>
        <v>0.23973850570311642</v>
      </c>
      <c r="AD116" s="131"/>
      <c r="AE116" s="121"/>
      <c r="AF116" s="128"/>
      <c r="AG116" s="128"/>
    </row>
    <row r="117" spans="1:33" ht="12.5">
      <c r="A117" s="121"/>
      <c r="B117" s="121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1"/>
      <c r="AF117" s="128"/>
      <c r="AG117" s="128"/>
    </row>
    <row r="118" spans="1:33" ht="12.5">
      <c r="A118" s="121"/>
      <c r="B118" s="121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1"/>
      <c r="AF118" s="128"/>
      <c r="AG118" s="128"/>
    </row>
    <row r="119" spans="1:33" ht="12.5">
      <c r="A119" s="121"/>
      <c r="B119" s="121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1"/>
      <c r="AF119" s="128"/>
      <c r="AG119" s="128"/>
    </row>
    <row r="120" spans="1:33" ht="12.5">
      <c r="A120" s="121"/>
      <c r="B120" s="121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1"/>
      <c r="AF120" s="128"/>
      <c r="AG120" s="128"/>
    </row>
    <row r="121" spans="1:33" ht="12.5">
      <c r="A121" s="121"/>
      <c r="B121" s="121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1"/>
      <c r="AF121" s="128"/>
      <c r="AG121" s="128"/>
    </row>
    <row r="122" spans="1:33" ht="12.5">
      <c r="A122" s="121"/>
      <c r="B122" s="121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1"/>
      <c r="AF122" s="128"/>
      <c r="AG122" s="128"/>
    </row>
    <row r="123" spans="1:33" ht="12.5">
      <c r="A123" s="121"/>
      <c r="B123" s="121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1"/>
      <c r="AF123" s="128"/>
      <c r="AG123" s="128"/>
    </row>
    <row r="124" spans="1:33" ht="12.5">
      <c r="A124" s="121"/>
      <c r="B124" s="121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1"/>
      <c r="AF124" s="128"/>
      <c r="AG124" s="128"/>
    </row>
    <row r="125" spans="1:33" ht="12.5">
      <c r="A125" s="121"/>
      <c r="B125" s="121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1"/>
      <c r="AF125" s="128"/>
      <c r="AG125" s="128"/>
    </row>
    <row r="126" spans="1:33" ht="12.5">
      <c r="A126" s="121"/>
      <c r="B126" s="121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1"/>
      <c r="AF126" s="128"/>
      <c r="AG126" s="128"/>
    </row>
    <row r="127" spans="1:33" ht="12.5">
      <c r="A127" s="121"/>
      <c r="B127" s="121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1"/>
      <c r="AF127" s="128"/>
      <c r="AG127" s="128"/>
    </row>
    <row r="128" spans="1:33" ht="12.5">
      <c r="A128" s="121"/>
      <c r="B128" s="121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1"/>
      <c r="AF128" s="128"/>
      <c r="AG128" s="128"/>
    </row>
    <row r="129" spans="1:33" ht="12.5">
      <c r="A129" s="121"/>
      <c r="B129" s="121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1"/>
      <c r="AF129" s="128"/>
      <c r="AG129" s="128"/>
    </row>
    <row r="130" spans="1:33" ht="12.5">
      <c r="A130" s="121"/>
      <c r="B130" s="121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1"/>
      <c r="AF130" s="128"/>
      <c r="AG130" s="128"/>
    </row>
    <row r="131" spans="1:33" ht="12.5">
      <c r="A131" s="121"/>
      <c r="B131" s="121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1"/>
      <c r="AF131" s="128"/>
      <c r="AG131" s="128"/>
    </row>
    <row r="132" spans="1:33" ht="12.5">
      <c r="A132" s="121"/>
      <c r="B132" s="121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1"/>
      <c r="AF132" s="128"/>
      <c r="AG132" s="128"/>
    </row>
    <row r="133" spans="1:33" ht="12.5">
      <c r="A133" s="121"/>
      <c r="B133" s="121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1"/>
      <c r="AF133" s="128"/>
      <c r="AG133" s="128"/>
    </row>
    <row r="134" spans="1:33" ht="12.5">
      <c r="A134" s="121"/>
      <c r="B134" s="121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1"/>
      <c r="AF134" s="128"/>
      <c r="AG134" s="128"/>
    </row>
    <row r="135" spans="1:33" ht="12.5">
      <c r="A135" s="121"/>
      <c r="B135" s="121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1"/>
      <c r="AF135" s="128"/>
      <c r="AG135" s="128"/>
    </row>
    <row r="136" spans="1:33" ht="12.5">
      <c r="A136" s="121"/>
      <c r="B136" s="121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1"/>
      <c r="AF136" s="128"/>
      <c r="AG136" s="128"/>
    </row>
    <row r="137" spans="1:33" ht="12.5">
      <c r="A137" s="121"/>
      <c r="B137" s="121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1"/>
      <c r="AF137" s="128"/>
      <c r="AG137" s="128"/>
    </row>
    <row r="138" spans="1:33" ht="12.5">
      <c r="A138" s="121"/>
      <c r="B138" s="121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1"/>
      <c r="AF138" s="128"/>
      <c r="AG138" s="128"/>
    </row>
    <row r="139" spans="1:33" ht="12.5">
      <c r="A139" s="121"/>
      <c r="B139" s="121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1"/>
      <c r="AF139" s="128"/>
      <c r="AG139" s="128"/>
    </row>
    <row r="140" spans="1:33" ht="12.5">
      <c r="A140" s="121"/>
      <c r="B140" s="121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1"/>
      <c r="AF140" s="128"/>
      <c r="AG140" s="128"/>
    </row>
    <row r="141" spans="1:33" ht="12.5">
      <c r="A141" s="121"/>
      <c r="B141" s="121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1"/>
      <c r="AF141" s="128"/>
      <c r="AG141" s="128"/>
    </row>
    <row r="142" spans="1:33" ht="12.5">
      <c r="A142" s="121"/>
      <c r="B142" s="121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1"/>
      <c r="AF142" s="128"/>
      <c r="AG142" s="128"/>
    </row>
    <row r="143" spans="1:33" ht="12.5">
      <c r="A143" s="121"/>
      <c r="B143" s="121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1"/>
      <c r="AF143" s="128"/>
      <c r="AG143" s="128"/>
    </row>
    <row r="144" spans="1:33" ht="12.5">
      <c r="A144" s="121"/>
      <c r="B144" s="121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1"/>
      <c r="AF144" s="128"/>
      <c r="AG144" s="128"/>
    </row>
    <row r="145" spans="1:33" ht="12.5">
      <c r="A145" s="121"/>
      <c r="B145" s="121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1"/>
      <c r="AF145" s="128"/>
      <c r="AG145" s="128"/>
    </row>
    <row r="146" spans="1:33" ht="12.5">
      <c r="A146" s="121"/>
      <c r="B146" s="121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1"/>
      <c r="AF146" s="128"/>
      <c r="AG146" s="128"/>
    </row>
    <row r="147" spans="1:33" ht="12.5">
      <c r="A147" s="121"/>
      <c r="B147" s="121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1"/>
      <c r="AF147" s="128"/>
      <c r="AG147" s="128"/>
    </row>
    <row r="148" spans="1:33" ht="12.5">
      <c r="A148" s="121"/>
      <c r="B148" s="121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1"/>
      <c r="AF148" s="128"/>
      <c r="AG148" s="128"/>
    </row>
    <row r="149" spans="1:33" ht="12.5">
      <c r="A149" s="121"/>
      <c r="B149" s="121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1"/>
      <c r="AF149" s="128"/>
      <c r="AG149" s="128"/>
    </row>
    <row r="150" spans="1:33" ht="12.5">
      <c r="A150" s="121"/>
      <c r="B150" s="121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1"/>
      <c r="AF150" s="128"/>
      <c r="AG150" s="128"/>
    </row>
    <row r="151" spans="1:33" ht="12.5">
      <c r="A151" s="121"/>
      <c r="B151" s="121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1"/>
      <c r="AF151" s="128"/>
      <c r="AG151" s="128"/>
    </row>
    <row r="152" spans="1:33" ht="12.5">
      <c r="A152" s="121"/>
      <c r="B152" s="121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1"/>
      <c r="AF152" s="128"/>
      <c r="AG152" s="128"/>
    </row>
    <row r="153" spans="1:33" ht="12.5">
      <c r="A153" s="121"/>
      <c r="B153" s="121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1"/>
      <c r="AF153" s="128"/>
      <c r="AG153" s="128"/>
    </row>
    <row r="154" spans="1:33" ht="12.5">
      <c r="A154" s="121"/>
      <c r="B154" s="121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1"/>
      <c r="AF154" s="128"/>
      <c r="AG154" s="128"/>
    </row>
    <row r="155" spans="1:33" ht="12.5">
      <c r="A155" s="121"/>
      <c r="B155" s="121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1"/>
      <c r="AF155" s="128"/>
      <c r="AG155" s="128"/>
    </row>
    <row r="156" spans="1:33" ht="12.5">
      <c r="A156" s="121"/>
      <c r="B156" s="121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1"/>
      <c r="AF156" s="128"/>
      <c r="AG156" s="128"/>
    </row>
    <row r="157" spans="1:33" ht="12.5">
      <c r="A157" s="121"/>
      <c r="B157" s="121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1"/>
      <c r="AF157" s="128"/>
      <c r="AG157" s="128"/>
    </row>
    <row r="158" spans="1:33" ht="12.5">
      <c r="A158" s="121"/>
      <c r="B158" s="121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1"/>
      <c r="AF158" s="128"/>
      <c r="AG158" s="128"/>
    </row>
    <row r="159" spans="1:33" ht="12.5">
      <c r="A159" s="121"/>
      <c r="B159" s="121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1"/>
      <c r="AF159" s="128"/>
      <c r="AG159" s="128"/>
    </row>
    <row r="160" spans="1:33" ht="12.5">
      <c r="A160" s="121"/>
      <c r="B160" s="121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1"/>
      <c r="AF160" s="128"/>
      <c r="AG160" s="128"/>
    </row>
    <row r="161" spans="1:33" ht="12.5">
      <c r="A161" s="121"/>
      <c r="B161" s="121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1"/>
      <c r="AF161" s="128"/>
      <c r="AG161" s="128"/>
    </row>
    <row r="162" spans="1:33" ht="12.5">
      <c r="A162" s="121"/>
      <c r="B162" s="121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1"/>
      <c r="AF162" s="128"/>
      <c r="AG162" s="128"/>
    </row>
    <row r="163" spans="1:33" ht="12.5">
      <c r="A163" s="121"/>
      <c r="B163" s="121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1"/>
      <c r="AF163" s="128"/>
      <c r="AG163" s="128"/>
    </row>
    <row r="164" spans="1:33" ht="12.5">
      <c r="A164" s="121"/>
      <c r="B164" s="121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1"/>
      <c r="AF164" s="128"/>
      <c r="AG164" s="128"/>
    </row>
    <row r="165" spans="1:33" ht="12.5">
      <c r="A165" s="121"/>
      <c r="B165" s="121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1"/>
      <c r="AF165" s="128"/>
      <c r="AG165" s="128"/>
    </row>
    <row r="166" spans="1:33" ht="12.5">
      <c r="A166" s="121"/>
      <c r="B166" s="121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1"/>
      <c r="AF166" s="128"/>
      <c r="AG166" s="128"/>
    </row>
    <row r="167" spans="1:33" ht="12.5">
      <c r="A167" s="121"/>
      <c r="B167" s="121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1"/>
      <c r="AF167" s="128"/>
      <c r="AG167" s="128"/>
    </row>
    <row r="168" spans="1:33" ht="12.5">
      <c r="A168" s="121"/>
      <c r="B168" s="121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1"/>
      <c r="AF168" s="128"/>
      <c r="AG168" s="128"/>
    </row>
    <row r="169" spans="1:33" ht="12.5">
      <c r="A169" s="121"/>
      <c r="B169" s="121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1"/>
      <c r="AF169" s="128"/>
      <c r="AG169" s="128"/>
    </row>
    <row r="170" spans="1:33" ht="12.5">
      <c r="A170" s="121"/>
      <c r="B170" s="121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1"/>
      <c r="AF170" s="128"/>
      <c r="AG170" s="128"/>
    </row>
    <row r="171" spans="1:33" ht="12.5">
      <c r="A171" s="121"/>
      <c r="B171" s="121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1"/>
      <c r="AF171" s="128"/>
      <c r="AG171" s="128"/>
    </row>
    <row r="172" spans="1:33" ht="12.5">
      <c r="A172" s="121"/>
      <c r="B172" s="121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1"/>
      <c r="AF172" s="128"/>
      <c r="AG172" s="128"/>
    </row>
    <row r="173" spans="1:33" ht="12.5">
      <c r="A173" s="121"/>
      <c r="B173" s="121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1"/>
      <c r="AF173" s="128"/>
      <c r="AG173" s="128"/>
    </row>
    <row r="174" spans="1:33" ht="12.5">
      <c r="A174" s="121"/>
      <c r="B174" s="121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1"/>
      <c r="AF174" s="128"/>
      <c r="AG174" s="128"/>
    </row>
    <row r="175" spans="1:33" ht="12.5">
      <c r="A175" s="121"/>
      <c r="B175" s="121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1"/>
      <c r="AF175" s="128"/>
      <c r="AG175" s="128"/>
    </row>
    <row r="176" spans="1:33" ht="12.5">
      <c r="A176" s="121"/>
      <c r="B176" s="121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1"/>
      <c r="AF176" s="128"/>
      <c r="AG176" s="128"/>
    </row>
    <row r="177" spans="1:33" ht="12.5">
      <c r="A177" s="121"/>
      <c r="B177" s="121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1"/>
      <c r="AF177" s="128"/>
      <c r="AG177" s="128"/>
    </row>
    <row r="178" spans="1:33" ht="12.5">
      <c r="A178" s="121"/>
      <c r="B178" s="121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1"/>
      <c r="AF178" s="128"/>
      <c r="AG178" s="128"/>
    </row>
    <row r="179" spans="1:33" ht="12.5">
      <c r="A179" s="121"/>
      <c r="B179" s="121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1"/>
      <c r="AF179" s="128"/>
      <c r="AG179" s="128"/>
    </row>
    <row r="180" spans="1:33" ht="12.5">
      <c r="A180" s="121"/>
      <c r="B180" s="121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1"/>
      <c r="AF180" s="128"/>
      <c r="AG180" s="128"/>
    </row>
    <row r="181" spans="1:33" ht="12.5">
      <c r="A181" s="121"/>
      <c r="B181" s="121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1"/>
      <c r="AF181" s="128"/>
      <c r="AG181" s="128"/>
    </row>
    <row r="182" spans="1:33" ht="12.5">
      <c r="A182" s="121"/>
      <c r="B182" s="121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1"/>
      <c r="AF182" s="128"/>
      <c r="AG182" s="128"/>
    </row>
    <row r="183" spans="1:33" ht="12.5">
      <c r="A183" s="121"/>
      <c r="B183" s="121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1"/>
      <c r="AF183" s="128"/>
      <c r="AG183" s="128"/>
    </row>
    <row r="184" spans="1:33" ht="12.5">
      <c r="A184" s="121"/>
      <c r="B184" s="121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1"/>
      <c r="AF184" s="128"/>
      <c r="AG184" s="128"/>
    </row>
    <row r="185" spans="1:33" ht="12.5">
      <c r="A185" s="121"/>
      <c r="B185" s="121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1"/>
      <c r="AF185" s="128"/>
      <c r="AG185" s="128"/>
    </row>
    <row r="186" spans="1:33" ht="12.5">
      <c r="A186" s="121"/>
      <c r="B186" s="121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1"/>
      <c r="AF186" s="128"/>
      <c r="AG186" s="128"/>
    </row>
    <row r="187" spans="1:33" ht="12.5">
      <c r="A187" s="121"/>
      <c r="B187" s="121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1"/>
      <c r="AF187" s="128"/>
      <c r="AG187" s="128"/>
    </row>
    <row r="188" spans="1:33" ht="12.5">
      <c r="A188" s="121"/>
      <c r="B188" s="121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1"/>
      <c r="AF188" s="128"/>
      <c r="AG188" s="128"/>
    </row>
    <row r="189" spans="1:33" ht="12.5">
      <c r="A189" s="121"/>
      <c r="B189" s="121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1"/>
      <c r="AF189" s="128"/>
      <c r="AG189" s="128"/>
    </row>
    <row r="190" spans="1:33" ht="12.5">
      <c r="A190" s="121"/>
      <c r="B190" s="121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1"/>
      <c r="AF190" s="128"/>
      <c r="AG190" s="128"/>
    </row>
    <row r="191" spans="1:33" ht="12.5">
      <c r="A191" s="121"/>
      <c r="B191" s="121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1"/>
      <c r="AF191" s="128"/>
      <c r="AG191" s="128"/>
    </row>
    <row r="192" spans="1:33" ht="12.5">
      <c r="A192" s="121"/>
      <c r="B192" s="121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1"/>
      <c r="AF192" s="128"/>
      <c r="AG192" s="128"/>
    </row>
    <row r="193" spans="1:33" ht="12.5">
      <c r="A193" s="121"/>
      <c r="B193" s="121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1"/>
      <c r="AF193" s="128"/>
      <c r="AG193" s="128"/>
    </row>
    <row r="194" spans="1:33" ht="12.5">
      <c r="A194" s="121"/>
      <c r="B194" s="121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1"/>
      <c r="AF194" s="128"/>
      <c r="AG194" s="128"/>
    </row>
    <row r="195" spans="1:33" ht="12.5">
      <c r="A195" s="121"/>
      <c r="B195" s="121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1"/>
      <c r="AF195" s="128"/>
      <c r="AG195" s="128"/>
    </row>
    <row r="196" spans="1:33" ht="12.5">
      <c r="A196" s="121"/>
      <c r="B196" s="121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1"/>
      <c r="AF196" s="128"/>
      <c r="AG196" s="128"/>
    </row>
    <row r="197" spans="1:33" ht="12.5">
      <c r="A197" s="121"/>
      <c r="B197" s="121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1"/>
      <c r="AF197" s="128"/>
      <c r="AG197" s="128"/>
    </row>
    <row r="198" spans="1:33" ht="12.5">
      <c r="A198" s="121"/>
      <c r="B198" s="121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1"/>
      <c r="AF198" s="128"/>
      <c r="AG198" s="128"/>
    </row>
    <row r="199" spans="1:33" ht="12.5">
      <c r="A199" s="121"/>
      <c r="B199" s="121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1"/>
      <c r="AF199" s="128"/>
      <c r="AG199" s="128"/>
    </row>
    <row r="200" spans="1:33" ht="12.5">
      <c r="A200" s="121"/>
      <c r="B200" s="121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1"/>
      <c r="AF200" s="128"/>
      <c r="AG200" s="128"/>
    </row>
    <row r="201" spans="1:33" ht="12.5">
      <c r="A201" s="121"/>
      <c r="B201" s="121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1"/>
      <c r="AF201" s="128"/>
      <c r="AG201" s="128"/>
    </row>
    <row r="202" spans="1:33" ht="12.5">
      <c r="A202" s="121"/>
      <c r="B202" s="121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1"/>
      <c r="AF202" s="128"/>
      <c r="AG202" s="128"/>
    </row>
    <row r="203" spans="1:33" ht="12.5">
      <c r="A203" s="121"/>
      <c r="B203" s="121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1"/>
      <c r="AF203" s="128"/>
      <c r="AG203" s="128"/>
    </row>
    <row r="204" spans="1:33" ht="12.5">
      <c r="A204" s="121"/>
      <c r="B204" s="121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1"/>
      <c r="AF204" s="128"/>
      <c r="AG204" s="128"/>
    </row>
    <row r="205" spans="1:33" ht="12.5">
      <c r="A205" s="121"/>
      <c r="B205" s="121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1"/>
      <c r="AF205" s="128"/>
      <c r="AG205" s="128"/>
    </row>
    <row r="206" spans="1:33" ht="12.5">
      <c r="A206" s="121"/>
      <c r="B206" s="121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1"/>
      <c r="AF206" s="128"/>
      <c r="AG206" s="128"/>
    </row>
    <row r="207" spans="1:33" ht="12.5">
      <c r="A207" s="121"/>
      <c r="B207" s="121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1"/>
      <c r="AF207" s="128"/>
      <c r="AG207" s="128"/>
    </row>
    <row r="208" spans="1:33" ht="12.5">
      <c r="A208" s="121"/>
      <c r="B208" s="121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1"/>
      <c r="AF208" s="128"/>
      <c r="AG208" s="128"/>
    </row>
    <row r="209" spans="1:33" ht="12.5">
      <c r="A209" s="121"/>
      <c r="B209" s="121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1"/>
      <c r="AF209" s="128"/>
      <c r="AG209" s="128"/>
    </row>
    <row r="210" spans="1:33" ht="12.5">
      <c r="A210" s="121"/>
      <c r="B210" s="121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1"/>
      <c r="AF210" s="128"/>
      <c r="AG210" s="128"/>
    </row>
    <row r="211" spans="1:33" ht="12.5">
      <c r="A211" s="121"/>
      <c r="B211" s="121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1"/>
      <c r="AF211" s="128"/>
      <c r="AG211" s="128"/>
    </row>
    <row r="212" spans="1:33" ht="12.5">
      <c r="A212" s="121"/>
      <c r="B212" s="121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1"/>
      <c r="AF212" s="128"/>
      <c r="AG212" s="128"/>
    </row>
    <row r="213" spans="1:33" ht="12.5">
      <c r="A213" s="121"/>
      <c r="B213" s="121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1"/>
      <c r="AF213" s="128"/>
      <c r="AG213" s="128"/>
    </row>
    <row r="214" spans="1:33" ht="12.5">
      <c r="A214" s="121"/>
      <c r="B214" s="121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1"/>
      <c r="AF214" s="128"/>
      <c r="AG214" s="128"/>
    </row>
    <row r="215" spans="1:33" ht="12.5">
      <c r="A215" s="121"/>
      <c r="B215" s="121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1"/>
      <c r="AF215" s="128"/>
      <c r="AG215" s="128"/>
    </row>
    <row r="216" spans="1:33" ht="12.5">
      <c r="A216" s="121"/>
      <c r="B216" s="121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1"/>
      <c r="AF216" s="128"/>
      <c r="AG216" s="128"/>
    </row>
    <row r="217" spans="1:33" ht="12.5">
      <c r="A217" s="121"/>
      <c r="B217" s="121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1"/>
      <c r="AF217" s="128"/>
      <c r="AG217" s="128"/>
    </row>
    <row r="218" spans="1:33" ht="12.5">
      <c r="A218" s="121"/>
      <c r="B218" s="121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1"/>
      <c r="AF218" s="128"/>
      <c r="AG218" s="128"/>
    </row>
    <row r="219" spans="1:33" ht="12.5">
      <c r="A219" s="121"/>
      <c r="B219" s="121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1"/>
      <c r="AF219" s="128"/>
      <c r="AG219" s="128"/>
    </row>
    <row r="220" spans="1:33" ht="12.5">
      <c r="A220" s="121"/>
      <c r="B220" s="121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1"/>
      <c r="AF220" s="128"/>
      <c r="AG220" s="128"/>
    </row>
    <row r="221" spans="1:33" ht="12.5">
      <c r="A221" s="121"/>
      <c r="B221" s="121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1"/>
      <c r="AF221" s="128"/>
      <c r="AG221" s="128"/>
    </row>
    <row r="222" spans="1:33" ht="12.5">
      <c r="A222" s="121"/>
      <c r="B222" s="121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1"/>
      <c r="AF222" s="128"/>
      <c r="AG222" s="128"/>
    </row>
    <row r="223" spans="1:33" ht="12.5">
      <c r="A223" s="121"/>
      <c r="B223" s="121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1"/>
      <c r="AF223" s="128"/>
      <c r="AG223" s="128"/>
    </row>
    <row r="224" spans="1:33" ht="12.5">
      <c r="A224" s="121"/>
      <c r="B224" s="121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1"/>
      <c r="AF224" s="128"/>
      <c r="AG224" s="128"/>
    </row>
    <row r="225" spans="1:33" ht="12.5">
      <c r="A225" s="121"/>
      <c r="B225" s="121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1"/>
      <c r="AF225" s="128"/>
      <c r="AG225" s="128"/>
    </row>
    <row r="226" spans="1:33" ht="12.5">
      <c r="A226" s="121"/>
      <c r="B226" s="121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1"/>
      <c r="AF226" s="128"/>
      <c r="AG226" s="128"/>
    </row>
    <row r="227" spans="1:33" ht="12.5">
      <c r="A227" s="121"/>
      <c r="B227" s="121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1"/>
      <c r="AF227" s="128"/>
      <c r="AG227" s="128"/>
    </row>
    <row r="228" spans="1:33" ht="12.5">
      <c r="A228" s="121"/>
      <c r="B228" s="121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1"/>
      <c r="AF228" s="128"/>
      <c r="AG228" s="128"/>
    </row>
    <row r="229" spans="1:33" ht="12.5">
      <c r="A229" s="121"/>
      <c r="B229" s="121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1"/>
      <c r="AF229" s="128"/>
      <c r="AG229" s="128"/>
    </row>
    <row r="230" spans="1:33" ht="12.5">
      <c r="A230" s="121"/>
      <c r="B230" s="121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1"/>
      <c r="AF230" s="128"/>
      <c r="AG230" s="128"/>
    </row>
    <row r="231" spans="1:33" ht="12.5">
      <c r="A231" s="121"/>
      <c r="B231" s="121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1"/>
      <c r="AF231" s="128"/>
      <c r="AG231" s="128"/>
    </row>
    <row r="232" spans="1:33" ht="12.5">
      <c r="A232" s="121"/>
      <c r="B232" s="121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1"/>
      <c r="AF232" s="128"/>
      <c r="AG232" s="128"/>
    </row>
    <row r="233" spans="1:33" ht="12.5">
      <c r="A233" s="121"/>
      <c r="B233" s="121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1"/>
      <c r="AF233" s="128"/>
      <c r="AG233" s="128"/>
    </row>
    <row r="234" spans="1:33" ht="12.5">
      <c r="A234" s="121"/>
      <c r="B234" s="121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1"/>
      <c r="AF234" s="128"/>
      <c r="AG234" s="128"/>
    </row>
    <row r="235" spans="1:33" ht="12.5">
      <c r="A235" s="121"/>
      <c r="B235" s="121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1"/>
      <c r="AF235" s="128"/>
      <c r="AG235" s="128"/>
    </row>
    <row r="236" spans="1:33" ht="12.5">
      <c r="A236" s="121"/>
      <c r="B236" s="121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1"/>
      <c r="AF236" s="128"/>
      <c r="AG236" s="128"/>
    </row>
    <row r="237" spans="1:33" ht="12.5">
      <c r="A237" s="121"/>
      <c r="B237" s="121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1"/>
      <c r="AF237" s="128"/>
      <c r="AG237" s="128"/>
    </row>
    <row r="238" spans="1:33" ht="12.5">
      <c r="A238" s="121"/>
      <c r="B238" s="121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1"/>
      <c r="AF238" s="128"/>
      <c r="AG238" s="128"/>
    </row>
    <row r="239" spans="1:33" ht="12.5">
      <c r="A239" s="121"/>
      <c r="B239" s="121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1"/>
      <c r="AF239" s="128"/>
      <c r="AG239" s="128"/>
    </row>
    <row r="240" spans="1:33" ht="12.5">
      <c r="A240" s="121"/>
      <c r="B240" s="121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1"/>
      <c r="AF240" s="128"/>
      <c r="AG240" s="128"/>
    </row>
    <row r="241" spans="1:33" ht="12.5">
      <c r="A241" s="121"/>
      <c r="B241" s="121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1"/>
      <c r="AF241" s="128"/>
      <c r="AG241" s="128"/>
    </row>
    <row r="242" spans="1:33" ht="12.5">
      <c r="A242" s="121"/>
      <c r="B242" s="121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1"/>
      <c r="AF242" s="128"/>
      <c r="AG242" s="128"/>
    </row>
    <row r="243" spans="1:33" ht="12.5">
      <c r="A243" s="121"/>
      <c r="B243" s="121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1"/>
      <c r="AF243" s="128"/>
      <c r="AG243" s="128"/>
    </row>
    <row r="244" spans="1:33" ht="12.5">
      <c r="A244" s="121"/>
      <c r="B244" s="121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1"/>
      <c r="AF244" s="128"/>
      <c r="AG244" s="128"/>
    </row>
    <row r="245" spans="1:33" ht="12.5">
      <c r="A245" s="121"/>
      <c r="B245" s="121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1"/>
      <c r="AF245" s="128"/>
      <c r="AG245" s="128"/>
    </row>
    <row r="246" spans="1:33" ht="12.5">
      <c r="A246" s="121"/>
      <c r="B246" s="121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1"/>
      <c r="AF246" s="128"/>
      <c r="AG246" s="128"/>
    </row>
    <row r="247" spans="1:33" ht="12.5">
      <c r="A247" s="121"/>
      <c r="B247" s="121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1"/>
      <c r="AF247" s="128"/>
      <c r="AG247" s="128"/>
    </row>
    <row r="248" spans="1:33" ht="12.5">
      <c r="A248" s="121"/>
      <c r="B248" s="121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1"/>
      <c r="AF248" s="128"/>
      <c r="AG248" s="128"/>
    </row>
    <row r="249" spans="1:33" ht="12.5">
      <c r="A249" s="121"/>
      <c r="B249" s="121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1"/>
      <c r="AF249" s="128"/>
      <c r="AG249" s="128"/>
    </row>
    <row r="250" spans="1:33" ht="12.5">
      <c r="A250" s="121"/>
      <c r="B250" s="121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1"/>
      <c r="AF250" s="128"/>
      <c r="AG250" s="128"/>
    </row>
    <row r="251" spans="1:33" ht="12.5">
      <c r="A251" s="121"/>
      <c r="B251" s="121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1"/>
      <c r="AF251" s="128"/>
      <c r="AG251" s="128"/>
    </row>
    <row r="252" spans="1:33" ht="12.5">
      <c r="A252" s="121"/>
      <c r="B252" s="121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1"/>
      <c r="AF252" s="128"/>
      <c r="AG252" s="128"/>
    </row>
    <row r="253" spans="1:33" ht="12.5">
      <c r="A253" s="121"/>
      <c r="B253" s="121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1"/>
      <c r="AF253" s="128"/>
      <c r="AG253" s="128"/>
    </row>
    <row r="254" spans="1:33" ht="12.5">
      <c r="A254" s="121"/>
      <c r="B254" s="121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1"/>
      <c r="AF254" s="128"/>
      <c r="AG254" s="128"/>
    </row>
    <row r="255" spans="1:33" ht="12.5">
      <c r="A255" s="121"/>
      <c r="B255" s="121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1"/>
      <c r="AF255" s="128"/>
      <c r="AG255" s="128"/>
    </row>
    <row r="256" spans="1:33" ht="12.5">
      <c r="A256" s="121"/>
      <c r="B256" s="121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1"/>
      <c r="AF256" s="128"/>
      <c r="AG256" s="128"/>
    </row>
    <row r="257" spans="1:33" ht="12.5">
      <c r="A257" s="121"/>
      <c r="B257" s="121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1"/>
      <c r="AF257" s="128"/>
      <c r="AG257" s="128"/>
    </row>
    <row r="258" spans="1:33" ht="12.5">
      <c r="A258" s="121"/>
      <c r="B258" s="121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1"/>
      <c r="AF258" s="128"/>
      <c r="AG258" s="128"/>
    </row>
    <row r="259" spans="1:33" ht="12.5">
      <c r="A259" s="121"/>
      <c r="B259" s="121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1"/>
      <c r="AF259" s="128"/>
      <c r="AG259" s="128"/>
    </row>
    <row r="260" spans="1:33" ht="12.5">
      <c r="A260" s="121"/>
      <c r="B260" s="121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1"/>
      <c r="AF260" s="128"/>
      <c r="AG260" s="128"/>
    </row>
    <row r="261" spans="1:33" ht="12.5">
      <c r="A261" s="121"/>
      <c r="B261" s="121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1"/>
      <c r="AF261" s="128"/>
      <c r="AG261" s="128"/>
    </row>
    <row r="262" spans="1:33" ht="12.5">
      <c r="A262" s="121"/>
      <c r="B262" s="121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1"/>
      <c r="AF262" s="128"/>
      <c r="AG262" s="128"/>
    </row>
    <row r="263" spans="1:33" ht="12.5">
      <c r="A263" s="121"/>
      <c r="B263" s="121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1"/>
      <c r="AF263" s="128"/>
      <c r="AG263" s="128"/>
    </row>
    <row r="264" spans="1:33" ht="12.5">
      <c r="A264" s="121"/>
      <c r="B264" s="121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1"/>
      <c r="AF264" s="128"/>
      <c r="AG264" s="128"/>
    </row>
    <row r="265" spans="1:33" ht="12.5">
      <c r="A265" s="121"/>
      <c r="B265" s="121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1"/>
      <c r="AF265" s="128"/>
      <c r="AG265" s="128"/>
    </row>
    <row r="266" spans="1:33" ht="12.5">
      <c r="A266" s="121"/>
      <c r="B266" s="121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1"/>
      <c r="AF266" s="128"/>
      <c r="AG266" s="128"/>
    </row>
    <row r="267" spans="1:33" ht="12.5">
      <c r="A267" s="121"/>
      <c r="B267" s="121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1"/>
      <c r="AF267" s="128"/>
      <c r="AG267" s="128"/>
    </row>
    <row r="268" spans="1:33" ht="12.5">
      <c r="A268" s="121"/>
      <c r="B268" s="121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1"/>
      <c r="AF268" s="128"/>
      <c r="AG268" s="128"/>
    </row>
    <row r="269" spans="1:33" ht="12.5">
      <c r="A269" s="121"/>
      <c r="B269" s="121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1"/>
      <c r="AF269" s="128"/>
      <c r="AG269" s="128"/>
    </row>
    <row r="270" spans="1:33" ht="12.5">
      <c r="A270" s="121"/>
      <c r="B270" s="121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1"/>
      <c r="AF270" s="128"/>
      <c r="AG270" s="128"/>
    </row>
    <row r="271" spans="1:33" ht="12.5">
      <c r="A271" s="121"/>
      <c r="B271" s="121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1"/>
      <c r="AF271" s="128"/>
      <c r="AG271" s="128"/>
    </row>
    <row r="272" spans="1:33" ht="12.5">
      <c r="A272" s="121"/>
      <c r="B272" s="121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1"/>
      <c r="AF272" s="128"/>
      <c r="AG272" s="128"/>
    </row>
    <row r="273" spans="1:33" ht="12.5">
      <c r="A273" s="121"/>
      <c r="B273" s="121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1"/>
      <c r="AF273" s="128"/>
      <c r="AG273" s="128"/>
    </row>
    <row r="274" spans="1:33" ht="12.5">
      <c r="A274" s="121"/>
      <c r="B274" s="121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1"/>
      <c r="AF274" s="128"/>
      <c r="AG274" s="128"/>
    </row>
    <row r="275" spans="1:33" ht="12.5">
      <c r="A275" s="121"/>
      <c r="B275" s="121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1"/>
      <c r="AF275" s="128"/>
      <c r="AG275" s="128"/>
    </row>
    <row r="276" spans="1:33" ht="12.5">
      <c r="A276" s="121"/>
      <c r="B276" s="121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1"/>
      <c r="AF276" s="128"/>
      <c r="AG276" s="128"/>
    </row>
    <row r="277" spans="1:33" ht="12.5">
      <c r="A277" s="121"/>
      <c r="B277" s="121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1"/>
      <c r="AF277" s="128"/>
      <c r="AG277" s="128"/>
    </row>
    <row r="278" spans="1:33" ht="12.5">
      <c r="A278" s="121"/>
      <c r="B278" s="121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1"/>
      <c r="AF278" s="128"/>
      <c r="AG278" s="128"/>
    </row>
    <row r="279" spans="1:33" ht="12.5">
      <c r="A279" s="121"/>
      <c r="B279" s="121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1"/>
      <c r="AF279" s="128"/>
      <c r="AG279" s="128"/>
    </row>
    <row r="280" spans="1:33" ht="12.5">
      <c r="A280" s="121"/>
      <c r="B280" s="121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1"/>
      <c r="AF280" s="128"/>
      <c r="AG280" s="128"/>
    </row>
    <row r="281" spans="1:33" ht="12.5">
      <c r="A281" s="121"/>
      <c r="B281" s="121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1"/>
      <c r="AF281" s="128"/>
      <c r="AG281" s="128"/>
    </row>
    <row r="282" spans="1:33" ht="12.5">
      <c r="A282" s="121"/>
      <c r="B282" s="121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1"/>
      <c r="AF282" s="128"/>
      <c r="AG282" s="128"/>
    </row>
    <row r="283" spans="1:33" ht="12.5">
      <c r="A283" s="121"/>
      <c r="B283" s="121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1"/>
      <c r="AF283" s="128"/>
      <c r="AG283" s="128"/>
    </row>
    <row r="284" spans="1:33" ht="12.5">
      <c r="A284" s="121"/>
      <c r="B284" s="121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1"/>
      <c r="AF284" s="128"/>
      <c r="AG284" s="128"/>
    </row>
    <row r="285" spans="1:33" ht="12.5">
      <c r="A285" s="121"/>
      <c r="B285" s="121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1"/>
      <c r="AF285" s="128"/>
      <c r="AG285" s="128"/>
    </row>
    <row r="286" spans="1:33" ht="12.5">
      <c r="A286" s="121"/>
      <c r="B286" s="121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1"/>
      <c r="AF286" s="128"/>
      <c r="AG286" s="128"/>
    </row>
    <row r="287" spans="1:33" ht="12.5">
      <c r="A287" s="121"/>
      <c r="B287" s="121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1"/>
      <c r="AF287" s="128"/>
      <c r="AG287" s="128"/>
    </row>
    <row r="288" spans="1:33" ht="12.5">
      <c r="A288" s="121"/>
      <c r="B288" s="121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1"/>
      <c r="AF288" s="128"/>
      <c r="AG288" s="128"/>
    </row>
    <row r="289" spans="1:33" ht="12.5">
      <c r="A289" s="121"/>
      <c r="B289" s="121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1"/>
      <c r="AF289" s="128"/>
      <c r="AG289" s="128"/>
    </row>
    <row r="290" spans="1:33" ht="12.5">
      <c r="A290" s="121"/>
      <c r="B290" s="121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1"/>
      <c r="AF290" s="128"/>
      <c r="AG290" s="128"/>
    </row>
    <row r="291" spans="1:33" ht="12.5">
      <c r="A291" s="121"/>
      <c r="B291" s="121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1"/>
      <c r="AF291" s="128"/>
      <c r="AG291" s="128"/>
    </row>
    <row r="292" spans="1:33" ht="12.5">
      <c r="A292" s="121"/>
      <c r="B292" s="121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1"/>
      <c r="AF292" s="128"/>
      <c r="AG292" s="128"/>
    </row>
    <row r="293" spans="1:33" ht="12.5">
      <c r="A293" s="121"/>
      <c r="B293" s="121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1"/>
      <c r="AF293" s="128"/>
      <c r="AG293" s="128"/>
    </row>
    <row r="294" spans="1:33" ht="12.5">
      <c r="A294" s="121"/>
      <c r="B294" s="121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1"/>
      <c r="AF294" s="128"/>
      <c r="AG294" s="128"/>
    </row>
    <row r="295" spans="1:33" ht="12.5">
      <c r="A295" s="121"/>
      <c r="B295" s="121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1"/>
      <c r="AF295" s="128"/>
      <c r="AG295" s="128"/>
    </row>
    <row r="296" spans="1:33" ht="12.5">
      <c r="A296" s="121"/>
      <c r="B296" s="121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1"/>
      <c r="AF296" s="128"/>
      <c r="AG296" s="128"/>
    </row>
    <row r="297" spans="1:33" ht="12.5">
      <c r="A297" s="121"/>
      <c r="B297" s="121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1"/>
      <c r="AF297" s="128"/>
      <c r="AG297" s="128"/>
    </row>
    <row r="298" spans="1:33" ht="12.5">
      <c r="A298" s="121"/>
      <c r="B298" s="121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1"/>
      <c r="AF298" s="128"/>
      <c r="AG298" s="128"/>
    </row>
    <row r="299" spans="1:33" ht="12.5">
      <c r="A299" s="121"/>
      <c r="B299" s="121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1"/>
      <c r="AF299" s="128"/>
      <c r="AG299" s="128"/>
    </row>
    <row r="300" spans="1:33" ht="12.5">
      <c r="A300" s="121"/>
      <c r="B300" s="121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1"/>
      <c r="AF300" s="128"/>
      <c r="AG300" s="128"/>
    </row>
    <row r="301" spans="1:33" ht="12.5">
      <c r="A301" s="121"/>
      <c r="B301" s="121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1"/>
      <c r="AF301" s="128"/>
      <c r="AG301" s="128"/>
    </row>
    <row r="302" spans="1:33" ht="12.5">
      <c r="A302" s="121"/>
      <c r="B302" s="121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1"/>
      <c r="AF302" s="128"/>
      <c r="AG302" s="128"/>
    </row>
    <row r="303" spans="1:33" ht="12.5">
      <c r="A303" s="121"/>
      <c r="B303" s="121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1"/>
      <c r="AF303" s="128"/>
      <c r="AG303" s="128"/>
    </row>
    <row r="304" spans="1:33" ht="12.5">
      <c r="A304" s="121"/>
      <c r="B304" s="121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1"/>
      <c r="AF304" s="128"/>
      <c r="AG304" s="128"/>
    </row>
    <row r="305" spans="1:33" ht="12.5">
      <c r="A305" s="121"/>
      <c r="B305" s="121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1"/>
      <c r="AF305" s="128"/>
      <c r="AG305" s="128"/>
    </row>
    <row r="306" spans="1:33" ht="12.5">
      <c r="A306" s="121"/>
      <c r="B306" s="121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1"/>
      <c r="AF306" s="128"/>
      <c r="AG306" s="128"/>
    </row>
    <row r="307" spans="1:33" ht="12.5">
      <c r="A307" s="121"/>
      <c r="B307" s="121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1"/>
      <c r="AF307" s="128"/>
      <c r="AG307" s="128"/>
    </row>
    <row r="308" spans="1:33" ht="12.5">
      <c r="A308" s="121"/>
      <c r="B308" s="121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1"/>
      <c r="AF308" s="128"/>
      <c r="AG308" s="128"/>
    </row>
    <row r="309" spans="1:33" ht="12.5">
      <c r="A309" s="121"/>
      <c r="B309" s="121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1"/>
      <c r="AF309" s="128"/>
      <c r="AG309" s="128"/>
    </row>
    <row r="310" spans="1:33" ht="12.5">
      <c r="A310" s="121"/>
      <c r="B310" s="121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1"/>
      <c r="AF310" s="128"/>
      <c r="AG310" s="128"/>
    </row>
    <row r="311" spans="1:33" ht="12.5">
      <c r="A311" s="121"/>
      <c r="B311" s="121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1"/>
      <c r="AF311" s="128"/>
      <c r="AG311" s="128"/>
    </row>
    <row r="312" spans="1:33" ht="12.5">
      <c r="A312" s="121"/>
      <c r="B312" s="121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1"/>
      <c r="AF312" s="128"/>
      <c r="AG312" s="128"/>
    </row>
    <row r="313" spans="1:33" ht="12.5">
      <c r="A313" s="121"/>
      <c r="B313" s="121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1"/>
      <c r="AF313" s="128"/>
      <c r="AG313" s="128"/>
    </row>
    <row r="314" spans="1:33" ht="12.5">
      <c r="A314" s="121"/>
      <c r="B314" s="121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1"/>
      <c r="AF314" s="128"/>
      <c r="AG314" s="128"/>
    </row>
    <row r="315" spans="1:33" ht="12.5">
      <c r="A315" s="121"/>
      <c r="B315" s="121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1"/>
      <c r="AF315" s="128"/>
      <c r="AG315" s="128"/>
    </row>
    <row r="316" spans="1:33" ht="12.5">
      <c r="A316" s="121"/>
      <c r="B316" s="121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1"/>
      <c r="AF316" s="128"/>
      <c r="AG316" s="128"/>
    </row>
    <row r="317" spans="1:33" ht="12.5">
      <c r="A317" s="121"/>
      <c r="B317" s="121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1"/>
      <c r="AF317" s="128"/>
      <c r="AG317" s="128"/>
    </row>
    <row r="318" spans="1:33" ht="12.5">
      <c r="A318" s="121"/>
      <c r="B318" s="121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1"/>
      <c r="AF318" s="128"/>
      <c r="AG318" s="128"/>
    </row>
    <row r="319" spans="1:33" ht="12.5">
      <c r="A319" s="121"/>
      <c r="B319" s="121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1"/>
      <c r="AF319" s="128"/>
      <c r="AG319" s="128"/>
    </row>
    <row r="320" spans="1:33" ht="12.5">
      <c r="A320" s="121"/>
      <c r="B320" s="121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1"/>
      <c r="AF320" s="128"/>
      <c r="AG320" s="128"/>
    </row>
    <row r="321" spans="1:33" ht="12.5">
      <c r="A321" s="121"/>
      <c r="B321" s="121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1"/>
      <c r="AF321" s="128"/>
      <c r="AG321" s="128"/>
    </row>
    <row r="322" spans="1:33" ht="12.5">
      <c r="A322" s="121"/>
      <c r="B322" s="121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1"/>
      <c r="AF322" s="128"/>
      <c r="AG322" s="128"/>
    </row>
    <row r="323" spans="1:33" ht="12.5">
      <c r="A323" s="121"/>
      <c r="B323" s="121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1"/>
      <c r="AF323" s="128"/>
      <c r="AG323" s="128"/>
    </row>
    <row r="324" spans="1:33" ht="12.5">
      <c r="A324" s="121"/>
      <c r="B324" s="121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1"/>
      <c r="AF324" s="128"/>
      <c r="AG324" s="128"/>
    </row>
    <row r="325" spans="1:33" ht="12.5">
      <c r="A325" s="121"/>
      <c r="B325" s="121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1"/>
      <c r="AF325" s="128"/>
      <c r="AG325" s="128"/>
    </row>
    <row r="326" spans="1:33" ht="12.5">
      <c r="A326" s="121"/>
      <c r="B326" s="121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1"/>
      <c r="AF326" s="128"/>
      <c r="AG326" s="128"/>
    </row>
    <row r="327" spans="1:33" ht="12.5">
      <c r="A327" s="121"/>
      <c r="B327" s="121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1"/>
      <c r="AF327" s="128"/>
      <c r="AG327" s="128"/>
    </row>
    <row r="328" spans="1:33" ht="12.5">
      <c r="A328" s="121"/>
      <c r="B328" s="121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1"/>
      <c r="AF328" s="128"/>
      <c r="AG328" s="128"/>
    </row>
    <row r="329" spans="1:33" ht="12.5">
      <c r="A329" s="121"/>
      <c r="B329" s="121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1"/>
      <c r="AF329" s="128"/>
      <c r="AG329" s="128"/>
    </row>
    <row r="330" spans="1:33" ht="12.5">
      <c r="A330" s="121"/>
      <c r="B330" s="121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1"/>
      <c r="AF330" s="128"/>
      <c r="AG330" s="128"/>
    </row>
    <row r="331" spans="1:33" ht="12.5">
      <c r="A331" s="121"/>
      <c r="B331" s="121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1"/>
      <c r="AF331" s="128"/>
      <c r="AG331" s="128"/>
    </row>
    <row r="332" spans="1:33" ht="12.5">
      <c r="A332" s="121"/>
      <c r="B332" s="121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1"/>
      <c r="AF332" s="128"/>
      <c r="AG332" s="128"/>
    </row>
    <row r="333" spans="1:33" ht="12.5">
      <c r="A333" s="121"/>
      <c r="B333" s="121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1"/>
      <c r="AF333" s="128"/>
      <c r="AG333" s="128"/>
    </row>
    <row r="334" spans="1:33" ht="12.5">
      <c r="A334" s="121"/>
      <c r="B334" s="121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1"/>
      <c r="AF334" s="128"/>
      <c r="AG334" s="128"/>
    </row>
    <row r="335" spans="1:33" ht="12.5">
      <c r="A335" s="121"/>
      <c r="B335" s="121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1"/>
      <c r="AF335" s="128"/>
      <c r="AG335" s="128"/>
    </row>
    <row r="336" spans="1:33" ht="12.5">
      <c r="A336" s="121"/>
      <c r="B336" s="121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1"/>
      <c r="AF336" s="128"/>
      <c r="AG336" s="128"/>
    </row>
    <row r="337" spans="1:33" ht="12.5">
      <c r="A337" s="121"/>
      <c r="B337" s="121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1"/>
      <c r="AF337" s="128"/>
      <c r="AG337" s="128"/>
    </row>
    <row r="338" spans="1:33" ht="12.5">
      <c r="A338" s="121"/>
      <c r="B338" s="121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1"/>
      <c r="AF338" s="128"/>
      <c r="AG338" s="128"/>
    </row>
    <row r="339" spans="1:33" ht="12.5">
      <c r="A339" s="121"/>
      <c r="B339" s="121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1"/>
      <c r="AF339" s="128"/>
      <c r="AG339" s="128"/>
    </row>
    <row r="340" spans="1:33" ht="12.5">
      <c r="A340" s="121"/>
      <c r="B340" s="121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1"/>
      <c r="AF340" s="128"/>
      <c r="AG340" s="128"/>
    </row>
    <row r="341" spans="1:33" ht="12.5">
      <c r="A341" s="121"/>
      <c r="B341" s="121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1"/>
      <c r="AF341" s="128"/>
      <c r="AG341" s="128"/>
    </row>
    <row r="342" spans="1:33" ht="12.5">
      <c r="A342" s="121"/>
      <c r="B342" s="121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1"/>
      <c r="AF342" s="128"/>
      <c r="AG342" s="128"/>
    </row>
    <row r="343" spans="1:33" ht="12.5">
      <c r="A343" s="121"/>
      <c r="B343" s="121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1"/>
      <c r="AF343" s="128"/>
      <c r="AG343" s="128"/>
    </row>
    <row r="344" spans="1:33" ht="12.5">
      <c r="A344" s="121"/>
      <c r="B344" s="121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1"/>
      <c r="AF344" s="128"/>
      <c r="AG344" s="128"/>
    </row>
    <row r="345" spans="1:33" ht="12.5">
      <c r="A345" s="121"/>
      <c r="B345" s="121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1"/>
      <c r="AF345" s="128"/>
      <c r="AG345" s="128"/>
    </row>
    <row r="346" spans="1:33" ht="12.5">
      <c r="A346" s="121"/>
      <c r="B346" s="121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1"/>
      <c r="AF346" s="128"/>
      <c r="AG346" s="128"/>
    </row>
    <row r="347" spans="1:33" ht="12.5">
      <c r="A347" s="121"/>
      <c r="B347" s="121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1"/>
      <c r="AF347" s="128"/>
      <c r="AG347" s="128"/>
    </row>
    <row r="348" spans="1:33" ht="12.5">
      <c r="A348" s="121"/>
      <c r="B348" s="121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1"/>
      <c r="AF348" s="128"/>
      <c r="AG348" s="128"/>
    </row>
    <row r="349" spans="1:33" ht="12.5">
      <c r="A349" s="121"/>
      <c r="B349" s="121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1"/>
      <c r="AF349" s="128"/>
      <c r="AG349" s="128"/>
    </row>
    <row r="350" spans="1:33" ht="12.5">
      <c r="A350" s="121"/>
      <c r="B350" s="121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1"/>
      <c r="AF350" s="128"/>
      <c r="AG350" s="128"/>
    </row>
    <row r="351" spans="1:33" ht="12.5">
      <c r="A351" s="121"/>
      <c r="B351" s="121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1"/>
      <c r="AF351" s="128"/>
      <c r="AG351" s="128"/>
    </row>
    <row r="352" spans="1:33" ht="12.5">
      <c r="A352" s="121"/>
      <c r="B352" s="121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1"/>
      <c r="AF352" s="128"/>
      <c r="AG352" s="128"/>
    </row>
    <row r="353" spans="1:33" ht="12.5">
      <c r="A353" s="121"/>
      <c r="B353" s="121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1"/>
      <c r="AF353" s="128"/>
      <c r="AG353" s="128"/>
    </row>
    <row r="354" spans="1:33" ht="12.5">
      <c r="A354" s="121"/>
      <c r="B354" s="121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1"/>
      <c r="AF354" s="128"/>
      <c r="AG354" s="128"/>
    </row>
    <row r="355" spans="1:33" ht="12.5">
      <c r="A355" s="121"/>
      <c r="B355" s="121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1"/>
      <c r="AF355" s="128"/>
      <c r="AG355" s="128"/>
    </row>
    <row r="356" spans="1:33" ht="12.5">
      <c r="A356" s="121"/>
      <c r="B356" s="121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1"/>
      <c r="AF356" s="128"/>
      <c r="AG356" s="128"/>
    </row>
    <row r="357" spans="1:33" ht="12.5">
      <c r="A357" s="121"/>
      <c r="B357" s="121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1"/>
      <c r="AF357" s="128"/>
      <c r="AG357" s="128"/>
    </row>
    <row r="358" spans="1:33" ht="12.5">
      <c r="A358" s="121"/>
      <c r="B358" s="121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1"/>
      <c r="AF358" s="128"/>
      <c r="AG358" s="128"/>
    </row>
    <row r="359" spans="1:33" ht="12.5">
      <c r="A359" s="121"/>
      <c r="B359" s="121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1"/>
      <c r="AF359" s="128"/>
      <c r="AG359" s="128"/>
    </row>
    <row r="360" spans="1:33" ht="12.5">
      <c r="A360" s="121"/>
      <c r="B360" s="121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1"/>
      <c r="AF360" s="128"/>
      <c r="AG360" s="128"/>
    </row>
    <row r="361" spans="1:33" ht="12.5">
      <c r="A361" s="121"/>
      <c r="B361" s="121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1"/>
      <c r="AF361" s="128"/>
      <c r="AG361" s="128"/>
    </row>
    <row r="362" spans="1:33" ht="12.5">
      <c r="A362" s="121"/>
      <c r="B362" s="121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1"/>
      <c r="AF362" s="128"/>
      <c r="AG362" s="128"/>
    </row>
    <row r="363" spans="1:33" ht="12.5">
      <c r="A363" s="121"/>
      <c r="B363" s="121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1"/>
      <c r="AF363" s="128"/>
      <c r="AG363" s="128"/>
    </row>
    <row r="364" spans="1:33" ht="12.5">
      <c r="A364" s="121"/>
      <c r="B364" s="121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1"/>
      <c r="AF364" s="128"/>
      <c r="AG364" s="128"/>
    </row>
    <row r="365" spans="1:33" ht="12.5">
      <c r="A365" s="121"/>
      <c r="B365" s="121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1"/>
      <c r="AF365" s="128"/>
      <c r="AG365" s="128"/>
    </row>
    <row r="366" spans="1:33" ht="12.5">
      <c r="A366" s="121"/>
      <c r="B366" s="121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1"/>
      <c r="AF366" s="128"/>
      <c r="AG366" s="128"/>
    </row>
    <row r="367" spans="1:33" ht="12.5">
      <c r="A367" s="121"/>
      <c r="B367" s="121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1"/>
      <c r="AF367" s="128"/>
      <c r="AG367" s="128"/>
    </row>
    <row r="368" spans="1:33" ht="12.5">
      <c r="A368" s="121"/>
      <c r="B368" s="121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1"/>
      <c r="AF368" s="128"/>
      <c r="AG368" s="128"/>
    </row>
    <row r="369" spans="1:33" ht="12.5">
      <c r="A369" s="121"/>
      <c r="B369" s="121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1"/>
      <c r="AF369" s="128"/>
      <c r="AG369" s="128"/>
    </row>
    <row r="370" spans="1:33" ht="12.5">
      <c r="A370" s="121"/>
      <c r="B370" s="121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1"/>
      <c r="AF370" s="128"/>
      <c r="AG370" s="128"/>
    </row>
    <row r="371" spans="1:33" ht="12.5">
      <c r="A371" s="121"/>
      <c r="B371" s="121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1"/>
      <c r="AF371" s="128"/>
      <c r="AG371" s="128"/>
    </row>
    <row r="372" spans="1:33" ht="12.5">
      <c r="A372" s="121"/>
      <c r="B372" s="121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1"/>
      <c r="AF372" s="128"/>
      <c r="AG372" s="128"/>
    </row>
    <row r="373" spans="1:33" ht="12.5">
      <c r="A373" s="121"/>
      <c r="B373" s="121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1"/>
      <c r="AF373" s="128"/>
      <c r="AG373" s="128"/>
    </row>
    <row r="374" spans="1:33" ht="12.5">
      <c r="A374" s="121"/>
      <c r="B374" s="121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1"/>
      <c r="AF374" s="128"/>
      <c r="AG374" s="128"/>
    </row>
    <row r="375" spans="1:33" ht="12.5">
      <c r="A375" s="121"/>
      <c r="B375" s="121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1"/>
      <c r="AF375" s="128"/>
      <c r="AG375" s="128"/>
    </row>
    <row r="376" spans="1:33" ht="12.5">
      <c r="A376" s="121"/>
      <c r="B376" s="121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1"/>
      <c r="AF376" s="128"/>
      <c r="AG376" s="128"/>
    </row>
    <row r="377" spans="1:33" ht="12.5">
      <c r="A377" s="121"/>
      <c r="B377" s="121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1"/>
      <c r="AF377" s="128"/>
      <c r="AG377" s="128"/>
    </row>
    <row r="378" spans="1:33" ht="12.5">
      <c r="A378" s="121"/>
      <c r="B378" s="121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1"/>
      <c r="AF378" s="128"/>
      <c r="AG378" s="128"/>
    </row>
    <row r="379" spans="1:33" ht="12.5">
      <c r="A379" s="121"/>
      <c r="B379" s="121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1"/>
      <c r="AF379" s="128"/>
      <c r="AG379" s="128"/>
    </row>
    <row r="380" spans="1:33" ht="12.5">
      <c r="A380" s="121"/>
      <c r="B380" s="121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1"/>
      <c r="AF380" s="128"/>
      <c r="AG380" s="128"/>
    </row>
    <row r="381" spans="1:33" ht="12.5">
      <c r="A381" s="121"/>
      <c r="B381" s="121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1"/>
      <c r="AF381" s="128"/>
      <c r="AG381" s="128"/>
    </row>
    <row r="382" spans="1:33" ht="12.5">
      <c r="A382" s="121"/>
      <c r="B382" s="121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1"/>
      <c r="AF382" s="128"/>
      <c r="AG382" s="128"/>
    </row>
    <row r="383" spans="1:33" ht="12.5">
      <c r="A383" s="121"/>
      <c r="B383" s="121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1"/>
      <c r="AF383" s="128"/>
      <c r="AG383" s="128"/>
    </row>
    <row r="384" spans="1:33" ht="12.5">
      <c r="A384" s="121"/>
      <c r="B384" s="121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1"/>
      <c r="AF384" s="128"/>
      <c r="AG384" s="128"/>
    </row>
    <row r="385" spans="1:33" ht="12.5">
      <c r="A385" s="121"/>
      <c r="B385" s="121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1"/>
      <c r="AF385" s="128"/>
      <c r="AG385" s="128"/>
    </row>
    <row r="386" spans="1:33" ht="12.5">
      <c r="A386" s="121"/>
      <c r="B386" s="121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1"/>
      <c r="AF386" s="128"/>
      <c r="AG386" s="128"/>
    </row>
    <row r="387" spans="1:33" ht="12.5">
      <c r="A387" s="121"/>
      <c r="B387" s="121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1"/>
      <c r="AF387" s="128"/>
      <c r="AG387" s="128"/>
    </row>
    <row r="388" spans="1:33" ht="12.5">
      <c r="A388" s="121"/>
      <c r="B388" s="121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1"/>
      <c r="AF388" s="128"/>
      <c r="AG388" s="128"/>
    </row>
    <row r="389" spans="1:33" ht="12.5">
      <c r="A389" s="121"/>
      <c r="B389" s="121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1"/>
      <c r="AF389" s="128"/>
      <c r="AG389" s="128"/>
    </row>
    <row r="390" spans="1:33" ht="12.5">
      <c r="A390" s="121"/>
      <c r="B390" s="121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1"/>
      <c r="AF390" s="128"/>
      <c r="AG390" s="128"/>
    </row>
    <row r="391" spans="1:33" ht="12.5">
      <c r="A391" s="121"/>
      <c r="B391" s="121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1"/>
      <c r="AF391" s="128"/>
      <c r="AG391" s="128"/>
    </row>
    <row r="392" spans="1:33" ht="12.5">
      <c r="A392" s="121"/>
      <c r="B392" s="121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1"/>
      <c r="AF392" s="128"/>
      <c r="AG392" s="128"/>
    </row>
    <row r="393" spans="1:33" ht="12.5">
      <c r="A393" s="121"/>
      <c r="B393" s="121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1"/>
      <c r="AF393" s="128"/>
      <c r="AG393" s="128"/>
    </row>
    <row r="394" spans="1:33" ht="12.5">
      <c r="A394" s="121"/>
      <c r="B394" s="121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1"/>
      <c r="AF394" s="128"/>
      <c r="AG394" s="128"/>
    </row>
    <row r="395" spans="1:33" ht="12.5">
      <c r="A395" s="121"/>
      <c r="B395" s="121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1"/>
      <c r="AF395" s="128"/>
      <c r="AG395" s="128"/>
    </row>
    <row r="396" spans="1:33" ht="12.5">
      <c r="A396" s="121"/>
      <c r="B396" s="121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1"/>
      <c r="AF396" s="128"/>
      <c r="AG396" s="128"/>
    </row>
    <row r="397" spans="1:33" ht="12.5">
      <c r="A397" s="121"/>
      <c r="B397" s="121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1"/>
      <c r="AF397" s="128"/>
      <c r="AG397" s="128"/>
    </row>
    <row r="398" spans="1:33" ht="12.5">
      <c r="A398" s="121"/>
      <c r="B398" s="121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1"/>
      <c r="AF398" s="128"/>
      <c r="AG398" s="128"/>
    </row>
    <row r="399" spans="1:33" ht="12.5">
      <c r="A399" s="121"/>
      <c r="B399" s="121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1"/>
      <c r="AF399" s="128"/>
      <c r="AG399" s="128"/>
    </row>
    <row r="400" spans="1:33" ht="12.5">
      <c r="A400" s="121"/>
      <c r="B400" s="121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1"/>
      <c r="AF400" s="128"/>
      <c r="AG400" s="128"/>
    </row>
    <row r="401" spans="1:33" ht="12.5">
      <c r="A401" s="121"/>
      <c r="B401" s="121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1"/>
      <c r="AF401" s="128"/>
      <c r="AG401" s="128"/>
    </row>
    <row r="402" spans="1:33" ht="12.5">
      <c r="A402" s="121"/>
      <c r="B402" s="121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1"/>
      <c r="AF402" s="128"/>
      <c r="AG402" s="128"/>
    </row>
    <row r="403" spans="1:33" ht="12.5">
      <c r="A403" s="121"/>
      <c r="B403" s="121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1"/>
      <c r="AF403" s="128"/>
      <c r="AG403" s="128"/>
    </row>
    <row r="404" spans="1:33" ht="12.5">
      <c r="A404" s="121"/>
      <c r="B404" s="121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1"/>
      <c r="AF404" s="128"/>
      <c r="AG404" s="128"/>
    </row>
    <row r="405" spans="1:33" ht="12.5">
      <c r="A405" s="121"/>
      <c r="B405" s="121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1"/>
      <c r="AF405" s="128"/>
      <c r="AG405" s="128"/>
    </row>
    <row r="406" spans="1:33" ht="12.5">
      <c r="A406" s="121"/>
      <c r="B406" s="121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1"/>
      <c r="AF406" s="128"/>
      <c r="AG406" s="128"/>
    </row>
    <row r="407" spans="1:33" ht="12.5">
      <c r="A407" s="121"/>
      <c r="B407" s="121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1"/>
      <c r="AF407" s="128"/>
      <c r="AG407" s="128"/>
    </row>
    <row r="408" spans="1:33" ht="12.5">
      <c r="A408" s="121"/>
      <c r="B408" s="121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1"/>
      <c r="AF408" s="128"/>
      <c r="AG408" s="128"/>
    </row>
    <row r="409" spans="1:33" ht="12.5">
      <c r="A409" s="121"/>
      <c r="B409" s="121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1"/>
      <c r="AF409" s="128"/>
      <c r="AG409" s="128"/>
    </row>
    <row r="410" spans="1:33" ht="12.5">
      <c r="A410" s="121"/>
      <c r="B410" s="121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1"/>
      <c r="AF410" s="128"/>
      <c r="AG410" s="128"/>
    </row>
    <row r="411" spans="1:33" ht="12.5">
      <c r="A411" s="121"/>
      <c r="B411" s="121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1"/>
      <c r="AF411" s="128"/>
      <c r="AG411" s="128"/>
    </row>
    <row r="412" spans="1:33" ht="12.5">
      <c r="A412" s="121"/>
      <c r="B412" s="121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1"/>
      <c r="AF412" s="128"/>
      <c r="AG412" s="128"/>
    </row>
    <row r="413" spans="1:33" ht="12.5">
      <c r="A413" s="121"/>
      <c r="B413" s="121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1"/>
      <c r="AF413" s="128"/>
      <c r="AG413" s="128"/>
    </row>
    <row r="414" spans="1:33" ht="12.5">
      <c r="A414" s="121"/>
      <c r="B414" s="121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1"/>
      <c r="AF414" s="128"/>
      <c r="AG414" s="128"/>
    </row>
    <row r="415" spans="1:33" ht="12.5">
      <c r="A415" s="121"/>
      <c r="B415" s="121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1"/>
      <c r="AF415" s="128"/>
      <c r="AG415" s="128"/>
    </row>
    <row r="416" spans="1:33" ht="12.5">
      <c r="A416" s="121"/>
      <c r="B416" s="121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1"/>
      <c r="AF416" s="128"/>
      <c r="AG416" s="128"/>
    </row>
    <row r="417" spans="1:33" ht="12.5">
      <c r="A417" s="121"/>
      <c r="B417" s="121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1"/>
      <c r="AF417" s="128"/>
      <c r="AG417" s="128"/>
    </row>
    <row r="418" spans="1:33" ht="12.5">
      <c r="A418" s="121"/>
      <c r="B418" s="121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1"/>
      <c r="AF418" s="128"/>
      <c r="AG418" s="128"/>
    </row>
    <row r="419" spans="1:33" ht="12.5">
      <c r="A419" s="121"/>
      <c r="B419" s="121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1"/>
      <c r="AF419" s="128"/>
      <c r="AG419" s="128"/>
    </row>
    <row r="420" spans="1:33" ht="12.5">
      <c r="A420" s="121"/>
      <c r="B420" s="121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1"/>
      <c r="AF420" s="128"/>
      <c r="AG420" s="128"/>
    </row>
    <row r="421" spans="1:33" ht="12.5">
      <c r="A421" s="121"/>
      <c r="B421" s="121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1"/>
      <c r="AF421" s="128"/>
      <c r="AG421" s="128"/>
    </row>
    <row r="422" spans="1:33" ht="12.5">
      <c r="A422" s="121"/>
      <c r="B422" s="121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1"/>
      <c r="AF422" s="128"/>
      <c r="AG422" s="128"/>
    </row>
    <row r="423" spans="1:33" ht="12.5">
      <c r="A423" s="121"/>
      <c r="B423" s="121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1"/>
      <c r="AF423" s="128"/>
      <c r="AG423" s="128"/>
    </row>
    <row r="424" spans="1:33" ht="12.5">
      <c r="A424" s="121"/>
      <c r="B424" s="121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1"/>
      <c r="AF424" s="128"/>
      <c r="AG424" s="128"/>
    </row>
    <row r="425" spans="1:33" ht="12.5">
      <c r="A425" s="121"/>
      <c r="B425" s="121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1"/>
      <c r="AF425" s="128"/>
      <c r="AG425" s="128"/>
    </row>
    <row r="426" spans="1:33" ht="12.5">
      <c r="A426" s="121"/>
      <c r="B426" s="121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1"/>
      <c r="AF426" s="128"/>
      <c r="AG426" s="128"/>
    </row>
    <row r="427" spans="1:33" ht="12.5">
      <c r="A427" s="121"/>
      <c r="B427" s="121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1"/>
      <c r="AF427" s="128"/>
      <c r="AG427" s="128"/>
    </row>
    <row r="428" spans="1:33" ht="12.5">
      <c r="A428" s="121"/>
      <c r="B428" s="121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1"/>
      <c r="AF428" s="128"/>
      <c r="AG428" s="128"/>
    </row>
    <row r="429" spans="1:33" ht="12.5">
      <c r="A429" s="121"/>
      <c r="B429" s="121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1"/>
      <c r="AF429" s="128"/>
      <c r="AG429" s="128"/>
    </row>
    <row r="430" spans="1:33" ht="12.5">
      <c r="A430" s="121"/>
      <c r="B430" s="121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1"/>
      <c r="AF430" s="128"/>
      <c r="AG430" s="128"/>
    </row>
    <row r="431" spans="1:33" ht="12.5">
      <c r="A431" s="121"/>
      <c r="B431" s="121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1"/>
      <c r="AF431" s="128"/>
      <c r="AG431" s="128"/>
    </row>
    <row r="432" spans="1:33" ht="12.5">
      <c r="A432" s="121"/>
      <c r="B432" s="121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1"/>
      <c r="AF432" s="128"/>
      <c r="AG432" s="128"/>
    </row>
    <row r="433" spans="1:33" ht="12.5">
      <c r="A433" s="121"/>
      <c r="B433" s="121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1"/>
      <c r="AF433" s="128"/>
      <c r="AG433" s="128"/>
    </row>
    <row r="434" spans="1:33" ht="12.5">
      <c r="A434" s="121"/>
      <c r="B434" s="121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1"/>
      <c r="AF434" s="128"/>
      <c r="AG434" s="128"/>
    </row>
    <row r="435" spans="1:33" ht="12.5">
      <c r="A435" s="121"/>
      <c r="B435" s="121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1"/>
      <c r="AF435" s="128"/>
      <c r="AG435" s="128"/>
    </row>
    <row r="436" spans="1:33" ht="12.5">
      <c r="A436" s="121"/>
      <c r="B436" s="121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1"/>
      <c r="AF436" s="128"/>
      <c r="AG436" s="128"/>
    </row>
    <row r="437" spans="1:33" ht="12.5">
      <c r="A437" s="121"/>
      <c r="B437" s="121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1"/>
      <c r="AF437" s="128"/>
      <c r="AG437" s="128"/>
    </row>
    <row r="438" spans="1:33" ht="12.5">
      <c r="A438" s="121"/>
      <c r="B438" s="121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1"/>
      <c r="AF438" s="128"/>
      <c r="AG438" s="128"/>
    </row>
    <row r="439" spans="1:33" ht="12.5">
      <c r="A439" s="121"/>
      <c r="B439" s="121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1"/>
      <c r="AF439" s="128"/>
      <c r="AG439" s="128"/>
    </row>
    <row r="440" spans="1:33" ht="12.5">
      <c r="A440" s="121"/>
      <c r="B440" s="121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1"/>
      <c r="AF440" s="128"/>
      <c r="AG440" s="128"/>
    </row>
    <row r="441" spans="1:33" ht="12.5">
      <c r="A441" s="121"/>
      <c r="B441" s="121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1"/>
      <c r="AF441" s="128"/>
      <c r="AG441" s="128"/>
    </row>
    <row r="442" spans="1:33" ht="12.5">
      <c r="A442" s="121"/>
      <c r="B442" s="121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1"/>
      <c r="AF442" s="128"/>
      <c r="AG442" s="128"/>
    </row>
    <row r="443" spans="1:33" ht="12.5">
      <c r="A443" s="121"/>
      <c r="B443" s="121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1"/>
      <c r="AF443" s="128"/>
      <c r="AG443" s="128"/>
    </row>
    <row r="444" spans="1:33" ht="12.5">
      <c r="A444" s="121"/>
      <c r="B444" s="121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1"/>
      <c r="AF444" s="128"/>
      <c r="AG444" s="128"/>
    </row>
    <row r="445" spans="1:33" ht="12.5">
      <c r="A445" s="121"/>
      <c r="B445" s="121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1"/>
      <c r="AF445" s="128"/>
      <c r="AG445" s="128"/>
    </row>
    <row r="446" spans="1:33" ht="12.5">
      <c r="A446" s="121"/>
      <c r="B446" s="121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1"/>
      <c r="AF446" s="128"/>
      <c r="AG446" s="128"/>
    </row>
    <row r="447" spans="1:33" ht="12.5">
      <c r="A447" s="121"/>
      <c r="B447" s="121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1"/>
      <c r="AF447" s="128"/>
      <c r="AG447" s="128"/>
    </row>
    <row r="448" spans="1:33" ht="12.5">
      <c r="A448" s="121"/>
      <c r="B448" s="121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1"/>
      <c r="AF448" s="128"/>
      <c r="AG448" s="128"/>
    </row>
    <row r="449" spans="1:33" ht="12.5">
      <c r="A449" s="121"/>
      <c r="B449" s="121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1"/>
      <c r="AF449" s="128"/>
      <c r="AG449" s="128"/>
    </row>
    <row r="450" spans="1:33" ht="12.5">
      <c r="A450" s="121"/>
      <c r="B450" s="121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1"/>
      <c r="AF450" s="128"/>
      <c r="AG450" s="128"/>
    </row>
    <row r="451" spans="1:33" ht="12.5">
      <c r="A451" s="121"/>
      <c r="B451" s="121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1"/>
      <c r="AF451" s="128"/>
      <c r="AG451" s="128"/>
    </row>
    <row r="452" spans="1:33" ht="12.5">
      <c r="A452" s="121"/>
      <c r="B452" s="121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1"/>
      <c r="AF452" s="128"/>
      <c r="AG452" s="128"/>
    </row>
    <row r="453" spans="1:33" ht="12.5">
      <c r="A453" s="121"/>
      <c r="B453" s="121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1"/>
      <c r="AF453" s="128"/>
      <c r="AG453" s="128"/>
    </row>
    <row r="454" spans="1:33" ht="12.5">
      <c r="A454" s="121"/>
      <c r="B454" s="121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1"/>
      <c r="AF454" s="128"/>
      <c r="AG454" s="128"/>
    </row>
    <row r="455" spans="1:33" ht="12.5">
      <c r="A455" s="121"/>
      <c r="B455" s="121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1"/>
      <c r="AF455" s="128"/>
      <c r="AG455" s="128"/>
    </row>
    <row r="456" spans="1:33" ht="12.5">
      <c r="A456" s="121"/>
      <c r="B456" s="121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1"/>
      <c r="AF456" s="128"/>
      <c r="AG456" s="128"/>
    </row>
    <row r="457" spans="1:33" ht="12.5">
      <c r="A457" s="121"/>
      <c r="B457" s="121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1"/>
      <c r="AF457" s="128"/>
      <c r="AG457" s="128"/>
    </row>
    <row r="458" spans="1:33" ht="12.5">
      <c r="A458" s="121"/>
      <c r="B458" s="121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1"/>
      <c r="AF458" s="128"/>
      <c r="AG458" s="128"/>
    </row>
    <row r="459" spans="1:33" ht="12.5">
      <c r="A459" s="121"/>
      <c r="B459" s="121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1"/>
      <c r="AF459" s="128"/>
      <c r="AG459" s="128"/>
    </row>
    <row r="460" spans="1:33" ht="12.5">
      <c r="A460" s="121"/>
      <c r="B460" s="121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1"/>
      <c r="AF460" s="128"/>
      <c r="AG460" s="128"/>
    </row>
    <row r="461" spans="1:33" ht="12.5">
      <c r="A461" s="121"/>
      <c r="B461" s="121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1"/>
      <c r="AF461" s="128"/>
      <c r="AG461" s="128"/>
    </row>
    <row r="462" spans="1:33" ht="12.5">
      <c r="A462" s="121"/>
      <c r="B462" s="121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1"/>
      <c r="AF462" s="128"/>
      <c r="AG462" s="128"/>
    </row>
    <row r="463" spans="1:33" ht="12.5">
      <c r="A463" s="121"/>
      <c r="B463" s="121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1"/>
      <c r="AF463" s="128"/>
      <c r="AG463" s="128"/>
    </row>
    <row r="464" spans="1:33" ht="12.5">
      <c r="A464" s="121"/>
      <c r="B464" s="121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1"/>
      <c r="AF464" s="128"/>
      <c r="AG464" s="128"/>
    </row>
    <row r="465" spans="1:33" ht="12.5">
      <c r="A465" s="121"/>
      <c r="B465" s="121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1"/>
      <c r="AF465" s="128"/>
      <c r="AG465" s="128"/>
    </row>
    <row r="466" spans="1:33" ht="12.5">
      <c r="A466" s="121"/>
      <c r="B466" s="121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1"/>
      <c r="AF466" s="128"/>
      <c r="AG466" s="128"/>
    </row>
    <row r="467" spans="1:33" ht="12.5">
      <c r="A467" s="121"/>
      <c r="B467" s="121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1"/>
      <c r="AF467" s="128"/>
      <c r="AG467" s="128"/>
    </row>
    <row r="468" spans="1:33" ht="12.5">
      <c r="A468" s="121"/>
      <c r="B468" s="121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1"/>
      <c r="AF468" s="128"/>
      <c r="AG468" s="128"/>
    </row>
    <row r="469" spans="1:33" ht="12.5">
      <c r="A469" s="121"/>
      <c r="B469" s="121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1"/>
      <c r="AF469" s="128"/>
      <c r="AG469" s="128"/>
    </row>
    <row r="470" spans="1:33" ht="12.5">
      <c r="A470" s="121"/>
      <c r="B470" s="121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1"/>
      <c r="AF470" s="128"/>
      <c r="AG470" s="128"/>
    </row>
    <row r="471" spans="1:33" ht="12.5">
      <c r="A471" s="121"/>
      <c r="B471" s="121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1"/>
      <c r="AF471" s="128"/>
      <c r="AG471" s="128"/>
    </row>
    <row r="472" spans="1:33" ht="12.5">
      <c r="A472" s="121"/>
      <c r="B472" s="121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1"/>
      <c r="AF472" s="128"/>
      <c r="AG472" s="128"/>
    </row>
    <row r="473" spans="1:33" ht="12.5">
      <c r="A473" s="121"/>
      <c r="B473" s="121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1"/>
      <c r="AF473" s="128"/>
      <c r="AG473" s="128"/>
    </row>
    <row r="474" spans="1:33" ht="12.5">
      <c r="A474" s="121"/>
      <c r="B474" s="121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1"/>
      <c r="AF474" s="128"/>
      <c r="AG474" s="128"/>
    </row>
    <row r="475" spans="1:33" ht="12.5">
      <c r="A475" s="121"/>
      <c r="B475" s="121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1"/>
      <c r="AF475" s="128"/>
      <c r="AG475" s="128"/>
    </row>
    <row r="476" spans="1:33" ht="12.5">
      <c r="A476" s="121"/>
      <c r="B476" s="121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1"/>
      <c r="AF476" s="128"/>
      <c r="AG476" s="128"/>
    </row>
    <row r="477" spans="1:33" ht="12.5">
      <c r="A477" s="121"/>
      <c r="B477" s="121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1"/>
      <c r="AF477" s="128"/>
      <c r="AG477" s="128"/>
    </row>
    <row r="478" spans="1:33" ht="12.5">
      <c r="A478" s="121"/>
      <c r="B478" s="121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1"/>
      <c r="AF478" s="128"/>
      <c r="AG478" s="128"/>
    </row>
    <row r="479" spans="1:33" ht="12.5">
      <c r="A479" s="121"/>
      <c r="B479" s="121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1"/>
      <c r="AF479" s="128"/>
      <c r="AG479" s="128"/>
    </row>
    <row r="480" spans="1:33" ht="12.5">
      <c r="A480" s="121"/>
      <c r="B480" s="121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1"/>
      <c r="AF480" s="128"/>
      <c r="AG480" s="128"/>
    </row>
    <row r="481" spans="1:33" ht="12.5">
      <c r="A481" s="121"/>
      <c r="B481" s="121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1"/>
      <c r="AF481" s="128"/>
      <c r="AG481" s="128"/>
    </row>
    <row r="482" spans="1:33" ht="12.5">
      <c r="A482" s="121"/>
      <c r="B482" s="121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1"/>
      <c r="AF482" s="128"/>
      <c r="AG482" s="128"/>
    </row>
    <row r="483" spans="1:33" ht="12.5">
      <c r="A483" s="121"/>
      <c r="B483" s="121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1"/>
      <c r="AF483" s="128"/>
      <c r="AG483" s="128"/>
    </row>
    <row r="484" spans="1:33" ht="12.5">
      <c r="A484" s="121"/>
      <c r="B484" s="121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1"/>
      <c r="AF484" s="128"/>
      <c r="AG484" s="128"/>
    </row>
    <row r="485" spans="1:33" ht="12.5">
      <c r="A485" s="121"/>
      <c r="B485" s="121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1"/>
      <c r="AF485" s="128"/>
      <c r="AG485" s="128"/>
    </row>
    <row r="486" spans="1:33" ht="12.5">
      <c r="A486" s="121"/>
      <c r="B486" s="121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1"/>
      <c r="AF486" s="128"/>
      <c r="AG486" s="128"/>
    </row>
    <row r="487" spans="1:33" ht="12.5">
      <c r="A487" s="121"/>
      <c r="B487" s="121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1"/>
      <c r="AF487" s="128"/>
      <c r="AG487" s="128"/>
    </row>
    <row r="488" spans="1:33" ht="12.5">
      <c r="A488" s="121"/>
      <c r="B488" s="121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1"/>
      <c r="AF488" s="128"/>
      <c r="AG488" s="128"/>
    </row>
    <row r="489" spans="1:33" ht="12.5">
      <c r="A489" s="121"/>
      <c r="B489" s="121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1"/>
      <c r="AF489" s="128"/>
      <c r="AG489" s="128"/>
    </row>
    <row r="490" spans="1:33" ht="12.5">
      <c r="A490" s="121"/>
      <c r="B490" s="121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1"/>
      <c r="AF490" s="128"/>
      <c r="AG490" s="128"/>
    </row>
    <row r="491" spans="1:33" ht="12.5">
      <c r="A491" s="121"/>
      <c r="B491" s="121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1"/>
      <c r="AF491" s="128"/>
      <c r="AG491" s="128"/>
    </row>
    <row r="492" spans="1:33" ht="12.5">
      <c r="A492" s="121"/>
      <c r="B492" s="121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1"/>
      <c r="AF492" s="128"/>
      <c r="AG492" s="128"/>
    </row>
    <row r="493" spans="1:33" ht="12.5">
      <c r="A493" s="121"/>
      <c r="B493" s="121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1"/>
      <c r="AF493" s="128"/>
      <c r="AG493" s="128"/>
    </row>
    <row r="494" spans="1:33" ht="12.5">
      <c r="A494" s="121"/>
      <c r="B494" s="121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1"/>
      <c r="AF494" s="128"/>
      <c r="AG494" s="128"/>
    </row>
    <row r="495" spans="1:33" ht="12.5">
      <c r="A495" s="121"/>
      <c r="B495" s="121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1"/>
      <c r="AF495" s="128"/>
      <c r="AG495" s="128"/>
    </row>
    <row r="496" spans="1:33" ht="12.5">
      <c r="A496" s="121"/>
      <c r="B496" s="121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1"/>
      <c r="AF496" s="128"/>
      <c r="AG496" s="128"/>
    </row>
    <row r="497" spans="1:33" ht="12.5">
      <c r="A497" s="121"/>
      <c r="B497" s="121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1"/>
      <c r="AF497" s="128"/>
      <c r="AG497" s="128"/>
    </row>
    <row r="498" spans="1:33" ht="12.5">
      <c r="A498" s="121"/>
      <c r="B498" s="121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1"/>
      <c r="AF498" s="128"/>
      <c r="AG498" s="128"/>
    </row>
    <row r="499" spans="1:33" ht="12.5">
      <c r="A499" s="121"/>
      <c r="B499" s="121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1"/>
      <c r="AF499" s="128"/>
      <c r="AG499" s="128"/>
    </row>
    <row r="500" spans="1:33" ht="12.5">
      <c r="A500" s="121"/>
      <c r="B500" s="121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1"/>
      <c r="AF500" s="128"/>
      <c r="AG500" s="128"/>
    </row>
    <row r="501" spans="1:33" ht="12.5">
      <c r="A501" s="121"/>
      <c r="B501" s="121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1"/>
      <c r="AF501" s="128"/>
      <c r="AG501" s="128"/>
    </row>
    <row r="502" spans="1:33" ht="12.5">
      <c r="A502" s="121"/>
      <c r="B502" s="121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1"/>
      <c r="AF502" s="128"/>
      <c r="AG502" s="128"/>
    </row>
    <row r="503" spans="1:33" ht="12.5">
      <c r="A503" s="121"/>
      <c r="B503" s="121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1"/>
      <c r="AF503" s="128"/>
      <c r="AG503" s="128"/>
    </row>
    <row r="504" spans="1:33" ht="12.5">
      <c r="A504" s="121"/>
      <c r="B504" s="121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1"/>
      <c r="AF504" s="128"/>
      <c r="AG504" s="128"/>
    </row>
    <row r="505" spans="1:33" ht="12.5">
      <c r="A505" s="121"/>
      <c r="B505" s="121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1"/>
      <c r="AF505" s="128"/>
      <c r="AG505" s="128"/>
    </row>
    <row r="506" spans="1:33" ht="12.5">
      <c r="A506" s="121"/>
      <c r="B506" s="121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1"/>
      <c r="AF506" s="128"/>
      <c r="AG506" s="128"/>
    </row>
    <row r="507" spans="1:33" ht="12.5">
      <c r="A507" s="121"/>
      <c r="B507" s="121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1"/>
      <c r="AF507" s="128"/>
      <c r="AG507" s="128"/>
    </row>
    <row r="508" spans="1:33" ht="12.5">
      <c r="A508" s="121"/>
      <c r="B508" s="121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1"/>
      <c r="AF508" s="128"/>
      <c r="AG508" s="128"/>
    </row>
    <row r="509" spans="1:33" ht="12.5">
      <c r="A509" s="121"/>
      <c r="B509" s="121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1"/>
      <c r="AF509" s="128"/>
      <c r="AG509" s="128"/>
    </row>
    <row r="510" spans="1:33" ht="12.5">
      <c r="A510" s="121"/>
      <c r="B510" s="121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1"/>
      <c r="AF510" s="128"/>
      <c r="AG510" s="128"/>
    </row>
    <row r="511" spans="1:33" ht="12.5">
      <c r="A511" s="121"/>
      <c r="B511" s="121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1"/>
      <c r="AF511" s="128"/>
      <c r="AG511" s="128"/>
    </row>
    <row r="512" spans="1:33" ht="12.5">
      <c r="A512" s="121"/>
      <c r="B512" s="121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1"/>
      <c r="AF512" s="128"/>
      <c r="AG512" s="128"/>
    </row>
    <row r="513" spans="1:33" ht="12.5">
      <c r="A513" s="121"/>
      <c r="B513" s="121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1"/>
      <c r="AF513" s="128"/>
      <c r="AG513" s="128"/>
    </row>
    <row r="514" spans="1:33" ht="12.5">
      <c r="A514" s="121"/>
      <c r="B514" s="121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1"/>
      <c r="AF514" s="128"/>
      <c r="AG514" s="128"/>
    </row>
    <row r="515" spans="1:33" ht="12.5">
      <c r="A515" s="121"/>
      <c r="B515" s="121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1"/>
      <c r="AF515" s="128"/>
      <c r="AG515" s="128"/>
    </row>
    <row r="516" spans="1:33" ht="12.5">
      <c r="A516" s="121"/>
      <c r="B516" s="121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1"/>
      <c r="AF516" s="128"/>
      <c r="AG516" s="128"/>
    </row>
    <row r="517" spans="1:33" ht="12.5">
      <c r="A517" s="121"/>
      <c r="B517" s="121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1"/>
      <c r="AF517" s="128"/>
      <c r="AG517" s="128"/>
    </row>
    <row r="518" spans="1:33" ht="12.5">
      <c r="A518" s="121"/>
      <c r="B518" s="121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1"/>
      <c r="AF518" s="128"/>
      <c r="AG518" s="128"/>
    </row>
    <row r="519" spans="1:33" ht="12.5">
      <c r="A519" s="121"/>
      <c r="B519" s="121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1"/>
      <c r="AF519" s="128"/>
      <c r="AG519" s="128"/>
    </row>
    <row r="520" spans="1:33" ht="12.5">
      <c r="A520" s="121"/>
      <c r="B520" s="121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1"/>
      <c r="AF520" s="128"/>
      <c r="AG520" s="128"/>
    </row>
    <row r="521" spans="1:33" ht="12.5">
      <c r="A521" s="121"/>
      <c r="B521" s="121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1"/>
      <c r="AF521" s="128"/>
      <c r="AG521" s="128"/>
    </row>
    <row r="522" spans="1:33" ht="12.5">
      <c r="A522" s="121"/>
      <c r="B522" s="121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1"/>
      <c r="AF522" s="128"/>
      <c r="AG522" s="128"/>
    </row>
    <row r="523" spans="1:33" ht="12.5">
      <c r="A523" s="121"/>
      <c r="B523" s="121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1"/>
      <c r="AF523" s="128"/>
      <c r="AG523" s="128"/>
    </row>
    <row r="524" spans="1:33" ht="12.5">
      <c r="A524" s="121"/>
      <c r="B524" s="121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1"/>
      <c r="AF524" s="128"/>
      <c r="AG524" s="128"/>
    </row>
    <row r="525" spans="1:33" ht="12.5">
      <c r="A525" s="121"/>
      <c r="B525" s="121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1"/>
      <c r="AF525" s="128"/>
      <c r="AG525" s="128"/>
    </row>
    <row r="526" spans="1:33" ht="12.5">
      <c r="A526" s="121"/>
      <c r="B526" s="121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1"/>
      <c r="AF526" s="128"/>
      <c r="AG526" s="128"/>
    </row>
    <row r="527" spans="1:33" ht="12.5">
      <c r="A527" s="121"/>
      <c r="B527" s="121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1"/>
      <c r="AF527" s="128"/>
      <c r="AG527" s="128"/>
    </row>
    <row r="528" spans="1:33" ht="12.5">
      <c r="A528" s="121"/>
      <c r="B528" s="121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1"/>
      <c r="AF528" s="128"/>
      <c r="AG528" s="128"/>
    </row>
    <row r="529" spans="1:33" ht="12.5">
      <c r="A529" s="121"/>
      <c r="B529" s="121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1"/>
      <c r="AF529" s="128"/>
      <c r="AG529" s="128"/>
    </row>
    <row r="530" spans="1:33" ht="12.5">
      <c r="A530" s="121"/>
      <c r="B530" s="121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1"/>
      <c r="AF530" s="128"/>
      <c r="AG530" s="128"/>
    </row>
    <row r="531" spans="1:33" ht="12.5">
      <c r="A531" s="121"/>
      <c r="B531" s="121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1"/>
      <c r="AF531" s="128"/>
      <c r="AG531" s="128"/>
    </row>
    <row r="532" spans="1:33" ht="12.5">
      <c r="A532" s="121"/>
      <c r="B532" s="121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1"/>
      <c r="AF532" s="128"/>
      <c r="AG532" s="128"/>
    </row>
    <row r="533" spans="1:33" ht="12.5">
      <c r="A533" s="121"/>
      <c r="B533" s="121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1"/>
      <c r="AF533" s="128"/>
      <c r="AG533" s="128"/>
    </row>
    <row r="534" spans="1:33" ht="12.5">
      <c r="A534" s="121"/>
      <c r="B534" s="121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1"/>
      <c r="AF534" s="128"/>
      <c r="AG534" s="128"/>
    </row>
    <row r="535" spans="1:33" ht="12.5">
      <c r="A535" s="121"/>
      <c r="B535" s="121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1"/>
      <c r="AF535" s="128"/>
      <c r="AG535" s="128"/>
    </row>
    <row r="536" spans="1:33" ht="12.5">
      <c r="A536" s="121"/>
      <c r="B536" s="121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1"/>
      <c r="AF536" s="128"/>
      <c r="AG536" s="128"/>
    </row>
    <row r="537" spans="1:33" ht="12.5">
      <c r="A537" s="121"/>
      <c r="B537" s="121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1"/>
      <c r="AF537" s="128"/>
      <c r="AG537" s="128"/>
    </row>
    <row r="538" spans="1:33" ht="12.5">
      <c r="A538" s="121"/>
      <c r="B538" s="121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1"/>
      <c r="AF538" s="128"/>
      <c r="AG538" s="128"/>
    </row>
    <row r="539" spans="1:33" ht="12.5">
      <c r="A539" s="121"/>
      <c r="B539" s="121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1"/>
      <c r="AF539" s="128"/>
      <c r="AG539" s="128"/>
    </row>
    <row r="540" spans="1:33" ht="12.5">
      <c r="A540" s="121"/>
      <c r="B540" s="121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1"/>
      <c r="AF540" s="128"/>
      <c r="AG540" s="128"/>
    </row>
    <row r="541" spans="1:33" ht="12.5">
      <c r="A541" s="121"/>
      <c r="B541" s="121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1"/>
      <c r="AF541" s="128"/>
      <c r="AG541" s="128"/>
    </row>
    <row r="542" spans="1:33" ht="12.5">
      <c r="A542" s="121"/>
      <c r="B542" s="121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1"/>
      <c r="AF542" s="128"/>
      <c r="AG542" s="128"/>
    </row>
    <row r="543" spans="1:33" ht="12.5">
      <c r="A543" s="121"/>
      <c r="B543" s="121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1"/>
      <c r="AF543" s="128"/>
      <c r="AG543" s="128"/>
    </row>
    <row r="544" spans="1:33" ht="12.5">
      <c r="A544" s="121"/>
      <c r="B544" s="121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1"/>
      <c r="AF544" s="128"/>
      <c r="AG544" s="128"/>
    </row>
    <row r="545" spans="1:33" ht="12.5">
      <c r="A545" s="121"/>
      <c r="B545" s="121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1"/>
      <c r="AF545" s="128"/>
      <c r="AG545" s="128"/>
    </row>
    <row r="546" spans="1:33" ht="12.5">
      <c r="A546" s="121"/>
      <c r="B546" s="121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1"/>
      <c r="AF546" s="128"/>
      <c r="AG546" s="128"/>
    </row>
    <row r="547" spans="1:33" ht="12.5">
      <c r="A547" s="121"/>
      <c r="B547" s="121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1"/>
      <c r="AF547" s="128"/>
      <c r="AG547" s="128"/>
    </row>
    <row r="548" spans="1:33" ht="12.5">
      <c r="A548" s="121"/>
      <c r="B548" s="121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1"/>
      <c r="AF548" s="128"/>
      <c r="AG548" s="128"/>
    </row>
    <row r="549" spans="1:33" ht="12.5">
      <c r="A549" s="121"/>
      <c r="B549" s="121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1"/>
      <c r="AF549" s="128"/>
      <c r="AG549" s="128"/>
    </row>
    <row r="550" spans="1:33" ht="12.5">
      <c r="A550" s="121"/>
      <c r="B550" s="121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1"/>
      <c r="AF550" s="128"/>
      <c r="AG550" s="128"/>
    </row>
    <row r="551" spans="1:33" ht="12.5">
      <c r="A551" s="121"/>
      <c r="B551" s="121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1"/>
      <c r="AF551" s="128"/>
      <c r="AG551" s="128"/>
    </row>
    <row r="552" spans="1:33" ht="12.5">
      <c r="A552" s="121"/>
      <c r="B552" s="121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1"/>
      <c r="AF552" s="128"/>
      <c r="AG552" s="128"/>
    </row>
    <row r="553" spans="1:33" ht="12.5">
      <c r="A553" s="121"/>
      <c r="B553" s="121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1"/>
      <c r="AF553" s="128"/>
      <c r="AG553" s="128"/>
    </row>
    <row r="554" spans="1:33" ht="12.5">
      <c r="A554" s="121"/>
      <c r="B554" s="121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1"/>
      <c r="AF554" s="128"/>
      <c r="AG554" s="128"/>
    </row>
    <row r="555" spans="1:33" ht="12.5">
      <c r="A555" s="121"/>
      <c r="B555" s="121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1"/>
      <c r="AF555" s="128"/>
      <c r="AG555" s="128"/>
    </row>
    <row r="556" spans="1:33" ht="12.5">
      <c r="A556" s="121"/>
      <c r="B556" s="121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1"/>
      <c r="AF556" s="128"/>
      <c r="AG556" s="128"/>
    </row>
    <row r="557" spans="1:33" ht="12.5">
      <c r="A557" s="121"/>
      <c r="B557" s="121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1"/>
      <c r="AF557" s="128"/>
      <c r="AG557" s="128"/>
    </row>
    <row r="558" spans="1:33" ht="12.5">
      <c r="A558" s="121"/>
      <c r="B558" s="121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1"/>
      <c r="AF558" s="128"/>
      <c r="AG558" s="128"/>
    </row>
    <row r="559" spans="1:33" ht="12.5">
      <c r="A559" s="121"/>
      <c r="B559" s="121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1"/>
      <c r="AF559" s="128"/>
      <c r="AG559" s="128"/>
    </row>
    <row r="560" spans="1:33" ht="12.5">
      <c r="A560" s="121"/>
      <c r="B560" s="121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1"/>
      <c r="AF560" s="128"/>
      <c r="AG560" s="128"/>
    </row>
    <row r="561" spans="1:33" ht="12.5">
      <c r="A561" s="121"/>
      <c r="B561" s="121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1"/>
      <c r="AF561" s="128"/>
      <c r="AG561" s="128"/>
    </row>
    <row r="562" spans="1:33" ht="12.5">
      <c r="A562" s="121"/>
      <c r="B562" s="121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1"/>
      <c r="AF562" s="128"/>
      <c r="AG562" s="128"/>
    </row>
    <row r="563" spans="1:33" ht="12.5">
      <c r="A563" s="121"/>
      <c r="B563" s="121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1"/>
      <c r="AF563" s="128"/>
      <c r="AG563" s="128"/>
    </row>
    <row r="564" spans="1:33" ht="12.5">
      <c r="A564" s="121"/>
      <c r="B564" s="121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1"/>
      <c r="AF564" s="128"/>
      <c r="AG564" s="128"/>
    </row>
    <row r="565" spans="1:33" ht="12.5">
      <c r="A565" s="121"/>
      <c r="B565" s="121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1"/>
      <c r="AF565" s="128"/>
      <c r="AG565" s="128"/>
    </row>
    <row r="566" spans="1:33" ht="12.5">
      <c r="A566" s="121"/>
      <c r="B566" s="121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1"/>
      <c r="AF566" s="128"/>
      <c r="AG566" s="128"/>
    </row>
    <row r="567" spans="1:33" ht="12.5">
      <c r="A567" s="121"/>
      <c r="B567" s="121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1"/>
      <c r="AF567" s="128"/>
      <c r="AG567" s="128"/>
    </row>
    <row r="568" spans="1:33" ht="12.5">
      <c r="A568" s="121"/>
      <c r="B568" s="121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1"/>
      <c r="AF568" s="128"/>
      <c r="AG568" s="128"/>
    </row>
    <row r="569" spans="1:33" ht="12.5">
      <c r="A569" s="121"/>
      <c r="B569" s="121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1"/>
      <c r="AF569" s="128"/>
      <c r="AG569" s="128"/>
    </row>
    <row r="570" spans="1:33" ht="12.5">
      <c r="A570" s="121"/>
      <c r="B570" s="121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1"/>
      <c r="AF570" s="128"/>
      <c r="AG570" s="128"/>
    </row>
    <row r="571" spans="1:33" ht="12.5">
      <c r="A571" s="121"/>
      <c r="B571" s="121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1"/>
      <c r="AF571" s="128"/>
      <c r="AG571" s="128"/>
    </row>
    <row r="572" spans="1:33" ht="12.5">
      <c r="A572" s="121"/>
      <c r="B572" s="121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1"/>
      <c r="AF572" s="128"/>
      <c r="AG572" s="128"/>
    </row>
    <row r="573" spans="1:33" ht="12.5">
      <c r="A573" s="121"/>
      <c r="B573" s="121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1"/>
      <c r="AF573" s="128"/>
      <c r="AG573" s="128"/>
    </row>
    <row r="574" spans="1:33" ht="12.5">
      <c r="A574" s="121"/>
      <c r="B574" s="121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1"/>
      <c r="AF574" s="128"/>
      <c r="AG574" s="128"/>
    </row>
    <row r="575" spans="1:33" ht="12.5">
      <c r="A575" s="121"/>
      <c r="B575" s="121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1"/>
      <c r="AF575" s="128"/>
      <c r="AG575" s="128"/>
    </row>
    <row r="576" spans="1:33" ht="12.5">
      <c r="A576" s="121"/>
      <c r="B576" s="121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1"/>
      <c r="AF576" s="128"/>
      <c r="AG576" s="128"/>
    </row>
    <row r="577" spans="1:33" ht="12.5">
      <c r="A577" s="121"/>
      <c r="B577" s="121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1"/>
      <c r="AF577" s="128"/>
      <c r="AG577" s="128"/>
    </row>
    <row r="578" spans="1:33" ht="12.5">
      <c r="A578" s="121"/>
      <c r="B578" s="121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1"/>
      <c r="AF578" s="128"/>
      <c r="AG578" s="128"/>
    </row>
    <row r="579" spans="1:33" ht="12.5">
      <c r="A579" s="121"/>
      <c r="B579" s="121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1"/>
      <c r="AF579" s="128"/>
      <c r="AG579" s="128"/>
    </row>
    <row r="580" spans="1:33" ht="12.5">
      <c r="A580" s="121"/>
      <c r="B580" s="121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1"/>
      <c r="AF580" s="128"/>
      <c r="AG580" s="128"/>
    </row>
    <row r="581" spans="1:33" ht="12.5">
      <c r="A581" s="121"/>
      <c r="B581" s="121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1"/>
      <c r="AF581" s="128"/>
      <c r="AG581" s="128"/>
    </row>
    <row r="582" spans="1:33" ht="12.5">
      <c r="A582" s="121"/>
      <c r="B582" s="121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1"/>
      <c r="AF582" s="128"/>
      <c r="AG582" s="128"/>
    </row>
    <row r="583" spans="1:33" ht="12.5">
      <c r="A583" s="121"/>
      <c r="B583" s="121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1"/>
      <c r="AF583" s="128"/>
      <c r="AG583" s="128"/>
    </row>
    <row r="584" spans="1:33" ht="12.5">
      <c r="A584" s="121"/>
      <c r="B584" s="121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1"/>
      <c r="AF584" s="128"/>
      <c r="AG584" s="128"/>
    </row>
    <row r="585" spans="1:33" ht="12.5">
      <c r="A585" s="121"/>
      <c r="B585" s="121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1"/>
      <c r="AF585" s="128"/>
      <c r="AG585" s="128"/>
    </row>
    <row r="586" spans="1:33" ht="12.5">
      <c r="A586" s="121"/>
      <c r="B586" s="121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1"/>
      <c r="AF586" s="128"/>
      <c r="AG586" s="128"/>
    </row>
    <row r="587" spans="1:33" ht="12.5">
      <c r="A587" s="121"/>
      <c r="B587" s="121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1"/>
      <c r="AF587" s="128"/>
      <c r="AG587" s="128"/>
    </row>
    <row r="588" spans="1:33" ht="12.5">
      <c r="A588" s="121"/>
      <c r="B588" s="121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1"/>
      <c r="AF588" s="128"/>
      <c r="AG588" s="128"/>
    </row>
    <row r="589" spans="1:33" ht="12.5">
      <c r="A589" s="121"/>
      <c r="B589" s="121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1"/>
      <c r="AF589" s="128"/>
      <c r="AG589" s="128"/>
    </row>
    <row r="590" spans="1:33" ht="12.5">
      <c r="A590" s="121"/>
      <c r="B590" s="121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1"/>
      <c r="AF590" s="128"/>
      <c r="AG590" s="128"/>
    </row>
    <row r="591" spans="1:33" ht="12.5">
      <c r="A591" s="121"/>
      <c r="B591" s="121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1"/>
      <c r="AF591" s="128"/>
      <c r="AG591" s="128"/>
    </row>
    <row r="592" spans="1:33" ht="12.5">
      <c r="A592" s="121"/>
      <c r="B592" s="121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1"/>
      <c r="AF592" s="128"/>
      <c r="AG592" s="128"/>
    </row>
    <row r="593" spans="1:33" ht="12.5">
      <c r="A593" s="121"/>
      <c r="B593" s="121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1"/>
      <c r="AF593" s="128"/>
      <c r="AG593" s="128"/>
    </row>
    <row r="594" spans="1:33" ht="12.5">
      <c r="A594" s="121"/>
      <c r="B594" s="121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1"/>
      <c r="AF594" s="128"/>
      <c r="AG594" s="128"/>
    </row>
    <row r="595" spans="1:33" ht="12.5">
      <c r="A595" s="121"/>
      <c r="B595" s="121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1"/>
      <c r="AF595" s="128"/>
      <c r="AG595" s="128"/>
    </row>
    <row r="596" spans="1:33" ht="12.5">
      <c r="A596" s="121"/>
      <c r="B596" s="121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1"/>
      <c r="AF596" s="128"/>
      <c r="AG596" s="128"/>
    </row>
    <row r="597" spans="1:33" ht="12.5">
      <c r="A597" s="121"/>
      <c r="B597" s="121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1"/>
      <c r="AF597" s="128"/>
      <c r="AG597" s="128"/>
    </row>
    <row r="598" spans="1:33" ht="12.5">
      <c r="A598" s="121"/>
      <c r="B598" s="121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1"/>
      <c r="AF598" s="128"/>
      <c r="AG598" s="128"/>
    </row>
    <row r="599" spans="1:33" ht="12.5">
      <c r="A599" s="121"/>
      <c r="B599" s="121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1"/>
      <c r="AF599" s="128"/>
      <c r="AG599" s="128"/>
    </row>
    <row r="600" spans="1:33" ht="12.5">
      <c r="A600" s="121"/>
      <c r="B600" s="121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1"/>
      <c r="AF600" s="128"/>
      <c r="AG600" s="128"/>
    </row>
    <row r="601" spans="1:33" ht="12.5">
      <c r="A601" s="121"/>
      <c r="B601" s="121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1"/>
      <c r="AF601" s="128"/>
      <c r="AG601" s="128"/>
    </row>
    <row r="602" spans="1:33" ht="12.5">
      <c r="A602" s="121"/>
      <c r="B602" s="121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1"/>
      <c r="AF602" s="128"/>
      <c r="AG602" s="128"/>
    </row>
    <row r="603" spans="1:33" ht="12.5">
      <c r="A603" s="121"/>
      <c r="B603" s="121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1"/>
      <c r="AF603" s="128"/>
      <c r="AG603" s="128"/>
    </row>
    <row r="604" spans="1:33" ht="12.5">
      <c r="A604" s="121"/>
      <c r="B604" s="121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1"/>
      <c r="AF604" s="128"/>
      <c r="AG604" s="128"/>
    </row>
    <row r="605" spans="1:33" ht="12.5">
      <c r="A605" s="121"/>
      <c r="B605" s="121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1"/>
      <c r="AF605" s="128"/>
      <c r="AG605" s="128"/>
    </row>
    <row r="606" spans="1:33" ht="12.5">
      <c r="A606" s="121"/>
      <c r="B606" s="121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1"/>
      <c r="AF606" s="128"/>
      <c r="AG606" s="128"/>
    </row>
    <row r="607" spans="1:33" ht="12.5">
      <c r="A607" s="121"/>
      <c r="B607" s="121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1"/>
      <c r="AF607" s="128"/>
      <c r="AG607" s="128"/>
    </row>
    <row r="608" spans="1:33" ht="12.5">
      <c r="A608" s="121"/>
      <c r="B608" s="121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1"/>
      <c r="AF608" s="128"/>
      <c r="AG608" s="128"/>
    </row>
    <row r="609" spans="1:33" ht="12.5">
      <c r="A609" s="121"/>
      <c r="B609" s="121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1"/>
      <c r="AF609" s="128"/>
      <c r="AG609" s="128"/>
    </row>
    <row r="610" spans="1:33" ht="12.5">
      <c r="A610" s="121"/>
      <c r="B610" s="121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1"/>
      <c r="AF610" s="128"/>
      <c r="AG610" s="128"/>
    </row>
    <row r="611" spans="1:33" ht="12.5">
      <c r="A611" s="121"/>
      <c r="B611" s="121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1"/>
      <c r="AF611" s="128"/>
      <c r="AG611" s="128"/>
    </row>
    <row r="612" spans="1:33" ht="12.5">
      <c r="A612" s="121"/>
      <c r="B612" s="121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1"/>
      <c r="AF612" s="128"/>
      <c r="AG612" s="128"/>
    </row>
    <row r="613" spans="1:33" ht="12.5">
      <c r="A613" s="121"/>
      <c r="B613" s="121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1"/>
      <c r="AF613" s="128"/>
      <c r="AG613" s="128"/>
    </row>
    <row r="614" spans="1:33" ht="12.5">
      <c r="A614" s="121"/>
      <c r="B614" s="121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1"/>
      <c r="AF614" s="128"/>
      <c r="AG614" s="128"/>
    </row>
    <row r="615" spans="1:33" ht="12.5">
      <c r="A615" s="121"/>
      <c r="B615" s="121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1"/>
      <c r="AF615" s="128"/>
      <c r="AG615" s="128"/>
    </row>
    <row r="616" spans="1:33" ht="12.5">
      <c r="A616" s="121"/>
      <c r="B616" s="121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1"/>
      <c r="AF616" s="128"/>
      <c r="AG616" s="128"/>
    </row>
    <row r="617" spans="1:33" ht="12.5">
      <c r="A617" s="121"/>
      <c r="B617" s="121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1"/>
      <c r="AF617" s="128"/>
      <c r="AG617" s="128"/>
    </row>
    <row r="618" spans="1:33" ht="12.5">
      <c r="A618" s="121"/>
      <c r="B618" s="121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1"/>
      <c r="AF618" s="128"/>
      <c r="AG618" s="128"/>
    </row>
    <row r="619" spans="1:33" ht="12.5">
      <c r="A619" s="121"/>
      <c r="B619" s="121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1"/>
      <c r="AF619" s="128"/>
      <c r="AG619" s="128"/>
    </row>
    <row r="620" spans="1:33" ht="12.5">
      <c r="A620" s="121"/>
      <c r="B620" s="121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1"/>
      <c r="AF620" s="128"/>
      <c r="AG620" s="128"/>
    </row>
    <row r="621" spans="1:33" ht="12.5">
      <c r="A621" s="121"/>
      <c r="B621" s="121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1"/>
      <c r="AF621" s="128"/>
      <c r="AG621" s="128"/>
    </row>
    <row r="622" spans="1:33" ht="12.5">
      <c r="A622" s="121"/>
      <c r="B622" s="121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1"/>
      <c r="AF622" s="128"/>
      <c r="AG622" s="128"/>
    </row>
    <row r="623" spans="1:33" ht="12.5">
      <c r="A623" s="121"/>
      <c r="B623" s="121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1"/>
      <c r="AF623" s="128"/>
      <c r="AG623" s="128"/>
    </row>
    <row r="624" spans="1:33" ht="12.5">
      <c r="A624" s="121"/>
      <c r="B624" s="121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1"/>
      <c r="AF624" s="128"/>
      <c r="AG624" s="128"/>
    </row>
    <row r="625" spans="1:33" ht="12.5">
      <c r="A625" s="121"/>
      <c r="B625" s="121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1"/>
      <c r="AF625" s="128"/>
      <c r="AG625" s="128"/>
    </row>
    <row r="626" spans="1:33" ht="12.5">
      <c r="A626" s="121"/>
      <c r="B626" s="121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1"/>
      <c r="AF626" s="128"/>
      <c r="AG626" s="128"/>
    </row>
    <row r="627" spans="1:33" ht="12.5">
      <c r="A627" s="121"/>
      <c r="B627" s="121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1"/>
      <c r="AF627" s="128"/>
      <c r="AG627" s="128"/>
    </row>
    <row r="628" spans="1:33" ht="12.5">
      <c r="A628" s="121"/>
      <c r="B628" s="121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1"/>
      <c r="AF628" s="128"/>
      <c r="AG628" s="128"/>
    </row>
    <row r="629" spans="1:33" ht="12.5">
      <c r="A629" s="121"/>
      <c r="B629" s="121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1"/>
      <c r="AF629" s="128"/>
      <c r="AG629" s="128"/>
    </row>
    <row r="630" spans="1:33" ht="12.5">
      <c r="A630" s="121"/>
      <c r="B630" s="121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1"/>
      <c r="AF630" s="128"/>
      <c r="AG630" s="128"/>
    </row>
    <row r="631" spans="1:33" ht="12.5">
      <c r="A631" s="121"/>
      <c r="B631" s="121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1"/>
      <c r="AF631" s="128"/>
      <c r="AG631" s="128"/>
    </row>
    <row r="632" spans="1:33" ht="12.5">
      <c r="A632" s="121"/>
      <c r="B632" s="121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1"/>
      <c r="AF632" s="128"/>
      <c r="AG632" s="128"/>
    </row>
    <row r="633" spans="1:33" ht="12.5">
      <c r="A633" s="121"/>
      <c r="B633" s="121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1"/>
      <c r="AF633" s="128"/>
      <c r="AG633" s="128"/>
    </row>
    <row r="634" spans="1:33" ht="12.5">
      <c r="A634" s="121"/>
      <c r="B634" s="121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1"/>
      <c r="AF634" s="128"/>
      <c r="AG634" s="128"/>
    </row>
    <row r="635" spans="1:33" ht="12.5">
      <c r="A635" s="121"/>
      <c r="B635" s="121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1"/>
      <c r="AF635" s="128"/>
      <c r="AG635" s="128"/>
    </row>
    <row r="636" spans="1:33" ht="12.5">
      <c r="A636" s="121"/>
      <c r="B636" s="121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1"/>
      <c r="AF636" s="128"/>
      <c r="AG636" s="128"/>
    </row>
    <row r="637" spans="1:33" ht="12.5">
      <c r="A637" s="121"/>
      <c r="B637" s="121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1"/>
      <c r="AF637" s="128"/>
      <c r="AG637" s="128"/>
    </row>
    <row r="638" spans="1:33" ht="12.5">
      <c r="A638" s="121"/>
      <c r="B638" s="121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1"/>
      <c r="AF638" s="128"/>
      <c r="AG638" s="128"/>
    </row>
    <row r="639" spans="1:33" ht="12.5">
      <c r="A639" s="121"/>
      <c r="B639" s="121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1"/>
      <c r="AF639" s="128"/>
      <c r="AG639" s="128"/>
    </row>
    <row r="640" spans="1:33" ht="12.5">
      <c r="A640" s="121"/>
      <c r="B640" s="121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1"/>
      <c r="AF640" s="128"/>
      <c r="AG640" s="128"/>
    </row>
    <row r="641" spans="1:33" ht="12.5">
      <c r="A641" s="121"/>
      <c r="B641" s="121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1"/>
      <c r="AF641" s="128"/>
      <c r="AG641" s="128"/>
    </row>
    <row r="642" spans="1:33" ht="12.5">
      <c r="A642" s="121"/>
      <c r="B642" s="121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1"/>
      <c r="AF642" s="128"/>
      <c r="AG642" s="128"/>
    </row>
    <row r="643" spans="1:33" ht="12.5">
      <c r="A643" s="121"/>
      <c r="B643" s="121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1"/>
      <c r="AF643" s="128"/>
      <c r="AG643" s="128"/>
    </row>
    <row r="644" spans="1:33" ht="12.5">
      <c r="A644" s="121"/>
      <c r="B644" s="121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1"/>
      <c r="AF644" s="128"/>
      <c r="AG644" s="128"/>
    </row>
    <row r="645" spans="1:33" ht="12.5">
      <c r="A645" s="121"/>
      <c r="B645" s="121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1"/>
      <c r="AF645" s="128"/>
      <c r="AG645" s="128"/>
    </row>
    <row r="646" spans="1:33" ht="12.5">
      <c r="A646" s="121"/>
      <c r="B646" s="121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1"/>
      <c r="AF646" s="128"/>
      <c r="AG646" s="128"/>
    </row>
    <row r="647" spans="1:33" ht="12.5">
      <c r="A647" s="121"/>
      <c r="B647" s="121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1"/>
      <c r="AF647" s="128"/>
      <c r="AG647" s="128"/>
    </row>
    <row r="648" spans="1:33" ht="12.5">
      <c r="A648" s="121"/>
      <c r="B648" s="121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1"/>
      <c r="AF648" s="128"/>
      <c r="AG648" s="128"/>
    </row>
    <row r="649" spans="1:33" ht="12.5">
      <c r="A649" s="121"/>
      <c r="B649" s="121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1"/>
      <c r="AF649" s="128"/>
      <c r="AG649" s="128"/>
    </row>
    <row r="650" spans="1:33" ht="12.5">
      <c r="A650" s="121"/>
      <c r="B650" s="121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1"/>
      <c r="AF650" s="128"/>
      <c r="AG650" s="128"/>
    </row>
    <row r="651" spans="1:33" ht="12.5">
      <c r="A651" s="121"/>
      <c r="B651" s="121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1"/>
      <c r="AF651" s="128"/>
      <c r="AG651" s="128"/>
    </row>
    <row r="652" spans="1:33" ht="12.5">
      <c r="A652" s="121"/>
      <c r="B652" s="121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1"/>
      <c r="AF652" s="128"/>
      <c r="AG652" s="128"/>
    </row>
    <row r="653" spans="1:33" ht="12.5">
      <c r="A653" s="121"/>
      <c r="B653" s="121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1"/>
      <c r="AF653" s="128"/>
      <c r="AG653" s="128"/>
    </row>
    <row r="654" spans="1:33" ht="12.5">
      <c r="A654" s="121"/>
      <c r="B654" s="121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1"/>
      <c r="AF654" s="128"/>
      <c r="AG654" s="128"/>
    </row>
    <row r="655" spans="1:33" ht="12.5">
      <c r="A655" s="121"/>
      <c r="B655" s="121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1"/>
      <c r="AF655" s="128"/>
      <c r="AG655" s="128"/>
    </row>
    <row r="656" spans="1:33" ht="12.5">
      <c r="A656" s="121"/>
      <c r="B656" s="121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1"/>
      <c r="AF656" s="128"/>
      <c r="AG656" s="128"/>
    </row>
    <row r="657" spans="1:33" ht="12.5">
      <c r="A657" s="121"/>
      <c r="B657" s="121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1"/>
      <c r="AF657" s="128"/>
      <c r="AG657" s="128"/>
    </row>
    <row r="658" spans="1:33" ht="12.5">
      <c r="A658" s="121"/>
      <c r="B658" s="121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1"/>
      <c r="AF658" s="128"/>
      <c r="AG658" s="128"/>
    </row>
    <row r="659" spans="1:33" ht="12.5">
      <c r="A659" s="121"/>
      <c r="B659" s="121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1"/>
      <c r="AF659" s="128"/>
      <c r="AG659" s="128"/>
    </row>
    <row r="660" spans="1:33" ht="12.5">
      <c r="A660" s="121"/>
      <c r="B660" s="121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1"/>
      <c r="AF660" s="128"/>
      <c r="AG660" s="128"/>
    </row>
    <row r="661" spans="1:33" ht="12.5">
      <c r="A661" s="121"/>
      <c r="B661" s="121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1"/>
      <c r="AF661" s="128"/>
      <c r="AG661" s="128"/>
    </row>
    <row r="662" spans="1:33" ht="12.5">
      <c r="A662" s="121"/>
      <c r="B662" s="121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1"/>
      <c r="AF662" s="128"/>
      <c r="AG662" s="128"/>
    </row>
    <row r="663" spans="1:33" ht="12.5">
      <c r="A663" s="121"/>
      <c r="B663" s="121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1"/>
      <c r="AF663" s="128"/>
      <c r="AG663" s="128"/>
    </row>
    <row r="664" spans="1:33" ht="12.5">
      <c r="A664" s="121"/>
      <c r="B664" s="121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1"/>
      <c r="AF664" s="128"/>
      <c r="AG664" s="128"/>
    </row>
    <row r="665" spans="1:33" ht="12.5">
      <c r="A665" s="121"/>
      <c r="B665" s="121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1"/>
      <c r="AF665" s="128"/>
      <c r="AG665" s="128"/>
    </row>
    <row r="666" spans="1:33" ht="12.5">
      <c r="A666" s="121"/>
      <c r="B666" s="121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1"/>
      <c r="AF666" s="128"/>
      <c r="AG666" s="128"/>
    </row>
    <row r="667" spans="1:33" ht="12.5">
      <c r="A667" s="121"/>
      <c r="B667" s="121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1"/>
      <c r="AF667" s="128"/>
      <c r="AG667" s="128"/>
    </row>
    <row r="668" spans="1:33" ht="12.5">
      <c r="A668" s="121"/>
      <c r="B668" s="121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1"/>
      <c r="AF668" s="128"/>
      <c r="AG668" s="128"/>
    </row>
    <row r="669" spans="1:33" ht="12.5">
      <c r="A669" s="121"/>
      <c r="B669" s="121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1"/>
      <c r="AF669" s="128"/>
      <c r="AG669" s="128"/>
    </row>
    <row r="670" spans="1:33" ht="12.5">
      <c r="A670" s="121"/>
      <c r="B670" s="121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1"/>
      <c r="AF670" s="128"/>
      <c r="AG670" s="128"/>
    </row>
    <row r="671" spans="1:33" ht="12.5">
      <c r="A671" s="121"/>
      <c r="B671" s="121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1"/>
      <c r="AF671" s="128"/>
      <c r="AG671" s="128"/>
    </row>
    <row r="672" spans="1:33" ht="12.5">
      <c r="A672" s="121"/>
      <c r="B672" s="121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1"/>
      <c r="AF672" s="128"/>
      <c r="AG672" s="128"/>
    </row>
    <row r="673" spans="1:33" ht="12.5">
      <c r="A673" s="121"/>
      <c r="B673" s="121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1"/>
      <c r="AF673" s="128"/>
      <c r="AG673" s="128"/>
    </row>
    <row r="674" spans="1:33" ht="12.5">
      <c r="A674" s="121"/>
      <c r="B674" s="121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1"/>
      <c r="AF674" s="128"/>
      <c r="AG674" s="128"/>
    </row>
    <row r="675" spans="1:33" ht="12.5">
      <c r="A675" s="121"/>
      <c r="B675" s="121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1"/>
      <c r="AF675" s="128"/>
      <c r="AG675" s="128"/>
    </row>
    <row r="676" spans="1:33" ht="12.5">
      <c r="A676" s="121"/>
      <c r="B676" s="121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1"/>
      <c r="AF676" s="128"/>
      <c r="AG676" s="128"/>
    </row>
    <row r="677" spans="1:33" ht="12.5">
      <c r="A677" s="121"/>
      <c r="B677" s="121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1"/>
      <c r="AF677" s="128"/>
      <c r="AG677" s="128"/>
    </row>
    <row r="678" spans="1:33" ht="12.5">
      <c r="A678" s="121"/>
      <c r="B678" s="121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1"/>
      <c r="AF678" s="128"/>
      <c r="AG678" s="128"/>
    </row>
    <row r="679" spans="1:33" ht="12.5">
      <c r="A679" s="121"/>
      <c r="B679" s="121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1"/>
      <c r="AF679" s="128"/>
      <c r="AG679" s="128"/>
    </row>
    <row r="680" spans="1:33" ht="12.5">
      <c r="A680" s="121"/>
      <c r="B680" s="121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1"/>
      <c r="AF680" s="128"/>
      <c r="AG680" s="128"/>
    </row>
    <row r="681" spans="1:33" ht="12.5">
      <c r="A681" s="121"/>
      <c r="B681" s="121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1"/>
      <c r="AF681" s="128"/>
      <c r="AG681" s="128"/>
    </row>
    <row r="682" spans="1:33" ht="12.5">
      <c r="A682" s="121"/>
      <c r="B682" s="121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1"/>
      <c r="AF682" s="128"/>
      <c r="AG682" s="128"/>
    </row>
    <row r="683" spans="1:33" ht="12.5">
      <c r="A683" s="121"/>
      <c r="B683" s="121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1"/>
      <c r="AF683" s="128"/>
      <c r="AG683" s="128"/>
    </row>
    <row r="684" spans="1:33" ht="12.5">
      <c r="A684" s="121"/>
      <c r="B684" s="121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1"/>
      <c r="AF684" s="128"/>
      <c r="AG684" s="128"/>
    </row>
    <row r="685" spans="1:33" ht="12.5">
      <c r="A685" s="121"/>
      <c r="B685" s="121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1"/>
      <c r="AF685" s="128"/>
      <c r="AG685" s="128"/>
    </row>
    <row r="686" spans="1:33" ht="12.5">
      <c r="A686" s="121"/>
      <c r="B686" s="121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1"/>
      <c r="AF686" s="128"/>
      <c r="AG686" s="128"/>
    </row>
    <row r="687" spans="1:33" ht="12.5">
      <c r="A687" s="121"/>
      <c r="B687" s="121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1"/>
      <c r="AF687" s="128"/>
      <c r="AG687" s="128"/>
    </row>
    <row r="688" spans="1:33" ht="12.5">
      <c r="A688" s="121"/>
      <c r="B688" s="121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1"/>
      <c r="AF688" s="128"/>
      <c r="AG688" s="128"/>
    </row>
    <row r="689" spans="1:33" ht="12.5">
      <c r="A689" s="121"/>
      <c r="B689" s="121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1"/>
      <c r="AF689" s="128"/>
      <c r="AG689" s="128"/>
    </row>
    <row r="690" spans="1:33" ht="12.5">
      <c r="A690" s="121"/>
      <c r="B690" s="121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1"/>
      <c r="AF690" s="128"/>
      <c r="AG690" s="128"/>
    </row>
    <row r="691" spans="1:33" ht="12.5">
      <c r="A691" s="121"/>
      <c r="B691" s="121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1"/>
      <c r="AF691" s="128"/>
      <c r="AG691" s="128"/>
    </row>
    <row r="692" spans="1:33" ht="12.5">
      <c r="A692" s="121"/>
      <c r="B692" s="121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1"/>
      <c r="AF692" s="128"/>
      <c r="AG692" s="128"/>
    </row>
    <row r="693" spans="1:33" ht="12.5">
      <c r="A693" s="121"/>
      <c r="B693" s="121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1"/>
      <c r="AF693" s="128"/>
      <c r="AG693" s="128"/>
    </row>
    <row r="694" spans="1:33" ht="12.5">
      <c r="A694" s="121"/>
      <c r="B694" s="121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1"/>
      <c r="AF694" s="128"/>
      <c r="AG694" s="128"/>
    </row>
    <row r="695" spans="1:33" ht="12.5">
      <c r="A695" s="121"/>
      <c r="B695" s="121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1"/>
      <c r="AF695" s="128"/>
      <c r="AG695" s="128"/>
    </row>
    <row r="696" spans="1:33" ht="12.5">
      <c r="A696" s="121"/>
      <c r="B696" s="121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1"/>
      <c r="AF696" s="128"/>
      <c r="AG696" s="128"/>
    </row>
    <row r="697" spans="1:33" ht="12.5">
      <c r="A697" s="121"/>
      <c r="B697" s="121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1"/>
      <c r="AF697" s="128"/>
      <c r="AG697" s="128"/>
    </row>
    <row r="698" spans="1:33" ht="12.5">
      <c r="A698" s="121"/>
      <c r="B698" s="121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1"/>
      <c r="AF698" s="128"/>
      <c r="AG698" s="128"/>
    </row>
    <row r="699" spans="1:33" ht="12.5">
      <c r="A699" s="121"/>
      <c r="B699" s="121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1"/>
      <c r="AF699" s="128"/>
      <c r="AG699" s="128"/>
    </row>
    <row r="700" spans="1:33" ht="12.5">
      <c r="A700" s="121"/>
      <c r="B700" s="121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1"/>
      <c r="AF700" s="128"/>
      <c r="AG700" s="128"/>
    </row>
    <row r="701" spans="1:33" ht="12.5">
      <c r="A701" s="121"/>
      <c r="B701" s="121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1"/>
      <c r="AF701" s="128"/>
      <c r="AG701" s="128"/>
    </row>
    <row r="702" spans="1:33" ht="12.5">
      <c r="A702" s="121"/>
      <c r="B702" s="121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1"/>
      <c r="AF702" s="128"/>
      <c r="AG702" s="128"/>
    </row>
    <row r="703" spans="1:33" ht="12.5">
      <c r="A703" s="121"/>
      <c r="B703" s="121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1"/>
      <c r="AF703" s="128"/>
      <c r="AG703" s="128"/>
    </row>
    <row r="704" spans="1:33" ht="12.5">
      <c r="A704" s="121"/>
      <c r="B704" s="121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1"/>
      <c r="AF704" s="128"/>
      <c r="AG704" s="128"/>
    </row>
    <row r="705" spans="1:33" ht="12.5">
      <c r="A705" s="121"/>
      <c r="B705" s="121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1"/>
      <c r="AF705" s="128"/>
      <c r="AG705" s="128"/>
    </row>
    <row r="706" spans="1:33" ht="12.5">
      <c r="A706" s="121"/>
      <c r="B706" s="121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1"/>
      <c r="AF706" s="128"/>
      <c r="AG706" s="128"/>
    </row>
    <row r="707" spans="1:33" ht="12.5">
      <c r="A707" s="121"/>
      <c r="B707" s="121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1"/>
      <c r="AF707" s="128"/>
      <c r="AG707" s="128"/>
    </row>
    <row r="708" spans="1:33" ht="12.5">
      <c r="A708" s="121"/>
      <c r="B708" s="121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1"/>
      <c r="AF708" s="128"/>
      <c r="AG708" s="128"/>
    </row>
    <row r="709" spans="1:33" ht="12.5">
      <c r="A709" s="121"/>
      <c r="B709" s="121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1"/>
      <c r="AF709" s="128"/>
      <c r="AG709" s="128"/>
    </row>
    <row r="710" spans="1:33" ht="12.5">
      <c r="A710" s="121"/>
      <c r="B710" s="121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1"/>
      <c r="AF710" s="128"/>
      <c r="AG710" s="128"/>
    </row>
    <row r="711" spans="1:33" ht="12.5">
      <c r="A711" s="121"/>
      <c r="B711" s="121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1"/>
      <c r="AF711" s="128"/>
      <c r="AG711" s="128"/>
    </row>
    <row r="712" spans="1:33" ht="12.5">
      <c r="A712" s="121"/>
      <c r="B712" s="121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1"/>
      <c r="AF712" s="128"/>
      <c r="AG712" s="128"/>
    </row>
    <row r="713" spans="1:33" ht="12.5">
      <c r="A713" s="121"/>
      <c r="B713" s="121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1"/>
      <c r="AF713" s="128"/>
      <c r="AG713" s="128"/>
    </row>
    <row r="714" spans="1:33" ht="12.5">
      <c r="A714" s="121"/>
      <c r="B714" s="121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1"/>
      <c r="AF714" s="128"/>
      <c r="AG714" s="128"/>
    </row>
    <row r="715" spans="1:33" ht="12.5">
      <c r="A715" s="121"/>
      <c r="B715" s="121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1"/>
      <c r="AF715" s="128"/>
      <c r="AG715" s="128"/>
    </row>
    <row r="716" spans="1:33" ht="12.5">
      <c r="A716" s="121"/>
      <c r="B716" s="121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1"/>
      <c r="AF716" s="128"/>
      <c r="AG716" s="128"/>
    </row>
    <row r="717" spans="1:33" ht="12.5">
      <c r="A717" s="121"/>
      <c r="B717" s="121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1"/>
      <c r="AF717" s="128"/>
      <c r="AG717" s="128"/>
    </row>
    <row r="718" spans="1:33" ht="12.5">
      <c r="A718" s="121"/>
      <c r="B718" s="121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1"/>
      <c r="AF718" s="128"/>
      <c r="AG718" s="128"/>
    </row>
    <row r="719" spans="1:33" ht="12.5">
      <c r="A719" s="121"/>
      <c r="B719" s="121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1"/>
      <c r="AF719" s="128"/>
      <c r="AG719" s="128"/>
    </row>
    <row r="720" spans="1:33" ht="12.5">
      <c r="A720" s="121"/>
      <c r="B720" s="121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1"/>
      <c r="AF720" s="128"/>
      <c r="AG720" s="128"/>
    </row>
    <row r="721" spans="1:33" ht="12.5">
      <c r="A721" s="121"/>
      <c r="B721" s="121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1"/>
      <c r="AF721" s="128"/>
      <c r="AG721" s="128"/>
    </row>
    <row r="722" spans="1:33" ht="12.5">
      <c r="A722" s="121"/>
      <c r="B722" s="121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1"/>
      <c r="AF722" s="128"/>
      <c r="AG722" s="128"/>
    </row>
    <row r="723" spans="1:33" ht="12.5">
      <c r="A723" s="121"/>
      <c r="B723" s="121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1"/>
      <c r="AF723" s="128"/>
      <c r="AG723" s="128"/>
    </row>
    <row r="724" spans="1:33" ht="12.5">
      <c r="A724" s="121"/>
      <c r="B724" s="121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1"/>
      <c r="AF724" s="128"/>
      <c r="AG724" s="128"/>
    </row>
    <row r="725" spans="1:33" ht="12.5">
      <c r="A725" s="121"/>
      <c r="B725" s="121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1"/>
      <c r="AF725" s="128"/>
      <c r="AG725" s="128"/>
    </row>
    <row r="726" spans="1:33" ht="12.5">
      <c r="A726" s="121"/>
      <c r="B726" s="121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1"/>
      <c r="AF726" s="128"/>
      <c r="AG726" s="128"/>
    </row>
    <row r="727" spans="1:33" ht="12.5">
      <c r="A727" s="121"/>
      <c r="B727" s="121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1"/>
      <c r="AF727" s="128"/>
      <c r="AG727" s="128"/>
    </row>
    <row r="728" spans="1:33" ht="12.5">
      <c r="A728" s="121"/>
      <c r="B728" s="121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1"/>
      <c r="AF728" s="128"/>
      <c r="AG728" s="128"/>
    </row>
    <row r="729" spans="1:33" ht="12.5">
      <c r="A729" s="121"/>
      <c r="B729" s="121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1"/>
      <c r="AF729" s="128"/>
      <c r="AG729" s="128"/>
    </row>
    <row r="730" spans="1:33" ht="12.5">
      <c r="A730" s="121"/>
      <c r="B730" s="121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1"/>
      <c r="AF730" s="128"/>
      <c r="AG730" s="128"/>
    </row>
    <row r="731" spans="1:33" ht="12.5">
      <c r="A731" s="121"/>
      <c r="B731" s="121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1"/>
      <c r="AF731" s="128"/>
      <c r="AG731" s="128"/>
    </row>
    <row r="732" spans="1:33" ht="12.5">
      <c r="A732" s="121"/>
      <c r="B732" s="121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1"/>
      <c r="AF732" s="128"/>
      <c r="AG732" s="128"/>
    </row>
    <row r="733" spans="1:33" ht="12.5">
      <c r="A733" s="121"/>
      <c r="B733" s="121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1"/>
      <c r="AF733" s="128"/>
      <c r="AG733" s="128"/>
    </row>
    <row r="734" spans="1:33" ht="12.5">
      <c r="A734" s="121"/>
      <c r="B734" s="121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1"/>
      <c r="AF734" s="128"/>
      <c r="AG734" s="128"/>
    </row>
    <row r="735" spans="1:33" ht="12.5">
      <c r="A735" s="121"/>
      <c r="B735" s="121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1"/>
      <c r="AF735" s="128"/>
      <c r="AG735" s="128"/>
    </row>
    <row r="736" spans="1:33" ht="12.5">
      <c r="A736" s="121"/>
      <c r="B736" s="121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1"/>
      <c r="AF736" s="128"/>
      <c r="AG736" s="128"/>
    </row>
    <row r="737" spans="1:33" ht="12.5">
      <c r="A737" s="121"/>
      <c r="B737" s="121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1"/>
      <c r="AF737" s="128"/>
      <c r="AG737" s="128"/>
    </row>
    <row r="738" spans="1:33" ht="12.5">
      <c r="A738" s="121"/>
      <c r="B738" s="121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1"/>
      <c r="AF738" s="128"/>
      <c r="AG738" s="128"/>
    </row>
    <row r="739" spans="1:33" ht="12.5">
      <c r="A739" s="121"/>
      <c r="B739" s="121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1"/>
      <c r="AF739" s="128"/>
      <c r="AG739" s="128"/>
    </row>
    <row r="740" spans="1:33" ht="12.5">
      <c r="A740" s="121"/>
      <c r="B740" s="121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1"/>
      <c r="AF740" s="128"/>
      <c r="AG740" s="128"/>
    </row>
    <row r="741" spans="1:33" ht="12.5">
      <c r="A741" s="121"/>
      <c r="B741" s="121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1"/>
      <c r="AF741" s="128"/>
      <c r="AG741" s="128"/>
    </row>
    <row r="742" spans="1:33" ht="12.5">
      <c r="A742" s="121"/>
      <c r="B742" s="121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1"/>
      <c r="AF742" s="128"/>
      <c r="AG742" s="128"/>
    </row>
    <row r="743" spans="1:33" ht="12.5">
      <c r="A743" s="121"/>
      <c r="B743" s="121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1"/>
      <c r="AF743" s="128"/>
      <c r="AG743" s="128"/>
    </row>
    <row r="744" spans="1:33" ht="12.5">
      <c r="A744" s="121"/>
      <c r="B744" s="121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1"/>
      <c r="AF744" s="128"/>
      <c r="AG744" s="128"/>
    </row>
    <row r="745" spans="1:33" ht="12.5">
      <c r="A745" s="121"/>
      <c r="B745" s="121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1"/>
      <c r="AF745" s="128"/>
      <c r="AG745" s="128"/>
    </row>
    <row r="746" spans="1:33" ht="12.5">
      <c r="A746" s="121"/>
      <c r="B746" s="121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1"/>
      <c r="AF746" s="128"/>
      <c r="AG746" s="128"/>
    </row>
    <row r="747" spans="1:33" ht="12.5">
      <c r="A747" s="121"/>
      <c r="B747" s="121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1"/>
      <c r="AF747" s="128"/>
      <c r="AG747" s="128"/>
    </row>
    <row r="748" spans="1:33" ht="12.5">
      <c r="A748" s="121"/>
      <c r="B748" s="121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1"/>
      <c r="AF748" s="128"/>
      <c r="AG748" s="128"/>
    </row>
    <row r="749" spans="1:33" ht="12.5">
      <c r="A749" s="121"/>
      <c r="B749" s="121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1"/>
      <c r="AF749" s="128"/>
      <c r="AG749" s="128"/>
    </row>
    <row r="750" spans="1:33" ht="12.5">
      <c r="A750" s="121"/>
      <c r="B750" s="121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1"/>
      <c r="AF750" s="128"/>
      <c r="AG750" s="128"/>
    </row>
    <row r="751" spans="1:33" ht="12.5">
      <c r="A751" s="121"/>
      <c r="B751" s="121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1"/>
      <c r="AF751" s="128"/>
      <c r="AG751" s="128"/>
    </row>
    <row r="752" spans="1:33" ht="12.5">
      <c r="A752" s="121"/>
      <c r="B752" s="121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1"/>
      <c r="AF752" s="128"/>
      <c r="AG752" s="128"/>
    </row>
    <row r="753" spans="1:33" ht="12.5">
      <c r="A753" s="121"/>
      <c r="B753" s="121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1"/>
      <c r="AF753" s="128"/>
      <c r="AG753" s="128"/>
    </row>
    <row r="754" spans="1:33" ht="12.5">
      <c r="A754" s="121"/>
      <c r="B754" s="121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1"/>
      <c r="AF754" s="128"/>
      <c r="AG754" s="128"/>
    </row>
    <row r="755" spans="1:33" ht="12.5">
      <c r="A755" s="121"/>
      <c r="B755" s="121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1"/>
      <c r="AF755" s="128"/>
      <c r="AG755" s="128"/>
    </row>
    <row r="756" spans="1:33" ht="12.5">
      <c r="A756" s="121"/>
      <c r="B756" s="121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1"/>
      <c r="AF756" s="128"/>
      <c r="AG756" s="128"/>
    </row>
    <row r="757" spans="1:33" ht="12.5">
      <c r="A757" s="121"/>
      <c r="B757" s="121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1"/>
      <c r="AF757" s="128"/>
      <c r="AG757" s="128"/>
    </row>
    <row r="758" spans="1:33" ht="12.5">
      <c r="A758" s="121"/>
      <c r="B758" s="121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1"/>
      <c r="AF758" s="128"/>
      <c r="AG758" s="128"/>
    </row>
    <row r="759" spans="1:33" ht="12.5">
      <c r="A759" s="121"/>
      <c r="B759" s="121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1"/>
      <c r="AF759" s="128"/>
      <c r="AG759" s="128"/>
    </row>
    <row r="760" spans="1:33" ht="12.5">
      <c r="A760" s="121"/>
      <c r="B760" s="121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1"/>
      <c r="AF760" s="128"/>
      <c r="AG760" s="128"/>
    </row>
    <row r="761" spans="1:33" ht="12.5">
      <c r="A761" s="121"/>
      <c r="B761" s="121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1"/>
      <c r="AF761" s="128"/>
      <c r="AG761" s="128"/>
    </row>
    <row r="762" spans="1:33" ht="12.5">
      <c r="A762" s="121"/>
      <c r="B762" s="121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1"/>
      <c r="AF762" s="128"/>
      <c r="AG762" s="128"/>
    </row>
    <row r="763" spans="1:33" ht="12.5">
      <c r="A763" s="121"/>
      <c r="B763" s="121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1"/>
      <c r="AF763" s="128"/>
      <c r="AG763" s="128"/>
    </row>
    <row r="764" spans="1:33" ht="12.5">
      <c r="A764" s="121"/>
      <c r="B764" s="121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1"/>
      <c r="AF764" s="128"/>
      <c r="AG764" s="128"/>
    </row>
    <row r="765" spans="1:33" ht="12.5">
      <c r="A765" s="121"/>
      <c r="B765" s="121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1"/>
      <c r="AF765" s="128"/>
      <c r="AG765" s="128"/>
    </row>
    <row r="766" spans="1:33" ht="12.5">
      <c r="A766" s="121"/>
      <c r="B766" s="121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1"/>
      <c r="AF766" s="128"/>
      <c r="AG766" s="128"/>
    </row>
    <row r="767" spans="1:33" ht="12.5">
      <c r="A767" s="121"/>
      <c r="B767" s="121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1"/>
      <c r="AF767" s="128"/>
      <c r="AG767" s="128"/>
    </row>
    <row r="768" spans="1:33" ht="12.5">
      <c r="A768" s="121"/>
      <c r="B768" s="121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1"/>
      <c r="AF768" s="128"/>
      <c r="AG768" s="128"/>
    </row>
    <row r="769" spans="1:33" ht="12.5">
      <c r="A769" s="121"/>
      <c r="B769" s="121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1"/>
      <c r="AF769" s="128"/>
      <c r="AG769" s="128"/>
    </row>
    <row r="770" spans="1:33" ht="12.5">
      <c r="A770" s="121"/>
      <c r="B770" s="121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1"/>
      <c r="AF770" s="128"/>
      <c r="AG770" s="128"/>
    </row>
    <row r="771" spans="1:33" ht="12.5">
      <c r="A771" s="121"/>
      <c r="B771" s="121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1"/>
      <c r="AF771" s="128"/>
      <c r="AG771" s="128"/>
    </row>
    <row r="772" spans="1:33" ht="12.5">
      <c r="A772" s="121"/>
      <c r="B772" s="121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1"/>
      <c r="AF772" s="128"/>
      <c r="AG772" s="128"/>
    </row>
    <row r="773" spans="1:33" ht="12.5">
      <c r="A773" s="121"/>
      <c r="B773" s="121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1"/>
      <c r="AF773" s="128"/>
      <c r="AG773" s="128"/>
    </row>
    <row r="774" spans="1:33" ht="12.5">
      <c r="A774" s="121"/>
      <c r="B774" s="121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1"/>
      <c r="AF774" s="128"/>
      <c r="AG774" s="128"/>
    </row>
    <row r="775" spans="1:33" ht="12.5">
      <c r="A775" s="121"/>
      <c r="B775" s="121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1"/>
      <c r="AF775" s="128"/>
      <c r="AG775" s="128"/>
    </row>
    <row r="776" spans="1:33" ht="12.5">
      <c r="A776" s="121"/>
      <c r="B776" s="121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1"/>
      <c r="AF776" s="128"/>
      <c r="AG776" s="128"/>
    </row>
    <row r="777" spans="1:33" ht="12.5">
      <c r="A777" s="121"/>
      <c r="B777" s="121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1"/>
      <c r="AF777" s="128"/>
      <c r="AG777" s="128"/>
    </row>
    <row r="778" spans="1:33" ht="12.5">
      <c r="A778" s="121"/>
      <c r="B778" s="121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1"/>
      <c r="AF778" s="128"/>
      <c r="AG778" s="128"/>
    </row>
    <row r="779" spans="1:33" ht="12.5">
      <c r="A779" s="121"/>
      <c r="B779" s="121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1"/>
      <c r="AF779" s="128"/>
      <c r="AG779" s="128"/>
    </row>
    <row r="780" spans="1:33" ht="12.5">
      <c r="A780" s="121"/>
      <c r="B780" s="121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1"/>
      <c r="AF780" s="128"/>
      <c r="AG780" s="128"/>
    </row>
    <row r="781" spans="1:33" ht="12.5">
      <c r="A781" s="121"/>
      <c r="B781" s="121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1"/>
      <c r="AF781" s="128"/>
      <c r="AG781" s="128"/>
    </row>
    <row r="782" spans="1:33" ht="12.5">
      <c r="A782" s="121"/>
      <c r="B782" s="121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1"/>
      <c r="AF782" s="128"/>
      <c r="AG782" s="128"/>
    </row>
    <row r="783" spans="1:33" ht="12.5">
      <c r="A783" s="121"/>
      <c r="B783" s="121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1"/>
      <c r="AF783" s="128"/>
      <c r="AG783" s="128"/>
    </row>
    <row r="784" spans="1:33" ht="12.5">
      <c r="A784" s="121"/>
      <c r="B784" s="121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1"/>
      <c r="AF784" s="128"/>
      <c r="AG784" s="128"/>
    </row>
    <row r="785" spans="1:33" ht="12.5">
      <c r="A785" s="121"/>
      <c r="B785" s="121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1"/>
      <c r="AF785" s="128"/>
      <c r="AG785" s="128"/>
    </row>
    <row r="786" spans="1:33" ht="12.5">
      <c r="A786" s="121"/>
      <c r="B786" s="121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1"/>
      <c r="AF786" s="128"/>
      <c r="AG786" s="128"/>
    </row>
    <row r="787" spans="1:33" ht="12.5">
      <c r="A787" s="121"/>
      <c r="B787" s="121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1"/>
      <c r="AF787" s="128"/>
      <c r="AG787" s="128"/>
    </row>
    <row r="788" spans="1:33" ht="12.5">
      <c r="A788" s="121"/>
      <c r="B788" s="121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1"/>
      <c r="AF788" s="128"/>
      <c r="AG788" s="128"/>
    </row>
    <row r="789" spans="1:33" ht="12.5">
      <c r="A789" s="121"/>
      <c r="B789" s="121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1"/>
      <c r="AF789" s="128"/>
      <c r="AG789" s="128"/>
    </row>
    <row r="790" spans="1:33" ht="12.5">
      <c r="A790" s="121"/>
      <c r="B790" s="121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1"/>
      <c r="AF790" s="128"/>
      <c r="AG790" s="128"/>
    </row>
    <row r="791" spans="1:33" ht="12.5">
      <c r="A791" s="121"/>
      <c r="B791" s="121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1"/>
      <c r="AF791" s="128"/>
      <c r="AG791" s="128"/>
    </row>
    <row r="792" spans="1:33" ht="12.5">
      <c r="A792" s="121"/>
      <c r="B792" s="121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1"/>
      <c r="AF792" s="128"/>
      <c r="AG792" s="128"/>
    </row>
    <row r="793" spans="1:33" ht="12.5">
      <c r="A793" s="121"/>
      <c r="B793" s="121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1"/>
      <c r="AF793" s="128"/>
      <c r="AG793" s="128"/>
    </row>
    <row r="794" spans="1:33" ht="12.5">
      <c r="A794" s="121"/>
      <c r="B794" s="121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1"/>
      <c r="AF794" s="128"/>
      <c r="AG794" s="128"/>
    </row>
    <row r="795" spans="1:33" ht="12.5">
      <c r="A795" s="121"/>
      <c r="B795" s="121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1"/>
      <c r="AF795" s="128"/>
      <c r="AG795" s="128"/>
    </row>
    <row r="796" spans="1:33" ht="12.5">
      <c r="A796" s="121"/>
      <c r="B796" s="121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1"/>
      <c r="AF796" s="128"/>
      <c r="AG796" s="128"/>
    </row>
    <row r="797" spans="1:33" ht="12.5">
      <c r="A797" s="121"/>
      <c r="B797" s="121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1"/>
      <c r="AF797" s="128"/>
      <c r="AG797" s="128"/>
    </row>
    <row r="798" spans="1:33" ht="12.5">
      <c r="A798" s="121"/>
      <c r="B798" s="121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1"/>
      <c r="AF798" s="128"/>
      <c r="AG798" s="128"/>
    </row>
    <row r="799" spans="1:33" ht="12.5">
      <c r="A799" s="121"/>
      <c r="B799" s="121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1"/>
      <c r="AF799" s="128"/>
      <c r="AG799" s="128"/>
    </row>
    <row r="800" spans="1:33" ht="12.5">
      <c r="A800" s="121"/>
      <c r="B800" s="121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1"/>
      <c r="AF800" s="128"/>
      <c r="AG800" s="128"/>
    </row>
    <row r="801" spans="1:33" ht="12.5">
      <c r="A801" s="121"/>
      <c r="B801" s="121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1"/>
      <c r="AF801" s="128"/>
      <c r="AG801" s="128"/>
    </row>
    <row r="802" spans="1:33" ht="12.5">
      <c r="A802" s="121"/>
      <c r="B802" s="121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1"/>
      <c r="AF802" s="128"/>
      <c r="AG802" s="128"/>
    </row>
    <row r="803" spans="1:33" ht="12.5">
      <c r="A803" s="121"/>
      <c r="B803" s="121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1"/>
      <c r="AF803" s="128"/>
      <c r="AG803" s="128"/>
    </row>
    <row r="804" spans="1:33" ht="12.5">
      <c r="A804" s="121"/>
      <c r="B804" s="121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1"/>
      <c r="AF804" s="128"/>
      <c r="AG804" s="128"/>
    </row>
    <row r="805" spans="1:33" ht="12.5">
      <c r="A805" s="121"/>
      <c r="B805" s="121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1"/>
      <c r="AF805" s="128"/>
      <c r="AG805" s="128"/>
    </row>
    <row r="806" spans="1:33" ht="12.5">
      <c r="A806" s="121"/>
      <c r="B806" s="121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1"/>
      <c r="AF806" s="128"/>
      <c r="AG806" s="128"/>
    </row>
    <row r="807" spans="1:33" ht="12.5">
      <c r="A807" s="121"/>
      <c r="B807" s="121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1"/>
      <c r="AF807" s="128"/>
      <c r="AG807" s="128"/>
    </row>
    <row r="808" spans="1:33" ht="12.5">
      <c r="A808" s="121"/>
      <c r="B808" s="121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1"/>
      <c r="AF808" s="128"/>
      <c r="AG808" s="128"/>
    </row>
    <row r="809" spans="1:33" ht="12.5">
      <c r="A809" s="121"/>
      <c r="B809" s="121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1"/>
      <c r="AF809" s="128"/>
      <c r="AG809" s="128"/>
    </row>
    <row r="810" spans="1:33" ht="12.5">
      <c r="A810" s="121"/>
      <c r="B810" s="121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1"/>
      <c r="AF810" s="128"/>
      <c r="AG810" s="128"/>
    </row>
    <row r="811" spans="1:33" ht="12.5">
      <c r="A811" s="121"/>
      <c r="B811" s="121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1"/>
      <c r="AF811" s="128"/>
      <c r="AG811" s="128"/>
    </row>
    <row r="812" spans="1:33" ht="12.5">
      <c r="A812" s="121"/>
      <c r="B812" s="121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1"/>
      <c r="AF812" s="128"/>
      <c r="AG812" s="128"/>
    </row>
    <row r="813" spans="1:33" ht="12.5">
      <c r="A813" s="121"/>
      <c r="B813" s="121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1"/>
      <c r="AF813" s="128"/>
      <c r="AG813" s="128"/>
    </row>
    <row r="814" spans="1:33" ht="12.5">
      <c r="A814" s="121"/>
      <c r="B814" s="121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1"/>
      <c r="AF814" s="128"/>
      <c r="AG814" s="128"/>
    </row>
    <row r="815" spans="1:33" ht="12.5">
      <c r="A815" s="121"/>
      <c r="B815" s="121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1"/>
      <c r="AF815" s="128"/>
      <c r="AG815" s="128"/>
    </row>
    <row r="816" spans="1:33" ht="12.5">
      <c r="A816" s="121"/>
      <c r="B816" s="121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1"/>
      <c r="AF816" s="128"/>
      <c r="AG816" s="128"/>
    </row>
    <row r="817" spans="1:33" ht="12.5">
      <c r="A817" s="121"/>
      <c r="B817" s="121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1"/>
      <c r="AF817" s="128"/>
      <c r="AG817" s="128"/>
    </row>
    <row r="818" spans="1:33" ht="12.5">
      <c r="A818" s="121"/>
      <c r="B818" s="121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1"/>
      <c r="AF818" s="128"/>
      <c r="AG818" s="128"/>
    </row>
    <row r="819" spans="1:33" ht="12.5">
      <c r="A819" s="121"/>
      <c r="B819" s="121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1"/>
      <c r="AF819" s="128"/>
      <c r="AG819" s="128"/>
    </row>
    <row r="820" spans="1:33" ht="12.5">
      <c r="A820" s="121"/>
      <c r="B820" s="121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1"/>
      <c r="AF820" s="128"/>
      <c r="AG820" s="128"/>
    </row>
    <row r="821" spans="1:33" ht="12.5">
      <c r="A821" s="121"/>
      <c r="B821" s="121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1"/>
      <c r="AF821" s="128"/>
      <c r="AG821" s="128"/>
    </row>
    <row r="822" spans="1:33" ht="12.5">
      <c r="A822" s="121"/>
      <c r="B822" s="121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1"/>
      <c r="AF822" s="128"/>
      <c r="AG822" s="128"/>
    </row>
    <row r="823" spans="1:33" ht="12.5">
      <c r="A823" s="121"/>
      <c r="B823" s="121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1"/>
      <c r="AF823" s="128"/>
      <c r="AG823" s="128"/>
    </row>
    <row r="824" spans="1:33" ht="12.5">
      <c r="A824" s="121"/>
      <c r="B824" s="121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1"/>
      <c r="AF824" s="128"/>
      <c r="AG824" s="128"/>
    </row>
    <row r="825" spans="1:33" ht="12.5">
      <c r="A825" s="121"/>
      <c r="B825" s="121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1"/>
      <c r="AF825" s="128"/>
      <c r="AG825" s="128"/>
    </row>
    <row r="826" spans="1:33" ht="12.5">
      <c r="A826" s="121"/>
      <c r="B826" s="121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1"/>
      <c r="AF826" s="128"/>
      <c r="AG826" s="128"/>
    </row>
    <row r="827" spans="1:33" ht="12.5">
      <c r="A827" s="121"/>
      <c r="B827" s="121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1"/>
      <c r="AF827" s="128"/>
      <c r="AG827" s="128"/>
    </row>
    <row r="828" spans="1:33" ht="12.5">
      <c r="A828" s="121"/>
      <c r="B828" s="121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1"/>
      <c r="AF828" s="128"/>
      <c r="AG828" s="128"/>
    </row>
    <row r="829" spans="1:33" ht="12.5">
      <c r="A829" s="121"/>
      <c r="B829" s="121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1"/>
      <c r="AF829" s="128"/>
      <c r="AG829" s="128"/>
    </row>
    <row r="830" spans="1:33" ht="12.5">
      <c r="A830" s="121"/>
      <c r="B830" s="121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1"/>
      <c r="AF830" s="128"/>
      <c r="AG830" s="128"/>
    </row>
    <row r="831" spans="1:33" ht="12.5">
      <c r="A831" s="121"/>
      <c r="B831" s="121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1"/>
      <c r="AF831" s="128"/>
      <c r="AG831" s="128"/>
    </row>
    <row r="832" spans="1:33" ht="12.5">
      <c r="A832" s="121"/>
      <c r="B832" s="121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1"/>
      <c r="AF832" s="128"/>
      <c r="AG832" s="128"/>
    </row>
    <row r="833" spans="1:33" ht="12.5">
      <c r="A833" s="121"/>
      <c r="B833" s="121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1"/>
      <c r="AF833" s="128"/>
      <c r="AG833" s="128"/>
    </row>
    <row r="834" spans="1:33" ht="12.5">
      <c r="A834" s="121"/>
      <c r="B834" s="121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1"/>
      <c r="AF834" s="128"/>
      <c r="AG834" s="128"/>
    </row>
    <row r="835" spans="1:33" ht="12.5">
      <c r="A835" s="121"/>
      <c r="B835" s="121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1"/>
      <c r="AF835" s="128"/>
      <c r="AG835" s="128"/>
    </row>
    <row r="836" spans="1:33" ht="12.5">
      <c r="A836" s="121"/>
      <c r="B836" s="121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1"/>
      <c r="AF836" s="128"/>
      <c r="AG836" s="128"/>
    </row>
    <row r="837" spans="1:33" ht="12.5">
      <c r="A837" s="121"/>
      <c r="B837" s="121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1"/>
      <c r="AF837" s="128"/>
      <c r="AG837" s="128"/>
    </row>
    <row r="838" spans="1:33" ht="12.5">
      <c r="A838" s="121"/>
      <c r="B838" s="121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1"/>
      <c r="AF838" s="128"/>
      <c r="AG838" s="128"/>
    </row>
    <row r="839" spans="1:33" ht="12.5">
      <c r="A839" s="121"/>
      <c r="B839" s="121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1"/>
      <c r="AF839" s="128"/>
      <c r="AG839" s="128"/>
    </row>
    <row r="840" spans="1:33" ht="12.5">
      <c r="A840" s="121"/>
      <c r="B840" s="121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1"/>
      <c r="AF840" s="128"/>
      <c r="AG840" s="128"/>
    </row>
    <row r="841" spans="1:33" ht="12.5">
      <c r="A841" s="121"/>
      <c r="B841" s="121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1"/>
      <c r="AF841" s="128"/>
      <c r="AG841" s="128"/>
    </row>
    <row r="842" spans="1:33" ht="12.5">
      <c r="A842" s="121"/>
      <c r="B842" s="121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1"/>
      <c r="AF842" s="128"/>
      <c r="AG842" s="128"/>
    </row>
    <row r="843" spans="1:33" ht="12.5">
      <c r="A843" s="121"/>
      <c r="B843" s="121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1"/>
      <c r="AF843" s="128"/>
      <c r="AG843" s="128"/>
    </row>
    <row r="844" spans="1:33" ht="12.5">
      <c r="A844" s="121"/>
      <c r="B844" s="121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1"/>
      <c r="AF844" s="128"/>
      <c r="AG844" s="128"/>
    </row>
    <row r="845" spans="1:33" ht="12.5">
      <c r="A845" s="121"/>
      <c r="B845" s="121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1"/>
      <c r="AF845" s="128"/>
      <c r="AG845" s="128"/>
    </row>
    <row r="846" spans="1:33" ht="12.5">
      <c r="A846" s="121"/>
      <c r="B846" s="121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1"/>
      <c r="AF846" s="128"/>
      <c r="AG846" s="128"/>
    </row>
    <row r="847" spans="1:33" ht="12.5">
      <c r="A847" s="121"/>
      <c r="B847" s="121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1"/>
      <c r="AF847" s="128"/>
      <c r="AG847" s="128"/>
    </row>
    <row r="848" spans="1:33" ht="12.5">
      <c r="A848" s="121"/>
      <c r="B848" s="121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1"/>
      <c r="AF848" s="128"/>
      <c r="AG848" s="128"/>
    </row>
    <row r="849" spans="1:33" ht="12.5">
      <c r="A849" s="121"/>
      <c r="B849" s="121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1"/>
      <c r="AF849" s="128"/>
      <c r="AG849" s="128"/>
    </row>
    <row r="850" spans="1:33" ht="12.5">
      <c r="A850" s="121"/>
      <c r="B850" s="121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1"/>
      <c r="AF850" s="128"/>
      <c r="AG850" s="128"/>
    </row>
    <row r="851" spans="1:33" ht="12.5">
      <c r="A851" s="121"/>
      <c r="B851" s="121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1"/>
      <c r="AF851" s="128"/>
      <c r="AG851" s="128"/>
    </row>
    <row r="852" spans="1:33" ht="12.5">
      <c r="A852" s="121"/>
      <c r="B852" s="121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1"/>
      <c r="AF852" s="128"/>
      <c r="AG852" s="128"/>
    </row>
    <row r="853" spans="1:33" ht="12.5">
      <c r="A853" s="121"/>
      <c r="B853" s="121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1"/>
      <c r="AF853" s="128"/>
      <c r="AG853" s="128"/>
    </row>
    <row r="854" spans="1:33" ht="12.5">
      <c r="A854" s="121"/>
      <c r="B854" s="121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1"/>
      <c r="AF854" s="128"/>
      <c r="AG854" s="128"/>
    </row>
    <row r="855" spans="1:33" ht="12.5">
      <c r="A855" s="121"/>
      <c r="B855" s="121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1"/>
      <c r="AF855" s="128"/>
      <c r="AG855" s="128"/>
    </row>
    <row r="856" spans="1:33" ht="12.5">
      <c r="A856" s="121"/>
      <c r="B856" s="121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1"/>
      <c r="AF856" s="128"/>
      <c r="AG856" s="128"/>
    </row>
    <row r="857" spans="1:33" ht="12.5">
      <c r="A857" s="121"/>
      <c r="B857" s="121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1"/>
      <c r="AF857" s="128"/>
      <c r="AG857" s="128"/>
    </row>
    <row r="858" spans="1:33" ht="12.5">
      <c r="A858" s="121"/>
      <c r="B858" s="121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1"/>
      <c r="AF858" s="128"/>
      <c r="AG858" s="128"/>
    </row>
    <row r="859" spans="1:33" ht="12.5">
      <c r="A859" s="121"/>
      <c r="B859" s="121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1"/>
      <c r="AF859" s="128"/>
      <c r="AG859" s="128"/>
    </row>
    <row r="860" spans="1:33" ht="12.5">
      <c r="A860" s="121"/>
      <c r="B860" s="121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1"/>
      <c r="AF860" s="128"/>
      <c r="AG860" s="128"/>
    </row>
    <row r="861" spans="1:33" ht="12.5">
      <c r="A861" s="121"/>
      <c r="B861" s="121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1"/>
      <c r="AF861" s="128"/>
      <c r="AG861" s="128"/>
    </row>
    <row r="862" spans="1:33" ht="12.5">
      <c r="A862" s="121"/>
      <c r="B862" s="121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1"/>
      <c r="AF862" s="128"/>
      <c r="AG862" s="128"/>
    </row>
    <row r="863" spans="1:33" ht="12.5">
      <c r="A863" s="121"/>
      <c r="B863" s="121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1"/>
      <c r="AF863" s="128"/>
      <c r="AG863" s="128"/>
    </row>
    <row r="864" spans="1:33" ht="12.5">
      <c r="A864" s="121"/>
      <c r="B864" s="121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1"/>
      <c r="AF864" s="128"/>
      <c r="AG864" s="128"/>
    </row>
    <row r="865" spans="1:33" ht="12.5">
      <c r="A865" s="121"/>
      <c r="B865" s="121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1"/>
      <c r="AF865" s="128"/>
      <c r="AG865" s="128"/>
    </row>
    <row r="866" spans="1:33" ht="12.5">
      <c r="A866" s="121"/>
      <c r="B866" s="121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1"/>
      <c r="AF866" s="128"/>
      <c r="AG866" s="128"/>
    </row>
    <row r="867" spans="1:33" ht="12.5">
      <c r="A867" s="121"/>
      <c r="B867" s="121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1"/>
      <c r="AF867" s="128"/>
      <c r="AG867" s="128"/>
    </row>
    <row r="868" spans="1:33" ht="12.5">
      <c r="A868" s="121"/>
      <c r="B868" s="121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1"/>
      <c r="AF868" s="128"/>
      <c r="AG868" s="128"/>
    </row>
    <row r="869" spans="1:33" ht="12.5">
      <c r="A869" s="121"/>
      <c r="B869" s="121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1"/>
      <c r="AF869" s="128"/>
      <c r="AG869" s="128"/>
    </row>
    <row r="870" spans="1:33" ht="12.5">
      <c r="A870" s="121"/>
      <c r="B870" s="121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1"/>
      <c r="AF870" s="128"/>
      <c r="AG870" s="128"/>
    </row>
    <row r="871" spans="1:33" ht="12.5">
      <c r="A871" s="121"/>
      <c r="B871" s="121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1"/>
      <c r="AF871" s="128"/>
      <c r="AG871" s="128"/>
    </row>
    <row r="872" spans="1:33" ht="12.5">
      <c r="A872" s="121"/>
      <c r="B872" s="121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1"/>
      <c r="AF872" s="128"/>
      <c r="AG872" s="128"/>
    </row>
    <row r="873" spans="1:33" ht="12.5">
      <c r="A873" s="121"/>
      <c r="B873" s="121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1"/>
      <c r="AF873" s="128"/>
      <c r="AG873" s="128"/>
    </row>
    <row r="874" spans="1:33" ht="12.5">
      <c r="A874" s="121"/>
      <c r="B874" s="121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1"/>
      <c r="AF874" s="128"/>
      <c r="AG874" s="128"/>
    </row>
    <row r="875" spans="1:33" ht="12.5">
      <c r="A875" s="121"/>
      <c r="B875" s="121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1"/>
      <c r="AF875" s="128"/>
      <c r="AG875" s="128"/>
    </row>
    <row r="876" spans="1:33" ht="12.5">
      <c r="A876" s="121"/>
      <c r="B876" s="121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1"/>
      <c r="AF876" s="128"/>
      <c r="AG876" s="128"/>
    </row>
    <row r="877" spans="1:33" ht="12.5">
      <c r="A877" s="121"/>
      <c r="B877" s="121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1"/>
      <c r="AF877" s="128"/>
      <c r="AG877" s="128"/>
    </row>
    <row r="878" spans="1:33" ht="12.5">
      <c r="A878" s="121"/>
      <c r="B878" s="121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1"/>
      <c r="AF878" s="128"/>
      <c r="AG878" s="128"/>
    </row>
    <row r="879" spans="1:33" ht="12.5">
      <c r="A879" s="121"/>
      <c r="B879" s="121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1"/>
      <c r="AF879" s="128"/>
      <c r="AG879" s="128"/>
    </row>
    <row r="880" spans="1:33" ht="12.5">
      <c r="A880" s="121"/>
      <c r="B880" s="121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1"/>
      <c r="AF880" s="128"/>
      <c r="AG880" s="128"/>
    </row>
    <row r="881" spans="1:33" ht="12.5">
      <c r="A881" s="121"/>
      <c r="B881" s="121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1"/>
      <c r="AF881" s="128"/>
      <c r="AG881" s="128"/>
    </row>
    <row r="882" spans="1:33" ht="12.5">
      <c r="A882" s="121"/>
      <c r="B882" s="121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1"/>
      <c r="AF882" s="128"/>
      <c r="AG882" s="128"/>
    </row>
    <row r="883" spans="1:33" ht="12.5">
      <c r="A883" s="121"/>
      <c r="B883" s="121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1"/>
      <c r="AF883" s="128"/>
      <c r="AG883" s="128"/>
    </row>
    <row r="884" spans="1:33" ht="12.5">
      <c r="A884" s="121"/>
      <c r="B884" s="121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1"/>
      <c r="AF884" s="128"/>
      <c r="AG884" s="128"/>
    </row>
    <row r="885" spans="1:33" ht="12.5">
      <c r="A885" s="121"/>
      <c r="B885" s="121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1"/>
      <c r="AF885" s="128"/>
      <c r="AG885" s="128"/>
    </row>
    <row r="886" spans="1:33" ht="12.5">
      <c r="A886" s="121"/>
      <c r="B886" s="121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1"/>
      <c r="AF886" s="128"/>
      <c r="AG886" s="128"/>
    </row>
    <row r="887" spans="1:33" ht="12.5">
      <c r="A887" s="121"/>
      <c r="B887" s="121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1"/>
      <c r="AF887" s="128"/>
      <c r="AG887" s="128"/>
    </row>
    <row r="888" spans="1:33" ht="12.5">
      <c r="A888" s="121"/>
      <c r="B888" s="121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1"/>
      <c r="AF888" s="128"/>
      <c r="AG888" s="128"/>
    </row>
    <row r="889" spans="1:33" ht="12.5">
      <c r="A889" s="121"/>
      <c r="B889" s="121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1"/>
      <c r="AF889" s="128"/>
      <c r="AG889" s="128"/>
    </row>
    <row r="890" spans="1:33" ht="12.5">
      <c r="A890" s="121"/>
      <c r="B890" s="121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1"/>
      <c r="AF890" s="128"/>
      <c r="AG890" s="128"/>
    </row>
    <row r="891" spans="1:33" ht="12.5">
      <c r="A891" s="121"/>
      <c r="B891" s="121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1"/>
      <c r="AF891" s="128"/>
      <c r="AG891" s="128"/>
    </row>
    <row r="892" spans="1:33" ht="12.5">
      <c r="A892" s="121"/>
      <c r="B892" s="121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1"/>
      <c r="AF892" s="128"/>
      <c r="AG892" s="128"/>
    </row>
    <row r="893" spans="1:33" ht="12.5">
      <c r="A893" s="121"/>
      <c r="B893" s="121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1"/>
      <c r="AF893" s="128"/>
      <c r="AG893" s="128"/>
    </row>
    <row r="894" spans="1:33" ht="12.5">
      <c r="A894" s="121"/>
      <c r="B894" s="121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1"/>
      <c r="AF894" s="128"/>
      <c r="AG894" s="128"/>
    </row>
    <row r="895" spans="1:33" ht="12.5">
      <c r="A895" s="121"/>
      <c r="B895" s="121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1"/>
      <c r="AF895" s="128"/>
      <c r="AG895" s="128"/>
    </row>
    <row r="896" spans="1:33" ht="12.5">
      <c r="A896" s="121"/>
      <c r="B896" s="121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1"/>
      <c r="AF896" s="128"/>
      <c r="AG896" s="128"/>
    </row>
    <row r="897" spans="1:33" ht="12.5">
      <c r="A897" s="121"/>
      <c r="B897" s="121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1"/>
      <c r="AF897" s="128"/>
      <c r="AG897" s="128"/>
    </row>
    <row r="898" spans="1:33" ht="12.5">
      <c r="A898" s="121"/>
      <c r="B898" s="121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1"/>
      <c r="AF898" s="128"/>
      <c r="AG898" s="128"/>
    </row>
    <row r="899" spans="1:33" ht="12.5">
      <c r="A899" s="121"/>
      <c r="B899" s="121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1"/>
      <c r="AF899" s="128"/>
      <c r="AG899" s="128"/>
    </row>
    <row r="900" spans="1:33" ht="12.5">
      <c r="A900" s="121"/>
      <c r="B900" s="121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1"/>
      <c r="AF900" s="128"/>
      <c r="AG900" s="128"/>
    </row>
    <row r="901" spans="1:33" ht="12.5">
      <c r="A901" s="121"/>
      <c r="B901" s="121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1"/>
      <c r="AF901" s="128"/>
      <c r="AG901" s="128"/>
    </row>
    <row r="902" spans="1:33" ht="12.5">
      <c r="A902" s="121"/>
      <c r="B902" s="121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1"/>
      <c r="AF902" s="128"/>
      <c r="AG902" s="128"/>
    </row>
    <row r="903" spans="1:33" ht="12.5">
      <c r="A903" s="121"/>
      <c r="B903" s="121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1"/>
      <c r="AF903" s="128"/>
      <c r="AG903" s="128"/>
    </row>
    <row r="904" spans="1:33" ht="12.5">
      <c r="A904" s="121"/>
      <c r="B904" s="121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1"/>
      <c r="AF904" s="128"/>
      <c r="AG904" s="128"/>
    </row>
    <row r="905" spans="1:33" ht="12.5">
      <c r="A905" s="121"/>
      <c r="B905" s="121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1"/>
      <c r="AF905" s="128"/>
      <c r="AG905" s="128"/>
    </row>
    <row r="906" spans="1:33" ht="12.5">
      <c r="A906" s="121"/>
      <c r="B906" s="121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1"/>
      <c r="AF906" s="128"/>
      <c r="AG906" s="128"/>
    </row>
    <row r="907" spans="1:33" ht="12.5">
      <c r="A907" s="121"/>
      <c r="B907" s="121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1"/>
      <c r="AF907" s="128"/>
      <c r="AG907" s="128"/>
    </row>
    <row r="908" spans="1:33" ht="12.5">
      <c r="A908" s="121"/>
      <c r="B908" s="121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1"/>
      <c r="AF908" s="128"/>
      <c r="AG908" s="128"/>
    </row>
    <row r="909" spans="1:33" ht="12.5">
      <c r="A909" s="121"/>
      <c r="B909" s="121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1"/>
      <c r="AF909" s="128"/>
      <c r="AG909" s="128"/>
    </row>
    <row r="910" spans="1:33" ht="12.5">
      <c r="A910" s="121"/>
      <c r="B910" s="121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1"/>
      <c r="AF910" s="128"/>
      <c r="AG910" s="128"/>
    </row>
    <row r="911" spans="1:33" ht="12.5">
      <c r="A911" s="121"/>
      <c r="B911" s="121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1"/>
      <c r="AF911" s="128"/>
      <c r="AG911" s="128"/>
    </row>
    <row r="912" spans="1:33" ht="12.5">
      <c r="A912" s="121"/>
      <c r="B912" s="121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1"/>
      <c r="AF912" s="128"/>
      <c r="AG912" s="128"/>
    </row>
    <row r="913" spans="1:33" ht="12.5">
      <c r="A913" s="121"/>
      <c r="B913" s="121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1"/>
      <c r="AF913" s="128"/>
      <c r="AG913" s="128"/>
    </row>
    <row r="914" spans="1:33" ht="12.5">
      <c r="A914" s="121"/>
      <c r="B914" s="121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1"/>
      <c r="AF914" s="128"/>
      <c r="AG914" s="128"/>
    </row>
    <row r="915" spans="1:33" ht="12.5">
      <c r="A915" s="121"/>
      <c r="B915" s="121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1"/>
      <c r="AF915" s="128"/>
      <c r="AG915" s="128"/>
    </row>
    <row r="916" spans="1:33" ht="12.5">
      <c r="A916" s="121"/>
      <c r="B916" s="121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1"/>
      <c r="AF916" s="128"/>
      <c r="AG916" s="128"/>
    </row>
    <row r="917" spans="1:33" ht="12.5">
      <c r="A917" s="121"/>
      <c r="B917" s="121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1"/>
      <c r="AF917" s="128"/>
      <c r="AG917" s="128"/>
    </row>
    <row r="918" spans="1:33" ht="12.5">
      <c r="A918" s="121"/>
      <c r="B918" s="121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1"/>
      <c r="AF918" s="128"/>
      <c r="AG918" s="128"/>
    </row>
    <row r="919" spans="1:33" ht="12.5">
      <c r="A919" s="121"/>
      <c r="B919" s="121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1"/>
      <c r="AF919" s="128"/>
      <c r="AG919" s="128"/>
    </row>
    <row r="920" spans="1:33" ht="12.5">
      <c r="A920" s="121"/>
      <c r="B920" s="121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1"/>
      <c r="AF920" s="128"/>
      <c r="AG920" s="128"/>
    </row>
    <row r="921" spans="1:33" ht="12.5">
      <c r="A921" s="121"/>
      <c r="B921" s="121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1"/>
      <c r="AF921" s="128"/>
      <c r="AG921" s="128"/>
    </row>
    <row r="922" spans="1:33" ht="12.5">
      <c r="A922" s="121"/>
      <c r="B922" s="121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1"/>
      <c r="AF922" s="128"/>
      <c r="AG922" s="128"/>
    </row>
    <row r="923" spans="1:33" ht="12.5">
      <c r="A923" s="121"/>
      <c r="B923" s="121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1"/>
      <c r="AF923" s="128"/>
      <c r="AG923" s="128"/>
    </row>
    <row r="924" spans="1:33" ht="12.5">
      <c r="A924" s="121"/>
      <c r="B924" s="121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1"/>
      <c r="AF924" s="128"/>
      <c r="AG924" s="128"/>
    </row>
    <row r="925" spans="1:33" ht="12.5">
      <c r="A925" s="121"/>
      <c r="B925" s="121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1"/>
      <c r="AF925" s="128"/>
      <c r="AG925" s="128"/>
    </row>
    <row r="926" spans="1:33" ht="12.5">
      <c r="A926" s="121"/>
      <c r="B926" s="121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1"/>
      <c r="AF926" s="128"/>
      <c r="AG926" s="128"/>
    </row>
    <row r="927" spans="1:33" ht="12.5">
      <c r="A927" s="121"/>
      <c r="B927" s="121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1"/>
      <c r="AF927" s="128"/>
      <c r="AG927" s="128"/>
    </row>
    <row r="928" spans="1:33" ht="12.5">
      <c r="A928" s="121"/>
      <c r="B928" s="121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1"/>
      <c r="AF928" s="128"/>
      <c r="AG928" s="128"/>
    </row>
    <row r="929" spans="1:33" ht="12.5">
      <c r="A929" s="121"/>
      <c r="B929" s="121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1"/>
      <c r="AF929" s="128"/>
      <c r="AG929" s="128"/>
    </row>
    <row r="930" spans="1:33" ht="12.5">
      <c r="A930" s="121"/>
      <c r="B930" s="121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1"/>
      <c r="AF930" s="128"/>
      <c r="AG930" s="128"/>
    </row>
    <row r="931" spans="1:33" ht="12.5">
      <c r="A931" s="121"/>
      <c r="B931" s="121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1"/>
      <c r="AF931" s="128"/>
      <c r="AG931" s="128"/>
    </row>
    <row r="932" spans="1:33" ht="12.5">
      <c r="A932" s="121"/>
      <c r="B932" s="121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1"/>
      <c r="AF932" s="128"/>
      <c r="AG932" s="128"/>
    </row>
    <row r="933" spans="1:33" ht="12.5">
      <c r="A933" s="121"/>
      <c r="B933" s="121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1"/>
      <c r="AF933" s="128"/>
      <c r="AG933" s="128"/>
    </row>
    <row r="934" spans="1:33" ht="12.5">
      <c r="A934" s="121"/>
      <c r="B934" s="121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1"/>
      <c r="AF934" s="128"/>
      <c r="AG934" s="128"/>
    </row>
    <row r="935" spans="1:33" ht="12.5">
      <c r="A935" s="121"/>
      <c r="B935" s="121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1"/>
      <c r="AF935" s="128"/>
      <c r="AG935" s="128"/>
    </row>
    <row r="936" spans="1:33" ht="12.5">
      <c r="A936" s="121"/>
      <c r="B936" s="121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1"/>
      <c r="AF936" s="128"/>
      <c r="AG936" s="128"/>
    </row>
    <row r="937" spans="1:33" ht="12.5">
      <c r="A937" s="121"/>
      <c r="B937" s="121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1"/>
      <c r="AF937" s="128"/>
      <c r="AG937" s="128"/>
    </row>
    <row r="938" spans="1:33" ht="12.5">
      <c r="A938" s="121"/>
      <c r="B938" s="121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1"/>
      <c r="AF938" s="128"/>
      <c r="AG938" s="128"/>
    </row>
    <row r="939" spans="1:33" ht="12.5">
      <c r="A939" s="121"/>
      <c r="B939" s="121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1"/>
      <c r="AF939" s="128"/>
      <c r="AG939" s="128"/>
    </row>
    <row r="940" spans="1:33" ht="12.5">
      <c r="A940" s="121"/>
      <c r="B940" s="121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1"/>
      <c r="AF940" s="128"/>
      <c r="AG940" s="128"/>
    </row>
    <row r="941" spans="1:33" ht="12.5">
      <c r="A941" s="121"/>
      <c r="B941" s="121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1"/>
      <c r="AF941" s="128"/>
      <c r="AG941" s="128"/>
    </row>
    <row r="942" spans="1:33" ht="12.5">
      <c r="A942" s="121"/>
      <c r="B942" s="121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1"/>
      <c r="AF942" s="128"/>
      <c r="AG942" s="128"/>
    </row>
    <row r="943" spans="1:33" ht="12.5">
      <c r="A943" s="121"/>
      <c r="B943" s="121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1"/>
      <c r="AF943" s="128"/>
      <c r="AG943" s="128"/>
    </row>
    <row r="944" spans="1:33" ht="12.5">
      <c r="A944" s="121"/>
      <c r="B944" s="121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1"/>
      <c r="AF944" s="128"/>
      <c r="AG944" s="128"/>
    </row>
    <row r="945" spans="1:33" ht="12.5">
      <c r="A945" s="121"/>
      <c r="B945" s="121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1"/>
      <c r="AF945" s="128"/>
      <c r="AG945" s="128"/>
    </row>
    <row r="946" spans="1:33" ht="12.5">
      <c r="A946" s="121"/>
      <c r="B946" s="121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1"/>
      <c r="AF946" s="128"/>
      <c r="AG946" s="128"/>
    </row>
    <row r="947" spans="1:33" ht="12.5">
      <c r="A947" s="121"/>
      <c r="B947" s="121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1"/>
      <c r="AF947" s="128"/>
      <c r="AG947" s="128"/>
    </row>
    <row r="948" spans="1:33" ht="12.5">
      <c r="A948" s="121"/>
      <c r="B948" s="121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1"/>
      <c r="AF948" s="128"/>
      <c r="AG948" s="128"/>
    </row>
    <row r="949" spans="1:33" ht="12.5">
      <c r="A949" s="121"/>
      <c r="B949" s="121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1"/>
      <c r="AF949" s="128"/>
      <c r="AG949" s="128"/>
    </row>
    <row r="950" spans="1:33" ht="12.5">
      <c r="A950" s="121"/>
      <c r="B950" s="121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1"/>
      <c r="AF950" s="128"/>
      <c r="AG950" s="128"/>
    </row>
    <row r="951" spans="1:33" ht="12.5">
      <c r="A951" s="121"/>
      <c r="B951" s="121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1"/>
      <c r="AF951" s="128"/>
      <c r="AG951" s="128"/>
    </row>
    <row r="952" spans="1:33" ht="12.5">
      <c r="A952" s="121"/>
      <c r="B952" s="121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1"/>
      <c r="AF952" s="128"/>
      <c r="AG952" s="128"/>
    </row>
    <row r="953" spans="1:33" ht="12.5">
      <c r="A953" s="121"/>
      <c r="B953" s="121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1"/>
      <c r="AF953" s="128"/>
      <c r="AG953" s="128"/>
    </row>
    <row r="954" spans="1:33" ht="12.5">
      <c r="A954" s="121"/>
      <c r="B954" s="121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1"/>
      <c r="AF954" s="128"/>
      <c r="AG954" s="128"/>
    </row>
    <row r="955" spans="1:33" ht="12.5">
      <c r="A955" s="121"/>
      <c r="B955" s="121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1"/>
      <c r="AF955" s="128"/>
      <c r="AG955" s="128"/>
    </row>
    <row r="956" spans="1:33" ht="12.5">
      <c r="A956" s="121"/>
      <c r="B956" s="121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1"/>
      <c r="AF956" s="128"/>
      <c r="AG956" s="128"/>
    </row>
    <row r="957" spans="1:33" ht="12.5">
      <c r="A957" s="121"/>
      <c r="B957" s="121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1"/>
      <c r="AF957" s="128"/>
      <c r="AG957" s="128"/>
    </row>
    <row r="958" spans="1:33" ht="12.5">
      <c r="A958" s="121"/>
      <c r="B958" s="121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1"/>
      <c r="AF958" s="128"/>
      <c r="AG958" s="128"/>
    </row>
    <row r="959" spans="1:33" ht="12.5">
      <c r="A959" s="121"/>
      <c r="B959" s="121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1"/>
      <c r="AF959" s="128"/>
      <c r="AG959" s="128"/>
    </row>
    <row r="960" spans="1:33" ht="12.5">
      <c r="A960" s="121"/>
      <c r="B960" s="121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1"/>
      <c r="AF960" s="128"/>
      <c r="AG960" s="128"/>
    </row>
    <row r="961" spans="1:33" ht="12.5">
      <c r="A961" s="121"/>
      <c r="B961" s="121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1"/>
      <c r="AF961" s="128"/>
      <c r="AG961" s="128"/>
    </row>
    <row r="962" spans="1:33" ht="12.5">
      <c r="A962" s="121"/>
      <c r="B962" s="121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1"/>
      <c r="AF962" s="128"/>
      <c r="AG962" s="128"/>
    </row>
    <row r="963" spans="1:33" ht="12.5">
      <c r="A963" s="121"/>
      <c r="B963" s="121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1"/>
      <c r="AF963" s="128"/>
      <c r="AG963" s="128"/>
    </row>
    <row r="964" spans="1:33" ht="12.5">
      <c r="A964" s="121"/>
      <c r="B964" s="121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1"/>
      <c r="AF964" s="128"/>
      <c r="AG964" s="128"/>
    </row>
    <row r="965" spans="1:33" ht="12.5">
      <c r="A965" s="121"/>
      <c r="B965" s="121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1"/>
      <c r="AF965" s="128"/>
      <c r="AG965" s="128"/>
    </row>
    <row r="966" spans="1:33" ht="12.5">
      <c r="A966" s="121"/>
      <c r="B966" s="121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1"/>
      <c r="AF966" s="128"/>
      <c r="AG966" s="128"/>
    </row>
    <row r="967" spans="1:33" ht="12.5">
      <c r="A967" s="121"/>
      <c r="B967" s="121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1"/>
      <c r="AF967" s="128"/>
      <c r="AG967" s="128"/>
    </row>
    <row r="968" spans="1:33" ht="12.5">
      <c r="A968" s="121"/>
      <c r="B968" s="121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1"/>
      <c r="AF968" s="128"/>
      <c r="AG968" s="128"/>
    </row>
    <row r="969" spans="1:33" ht="12.5">
      <c r="A969" s="121"/>
      <c r="B969" s="121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1"/>
      <c r="AF969" s="128"/>
      <c r="AG969" s="128"/>
    </row>
    <row r="970" spans="1:33" ht="12.5">
      <c r="A970" s="121"/>
      <c r="B970" s="121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1"/>
      <c r="AF970" s="128"/>
      <c r="AG970" s="128"/>
    </row>
    <row r="971" spans="1:33" ht="12.5">
      <c r="A971" s="121"/>
      <c r="B971" s="121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1"/>
      <c r="AF971" s="128"/>
      <c r="AG971" s="128"/>
    </row>
    <row r="972" spans="1:33" ht="12.5">
      <c r="A972" s="121"/>
      <c r="B972" s="121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1"/>
      <c r="AF972" s="128"/>
      <c r="AG972" s="128"/>
    </row>
    <row r="973" spans="1:33" ht="12.5">
      <c r="A973" s="121"/>
      <c r="B973" s="121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1"/>
      <c r="AF973" s="128"/>
      <c r="AG973" s="128"/>
    </row>
    <row r="974" spans="1:33" ht="12.5">
      <c r="A974" s="121"/>
      <c r="B974" s="121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1"/>
      <c r="AF974" s="128"/>
      <c r="AG974" s="128"/>
    </row>
    <row r="975" spans="1:33" ht="12.5">
      <c r="A975" s="121"/>
      <c r="B975" s="121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1"/>
      <c r="AF975" s="128"/>
      <c r="AG975" s="128"/>
    </row>
    <row r="976" spans="1:33" ht="12.5">
      <c r="A976" s="121"/>
      <c r="B976" s="121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1"/>
      <c r="AF976" s="128"/>
      <c r="AG976" s="128"/>
    </row>
    <row r="977" spans="1:33" ht="12.5">
      <c r="A977" s="121"/>
      <c r="B977" s="121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1"/>
      <c r="AF977" s="128"/>
      <c r="AG977" s="128"/>
    </row>
    <row r="978" spans="1:33" ht="12.5">
      <c r="A978" s="121"/>
      <c r="B978" s="121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1"/>
      <c r="AF978" s="128"/>
      <c r="AG978" s="128"/>
    </row>
    <row r="979" spans="1:33" ht="12.5">
      <c r="A979" s="121"/>
      <c r="B979" s="121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1"/>
      <c r="AF979" s="128"/>
      <c r="AG979" s="128"/>
    </row>
    <row r="980" spans="1:33" ht="12.5">
      <c r="A980" s="121"/>
      <c r="B980" s="121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1"/>
      <c r="AF980" s="128"/>
      <c r="AG980" s="128"/>
    </row>
    <row r="981" spans="1:33" ht="12.5">
      <c r="A981" s="121"/>
      <c r="B981" s="121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1"/>
      <c r="AF981" s="128"/>
      <c r="AG981" s="128"/>
    </row>
    <row r="982" spans="1:33" ht="12.5">
      <c r="A982" s="121"/>
      <c r="B982" s="121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1"/>
      <c r="AF982" s="128"/>
      <c r="AG982" s="128"/>
    </row>
    <row r="983" spans="1:33" ht="12.5">
      <c r="A983" s="121"/>
      <c r="B983" s="121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1"/>
      <c r="AF983" s="128"/>
      <c r="AG983" s="128"/>
    </row>
    <row r="984" spans="1:33" ht="12.5">
      <c r="A984" s="121"/>
      <c r="B984" s="121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1"/>
      <c r="AF984" s="128"/>
      <c r="AG984" s="128"/>
    </row>
    <row r="985" spans="1:33" ht="12.5">
      <c r="A985" s="121"/>
      <c r="B985" s="121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1"/>
      <c r="AF985" s="128"/>
      <c r="AG985" s="128"/>
    </row>
    <row r="986" spans="1:33" ht="12.5">
      <c r="A986" s="121"/>
      <c r="B986" s="121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1"/>
      <c r="AF986" s="128"/>
      <c r="AG986" s="128"/>
    </row>
    <row r="987" spans="1:33" ht="12.5">
      <c r="A987" s="121"/>
      <c r="B987" s="121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1"/>
      <c r="AF987" s="128"/>
      <c r="AG987" s="128"/>
    </row>
    <row r="988" spans="1:33" ht="12.5">
      <c r="A988" s="121"/>
      <c r="B988" s="121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1"/>
      <c r="AF988" s="128"/>
      <c r="AG988" s="128"/>
    </row>
    <row r="989" spans="1:33" ht="12.5">
      <c r="A989" s="121"/>
      <c r="B989" s="121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1"/>
      <c r="AF989" s="128"/>
      <c r="AG989" s="128"/>
    </row>
    <row r="990" spans="1:33" ht="12.5">
      <c r="A990" s="121"/>
      <c r="B990" s="121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1"/>
      <c r="AF990" s="128"/>
      <c r="AG990" s="128"/>
    </row>
    <row r="991" spans="1:33" ht="12.5">
      <c r="A991" s="121"/>
      <c r="B991" s="121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1"/>
      <c r="AF991" s="128"/>
      <c r="AG991" s="128"/>
    </row>
    <row r="992" spans="1:33" ht="12.5">
      <c r="A992" s="121"/>
      <c r="B992" s="121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1"/>
      <c r="AF992" s="128"/>
      <c r="AG992" s="128"/>
    </row>
    <row r="993" spans="1:33" ht="12.5">
      <c r="A993" s="121"/>
      <c r="B993" s="121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1"/>
      <c r="AF993" s="128"/>
      <c r="AG993" s="128"/>
    </row>
    <row r="994" spans="1:33" ht="12.5">
      <c r="A994" s="121"/>
      <c r="B994" s="121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1"/>
      <c r="AF994" s="128"/>
      <c r="AG994" s="128"/>
    </row>
    <row r="995" spans="1:33" ht="12.5">
      <c r="A995" s="121"/>
      <c r="B995" s="121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1"/>
      <c r="AF995" s="128"/>
      <c r="AG995" s="128"/>
    </row>
    <row r="996" spans="1:33" ht="12.5">
      <c r="A996" s="121"/>
      <c r="B996" s="121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1"/>
      <c r="AF996" s="128"/>
      <c r="AG996" s="128"/>
    </row>
    <row r="997" spans="1:33" ht="12.5">
      <c r="A997" s="121"/>
      <c r="B997" s="121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1"/>
      <c r="AF997" s="128"/>
      <c r="AG997" s="128"/>
    </row>
    <row r="998" spans="1:33" ht="12.5">
      <c r="A998" s="121"/>
      <c r="B998" s="121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1"/>
      <c r="AF998" s="128"/>
      <c r="AG998" s="128"/>
    </row>
    <row r="999" spans="1:33" ht="12.5">
      <c r="A999" s="121"/>
      <c r="B999" s="121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1"/>
      <c r="AF999" s="128"/>
      <c r="AG999" s="128"/>
    </row>
    <row r="1000" spans="1:33" ht="12.5">
      <c r="A1000" s="121"/>
      <c r="B1000" s="121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1"/>
      <c r="AF1000" s="128"/>
      <c r="AG1000" s="128"/>
    </row>
    <row r="1001" spans="1:33" ht="12.5">
      <c r="A1001" s="121"/>
      <c r="B1001" s="121"/>
      <c r="C1001" s="123"/>
      <c r="D1001" s="123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  <c r="AB1001" s="123"/>
      <c r="AC1001" s="123"/>
      <c r="AD1001" s="123"/>
      <c r="AE1001" s="121"/>
      <c r="AF1001" s="128"/>
      <c r="AG1001" s="128"/>
    </row>
    <row r="1002" spans="1:33" ht="12.5">
      <c r="A1002" s="121"/>
      <c r="B1002" s="121"/>
      <c r="C1002" s="123"/>
      <c r="D1002" s="123"/>
      <c r="E1002" s="123"/>
      <c r="F1002" s="123"/>
      <c r="G1002" s="123"/>
      <c r="H1002" s="123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  <c r="AB1002" s="123"/>
      <c r="AC1002" s="123"/>
      <c r="AD1002" s="123"/>
      <c r="AE1002" s="121"/>
      <c r="AF1002" s="128"/>
      <c r="AG1002" s="128"/>
    </row>
    <row r="1003" spans="1:33" ht="12.5">
      <c r="A1003" s="121"/>
      <c r="B1003" s="121"/>
      <c r="C1003" s="123"/>
      <c r="D1003" s="123"/>
      <c r="E1003" s="123"/>
      <c r="F1003" s="123"/>
      <c r="G1003" s="123"/>
      <c r="H1003" s="123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  <c r="AB1003" s="123"/>
      <c r="AC1003" s="123"/>
      <c r="AD1003" s="123"/>
      <c r="AE1003" s="121"/>
      <c r="AF1003" s="128"/>
      <c r="AG1003" s="128"/>
    </row>
    <row r="1004" spans="1:33" ht="12.5">
      <c r="A1004" s="121"/>
      <c r="B1004" s="121"/>
      <c r="C1004" s="123"/>
      <c r="D1004" s="123"/>
      <c r="E1004" s="123"/>
      <c r="F1004" s="123"/>
      <c r="G1004" s="123"/>
      <c r="H1004" s="123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  <c r="AB1004" s="123"/>
      <c r="AC1004" s="123"/>
      <c r="AD1004" s="123"/>
      <c r="AE1004" s="121"/>
      <c r="AF1004" s="128"/>
      <c r="AG1004" s="128"/>
    </row>
    <row r="1005" spans="1:33" ht="12.5">
      <c r="A1005" s="121"/>
      <c r="B1005" s="121"/>
      <c r="C1005" s="123"/>
      <c r="D1005" s="123"/>
      <c r="E1005" s="123"/>
      <c r="F1005" s="123"/>
      <c r="G1005" s="123"/>
      <c r="H1005" s="123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  <c r="AD1005" s="123"/>
      <c r="AE1005" s="121"/>
      <c r="AF1005" s="128"/>
      <c r="AG1005" s="128"/>
    </row>
    <row r="1006" spans="1:33" ht="12.5">
      <c r="A1006" s="121"/>
      <c r="B1006" s="121"/>
      <c r="C1006" s="123"/>
      <c r="D1006" s="123"/>
      <c r="E1006" s="123"/>
      <c r="F1006" s="123"/>
      <c r="G1006" s="123"/>
      <c r="H1006" s="123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  <c r="AB1006" s="123"/>
      <c r="AC1006" s="123"/>
      <c r="AD1006" s="123"/>
      <c r="AE1006" s="121"/>
      <c r="AF1006" s="128"/>
      <c r="AG1006" s="128"/>
    </row>
    <row r="1007" spans="1:33" ht="12.5">
      <c r="A1007" s="121"/>
      <c r="B1007" s="121"/>
      <c r="C1007" s="123"/>
      <c r="D1007" s="123"/>
      <c r="E1007" s="123"/>
      <c r="F1007" s="123"/>
      <c r="G1007" s="123"/>
      <c r="H1007" s="123"/>
      <c r="I1007" s="123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  <c r="AA1007" s="123"/>
      <c r="AB1007" s="123"/>
      <c r="AC1007" s="123"/>
      <c r="AD1007" s="123"/>
      <c r="AE1007" s="121"/>
      <c r="AF1007" s="128"/>
      <c r="AG1007" s="128"/>
    </row>
    <row r="1008" spans="1:33" ht="12.5">
      <c r="A1008" s="121"/>
      <c r="B1008" s="121"/>
      <c r="C1008" s="123"/>
      <c r="D1008" s="123"/>
      <c r="E1008" s="123"/>
      <c r="F1008" s="123"/>
      <c r="G1008" s="123"/>
      <c r="H1008" s="123"/>
      <c r="I1008" s="123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  <c r="AA1008" s="123"/>
      <c r="AB1008" s="123"/>
      <c r="AC1008" s="123"/>
      <c r="AD1008" s="123"/>
      <c r="AE1008" s="121"/>
      <c r="AF1008" s="128"/>
      <c r="AG1008" s="128"/>
    </row>
    <row r="1009" spans="1:33" ht="12.5">
      <c r="A1009" s="121"/>
      <c r="B1009" s="121"/>
      <c r="C1009" s="123"/>
      <c r="D1009" s="123"/>
      <c r="E1009" s="123"/>
      <c r="F1009" s="123"/>
      <c r="G1009" s="123"/>
      <c r="H1009" s="123"/>
      <c r="I1009" s="123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  <c r="AA1009" s="123"/>
      <c r="AB1009" s="123"/>
      <c r="AC1009" s="123"/>
      <c r="AD1009" s="123"/>
      <c r="AE1009" s="121"/>
      <c r="AF1009" s="128"/>
      <c r="AG1009" s="128"/>
    </row>
    <row r="1010" spans="1:33" ht="12.5">
      <c r="A1010" s="121"/>
      <c r="B1010" s="121"/>
      <c r="C1010" s="123"/>
      <c r="D1010" s="123"/>
      <c r="E1010" s="123"/>
      <c r="F1010" s="123"/>
      <c r="G1010" s="123"/>
      <c r="H1010" s="123"/>
      <c r="I1010" s="123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  <c r="AA1010" s="123"/>
      <c r="AB1010" s="123"/>
      <c r="AC1010" s="123"/>
      <c r="AD1010" s="123"/>
      <c r="AE1010" s="121"/>
      <c r="AF1010" s="128"/>
      <c r="AG1010" s="128"/>
    </row>
    <row r="1011" spans="1:33" ht="12.5">
      <c r="A1011" s="121"/>
      <c r="B1011" s="121"/>
      <c r="C1011" s="123"/>
      <c r="D1011" s="123"/>
      <c r="E1011" s="123"/>
      <c r="F1011" s="123"/>
      <c r="G1011" s="123"/>
      <c r="H1011" s="123"/>
      <c r="I1011" s="123"/>
      <c r="J1011" s="123"/>
      <c r="K1011" s="123"/>
      <c r="L1011" s="123"/>
      <c r="M1011" s="123"/>
      <c r="N1011" s="123"/>
      <c r="O1011" s="123"/>
      <c r="P1011" s="123"/>
      <c r="Q1011" s="123"/>
      <c r="R1011" s="123"/>
      <c r="S1011" s="123"/>
      <c r="T1011" s="123"/>
      <c r="U1011" s="123"/>
      <c r="V1011" s="123"/>
      <c r="W1011" s="123"/>
      <c r="X1011" s="123"/>
      <c r="Y1011" s="123"/>
      <c r="Z1011" s="123"/>
      <c r="AA1011" s="123"/>
      <c r="AB1011" s="123"/>
      <c r="AC1011" s="123"/>
      <c r="AD1011" s="123"/>
      <c r="AE1011" s="121"/>
      <c r="AF1011" s="128"/>
      <c r="AG1011" s="128"/>
    </row>
    <row r="1012" spans="1:33" ht="12.5">
      <c r="A1012" s="121"/>
      <c r="B1012" s="121"/>
      <c r="C1012" s="123"/>
      <c r="D1012" s="123"/>
      <c r="E1012" s="123"/>
      <c r="F1012" s="123"/>
      <c r="G1012" s="123"/>
      <c r="H1012" s="123"/>
      <c r="I1012" s="123"/>
      <c r="J1012" s="123"/>
      <c r="K1012" s="123"/>
      <c r="L1012" s="123"/>
      <c r="M1012" s="123"/>
      <c r="N1012" s="123"/>
      <c r="O1012" s="123"/>
      <c r="P1012" s="123"/>
      <c r="Q1012" s="123"/>
      <c r="R1012" s="123"/>
      <c r="S1012" s="123"/>
      <c r="T1012" s="123"/>
      <c r="U1012" s="123"/>
      <c r="V1012" s="123"/>
      <c r="W1012" s="123"/>
      <c r="X1012" s="123"/>
      <c r="Y1012" s="123"/>
      <c r="Z1012" s="123"/>
      <c r="AA1012" s="123"/>
      <c r="AB1012" s="123"/>
      <c r="AC1012" s="123"/>
      <c r="AD1012" s="123"/>
      <c r="AE1012" s="121"/>
      <c r="AF1012" s="128"/>
      <c r="AG1012" s="128"/>
    </row>
    <row r="1013" spans="1:33" ht="12.5">
      <c r="A1013" s="121"/>
      <c r="B1013" s="121"/>
      <c r="C1013" s="123"/>
      <c r="D1013" s="123"/>
      <c r="E1013" s="123"/>
      <c r="F1013" s="123"/>
      <c r="G1013" s="123"/>
      <c r="H1013" s="123"/>
      <c r="I1013" s="123"/>
      <c r="J1013" s="123"/>
      <c r="K1013" s="123"/>
      <c r="L1013" s="123"/>
      <c r="M1013" s="123"/>
      <c r="N1013" s="123"/>
      <c r="O1013" s="123"/>
      <c r="P1013" s="123"/>
      <c r="Q1013" s="123"/>
      <c r="R1013" s="123"/>
      <c r="S1013" s="123"/>
      <c r="T1013" s="123"/>
      <c r="U1013" s="123"/>
      <c r="V1013" s="123"/>
      <c r="W1013" s="123"/>
      <c r="X1013" s="123"/>
      <c r="Y1013" s="123"/>
      <c r="Z1013" s="123"/>
      <c r="AA1013" s="123"/>
      <c r="AB1013" s="123"/>
      <c r="AC1013" s="123"/>
      <c r="AD1013" s="123"/>
      <c r="AE1013" s="121"/>
      <c r="AF1013" s="128"/>
      <c r="AG1013" s="128"/>
    </row>
    <row r="1014" spans="1:33" ht="12.5">
      <c r="A1014" s="121"/>
      <c r="B1014" s="121"/>
      <c r="C1014" s="123"/>
      <c r="D1014" s="123"/>
      <c r="E1014" s="123"/>
      <c r="F1014" s="123"/>
      <c r="G1014" s="123"/>
      <c r="H1014" s="123"/>
      <c r="I1014" s="123"/>
      <c r="J1014" s="123"/>
      <c r="K1014" s="123"/>
      <c r="L1014" s="123"/>
      <c r="M1014" s="123"/>
      <c r="N1014" s="123"/>
      <c r="O1014" s="123"/>
      <c r="P1014" s="123"/>
      <c r="Q1014" s="123"/>
      <c r="R1014" s="123"/>
      <c r="S1014" s="123"/>
      <c r="T1014" s="123"/>
      <c r="U1014" s="123"/>
      <c r="V1014" s="123"/>
      <c r="W1014" s="123"/>
      <c r="X1014" s="123"/>
      <c r="Y1014" s="123"/>
      <c r="Z1014" s="123"/>
      <c r="AA1014" s="123"/>
      <c r="AB1014" s="123"/>
      <c r="AC1014" s="123"/>
      <c r="AD1014" s="123"/>
      <c r="AE1014" s="121"/>
      <c r="AF1014" s="128"/>
      <c r="AG1014" s="128"/>
    </row>
    <row r="1015" spans="1:33" ht="12.5">
      <c r="A1015" s="121"/>
      <c r="B1015" s="121"/>
      <c r="C1015" s="123"/>
      <c r="D1015" s="123"/>
      <c r="E1015" s="123"/>
      <c r="F1015" s="123"/>
      <c r="G1015" s="123"/>
      <c r="H1015" s="123"/>
      <c r="I1015" s="123"/>
      <c r="J1015" s="123"/>
      <c r="K1015" s="123"/>
      <c r="L1015" s="123"/>
      <c r="M1015" s="123"/>
      <c r="N1015" s="123"/>
      <c r="O1015" s="123"/>
      <c r="P1015" s="123"/>
      <c r="Q1015" s="123"/>
      <c r="R1015" s="123"/>
      <c r="S1015" s="123"/>
      <c r="T1015" s="123"/>
      <c r="U1015" s="123"/>
      <c r="V1015" s="123"/>
      <c r="W1015" s="123"/>
      <c r="X1015" s="123"/>
      <c r="Y1015" s="123"/>
      <c r="Z1015" s="123"/>
      <c r="AA1015" s="123"/>
      <c r="AB1015" s="123"/>
      <c r="AC1015" s="123"/>
      <c r="AD1015" s="123"/>
      <c r="AE1015" s="121"/>
      <c r="AF1015" s="128"/>
      <c r="AG1015" s="128"/>
    </row>
    <row r="1016" spans="1:33" ht="12.5">
      <c r="A1016" s="121"/>
      <c r="B1016" s="121"/>
      <c r="C1016" s="123"/>
      <c r="D1016" s="123"/>
      <c r="E1016" s="123"/>
      <c r="F1016" s="123"/>
      <c r="G1016" s="123"/>
      <c r="H1016" s="123"/>
      <c r="I1016" s="123"/>
      <c r="J1016" s="123"/>
      <c r="K1016" s="123"/>
      <c r="L1016" s="123"/>
      <c r="M1016" s="123"/>
      <c r="N1016" s="123"/>
      <c r="O1016" s="123"/>
      <c r="P1016" s="123"/>
      <c r="Q1016" s="123"/>
      <c r="R1016" s="123"/>
      <c r="S1016" s="123"/>
      <c r="T1016" s="123"/>
      <c r="U1016" s="123"/>
      <c r="V1016" s="123"/>
      <c r="W1016" s="123"/>
      <c r="X1016" s="123"/>
      <c r="Y1016" s="123"/>
      <c r="Z1016" s="123"/>
      <c r="AA1016" s="123"/>
      <c r="AB1016" s="123"/>
      <c r="AC1016" s="123"/>
      <c r="AD1016" s="123"/>
      <c r="AE1016" s="121"/>
      <c r="AF1016" s="128"/>
      <c r="AG1016" s="128"/>
    </row>
    <row r="1017" spans="1:33" ht="12.5">
      <c r="A1017" s="121"/>
      <c r="B1017" s="121"/>
      <c r="C1017" s="123"/>
      <c r="D1017" s="123"/>
      <c r="E1017" s="123"/>
      <c r="F1017" s="123"/>
      <c r="G1017" s="123"/>
      <c r="H1017" s="123"/>
      <c r="I1017" s="123"/>
      <c r="J1017" s="123"/>
      <c r="K1017" s="123"/>
      <c r="L1017" s="123"/>
      <c r="M1017" s="123"/>
      <c r="N1017" s="123"/>
      <c r="O1017" s="123"/>
      <c r="P1017" s="123"/>
      <c r="Q1017" s="123"/>
      <c r="R1017" s="123"/>
      <c r="S1017" s="123"/>
      <c r="T1017" s="123"/>
      <c r="U1017" s="123"/>
      <c r="V1017" s="123"/>
      <c r="W1017" s="123"/>
      <c r="X1017" s="123"/>
      <c r="Y1017" s="123"/>
      <c r="Z1017" s="123"/>
      <c r="AA1017" s="123"/>
      <c r="AB1017" s="123"/>
      <c r="AC1017" s="123"/>
      <c r="AD1017" s="123"/>
      <c r="AE1017" s="121"/>
      <c r="AF1017" s="128"/>
      <c r="AG1017" s="128"/>
    </row>
    <row r="1018" spans="1:33" ht="12.5">
      <c r="A1018" s="121"/>
      <c r="B1018" s="121"/>
      <c r="C1018" s="123"/>
      <c r="D1018" s="123"/>
      <c r="E1018" s="123"/>
      <c r="F1018" s="123"/>
      <c r="G1018" s="123"/>
      <c r="H1018" s="123"/>
      <c r="I1018" s="123"/>
      <c r="J1018" s="123"/>
      <c r="K1018" s="123"/>
      <c r="L1018" s="123"/>
      <c r="M1018" s="123"/>
      <c r="N1018" s="123"/>
      <c r="O1018" s="123"/>
      <c r="P1018" s="123"/>
      <c r="Q1018" s="123"/>
      <c r="R1018" s="123"/>
      <c r="S1018" s="123"/>
      <c r="T1018" s="123"/>
      <c r="U1018" s="123"/>
      <c r="V1018" s="123"/>
      <c r="W1018" s="123"/>
      <c r="X1018" s="123"/>
      <c r="Y1018" s="123"/>
      <c r="Z1018" s="123"/>
      <c r="AA1018" s="123"/>
      <c r="AB1018" s="123"/>
      <c r="AC1018" s="123"/>
      <c r="AD1018" s="123"/>
      <c r="AE1018" s="121"/>
      <c r="AF1018" s="128"/>
      <c r="AG1018" s="128"/>
    </row>
    <row r="1019" spans="1:33" ht="12.5">
      <c r="A1019" s="121"/>
      <c r="B1019" s="121"/>
      <c r="C1019" s="123"/>
      <c r="D1019" s="123"/>
      <c r="E1019" s="123"/>
      <c r="F1019" s="123"/>
      <c r="G1019" s="123"/>
      <c r="H1019" s="123"/>
      <c r="I1019" s="123"/>
      <c r="J1019" s="123"/>
      <c r="K1019" s="123"/>
      <c r="L1019" s="123"/>
      <c r="M1019" s="123"/>
      <c r="N1019" s="123"/>
      <c r="O1019" s="123"/>
      <c r="P1019" s="123"/>
      <c r="Q1019" s="123"/>
      <c r="R1019" s="123"/>
      <c r="S1019" s="123"/>
      <c r="T1019" s="123"/>
      <c r="U1019" s="123"/>
      <c r="V1019" s="123"/>
      <c r="W1019" s="123"/>
      <c r="X1019" s="123"/>
      <c r="Y1019" s="123"/>
      <c r="Z1019" s="123"/>
      <c r="AA1019" s="123"/>
      <c r="AB1019" s="123"/>
      <c r="AC1019" s="123"/>
      <c r="AD1019" s="123"/>
      <c r="AE1019" s="121"/>
      <c r="AF1019" s="128"/>
      <c r="AG1019" s="128"/>
    </row>
    <row r="1020" spans="1:33" ht="12.5">
      <c r="A1020" s="121"/>
      <c r="B1020" s="121"/>
      <c r="C1020" s="123"/>
      <c r="D1020" s="123"/>
      <c r="E1020" s="123"/>
      <c r="F1020" s="123"/>
      <c r="G1020" s="123"/>
      <c r="H1020" s="123"/>
      <c r="I1020" s="123"/>
      <c r="J1020" s="123"/>
      <c r="K1020" s="123"/>
      <c r="L1020" s="123"/>
      <c r="M1020" s="123"/>
      <c r="N1020" s="123"/>
      <c r="O1020" s="123"/>
      <c r="P1020" s="123"/>
      <c r="Q1020" s="123"/>
      <c r="R1020" s="123"/>
      <c r="S1020" s="123"/>
      <c r="T1020" s="123"/>
      <c r="U1020" s="123"/>
      <c r="V1020" s="123"/>
      <c r="W1020" s="123"/>
      <c r="X1020" s="123"/>
      <c r="Y1020" s="123"/>
      <c r="Z1020" s="123"/>
      <c r="AA1020" s="123"/>
      <c r="AB1020" s="123"/>
      <c r="AC1020" s="123"/>
      <c r="AD1020" s="123"/>
      <c r="AE1020" s="121"/>
      <c r="AF1020" s="128"/>
      <c r="AG1020" s="128"/>
    </row>
    <row r="1021" spans="1:33" ht="12.5">
      <c r="A1021" s="121"/>
      <c r="B1021" s="121"/>
      <c r="C1021" s="123"/>
      <c r="D1021" s="123"/>
      <c r="E1021" s="123"/>
      <c r="F1021" s="123"/>
      <c r="G1021" s="123"/>
      <c r="H1021" s="123"/>
      <c r="I1021" s="123"/>
      <c r="J1021" s="123"/>
      <c r="K1021" s="123"/>
      <c r="L1021" s="123"/>
      <c r="M1021" s="123"/>
      <c r="N1021" s="123"/>
      <c r="O1021" s="123"/>
      <c r="P1021" s="123"/>
      <c r="Q1021" s="123"/>
      <c r="R1021" s="123"/>
      <c r="S1021" s="123"/>
      <c r="T1021" s="123"/>
      <c r="U1021" s="123"/>
      <c r="V1021" s="123"/>
      <c r="W1021" s="123"/>
      <c r="X1021" s="123"/>
      <c r="Y1021" s="123"/>
      <c r="Z1021" s="123"/>
      <c r="AA1021" s="123"/>
      <c r="AB1021" s="123"/>
      <c r="AC1021" s="123"/>
      <c r="AD1021" s="123"/>
      <c r="AE1021" s="121"/>
      <c r="AF1021" s="128"/>
      <c r="AG1021" s="128"/>
    </row>
    <row r="1022" spans="1:33" ht="12.5">
      <c r="A1022" s="121"/>
      <c r="B1022" s="121"/>
      <c r="C1022" s="123"/>
      <c r="D1022" s="123"/>
      <c r="E1022" s="123"/>
      <c r="F1022" s="123"/>
      <c r="G1022" s="123"/>
      <c r="H1022" s="123"/>
      <c r="I1022" s="123"/>
      <c r="J1022" s="123"/>
      <c r="K1022" s="123"/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  <c r="AA1022" s="123"/>
      <c r="AB1022" s="123"/>
      <c r="AC1022" s="123"/>
      <c r="AD1022" s="123"/>
      <c r="AE1022" s="121"/>
      <c r="AF1022" s="128"/>
      <c r="AG1022" s="128"/>
    </row>
    <row r="1023" spans="1:33" ht="12.5">
      <c r="A1023" s="121"/>
      <c r="B1023" s="121"/>
      <c r="C1023" s="123"/>
      <c r="D1023" s="123"/>
      <c r="E1023" s="123"/>
      <c r="F1023" s="123"/>
      <c r="G1023" s="123"/>
      <c r="H1023" s="123"/>
      <c r="I1023" s="123"/>
      <c r="J1023" s="123"/>
      <c r="K1023" s="123"/>
      <c r="L1023" s="123"/>
      <c r="M1023" s="123"/>
      <c r="N1023" s="123"/>
      <c r="O1023" s="123"/>
      <c r="P1023" s="123"/>
      <c r="Q1023" s="123"/>
      <c r="R1023" s="123"/>
      <c r="S1023" s="123"/>
      <c r="T1023" s="123"/>
      <c r="U1023" s="123"/>
      <c r="V1023" s="123"/>
      <c r="W1023" s="123"/>
      <c r="X1023" s="123"/>
      <c r="Y1023" s="123"/>
      <c r="Z1023" s="123"/>
      <c r="AA1023" s="123"/>
      <c r="AB1023" s="123"/>
      <c r="AC1023" s="123"/>
      <c r="AD1023" s="123"/>
      <c r="AE1023" s="121"/>
      <c r="AF1023" s="128"/>
      <c r="AG1023" s="128"/>
    </row>
    <row r="1024" spans="1:33" ht="12.5">
      <c r="A1024" s="121"/>
      <c r="B1024" s="121"/>
      <c r="C1024" s="123"/>
      <c r="D1024" s="123"/>
      <c r="E1024" s="123"/>
      <c r="F1024" s="123"/>
      <c r="G1024" s="123"/>
      <c r="H1024" s="123"/>
      <c r="I1024" s="123"/>
      <c r="J1024" s="123"/>
      <c r="K1024" s="123"/>
      <c r="L1024" s="123"/>
      <c r="M1024" s="123"/>
      <c r="N1024" s="123"/>
      <c r="O1024" s="123"/>
      <c r="P1024" s="123"/>
      <c r="Q1024" s="123"/>
      <c r="R1024" s="123"/>
      <c r="S1024" s="123"/>
      <c r="T1024" s="123"/>
      <c r="U1024" s="123"/>
      <c r="V1024" s="123"/>
      <c r="W1024" s="123"/>
      <c r="X1024" s="123"/>
      <c r="Y1024" s="123"/>
      <c r="Z1024" s="123"/>
      <c r="AA1024" s="123"/>
      <c r="AB1024" s="123"/>
      <c r="AC1024" s="123"/>
      <c r="AD1024" s="123"/>
      <c r="AE1024" s="121"/>
      <c r="AF1024" s="128"/>
      <c r="AG1024" s="128"/>
    </row>
    <row r="1025" spans="1:33" ht="12.5">
      <c r="A1025" s="121"/>
      <c r="B1025" s="121"/>
      <c r="C1025" s="123"/>
      <c r="D1025" s="123"/>
      <c r="E1025" s="123"/>
      <c r="F1025" s="123"/>
      <c r="G1025" s="123"/>
      <c r="H1025" s="123"/>
      <c r="I1025" s="123"/>
      <c r="J1025" s="123"/>
      <c r="K1025" s="123"/>
      <c r="L1025" s="123"/>
      <c r="M1025" s="123"/>
      <c r="N1025" s="123"/>
      <c r="O1025" s="123"/>
      <c r="P1025" s="123"/>
      <c r="Q1025" s="123"/>
      <c r="R1025" s="123"/>
      <c r="S1025" s="123"/>
      <c r="T1025" s="123"/>
      <c r="U1025" s="123"/>
      <c r="V1025" s="123"/>
      <c r="W1025" s="123"/>
      <c r="X1025" s="123"/>
      <c r="Y1025" s="123"/>
      <c r="Z1025" s="123"/>
      <c r="AA1025" s="123"/>
      <c r="AB1025" s="123"/>
      <c r="AC1025" s="123"/>
      <c r="AD1025" s="123"/>
      <c r="AE1025" s="121"/>
      <c r="AF1025" s="128"/>
      <c r="AG1025" s="128"/>
    </row>
    <row r="1026" spans="1:33" ht="12.5">
      <c r="A1026" s="121"/>
      <c r="B1026" s="121"/>
      <c r="C1026" s="123"/>
      <c r="D1026" s="123"/>
      <c r="E1026" s="123"/>
      <c r="F1026" s="123"/>
      <c r="G1026" s="123"/>
      <c r="H1026" s="123"/>
      <c r="I1026" s="123"/>
      <c r="J1026" s="123"/>
      <c r="K1026" s="123"/>
      <c r="L1026" s="123"/>
      <c r="M1026" s="123"/>
      <c r="N1026" s="123"/>
      <c r="O1026" s="123"/>
      <c r="P1026" s="123"/>
      <c r="Q1026" s="123"/>
      <c r="R1026" s="123"/>
      <c r="S1026" s="123"/>
      <c r="T1026" s="123"/>
      <c r="U1026" s="123"/>
      <c r="V1026" s="123"/>
      <c r="W1026" s="123"/>
      <c r="X1026" s="123"/>
      <c r="Y1026" s="123"/>
      <c r="Z1026" s="123"/>
      <c r="AA1026" s="123"/>
      <c r="AB1026" s="123"/>
      <c r="AC1026" s="123"/>
      <c r="AD1026" s="123"/>
      <c r="AE1026" s="121"/>
      <c r="AF1026" s="128"/>
      <c r="AG1026" s="128"/>
    </row>
    <row r="1027" spans="1:33" ht="12.5">
      <c r="A1027" s="121"/>
      <c r="B1027" s="121"/>
      <c r="C1027" s="123"/>
      <c r="D1027" s="123"/>
      <c r="E1027" s="123"/>
      <c r="F1027" s="123"/>
      <c r="G1027" s="123"/>
      <c r="H1027" s="123"/>
      <c r="I1027" s="123"/>
      <c r="J1027" s="123"/>
      <c r="K1027" s="123"/>
      <c r="L1027" s="123"/>
      <c r="M1027" s="123"/>
      <c r="N1027" s="123"/>
      <c r="O1027" s="123"/>
      <c r="P1027" s="123"/>
      <c r="Q1027" s="123"/>
      <c r="R1027" s="123"/>
      <c r="S1027" s="123"/>
      <c r="T1027" s="123"/>
      <c r="U1027" s="123"/>
      <c r="V1027" s="123"/>
      <c r="W1027" s="123"/>
      <c r="X1027" s="123"/>
      <c r="Y1027" s="123"/>
      <c r="Z1027" s="123"/>
      <c r="AA1027" s="123"/>
      <c r="AB1027" s="123"/>
      <c r="AC1027" s="123"/>
      <c r="AD1027" s="123"/>
      <c r="AE1027" s="121"/>
      <c r="AF1027" s="128"/>
      <c r="AG1027" s="128"/>
    </row>
    <row r="1028" spans="1:33" ht="12.5">
      <c r="A1028" s="121"/>
      <c r="B1028" s="121"/>
      <c r="C1028" s="123"/>
      <c r="D1028" s="123"/>
      <c r="E1028" s="123"/>
      <c r="F1028" s="123"/>
      <c r="G1028" s="123"/>
      <c r="H1028" s="123"/>
      <c r="I1028" s="123"/>
      <c r="J1028" s="123"/>
      <c r="K1028" s="123"/>
      <c r="L1028" s="123"/>
      <c r="M1028" s="123"/>
      <c r="N1028" s="123"/>
      <c r="O1028" s="123"/>
      <c r="P1028" s="123"/>
      <c r="Q1028" s="123"/>
      <c r="R1028" s="123"/>
      <c r="S1028" s="123"/>
      <c r="T1028" s="123"/>
      <c r="U1028" s="123"/>
      <c r="V1028" s="123"/>
      <c r="W1028" s="123"/>
      <c r="X1028" s="123"/>
      <c r="Y1028" s="123"/>
      <c r="Z1028" s="123"/>
      <c r="AA1028" s="123"/>
      <c r="AB1028" s="123"/>
      <c r="AC1028" s="123"/>
      <c r="AD1028" s="123"/>
      <c r="AE1028" s="121"/>
      <c r="AF1028" s="128"/>
      <c r="AG1028" s="128"/>
    </row>
  </sheetData>
  <mergeCells count="9">
    <mergeCell ref="A53:A56"/>
    <mergeCell ref="A34:A52"/>
    <mergeCell ref="A29:A32"/>
    <mergeCell ref="A2:A27"/>
    <mergeCell ref="A73:A76"/>
    <mergeCell ref="A62:A72"/>
    <mergeCell ref="A97:A100"/>
    <mergeCell ref="A78:A96"/>
    <mergeCell ref="A57:A6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1"/>
  <sheetViews>
    <sheetView workbookViewId="0"/>
  </sheetViews>
  <sheetFormatPr defaultColWidth="14.453125" defaultRowHeight="15.75" customHeight="1"/>
  <cols>
    <col min="2" max="2" width="16.08984375" customWidth="1"/>
    <col min="5" max="5" width="18" customWidth="1"/>
  </cols>
  <sheetData>
    <row r="1" spans="1:7" ht="15.75" customHeight="1">
      <c r="A1" s="132" t="s">
        <v>216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</row>
    <row r="2" spans="1:7">
      <c r="A2" s="174" t="s">
        <v>222</v>
      </c>
      <c r="B2" s="175"/>
      <c r="C2" s="175"/>
      <c r="D2" s="175"/>
      <c r="E2" s="176"/>
      <c r="F2" s="121"/>
      <c r="G2" s="133">
        <f>MATCH("Overall weighted average",'Stats for Zce 0.41'!$B$106:$B$116,0)+'Stats for Zce 0.41'!$A$106-1</f>
        <v>116</v>
      </c>
    </row>
    <row r="3" spans="1:7" ht="15.75" customHeight="1">
      <c r="A3" s="134" t="s">
        <v>69</v>
      </c>
      <c r="B3" s="135">
        <f ca="1">HLOOKUP(A3, 'Stats for Zce 0.41'!$A$1:$AC$116, $G$2,FALSE)</f>
        <v>2.7367309571989002E-3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</row>
    <row r="4" spans="1:7" ht="15.75" customHeight="1">
      <c r="A4" s="134" t="s">
        <v>70</v>
      </c>
      <c r="B4" s="135">
        <f ca="1">HLOOKUP(A4, 'Stats for Zce 0.41'!$A$1:$AC$116, $G$2,FALSE)</f>
        <v>1.2988627914772601E-3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</row>
    <row r="5" spans="1:7" ht="15.75" customHeight="1">
      <c r="A5" s="137" t="s">
        <v>71</v>
      </c>
      <c r="B5" s="135">
        <f ca="1">HLOOKUP(A5, 'Stats for Zce 0.41'!$A$1:$AC$116, $G$2,FALSE)</f>
        <v>9.5889920743290994E-5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</row>
    <row r="6" spans="1:7" ht="15.75" customHeight="1">
      <c r="A6" s="138" t="s">
        <v>72</v>
      </c>
      <c r="B6" s="135">
        <f ca="1">HLOOKUP(A6, 'Stats for Zce 0.41'!$A$1:$AC$116, $G$2,FALSE)</f>
        <v>1.83600199394273E-4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</row>
    <row r="7" spans="1:7" ht="15.75" customHeight="1">
      <c r="A7" s="134" t="s">
        <v>74</v>
      </c>
      <c r="B7" s="135">
        <f ca="1">HLOOKUP(A7, 'Stats for Zce 0.41'!$A$1:$AC$116, $G$2,FALSE)</f>
        <v>8.5573070747246795E-4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</row>
    <row r="8" spans="1:7" ht="15.75" customHeight="1">
      <c r="A8" s="134" t="s">
        <v>73</v>
      </c>
      <c r="B8" s="135">
        <f ca="1">HLOOKUP(A8, 'Stats for Zce 0.41'!$A$1:$AC$116, $G$2,FALSE)</f>
        <v>3.0159143865830898E-4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</row>
    <row r="9" spans="1:7" ht="15.75" customHeight="1">
      <c r="A9" s="134" t="s">
        <v>27</v>
      </c>
      <c r="B9" s="135">
        <f ca="1">HLOOKUP(A9, 'Stats for Zce 0.41'!$A$1:$AC$116, $G$2,FALSE)</f>
        <v>2.1432120351504901E-4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</row>
    <row r="10" spans="1:7" ht="15.75" customHeight="1">
      <c r="A10" s="134" t="s">
        <v>30</v>
      </c>
      <c r="B10" s="135">
        <f ca="1">HLOOKUP(A10, 'Stats for Zce 0.41'!$A$1:$AC$116, $G$2,FALSE)</f>
        <v>8.3314947200558895E-5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</row>
    <row r="11" spans="1:7" ht="15.75" customHeight="1">
      <c r="A11" s="134" t="s">
        <v>25</v>
      </c>
      <c r="B11" s="135">
        <f ca="1">HLOOKUP(A11, 'Stats for Zce 0.41'!$A$1:$AC$116, $G$2,FALSE)</f>
        <v>4.1586708325136402E-4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</row>
    <row r="12" spans="1:7" ht="15.75" customHeight="1">
      <c r="A12" s="139" t="s">
        <v>65</v>
      </c>
      <c r="B12" s="135">
        <f ca="1">HLOOKUP(A12, 'Stats for Zce 0.41'!$A$1:$AC$116, $G$2,FALSE)</f>
        <v>2.9640619317683899E-3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</row>
    <row r="13" spans="1:7" ht="15.75" customHeight="1">
      <c r="A13" s="134" t="s">
        <v>22</v>
      </c>
      <c r="B13" s="135">
        <f ca="1">HLOOKUP(A13, 'Stats for Zce 0.41'!$A$1:$AC$116, $G$2,FALSE)</f>
        <v>9.9380879892031499E-4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</row>
    <row r="14" spans="1:7" ht="15.75" customHeight="1">
      <c r="A14" s="134" t="s">
        <v>21</v>
      </c>
      <c r="B14" s="135">
        <f ca="1">HLOOKUP(A14, 'Stats for Zce 0.41'!$A$1:$AC$116, $G$2,FALSE)</f>
        <v>1.6387469381430901E-4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</row>
    <row r="15" spans="1:7" ht="15.75" customHeight="1">
      <c r="A15" s="134" t="s">
        <v>20</v>
      </c>
      <c r="B15" s="135">
        <f ca="1">HLOOKUP(A15, 'Stats for Zce 0.41'!$A$1:$AC$116, $G$2,FALSE)</f>
        <v>8.5893129614989796E-4</v>
      </c>
      <c r="C15" s="132">
        <v>3</v>
      </c>
      <c r="D15" s="121" t="e">
        <f t="shared" ca="1" si="0"/>
        <v>#NAME?</v>
      </c>
      <c r="E15" s="136" t="e">
        <f t="shared" ca="1" si="1"/>
        <v>#NAME?</v>
      </c>
      <c r="F15" s="132" t="s">
        <v>223</v>
      </c>
      <c r="G15" s="121"/>
    </row>
    <row r="16" spans="1:7" ht="15.75" customHeight="1">
      <c r="A16" s="134" t="s">
        <v>17</v>
      </c>
      <c r="B16" s="135">
        <f ca="1">HLOOKUP(A16, 'Stats for Zce 0.41'!$A$1:$AC$116, $G$2,FALSE)</f>
        <v>1.9867827594751401E-5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</row>
    <row r="17" spans="1:7" ht="15.75" customHeight="1">
      <c r="A17" s="134" t="s">
        <v>15</v>
      </c>
      <c r="B17" s="135">
        <f ca="1">HLOOKUP(A17, 'Stats for Zce 0.41'!$A$1:$AC$116, $G$2,FALSE)</f>
        <v>1.3883543917904E-4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</row>
    <row r="18" spans="1:7" ht="15.75" customHeight="1">
      <c r="A18" s="140" t="s">
        <v>224</v>
      </c>
      <c r="B18" s="141">
        <f ca="1">HLOOKUP(A18, 'Stats for Zce 0.41'!$A$1:$AC$116, $G$2,FALSE)</f>
        <v>3.0085658455870402E-2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</row>
    <row r="19" spans="1:7">
      <c r="A19" s="174" t="s">
        <v>225</v>
      </c>
      <c r="B19" s="175"/>
      <c r="C19" s="175"/>
      <c r="D19" s="175"/>
      <c r="E19" s="176"/>
      <c r="F19" s="121"/>
      <c r="G19" s="121"/>
    </row>
    <row r="20" spans="1:7" ht="15.75" customHeight="1">
      <c r="A20" s="145" t="s">
        <v>86</v>
      </c>
      <c r="B20" s="146">
        <f ca="1">IF(ISNUMBER(HLOOKUP(A20, 'Stats for Zce 0.41'!$A$1:$AC$116, $G$2,FALSE)),HLOOKUP("PUSHPOP wrt MSR", 'Stats for Zce 0.41'!$A$1:$AC$116, $G$2,FALSE),HLOOKUP("PUSHPOP", 'Stats for Zce 0.41'!$A$1:$AC$116, $G$2,FALSE))</f>
        <v>5.8731152164705903E-2</v>
      </c>
      <c r="C20" s="147" t="s">
        <v>226</v>
      </c>
      <c r="D20" s="147">
        <f>2*5*8+5*8*2</f>
        <v>160</v>
      </c>
      <c r="E20" s="144">
        <f ca="1">B20/D20*1000000</f>
        <v>367.06970102941193</v>
      </c>
      <c r="F20" s="132" t="s">
        <v>227</v>
      </c>
      <c r="G20" s="121"/>
    </row>
    <row r="21" spans="1:7">
      <c r="A21" s="174" t="s">
        <v>228</v>
      </c>
      <c r="B21" s="175"/>
      <c r="C21" s="175"/>
      <c r="D21" s="175"/>
      <c r="E21" s="176"/>
      <c r="F21" s="121"/>
      <c r="G21" s="121"/>
    </row>
    <row r="22" spans="1:7" ht="15.75" customHeight="1">
      <c r="A22" s="134" t="s">
        <v>44</v>
      </c>
      <c r="B22" s="135">
        <f ca="1">HLOOKUP(A22, 'Stats for Zce 0.41'!$A$1:$AC$116, $G$2,FALSE)</f>
        <v>1.7666269920808999E-3</v>
      </c>
      <c r="C22" s="132">
        <v>21</v>
      </c>
      <c r="D22" s="121"/>
      <c r="E22" s="136"/>
      <c r="F22" s="121"/>
      <c r="G22" s="121"/>
    </row>
    <row r="23" spans="1:7" ht="15.75" customHeight="1">
      <c r="A23" s="134" t="s">
        <v>46</v>
      </c>
      <c r="B23" s="135">
        <f ca="1">HLOOKUP(A23, 'Stats for Zce 0.41'!$A$1:$AC$116, $G$2,FALSE)</f>
        <v>1.5765370998501399E-3</v>
      </c>
      <c r="C23" s="132">
        <v>21</v>
      </c>
      <c r="D23" s="121"/>
      <c r="E23" s="136"/>
      <c r="F23" s="121"/>
      <c r="G23" s="121"/>
    </row>
    <row r="24" spans="1:7" ht="15.75" customHeight="1">
      <c r="A24" s="148" t="s">
        <v>83</v>
      </c>
      <c r="B24" s="141">
        <f ca="1">HLOOKUP(A24, 'Stats for Zce 0.41'!$A$1:$AC$116, $G$2,FALSE)</f>
        <v>1.3690560360194099E-4</v>
      </c>
      <c r="C24" s="142">
        <v>18</v>
      </c>
      <c r="D24" s="143"/>
      <c r="E24" s="144"/>
      <c r="F24" s="121"/>
      <c r="G24" s="121"/>
    </row>
    <row r="26" spans="1:7" ht="15.75" customHeight="1">
      <c r="A26" s="3" t="s">
        <v>229</v>
      </c>
      <c r="B26" s="127">
        <f ca="1">SUM(B3:B24)</f>
        <v>0.10362216955244746</v>
      </c>
    </row>
    <row r="27" spans="1:7" ht="15.75" customHeight="1">
      <c r="B27" s="121"/>
    </row>
    <row r="28" spans="1:7" ht="15.75" customHeight="1">
      <c r="B28" s="121"/>
    </row>
    <row r="29" spans="1:7" ht="15.75" customHeight="1">
      <c r="A29" s="132"/>
      <c r="B29" s="121"/>
    </row>
    <row r="32" spans="1:7" ht="15.75" customHeight="1">
      <c r="C32" s="132"/>
      <c r="D32" s="132"/>
      <c r="E32" s="132"/>
    </row>
    <row r="33" spans="1:5" ht="15.75" customHeight="1">
      <c r="A33" s="121"/>
      <c r="B33" s="135"/>
      <c r="C33" s="132"/>
      <c r="D33" s="121"/>
      <c r="E33" s="149"/>
    </row>
    <row r="34" spans="1:5" ht="15.75" customHeight="1">
      <c r="A34" s="121"/>
      <c r="B34" s="135"/>
      <c r="C34" s="132"/>
      <c r="D34" s="121"/>
      <c r="E34" s="149"/>
    </row>
    <row r="35" spans="1:5" ht="15.75" customHeight="1">
      <c r="A35" s="121"/>
      <c r="B35" s="135"/>
      <c r="C35" s="132"/>
      <c r="D35" s="121"/>
      <c r="E35" s="149"/>
    </row>
    <row r="36" spans="1:5" ht="15.75" customHeight="1">
      <c r="A36" s="121"/>
      <c r="B36" s="135"/>
      <c r="C36" s="132"/>
      <c r="D36" s="121"/>
      <c r="E36" s="149"/>
    </row>
    <row r="37" spans="1:5" ht="15.75" customHeight="1">
      <c r="A37" s="132"/>
      <c r="B37" s="135"/>
      <c r="C37" s="132"/>
      <c r="D37" s="121"/>
      <c r="E37" s="149"/>
    </row>
    <row r="38" spans="1:5" ht="15.75" customHeight="1">
      <c r="A38" s="121"/>
      <c r="B38" s="135"/>
      <c r="C38" s="132"/>
      <c r="D38" s="121"/>
      <c r="E38" s="149"/>
    </row>
    <row r="39" spans="1:5" ht="12.5">
      <c r="A39" s="121"/>
      <c r="B39" s="135"/>
      <c r="C39" s="132"/>
      <c r="D39" s="121"/>
      <c r="E39" s="149"/>
    </row>
    <row r="40" spans="1:5" ht="12.5">
      <c r="A40" s="121"/>
      <c r="B40" s="135"/>
      <c r="C40" s="132"/>
      <c r="D40" s="121"/>
      <c r="E40" s="149"/>
    </row>
    <row r="41" spans="1:5" ht="12.5">
      <c r="A41" s="121"/>
      <c r="B41" s="135"/>
      <c r="C41" s="132"/>
      <c r="D41" s="121"/>
      <c r="E41" s="149"/>
    </row>
    <row r="42" spans="1:5" ht="12.5">
      <c r="A42" s="121"/>
      <c r="B42" s="135"/>
      <c r="C42" s="132"/>
      <c r="D42" s="121"/>
      <c r="E42" s="149"/>
    </row>
    <row r="43" spans="1:5" ht="12.5">
      <c r="A43" s="121"/>
      <c r="B43" s="135"/>
      <c r="C43" s="132"/>
      <c r="D43" s="121"/>
      <c r="E43" s="149"/>
    </row>
    <row r="44" spans="1:5" ht="12.5">
      <c r="A44" s="121"/>
      <c r="B44" s="135"/>
      <c r="C44" s="132"/>
      <c r="D44" s="121"/>
      <c r="E44" s="149"/>
    </row>
    <row r="45" spans="1:5" ht="12.5">
      <c r="A45" s="132"/>
      <c r="B45" s="135"/>
      <c r="C45" s="132"/>
      <c r="D45" s="121"/>
      <c r="E45" s="149"/>
    </row>
    <row r="46" spans="1:5" ht="12.5">
      <c r="A46" s="121"/>
      <c r="B46" s="135"/>
      <c r="C46" s="132"/>
      <c r="D46" s="121"/>
      <c r="E46" s="149"/>
    </row>
    <row r="47" spans="1:5" ht="12.5">
      <c r="A47" s="121"/>
      <c r="B47" s="135"/>
      <c r="C47" s="132"/>
      <c r="D47" s="121"/>
      <c r="E47" s="149"/>
    </row>
    <row r="48" spans="1:5" ht="12.5">
      <c r="A48" s="121"/>
      <c r="B48" s="135"/>
      <c r="C48" s="132"/>
      <c r="D48" s="121"/>
      <c r="E48" s="149"/>
    </row>
    <row r="49" spans="1:5" ht="12.5">
      <c r="A49" s="121"/>
      <c r="B49" s="135"/>
      <c r="C49" s="132"/>
      <c r="D49" s="121"/>
      <c r="E49" s="149"/>
    </row>
    <row r="50" spans="1:5" ht="12.5">
      <c r="A50" s="121"/>
      <c r="B50" s="135"/>
      <c r="C50" s="132"/>
      <c r="D50" s="121"/>
      <c r="E50" s="149"/>
    </row>
    <row r="51" spans="1:5" ht="12.5">
      <c r="B51" s="150"/>
    </row>
  </sheetData>
  <mergeCells count="3">
    <mergeCell ref="A2:E2"/>
    <mergeCell ref="A19:E19"/>
    <mergeCell ref="A21:E21"/>
  </mergeCells>
  <conditionalFormatting sqref="B26">
    <cfRule type="cellIs" dxfId="134" priority="1" operator="greaterThan">
      <formula>"15%"</formula>
    </cfRule>
  </conditionalFormatting>
  <conditionalFormatting sqref="B26">
    <cfRule type="cellIs" dxfId="133" priority="2" operator="between">
      <formula>"10%"</formula>
      <formula>"15%"</formula>
    </cfRule>
  </conditionalFormatting>
  <conditionalFormatting sqref="B26">
    <cfRule type="cellIs" dxfId="132" priority="3" operator="between">
      <formula>"5%"</formula>
      <formula>"10%"</formula>
    </cfRule>
  </conditionalFormatting>
  <conditionalFormatting sqref="B26">
    <cfRule type="cellIs" dxfId="131" priority="4" operator="between">
      <formula>"1%"</formula>
      <formula>"5%"</formula>
    </cfRule>
  </conditionalFormatting>
  <conditionalFormatting sqref="B26">
    <cfRule type="cellIs" dxfId="130" priority="5" operator="between">
      <formula>"0.50%"</formula>
      <formula>"1.00%"</formula>
    </cfRule>
  </conditionalFormatting>
  <conditionalFormatting sqref="B26">
    <cfRule type="cellIs" dxfId="129" priority="6" operator="between">
      <formula>"0.10%"</formula>
      <formula>"0.50%"</formula>
    </cfRule>
  </conditionalFormatting>
  <conditionalFormatting sqref="B26">
    <cfRule type="cellIs" dxfId="128" priority="7" operator="lessThan">
      <formula>"0.10%"</formula>
    </cfRule>
  </conditionalFormatting>
  <conditionalFormatting sqref="B3:B18 B20 B22:B24 B27:B29">
    <cfRule type="cellIs" dxfId="127" priority="8" operator="greaterThanOrEqual">
      <formula>"0.50%"</formula>
    </cfRule>
  </conditionalFormatting>
  <conditionalFormatting sqref="B3:B18 B20 B22:B24 B27:B29">
    <cfRule type="cellIs" dxfId="126" priority="9" operator="greaterThanOrEqual">
      <formula>"0.10%"</formula>
    </cfRule>
  </conditionalFormatting>
  <conditionalFormatting sqref="E3:E18 E20">
    <cfRule type="cellIs" dxfId="125" priority="10" operator="greaterThan">
      <formula>100</formula>
    </cfRule>
  </conditionalFormatting>
  <conditionalFormatting sqref="E3:E18 E20">
    <cfRule type="cellIs" dxfId="124" priority="11" operator="greaterThan">
      <formula>50</formula>
    </cfRule>
  </conditionalFormatting>
  <conditionalFormatting sqref="E3:E24">
    <cfRule type="cellIs" dxfId="123" priority="12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5"/>
  <sheetViews>
    <sheetView workbookViewId="0"/>
  </sheetViews>
  <sheetFormatPr defaultColWidth="14.453125" defaultRowHeight="15.75" customHeight="1"/>
  <sheetData>
    <row r="1" spans="1:7" ht="15.75" customHeight="1">
      <c r="A1" s="132" t="s">
        <v>230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</row>
    <row r="2" spans="1:7">
      <c r="A2" s="174" t="s">
        <v>222</v>
      </c>
      <c r="B2" s="175"/>
      <c r="C2" s="175"/>
      <c r="D2" s="175"/>
      <c r="E2" s="176"/>
      <c r="F2" s="121"/>
      <c r="G2" s="133">
        <f>MATCH("RV32 GCC10 IoT weighted average",'Stats for Zce 0.41'!$B$106:$B$116,0)+'Stats for Zce 0.41'!$A$106-1</f>
        <v>106</v>
      </c>
    </row>
    <row r="3" spans="1:7" ht="15.75" customHeight="1">
      <c r="A3" s="134" t="s">
        <v>69</v>
      </c>
      <c r="B3" s="135">
        <f ca="1">HLOOKUP(A3, 'Stats for Zce 0.41'!$A$1:$AC$116, $G$2,FALSE)</f>
        <v>1.1273414048093299E-2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</row>
    <row r="4" spans="1:7" ht="15.75" customHeight="1">
      <c r="A4" s="134" t="s">
        <v>70</v>
      </c>
      <c r="B4" s="135">
        <f ca="1">HLOOKUP(A4, 'Stats for Zce 0.41'!$A$1:$AC$116, $G$2,FALSE)</f>
        <v>4.2259823897654201E-3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</row>
    <row r="5" spans="1:7" ht="15.75" customHeight="1">
      <c r="A5" s="137" t="s">
        <v>71</v>
      </c>
      <c r="B5" s="135">
        <f ca="1">HLOOKUP(A5, 'Stats for Zce 0.41'!$A$1:$AC$116, $G$2,FALSE)</f>
        <v>1.09784997604291E-4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</row>
    <row r="6" spans="1:7" ht="15.75" customHeight="1">
      <c r="A6" s="138" t="s">
        <v>72</v>
      </c>
      <c r="B6" s="135">
        <f ca="1">HLOOKUP(A6, 'Stats for Zce 0.41'!$A$1:$AC$116, $G$2,FALSE)</f>
        <v>1.02078920466743E-4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</row>
    <row r="7" spans="1:7" ht="15.75" customHeight="1">
      <c r="A7" s="134" t="s">
        <v>74</v>
      </c>
      <c r="B7" s="135">
        <f ca="1">HLOOKUP(A7, 'Stats for Zce 0.41'!$A$1:$AC$116, $G$2,FALSE)</f>
        <v>5.4968851382188703E-3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</row>
    <row r="8" spans="1:7" ht="15.75" customHeight="1">
      <c r="A8" s="134" t="s">
        <v>73</v>
      </c>
      <c r="B8" s="135">
        <f ca="1">HLOOKUP(A8, 'Stats for Zce 0.41'!$A$1:$AC$116, $G$2,FALSE)</f>
        <v>2.0065148057627799E-3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</row>
    <row r="9" spans="1:7" ht="15.75" customHeight="1">
      <c r="A9" s="134" t="s">
        <v>27</v>
      </c>
      <c r="B9" s="135">
        <f ca="1">HLOOKUP(A9, 'Stats for Zce 0.41'!$A$1:$AC$116, $G$2,FALSE)</f>
        <v>4.0517794355796099E-4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</row>
    <row r="10" spans="1:7" ht="15.75" customHeight="1">
      <c r="A10" s="134" t="s">
        <v>30</v>
      </c>
      <c r="B10" s="135">
        <f ca="1">HLOOKUP(A10, 'Stats for Zce 0.41'!$A$1:$AC$116, $G$2,FALSE)</f>
        <v>3.2099015982290198E-4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</row>
    <row r="11" spans="1:7" ht="15.75" customHeight="1">
      <c r="A11" s="134" t="s">
        <v>25</v>
      </c>
      <c r="B11" s="135">
        <f ca="1">HLOOKUP(A11, 'Stats for Zce 0.41'!$A$1:$AC$116, $G$2,FALSE)</f>
        <v>2.4476562719932399E-3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</row>
    <row r="12" spans="1:7" ht="15.75" customHeight="1">
      <c r="A12" s="139" t="s">
        <v>65</v>
      </c>
      <c r="B12" s="135">
        <f ca="1">HLOOKUP(A12, 'Stats for Zce 0.41'!$A$1:$AC$116, $G$2,FALSE)</f>
        <v>2.6905806429598101E-3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</row>
    <row r="13" spans="1:7" ht="15.75" customHeight="1">
      <c r="A13" s="134" t="s">
        <v>22</v>
      </c>
      <c r="B13" s="135">
        <f ca="1">HLOOKUP(A13, 'Stats for Zce 0.41'!$A$1:$AC$116, $G$2,FALSE)</f>
        <v>2.25232626848143E-3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</row>
    <row r="14" spans="1:7" ht="15.75" customHeight="1">
      <c r="A14" s="134" t="s">
        <v>21</v>
      </c>
      <c r="B14" s="135">
        <f ca="1">HLOOKUP(A14, 'Stats for Zce 0.41'!$A$1:$AC$116, $G$2,FALSE)</f>
        <v>3.5004228105570399E-3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</row>
    <row r="15" spans="1:7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32" t="s">
        <v>223</v>
      </c>
      <c r="G15" s="121"/>
    </row>
    <row r="16" spans="1:7" ht="15.75" customHeight="1">
      <c r="A16" s="134" t="s">
        <v>17</v>
      </c>
      <c r="B16" s="135">
        <f ca="1">HLOOKUP(A16, 'Stats for Zce 0.41'!$A$1:$AC$116, $G$2,FALSE)</f>
        <v>2.8084384388227002E-4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</row>
    <row r="17" spans="1:7" ht="15.75" customHeight="1">
      <c r="A17" s="134" t="s">
        <v>15</v>
      </c>
      <c r="B17" s="135">
        <f ca="1">HLOOKUP(A17, 'Stats for Zce 0.41'!$A$1:$AC$116, $G$2,FALSE)</f>
        <v>2.04643338011007E-4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</row>
    <row r="18" spans="1:7" ht="15.75" customHeight="1">
      <c r="A18" s="140" t="s">
        <v>224</v>
      </c>
      <c r="B18" s="141">
        <f ca="1">HLOOKUP(A18, 'Stats for Zce 0.41'!$A$1:$AC$116, $G$2,FALSE)</f>
        <v>3.91445022684586E-2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</row>
    <row r="19" spans="1:7">
      <c r="A19" s="174" t="s">
        <v>225</v>
      </c>
      <c r="B19" s="175"/>
      <c r="C19" s="175"/>
      <c r="D19" s="175"/>
      <c r="E19" s="176"/>
      <c r="F19" s="121"/>
      <c r="G19" s="121"/>
    </row>
    <row r="20" spans="1:7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4.7109570748754798E-2</v>
      </c>
      <c r="C20" s="147" t="s">
        <v>226</v>
      </c>
      <c r="D20" s="147">
        <f>2*5*8+5*8*2</f>
        <v>160</v>
      </c>
      <c r="E20" s="144">
        <f ca="1">B20/D20*1000000</f>
        <v>294.43481717971747</v>
      </c>
      <c r="F20" s="132" t="s">
        <v>227</v>
      </c>
      <c r="G20" s="121"/>
    </row>
    <row r="21" spans="1:7">
      <c r="A21" s="174" t="s">
        <v>228</v>
      </c>
      <c r="B21" s="175"/>
      <c r="C21" s="175"/>
      <c r="D21" s="175"/>
      <c r="E21" s="176"/>
      <c r="F21" s="121"/>
      <c r="G21" s="121"/>
    </row>
    <row r="22" spans="1:7" ht="15.75" customHeight="1">
      <c r="A22" s="134" t="s">
        <v>44</v>
      </c>
      <c r="B22" s="135">
        <f ca="1">HLOOKUP(A22, 'Stats for Zce 0.41'!$A$1:$AC$116, $G$2,FALSE)</f>
        <v>2.3402772055091301E-3</v>
      </c>
      <c r="C22" s="132">
        <v>21</v>
      </c>
      <c r="D22" s="121"/>
      <c r="E22" s="136"/>
      <c r="F22" s="121"/>
      <c r="G22" s="121"/>
    </row>
    <row r="23" spans="1:7" ht="15.75" customHeight="1">
      <c r="A23" s="134" t="s">
        <v>46</v>
      </c>
      <c r="B23" s="135">
        <f ca="1">HLOOKUP(A23, 'Stats for Zce 0.41'!$A$1:$AC$116, $G$2,FALSE)</f>
        <v>3.3169793883763301E-3</v>
      </c>
      <c r="C23" s="132">
        <v>21</v>
      </c>
      <c r="D23" s="121"/>
      <c r="E23" s="136"/>
      <c r="F23" s="121"/>
      <c r="G23" s="121"/>
    </row>
    <row r="24" spans="1:7" ht="15.75" customHeight="1">
      <c r="A24" s="148" t="s">
        <v>83</v>
      </c>
      <c r="B24" s="141">
        <f ca="1">HLOOKUP(A24, 'Stats for Zce 0.41'!$A$1:$AC$116, $G$2,FALSE)</f>
        <v>1.38472002911816E-3</v>
      </c>
      <c r="C24" s="142">
        <v>18</v>
      </c>
      <c r="D24" s="143"/>
      <c r="E24" s="144"/>
      <c r="F24" s="121"/>
      <c r="G24" s="121"/>
    </row>
    <row r="26" spans="1:7" ht="15.75" customHeight="1">
      <c r="A26" s="3" t="s">
        <v>229</v>
      </c>
      <c r="B26" s="127">
        <f ca="1">SUM(B3:B24)</f>
        <v>0.1286133512193941</v>
      </c>
    </row>
    <row r="28" spans="1:7" ht="15.75" customHeight="1">
      <c r="E28" s="135"/>
    </row>
    <row r="29" spans="1:7" ht="15.75" customHeight="1">
      <c r="E29" s="135"/>
    </row>
    <row r="30" spans="1:7" ht="15.75" customHeight="1">
      <c r="E30" s="135"/>
    </row>
    <row r="31" spans="1:7" ht="15.75" customHeight="1">
      <c r="E31" s="135"/>
    </row>
    <row r="32" spans="1:7" ht="15.75" customHeight="1">
      <c r="E32" s="135"/>
    </row>
    <row r="33" spans="5:5" ht="15.75" customHeight="1">
      <c r="E33" s="135"/>
    </row>
    <row r="34" spans="5:5" ht="15.75" customHeight="1">
      <c r="E34" s="135"/>
    </row>
    <row r="35" spans="5:5" ht="15.75" customHeight="1">
      <c r="E35" s="135"/>
    </row>
    <row r="36" spans="5:5" ht="15.75" customHeight="1">
      <c r="E36" s="135"/>
    </row>
    <row r="37" spans="5:5" ht="15.75" customHeight="1">
      <c r="E37" s="135"/>
    </row>
    <row r="38" spans="5:5" ht="15.75" customHeight="1">
      <c r="E38" s="135"/>
    </row>
    <row r="39" spans="5:5" ht="12.5">
      <c r="E39" s="135"/>
    </row>
    <row r="40" spans="5:5" ht="12.5">
      <c r="E40" s="135"/>
    </row>
    <row r="41" spans="5:5" ht="12.5">
      <c r="E41" s="135"/>
    </row>
    <row r="42" spans="5:5" ht="12.5">
      <c r="E42" s="135"/>
    </row>
    <row r="43" spans="5:5" ht="12.5">
      <c r="E43" s="135"/>
    </row>
    <row r="44" spans="5:5" ht="12.5">
      <c r="E44" s="135"/>
    </row>
    <row r="45" spans="5:5" ht="12.5">
      <c r="E45" s="135"/>
    </row>
  </sheetData>
  <mergeCells count="3">
    <mergeCell ref="A2:E2"/>
    <mergeCell ref="A19:E19"/>
    <mergeCell ref="A21:E21"/>
  </mergeCells>
  <conditionalFormatting sqref="B26">
    <cfRule type="cellIs" dxfId="122" priority="1" operator="greaterThan">
      <formula>"15%"</formula>
    </cfRule>
  </conditionalFormatting>
  <conditionalFormatting sqref="B26">
    <cfRule type="cellIs" dxfId="121" priority="2" operator="between">
      <formula>"10%"</formula>
      <formula>"15%"</formula>
    </cfRule>
  </conditionalFormatting>
  <conditionalFormatting sqref="B26">
    <cfRule type="cellIs" dxfId="120" priority="3" operator="between">
      <formula>"5%"</formula>
      <formula>"10%"</formula>
    </cfRule>
  </conditionalFormatting>
  <conditionalFormatting sqref="B26">
    <cfRule type="cellIs" dxfId="119" priority="4" operator="between">
      <formula>"1%"</formula>
      <formula>"5%"</formula>
    </cfRule>
  </conditionalFormatting>
  <conditionalFormatting sqref="B26">
    <cfRule type="cellIs" dxfId="118" priority="5" operator="between">
      <formula>"0.50%"</formula>
      <formula>"1.00%"</formula>
    </cfRule>
  </conditionalFormatting>
  <conditionalFormatting sqref="B26">
    <cfRule type="cellIs" dxfId="117" priority="6" operator="between">
      <formula>"0.10%"</formula>
      <formula>"0.50%"</formula>
    </cfRule>
  </conditionalFormatting>
  <conditionalFormatting sqref="B26">
    <cfRule type="cellIs" dxfId="116" priority="7" operator="lessThan">
      <formula>"0.10%"</formula>
    </cfRule>
  </conditionalFormatting>
  <conditionalFormatting sqref="E3:E18 E20">
    <cfRule type="cellIs" dxfId="115" priority="8" operator="greaterThan">
      <formula>100</formula>
    </cfRule>
  </conditionalFormatting>
  <conditionalFormatting sqref="E3:E18 E20">
    <cfRule type="cellIs" dxfId="114" priority="9" operator="greaterThan">
      <formula>50</formula>
    </cfRule>
  </conditionalFormatting>
  <conditionalFormatting sqref="E3:E18 E20 E22:E24">
    <cfRule type="cellIs" dxfId="113" priority="10" operator="greaterThan">
      <formula>10</formula>
    </cfRule>
  </conditionalFormatting>
  <conditionalFormatting sqref="B3:B18 B20 B22:B24 E28:E45">
    <cfRule type="cellIs" dxfId="112" priority="11" operator="greaterThanOrEqual">
      <formula>"0.50%"</formula>
    </cfRule>
  </conditionalFormatting>
  <conditionalFormatting sqref="B3:B18 B20 B22:B24 E28:E45">
    <cfRule type="cellIs" dxfId="111" priority="12" operator="greaterThanOrEqual">
      <formula>"0.10%"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26"/>
  <sheetViews>
    <sheetView workbookViewId="0"/>
  </sheetViews>
  <sheetFormatPr defaultColWidth="14.453125" defaultRowHeight="15.75" customHeight="1"/>
  <sheetData>
    <row r="1" spans="1:15" ht="15.75" customHeight="1">
      <c r="A1" s="132" t="s">
        <v>231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  <c r="I1" s="132" t="s">
        <v>232</v>
      </c>
      <c r="J1" s="132" t="s">
        <v>217</v>
      </c>
      <c r="K1" s="132" t="s">
        <v>218</v>
      </c>
      <c r="L1" s="132" t="s">
        <v>219</v>
      </c>
      <c r="M1" s="132" t="s">
        <v>220</v>
      </c>
      <c r="N1" s="121"/>
      <c r="O1" s="132" t="s">
        <v>221</v>
      </c>
    </row>
    <row r="2" spans="1:15">
      <c r="A2" s="174" t="s">
        <v>222</v>
      </c>
      <c r="B2" s="175"/>
      <c r="C2" s="175"/>
      <c r="D2" s="175"/>
      <c r="E2" s="176"/>
      <c r="F2" s="121"/>
      <c r="G2" s="133">
        <f>MATCH("RV32 GCC10 Embench weighted average",'Stats for Zce 0.41'!$B$106:$B$116,0)+'Stats for Zce 0.41'!$A$106-1</f>
        <v>110</v>
      </c>
      <c r="I2" s="174" t="s">
        <v>222</v>
      </c>
      <c r="J2" s="175"/>
      <c r="K2" s="175"/>
      <c r="L2" s="175"/>
      <c r="M2" s="176"/>
      <c r="N2" s="121"/>
      <c r="O2" s="133">
        <f>MATCH("RV32 LLVM11 Embench weighted average",'Stats for Zce 0.41'!$B$106:$B$116,0)+'Stats for Zce 0.41'!$A$106-1</f>
        <v>111</v>
      </c>
    </row>
    <row r="3" spans="1:15" ht="15.75" customHeight="1">
      <c r="A3" s="134" t="s">
        <v>69</v>
      </c>
      <c r="B3" s="135">
        <f ca="1">HLOOKUP(A3, 'Stats for Zce 0.41'!$A$1:$AC$116, $G$2,FALSE)</f>
        <v>4.05384436955068E-3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  <c r="I3" s="134" t="s">
        <v>69</v>
      </c>
      <c r="J3" s="135">
        <f ca="1">HLOOKUP(I3, 'Stats for Zce 0.41'!$A$1:$AC$116, $O$2,FALSE)</f>
        <v>2.7290065381348201E-3</v>
      </c>
      <c r="K3" s="132">
        <v>10</v>
      </c>
      <c r="L3" s="121" t="e">
        <f t="shared" ref="L3:L18" ca="1" si="2">pow(2,K3)</f>
        <v>#NAME?</v>
      </c>
      <c r="M3" s="136" t="e">
        <f t="shared" ref="M3:M18" ca="1" si="3">J3/L3*1000000</f>
        <v>#NAME?</v>
      </c>
      <c r="N3" s="121"/>
      <c r="O3" s="121"/>
    </row>
    <row r="4" spans="1:15" ht="15.75" customHeight="1">
      <c r="A4" s="134" t="s">
        <v>70</v>
      </c>
      <c r="B4" s="135">
        <f ca="1">HLOOKUP(A4, 'Stats for Zce 0.41'!$A$1:$AC$116, $G$2,FALSE)</f>
        <v>2.18077474109347E-4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  <c r="I4" s="134" t="s">
        <v>70</v>
      </c>
      <c r="J4" s="135">
        <f ca="1">HLOOKUP(I4, 'Stats for Zce 0.41'!$A$1:$AC$116, $O$2,FALSE)</f>
        <v>1.54573734201652E-4</v>
      </c>
      <c r="K4" s="132">
        <v>10</v>
      </c>
      <c r="L4" s="121" t="e">
        <f t="shared" ca="1" si="2"/>
        <v>#NAME?</v>
      </c>
      <c r="M4" s="136" t="e">
        <f t="shared" ca="1" si="3"/>
        <v>#NAME?</v>
      </c>
      <c r="N4" s="121"/>
      <c r="O4" s="121"/>
    </row>
    <row r="5" spans="1:15" ht="15.75" customHeight="1">
      <c r="A5" s="137" t="s">
        <v>71</v>
      </c>
      <c r="B5" s="135">
        <f ca="1">HLOOKUP(A5, 'Stats for Zce 0.41'!$A$1:$AC$116, $G$2,FALSE)</f>
        <v>5.4583361759609203E-5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  <c r="I5" s="137" t="s">
        <v>71</v>
      </c>
      <c r="J5" s="135">
        <f ca="1">HLOOKUP(I5, 'Stats for Zce 0.41'!$A$1:$AC$116, $O$2,FALSE)</f>
        <v>1.0168651702746499E-3</v>
      </c>
      <c r="K5" s="132">
        <v>10</v>
      </c>
      <c r="L5" s="121" t="e">
        <f t="shared" ca="1" si="2"/>
        <v>#NAME?</v>
      </c>
      <c r="M5" s="136" t="e">
        <f t="shared" ca="1" si="3"/>
        <v>#NAME?</v>
      </c>
      <c r="N5" s="121"/>
      <c r="O5" s="121"/>
    </row>
    <row r="6" spans="1:15" ht="15.75" customHeight="1">
      <c r="A6" s="138" t="s">
        <v>72</v>
      </c>
      <c r="B6" s="135">
        <f ca="1">HLOOKUP(A6, 'Stats for Zce 0.41'!$A$1:$AC$116, $G$2,FALSE)</f>
        <v>2.58951820873528E-4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  <c r="I6" s="138" t="s">
        <v>72</v>
      </c>
      <c r="J6" s="135">
        <f ca="1">HLOOKUP(I6, 'Stats for Zce 0.41'!$A$1:$AC$116, $O$2,FALSE)</f>
        <v>2.9611663105871399E-4</v>
      </c>
      <c r="K6" s="132">
        <v>10</v>
      </c>
      <c r="L6" s="121" t="e">
        <f t="shared" ca="1" si="2"/>
        <v>#NAME?</v>
      </c>
      <c r="M6" s="136" t="e">
        <f t="shared" ca="1" si="3"/>
        <v>#NAME?</v>
      </c>
      <c r="N6" s="121"/>
      <c r="O6" s="121"/>
    </row>
    <row r="7" spans="1:15" ht="15.75" customHeight="1">
      <c r="A7" s="134" t="s">
        <v>74</v>
      </c>
      <c r="B7" s="135">
        <f ca="1">HLOOKUP(A7, 'Stats for Zce 0.41'!$A$1:$AC$116, $G$2,FALSE)</f>
        <v>2.16926155357557E-3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  <c r="I7" s="134" t="s">
        <v>74</v>
      </c>
      <c r="J7" s="135">
        <f ca="1">HLOOKUP(I7, 'Stats for Zce 0.41'!$A$1:$AC$116, $O$2,FALSE)</f>
        <v>1.90492226312131E-3</v>
      </c>
      <c r="K7" s="132">
        <v>10</v>
      </c>
      <c r="L7" s="121" t="e">
        <f t="shared" ca="1" si="2"/>
        <v>#NAME?</v>
      </c>
      <c r="M7" s="136" t="e">
        <f t="shared" ca="1" si="3"/>
        <v>#NAME?</v>
      </c>
      <c r="N7" s="121"/>
      <c r="O7" s="121"/>
    </row>
    <row r="8" spans="1:15" ht="15.75" customHeight="1">
      <c r="A8" s="134" t="s">
        <v>73</v>
      </c>
      <c r="B8" s="135">
        <f ca="1">HLOOKUP(A8, 'Stats for Zce 0.41'!$A$1:$AC$116, $G$2,FALSE)</f>
        <v>5.0472676663619305E-4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  <c r="I8" s="134" t="s">
        <v>73</v>
      </c>
      <c r="J8" s="135">
        <f ca="1">HLOOKUP(I8, 'Stats for Zce 0.41'!$A$1:$AC$116, $O$2,FALSE)</f>
        <v>4.1166452160930702E-4</v>
      </c>
      <c r="K8" s="132">
        <v>10</v>
      </c>
      <c r="L8" s="121" t="e">
        <f t="shared" ca="1" si="2"/>
        <v>#NAME?</v>
      </c>
      <c r="M8" s="136" t="e">
        <f t="shared" ca="1" si="3"/>
        <v>#NAME?</v>
      </c>
      <c r="N8" s="121"/>
      <c r="O8" s="121"/>
    </row>
    <row r="9" spans="1:15" ht="15.75" customHeight="1">
      <c r="A9" s="134" t="s">
        <v>27</v>
      </c>
      <c r="B9" s="135">
        <f ca="1">HLOOKUP(A9, 'Stats for Zce 0.41'!$A$1:$AC$116, $G$2,FALSE)</f>
        <v>1.7719152942460601E-4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  <c r="I9" s="134" t="s">
        <v>27</v>
      </c>
      <c r="J9" s="135">
        <f ca="1">HLOOKUP(I9, 'Stats for Zce 0.41'!$A$1:$AC$116, $O$2,FALSE)</f>
        <v>1.3137981672629901E-3</v>
      </c>
      <c r="K9" s="132">
        <v>3</v>
      </c>
      <c r="L9" s="121" t="e">
        <f t="shared" ca="1" si="2"/>
        <v>#NAME?</v>
      </c>
      <c r="M9" s="136" t="e">
        <f t="shared" ca="1" si="3"/>
        <v>#NAME?</v>
      </c>
      <c r="N9" s="121"/>
      <c r="O9" s="121"/>
    </row>
    <row r="10" spans="1:15" ht="15.75" customHeight="1">
      <c r="A10" s="134" t="s">
        <v>30</v>
      </c>
      <c r="B10" s="135">
        <f ca="1">HLOOKUP(A10, 'Stats for Zce 0.41'!$A$1:$AC$116, $G$2,FALSE)</f>
        <v>6.7211314112622595E-5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  <c r="I10" s="134" t="s">
        <v>30</v>
      </c>
      <c r="J10" s="135">
        <f ca="1">HLOOKUP(I10, 'Stats for Zce 0.41'!$A$1:$AC$116, $O$2,FALSE)</f>
        <v>1.27314731395917E-5</v>
      </c>
      <c r="K10" s="132">
        <v>3</v>
      </c>
      <c r="L10" s="121" t="e">
        <f t="shared" ca="1" si="2"/>
        <v>#NAME?</v>
      </c>
      <c r="M10" s="136" t="e">
        <f t="shared" ca="1" si="3"/>
        <v>#NAME?</v>
      </c>
      <c r="N10" s="121"/>
      <c r="O10" s="121"/>
    </row>
    <row r="11" spans="1:15" ht="15.75" customHeight="1">
      <c r="A11" s="134" t="s">
        <v>25</v>
      </c>
      <c r="B11" s="135">
        <f ca="1">HLOOKUP(A11, 'Stats for Zce 0.41'!$A$1:$AC$116, $G$2,FALSE)</f>
        <v>9.4309705412817704E-4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  <c r="I11" s="134" t="s">
        <v>25</v>
      </c>
      <c r="J11" s="135">
        <f ca="1">HLOOKUP(I11, 'Stats for Zce 0.41'!$A$1:$AC$116, $O$2,FALSE)</f>
        <v>2.3694418131740801E-3</v>
      </c>
      <c r="K11" s="132">
        <v>6</v>
      </c>
      <c r="L11" s="121" t="e">
        <f t="shared" ca="1" si="2"/>
        <v>#NAME?</v>
      </c>
      <c r="M11" s="136" t="e">
        <f t="shared" ca="1" si="3"/>
        <v>#NAME?</v>
      </c>
      <c r="N11" s="121"/>
      <c r="O11" s="121"/>
    </row>
    <row r="12" spans="1:15" ht="15.75" customHeight="1">
      <c r="A12" s="139" t="s">
        <v>65</v>
      </c>
      <c r="B12" s="135">
        <f ca="1">HLOOKUP(A12, 'Stats for Zce 0.41'!$A$1:$AC$116, $G$2,FALSE)</f>
        <v>8.1887677550519095E-4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  <c r="I12" s="139" t="s">
        <v>65</v>
      </c>
      <c r="J12" s="135">
        <f ca="1">HLOOKUP(I12, 'Stats for Zce 0.41'!$A$1:$AC$116, $O$2,FALSE)</f>
        <v>3.84856534273726E-3</v>
      </c>
      <c r="K12" s="132">
        <v>6</v>
      </c>
      <c r="L12" s="121" t="e">
        <f t="shared" ca="1" si="2"/>
        <v>#NAME?</v>
      </c>
      <c r="M12" s="136" t="e">
        <f t="shared" ca="1" si="3"/>
        <v>#NAME?</v>
      </c>
      <c r="N12" s="121"/>
      <c r="O12" s="121"/>
    </row>
    <row r="13" spans="1:15" ht="15.75" customHeight="1">
      <c r="A13" s="134" t="s">
        <v>22</v>
      </c>
      <c r="B13" s="135">
        <f ca="1">HLOOKUP(A13, 'Stats for Zce 0.41'!$A$1:$AC$116, $G$2,FALSE)</f>
        <v>1.4735852583607301E-3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  <c r="I13" s="134" t="s">
        <v>22</v>
      </c>
      <c r="J13" s="135">
        <f ca="1">HLOOKUP(I13, 'Stats for Zce 0.41'!$A$1:$AC$116, $O$2,FALSE)</f>
        <v>6.6955468609230595E-4</v>
      </c>
      <c r="K13" s="132">
        <v>3</v>
      </c>
      <c r="L13" s="121" t="e">
        <f t="shared" ca="1" si="2"/>
        <v>#NAME?</v>
      </c>
      <c r="M13" s="136" t="e">
        <f t="shared" ca="1" si="3"/>
        <v>#NAME?</v>
      </c>
      <c r="N13" s="121"/>
      <c r="O13" s="121"/>
    </row>
    <row r="14" spans="1:15" ht="15.75" customHeight="1">
      <c r="A14" s="134" t="s">
        <v>21</v>
      </c>
      <c r="B14" s="135">
        <f ca="1">HLOOKUP(A14, 'Stats for Zce 0.41'!$A$1:$AC$116, $G$2,FALSE)</f>
        <v>1.9381244115760799E-3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  <c r="I14" s="134" t="s">
        <v>21</v>
      </c>
      <c r="J14" s="135">
        <f ca="1">HLOOKUP(I14, 'Stats for Zce 0.41'!$A$1:$AC$116, $O$2,FALSE)</f>
        <v>0</v>
      </c>
      <c r="K14" s="132">
        <v>3</v>
      </c>
      <c r="L14" s="121" t="e">
        <f t="shared" ca="1" si="2"/>
        <v>#NAME?</v>
      </c>
      <c r="M14" s="136" t="e">
        <f t="shared" ca="1" si="3"/>
        <v>#NAME?</v>
      </c>
      <c r="N14" s="121"/>
      <c r="O14" s="121"/>
    </row>
    <row r="15" spans="1:15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32" t="s">
        <v>118</v>
      </c>
      <c r="G15" s="121"/>
      <c r="I15" s="134" t="s">
        <v>20</v>
      </c>
      <c r="J15" s="121" t="str">
        <f>HLOOKUP(I15, 'Stats for Zce 0.41'!$A$1:$AC$116, $O$2,FALSE)</f>
        <v>N/A</v>
      </c>
      <c r="K15" s="132">
        <v>3</v>
      </c>
      <c r="L15" s="121" t="e">
        <f t="shared" ca="1" si="2"/>
        <v>#NAME?</v>
      </c>
      <c r="M15" s="136" t="e">
        <f t="shared" ca="1" si="3"/>
        <v>#VALUE!</v>
      </c>
      <c r="N15" s="132" t="s">
        <v>118</v>
      </c>
      <c r="O15" s="121"/>
    </row>
    <row r="16" spans="1:15" ht="15.75" customHeight="1">
      <c r="A16" s="134" t="s">
        <v>17</v>
      </c>
      <c r="B16" s="135">
        <f ca="1">HLOOKUP(A16, 'Stats for Zce 0.41'!$A$1:$AC$116, $G$2,FALSE)</f>
        <v>9.5628811963596104E-5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  <c r="I16" s="134" t="s">
        <v>17</v>
      </c>
      <c r="J16" s="135">
        <f ca="1">HLOOKUP(I16, 'Stats for Zce 0.41'!$A$1:$AC$116, $O$2,FALSE)</f>
        <v>2.5873638961105801E-5</v>
      </c>
      <c r="K16" s="132">
        <v>3</v>
      </c>
      <c r="L16" s="121" t="e">
        <f t="shared" ca="1" si="2"/>
        <v>#NAME?</v>
      </c>
      <c r="M16" s="136" t="e">
        <f t="shared" ca="1" si="3"/>
        <v>#NAME?</v>
      </c>
      <c r="N16" s="121"/>
      <c r="O16" s="121"/>
    </row>
    <row r="17" spans="1:15" ht="15.75" customHeight="1">
      <c r="A17" s="134" t="s">
        <v>15</v>
      </c>
      <c r="B17" s="135">
        <f ca="1">HLOOKUP(A17, 'Stats for Zce 0.41'!$A$1:$AC$116, $G$2,FALSE)</f>
        <v>6.6844478707582305E-4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  <c r="I17" s="134" t="s">
        <v>15</v>
      </c>
      <c r="J17" s="135">
        <f ca="1">HLOOKUP(I17, 'Stats for Zce 0.41'!$A$1:$AC$116, $O$2,FALSE)</f>
        <v>5.6628433164302805E-4</v>
      </c>
      <c r="K17" s="132">
        <v>3</v>
      </c>
      <c r="L17" s="121" t="e">
        <f t="shared" ca="1" si="2"/>
        <v>#NAME?</v>
      </c>
      <c r="M17" s="136" t="e">
        <f t="shared" ca="1" si="3"/>
        <v>#NAME?</v>
      </c>
      <c r="N17" s="121"/>
      <c r="O17" s="121"/>
    </row>
    <row r="18" spans="1:15" ht="15.75" customHeight="1">
      <c r="A18" s="140" t="s">
        <v>224</v>
      </c>
      <c r="B18" s="141">
        <f ca="1">HLOOKUP(A18, 'Stats for Zce 0.41'!$A$1:$AC$116, $G$2,FALSE)</f>
        <v>4.1879816889301199E-3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  <c r="I18" s="140" t="s">
        <v>224</v>
      </c>
      <c r="J18" s="141">
        <f ca="1">HLOOKUP(I18, 'Stats for Zce 0.41'!$A$1:$AC$116, $O$2,FALSE)</f>
        <v>3.7840580195114401E-3</v>
      </c>
      <c r="K18" s="142">
        <v>8</v>
      </c>
      <c r="L18" s="143" t="e">
        <f t="shared" ca="1" si="2"/>
        <v>#NAME?</v>
      </c>
      <c r="M18" s="144" t="e">
        <f t="shared" ca="1" si="3"/>
        <v>#NAME?</v>
      </c>
      <c r="N18" s="121"/>
      <c r="O18" s="121"/>
    </row>
    <row r="19" spans="1:15">
      <c r="A19" s="174" t="s">
        <v>225</v>
      </c>
      <c r="B19" s="175"/>
      <c r="C19" s="175"/>
      <c r="D19" s="175"/>
      <c r="E19" s="176"/>
      <c r="F19" s="121"/>
      <c r="G19" s="121"/>
      <c r="I19" s="174" t="s">
        <v>225</v>
      </c>
      <c r="J19" s="175"/>
      <c r="K19" s="175"/>
      <c r="L19" s="175"/>
      <c r="M19" s="176"/>
      <c r="N19" s="121"/>
      <c r="O19" s="121"/>
    </row>
    <row r="20" spans="1:15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5.6729944466427401E-2</v>
      </c>
      <c r="C20" s="147" t="s">
        <v>226</v>
      </c>
      <c r="D20" s="147">
        <f>2*5*8+5*8*2</f>
        <v>160</v>
      </c>
      <c r="E20" s="136">
        <f ca="1">B20/D20*1000000</f>
        <v>354.56215291517123</v>
      </c>
      <c r="F20" s="132" t="s">
        <v>227</v>
      </c>
      <c r="G20" s="121"/>
      <c r="I20" s="145" t="s">
        <v>86</v>
      </c>
      <c r="J20" s="146">
        <f ca="1">IF(ISNUMBER(HLOOKUP("PUSHPOP wrt MSR", 'Stats for Zce 0.41'!$A$1:$AC$116, $O$2,FALSE)),HLOOKUP("PUSHPOP wrt MSR", 'Stats for Zce 0.41'!$A$1:$AC$116, $O$2,FALSE),HLOOKUP("PUSHPOP", 'Stats for Zce 0.41'!$A$1:$AC$116, $O$2,FALSE))</f>
        <v>3.2869660737728103E-2</v>
      </c>
      <c r="K20" s="147" t="s">
        <v>226</v>
      </c>
      <c r="L20" s="147">
        <f>2*5*8+5*8*2</f>
        <v>160</v>
      </c>
      <c r="M20" s="136">
        <f ca="1">J20/L20*1000000</f>
        <v>205.43537961080065</v>
      </c>
      <c r="N20" s="132" t="s">
        <v>227</v>
      </c>
      <c r="O20" s="121"/>
    </row>
    <row r="21" spans="1:15">
      <c r="A21" s="174" t="s">
        <v>228</v>
      </c>
      <c r="B21" s="175"/>
      <c r="C21" s="175"/>
      <c r="D21" s="175"/>
      <c r="E21" s="176"/>
      <c r="F21" s="121"/>
      <c r="G21" s="121"/>
      <c r="I21" s="174" t="s">
        <v>228</v>
      </c>
      <c r="J21" s="175"/>
      <c r="K21" s="175"/>
      <c r="L21" s="175"/>
      <c r="M21" s="176"/>
      <c r="N21" s="121"/>
      <c r="O21" s="121"/>
    </row>
    <row r="22" spans="1:15" ht="15.75" customHeight="1">
      <c r="A22" s="134" t="s">
        <v>44</v>
      </c>
      <c r="B22" s="135">
        <f ca="1">HLOOKUP(A22, 'Stats for Zce 0.41'!$A$1:$AC$116, $G$2,FALSE)</f>
        <v>2.4678491997434798E-3</v>
      </c>
      <c r="C22" s="132">
        <v>21</v>
      </c>
      <c r="D22" s="121" t="e">
        <f t="shared" ref="D22:D24" ca="1" si="4">pow(2,C22)</f>
        <v>#NAME?</v>
      </c>
      <c r="E22" s="136" t="e">
        <f t="shared" ref="E22:E24" ca="1" si="5">B22/D22*1000000</f>
        <v>#NAME?</v>
      </c>
      <c r="F22" s="121"/>
      <c r="G22" s="121"/>
      <c r="I22" s="134" t="s">
        <v>44</v>
      </c>
      <c r="J22" s="135">
        <f ca="1">HLOOKUP(I22, 'Stats for Zce 0.41'!$A$1:$AC$116, $O$2,FALSE)</f>
        <v>3.41150866174161E-3</v>
      </c>
      <c r="K22" s="132">
        <v>21</v>
      </c>
      <c r="L22" s="121" t="e">
        <f t="shared" ref="L22:L24" ca="1" si="6">pow(2,K22)</f>
        <v>#NAME?</v>
      </c>
      <c r="M22" s="136" t="e">
        <f t="shared" ref="M22:M24" ca="1" si="7">J22/L22*1000000</f>
        <v>#NAME?</v>
      </c>
      <c r="N22" s="121"/>
      <c r="O22" s="121"/>
    </row>
    <row r="23" spans="1:15" ht="15.75" customHeight="1">
      <c r="A23" s="134" t="s">
        <v>46</v>
      </c>
      <c r="B23" s="135">
        <f ca="1">HLOOKUP(A23, 'Stats for Zce 0.41'!$A$1:$AC$116, $G$2,FALSE)</f>
        <v>1.6516571381789899E-3</v>
      </c>
      <c r="C23" s="132">
        <v>21</v>
      </c>
      <c r="D23" s="121" t="e">
        <f t="shared" ca="1" si="4"/>
        <v>#NAME?</v>
      </c>
      <c r="E23" s="136" t="e">
        <f t="shared" ca="1" si="5"/>
        <v>#NAME?</v>
      </c>
      <c r="F23" s="121"/>
      <c r="G23" s="121"/>
      <c r="I23" s="134" t="s">
        <v>46</v>
      </c>
      <c r="J23" s="135">
        <f ca="1">HLOOKUP(I23, 'Stats for Zce 0.41'!$A$1:$AC$116, $O$2,FALSE)</f>
        <v>4.5427860433988002E-3</v>
      </c>
      <c r="K23" s="132">
        <v>21</v>
      </c>
      <c r="L23" s="121" t="e">
        <f t="shared" ca="1" si="6"/>
        <v>#NAME?</v>
      </c>
      <c r="M23" s="136" t="e">
        <f t="shared" ca="1" si="7"/>
        <v>#NAME?</v>
      </c>
      <c r="N23" s="121"/>
      <c r="O23" s="121"/>
    </row>
    <row r="24" spans="1:15" ht="15.75" customHeight="1">
      <c r="A24" s="148" t="s">
        <v>83</v>
      </c>
      <c r="B24" s="141">
        <f ca="1">HLOOKUP(A24, 'Stats for Zce 0.41'!$A$1:$AC$116, $G$2,FALSE)</f>
        <v>2.8714472840398901E-4</v>
      </c>
      <c r="C24" s="142">
        <v>18</v>
      </c>
      <c r="D24" s="143" t="e">
        <f t="shared" ca="1" si="4"/>
        <v>#NAME?</v>
      </c>
      <c r="E24" s="144" t="e">
        <f t="shared" ca="1" si="5"/>
        <v>#NAME?</v>
      </c>
      <c r="F24" s="121"/>
      <c r="G24" s="121"/>
      <c r="I24" s="148" t="s">
        <v>83</v>
      </c>
      <c r="J24" s="141">
        <f ca="1">HLOOKUP(I24, 'Stats for Zce 0.41'!$A$1:$AC$116, $O$2,FALSE)</f>
        <v>3.3386547916291201E-4</v>
      </c>
      <c r="K24" s="142">
        <v>18</v>
      </c>
      <c r="L24" s="143" t="e">
        <f t="shared" ca="1" si="6"/>
        <v>#NAME?</v>
      </c>
      <c r="M24" s="144" t="e">
        <f t="shared" ca="1" si="7"/>
        <v>#NAME?</v>
      </c>
      <c r="N24" s="121"/>
      <c r="O24" s="121"/>
    </row>
    <row r="26" spans="1:15" ht="15.75" customHeight="1">
      <c r="A26" s="3" t="s">
        <v>229</v>
      </c>
      <c r="B26" s="127">
        <f ca="1">SUM(B3:B24)</f>
        <v>7.8766182510335736E-2</v>
      </c>
      <c r="I26" s="3" t="s">
        <v>229</v>
      </c>
      <c r="J26" s="127">
        <f ca="1">SUM(J3:J24)</f>
        <v>6.0261277252953674E-2</v>
      </c>
    </row>
  </sheetData>
  <mergeCells count="6">
    <mergeCell ref="A2:E2"/>
    <mergeCell ref="I2:M2"/>
    <mergeCell ref="A19:E19"/>
    <mergeCell ref="I19:M19"/>
    <mergeCell ref="A21:E21"/>
    <mergeCell ref="I21:M21"/>
  </mergeCells>
  <conditionalFormatting sqref="B26 J26">
    <cfRule type="cellIs" dxfId="110" priority="1" operator="greaterThan">
      <formula>"15%"</formula>
    </cfRule>
  </conditionalFormatting>
  <conditionalFormatting sqref="B26 J26">
    <cfRule type="cellIs" dxfId="109" priority="2" operator="between">
      <formula>"10%"</formula>
      <formula>"15%"</formula>
    </cfRule>
  </conditionalFormatting>
  <conditionalFormatting sqref="B26 J26">
    <cfRule type="cellIs" dxfId="108" priority="3" operator="between">
      <formula>"5%"</formula>
      <formula>"10%"</formula>
    </cfRule>
  </conditionalFormatting>
  <conditionalFormatting sqref="B26 J26">
    <cfRule type="cellIs" dxfId="107" priority="4" operator="between">
      <formula>"1%"</formula>
      <formula>"5%"</formula>
    </cfRule>
  </conditionalFormatting>
  <conditionalFormatting sqref="B26 J26">
    <cfRule type="cellIs" dxfId="106" priority="5" operator="between">
      <formula>"0.50%"</formula>
      <formula>"1.00%"</formula>
    </cfRule>
  </conditionalFormatting>
  <conditionalFormatting sqref="B26 J26">
    <cfRule type="cellIs" dxfId="105" priority="6" operator="between">
      <formula>"0.10%"</formula>
      <formula>"0.50%"</formula>
    </cfRule>
  </conditionalFormatting>
  <conditionalFormatting sqref="B26 J26">
    <cfRule type="cellIs" dxfId="104" priority="7" operator="lessThan">
      <formula>"0.10%"</formula>
    </cfRule>
  </conditionalFormatting>
  <conditionalFormatting sqref="E3:E18 M3:M18 E20 M20">
    <cfRule type="cellIs" dxfId="103" priority="8" operator="greaterThan">
      <formula>100</formula>
    </cfRule>
  </conditionalFormatting>
  <conditionalFormatting sqref="E3:E18 M3:M18 E20 M20">
    <cfRule type="cellIs" dxfId="102" priority="9" operator="greaterThan">
      <formula>50</formula>
    </cfRule>
  </conditionalFormatting>
  <conditionalFormatting sqref="E3:E18 M3:M18 E20 M20 E22:E24 M22:M24">
    <cfRule type="cellIs" dxfId="101" priority="10" operator="greaterThan">
      <formula>10</formula>
    </cfRule>
  </conditionalFormatting>
  <conditionalFormatting sqref="B3:B18 J3:J18 B20 J20 B22:B24 J22:J24">
    <cfRule type="cellIs" dxfId="100" priority="11" operator="greaterThanOrEqual">
      <formula>"0.50%"</formula>
    </cfRule>
  </conditionalFormatting>
  <conditionalFormatting sqref="B3:B18 J3:J18 B20 J20 B22:B24 J22:J24">
    <cfRule type="cellIs" dxfId="99" priority="12" operator="greaterThanOrEqual">
      <formula>"0.10%"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6"/>
  <sheetViews>
    <sheetView workbookViewId="0"/>
  </sheetViews>
  <sheetFormatPr defaultColWidth="14.453125" defaultRowHeight="15.75" customHeight="1"/>
  <sheetData>
    <row r="1" spans="1:7" ht="15.75" customHeight="1">
      <c r="A1" s="132" t="s">
        <v>233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</row>
    <row r="2" spans="1:7">
      <c r="A2" s="174" t="s">
        <v>222</v>
      </c>
      <c r="B2" s="175"/>
      <c r="C2" s="175"/>
      <c r="D2" s="175"/>
      <c r="E2" s="176"/>
      <c r="F2" s="121"/>
      <c r="G2" s="133">
        <f>MATCH("RV64 GCC Debian weighted average",'Stats for Zce 0.41'!$B$106:$B$116,0)+'Stats for Zce 0.41'!$A$106-1</f>
        <v>107</v>
      </c>
    </row>
    <row r="3" spans="1:7" ht="15.75" customHeight="1">
      <c r="A3" s="134" t="s">
        <v>69</v>
      </c>
      <c r="B3" s="135">
        <f ca="1">HLOOKUP(A3, 'Stats for Zce 0.41'!$A$1:$AC$116, $G$2,FALSE)</f>
        <v>4.8115033208556103E-3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</row>
    <row r="4" spans="1:7" ht="15.75" customHeight="1">
      <c r="A4" s="134" t="s">
        <v>70</v>
      </c>
      <c r="B4" s="135">
        <f ca="1">HLOOKUP(A4, 'Stats for Zce 0.41'!$A$1:$AC$116, $G$2,FALSE)</f>
        <v>5.3327825548246904E-4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</row>
    <row r="5" spans="1:7" ht="15.75" customHeight="1">
      <c r="A5" s="137" t="s">
        <v>71</v>
      </c>
      <c r="B5" s="135">
        <f ca="1">HLOOKUP(A5, 'Stats for Zce 0.41'!$A$1:$AC$116, $G$2,FALSE)</f>
        <v>1.03897104335802E-4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</row>
    <row r="6" spans="1:7" ht="15.75" customHeight="1">
      <c r="A6" s="138" t="s">
        <v>72</v>
      </c>
      <c r="B6" s="135">
        <f ca="1">HLOOKUP(A6, 'Stats for Zce 0.41'!$A$1:$AC$116, $G$2,FALSE)</f>
        <v>3.7603568511016E-5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</row>
    <row r="7" spans="1:7" ht="15.75" customHeight="1">
      <c r="A7" s="134" t="s">
        <v>74</v>
      </c>
      <c r="B7" s="135">
        <f ca="1">HLOOKUP(A7, 'Stats for Zce 0.41'!$A$1:$AC$116, $G$2,FALSE)</f>
        <v>1.0822076088315799E-3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</row>
    <row r="8" spans="1:7" ht="15.75" customHeight="1">
      <c r="A8" s="134" t="s">
        <v>73</v>
      </c>
      <c r="B8" s="135">
        <f ca="1">HLOOKUP(A8, 'Stats for Zce 0.41'!$A$1:$AC$116, $G$2,FALSE)</f>
        <v>1.2170618523514699E-4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</row>
    <row r="9" spans="1:7" ht="15.75" customHeight="1">
      <c r="A9" s="134" t="s">
        <v>27</v>
      </c>
      <c r="B9" s="135">
        <f ca="1">HLOOKUP(A9, 'Stats for Zce 0.41'!$A$1:$AC$116, $G$2,FALSE)</f>
        <v>1.6948065258248101E-4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</row>
    <row r="10" spans="1:7" ht="15.75" customHeight="1">
      <c r="A10" s="134" t="s">
        <v>30</v>
      </c>
      <c r="B10" s="135">
        <f ca="1">HLOOKUP(A10, 'Stats for Zce 0.41'!$A$1:$AC$116, $G$2,FALSE)</f>
        <v>8.6762148272294298E-5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</row>
    <row r="11" spans="1:7" ht="15.75" customHeight="1">
      <c r="A11" s="134" t="s">
        <v>25</v>
      </c>
      <c r="B11" s="135">
        <f ca="1">HLOOKUP(A11, 'Stats for Zce 0.41'!$A$1:$AC$116, $G$2,FALSE)</f>
        <v>1.6205939858489999E-4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</row>
    <row r="12" spans="1:7" ht="15.75" customHeight="1">
      <c r="A12" s="139" t="s">
        <v>65</v>
      </c>
      <c r="B12" s="135">
        <f ca="1">HLOOKUP(A12, 'Stats for Zce 0.41'!$A$1:$AC$116, $G$2,FALSE)</f>
        <v>3.8997079750090501E-3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</row>
    <row r="13" spans="1:7" ht="15.75" customHeight="1">
      <c r="A13" s="134" t="s">
        <v>22</v>
      </c>
      <c r="B13" s="135">
        <f ca="1">HLOOKUP(A13, 'Stats for Zce 0.41'!$A$1:$AC$116, $G$2,FALSE)</f>
        <v>7.0005972502165095E-4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</row>
    <row r="14" spans="1:7" ht="15.75" customHeight="1">
      <c r="A14" s="134" t="s">
        <v>21</v>
      </c>
      <c r="B14" s="135">
        <f ca="1">HLOOKUP(A14, 'Stats for Zce 0.41'!$A$1:$AC$116, $G$2,FALSE)</f>
        <v>0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</row>
    <row r="15" spans="1:7" ht="15.75" customHeight="1">
      <c r="A15" s="134" t="s">
        <v>20</v>
      </c>
      <c r="B15" s="135">
        <f ca="1">HLOOKUP(A15, 'Stats for Zce 0.41'!$A$1:$AC$116, $G$2,FALSE)</f>
        <v>1.69981572796424E-3</v>
      </c>
      <c r="C15" s="132">
        <v>3</v>
      </c>
      <c r="D15" s="121" t="e">
        <f t="shared" ca="1" si="0"/>
        <v>#NAME?</v>
      </c>
      <c r="E15" s="136" t="e">
        <f t="shared" ca="1" si="1"/>
        <v>#NAME?</v>
      </c>
      <c r="F15" s="132" t="s">
        <v>118</v>
      </c>
      <c r="G15" s="121"/>
    </row>
    <row r="16" spans="1:7" ht="15.75" customHeight="1">
      <c r="A16" s="134" t="s">
        <v>17</v>
      </c>
      <c r="B16" s="135">
        <f ca="1">HLOOKUP(A16, 'Stats for Zce 0.41'!$A$1:$AC$116, $G$2,FALSE)</f>
        <v>0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</row>
    <row r="17" spans="1:7" ht="15.75" customHeight="1">
      <c r="A17" s="134" t="s">
        <v>15</v>
      </c>
      <c r="B17" s="135">
        <f ca="1">HLOOKUP(A17, 'Stats for Zce 0.41'!$A$1:$AC$116, $G$2,FALSE)</f>
        <v>0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</row>
    <row r="18" spans="1:7" ht="15.75" customHeight="1">
      <c r="A18" s="140" t="s">
        <v>224</v>
      </c>
      <c r="B18" s="141">
        <f ca="1">HLOOKUP(A18, 'Stats for Zce 0.41'!$A$1:$AC$116, $G$2,FALSE)</f>
        <v>3.2333128882527898E-3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</row>
    <row r="19" spans="1:7">
      <c r="A19" s="174" t="s">
        <v>225</v>
      </c>
      <c r="B19" s="175"/>
      <c r="C19" s="175"/>
      <c r="D19" s="175"/>
      <c r="E19" s="176"/>
      <c r="F19" s="121"/>
      <c r="G19" s="121"/>
    </row>
    <row r="20" spans="1:7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5.1417569018175499E-2</v>
      </c>
      <c r="C20" s="147" t="s">
        <v>226</v>
      </c>
      <c r="D20" s="147">
        <f>2*5*8+5*8*2</f>
        <v>160</v>
      </c>
      <c r="E20" s="144">
        <f ca="1">B20/D20*1000000</f>
        <v>321.35980636359687</v>
      </c>
      <c r="F20" s="132" t="s">
        <v>227</v>
      </c>
      <c r="G20" s="121"/>
    </row>
    <row r="21" spans="1:7">
      <c r="A21" s="174" t="s">
        <v>228</v>
      </c>
      <c r="B21" s="175"/>
      <c r="C21" s="175"/>
      <c r="D21" s="175"/>
      <c r="E21" s="176"/>
      <c r="F21" s="121"/>
      <c r="G21" s="121"/>
    </row>
    <row r="22" spans="1:7" ht="15.75" customHeight="1">
      <c r="A22" s="134" t="s">
        <v>44</v>
      </c>
      <c r="B22" s="135">
        <f ca="1">HLOOKUP(A22, 'Stats for Zce 0.41'!$A$1:$AC$116, $G$2,FALSE)</f>
        <v>1.91755356795505E-3</v>
      </c>
      <c r="C22" s="132">
        <v>21</v>
      </c>
      <c r="D22" s="121" t="e">
        <f t="shared" ref="D22:D24" ca="1" si="2">pow(2,C22)</f>
        <v>#NAME?</v>
      </c>
      <c r="E22" s="136" t="e">
        <f t="shared" ref="E22:E24" ca="1" si="3">B22/D22*1000000</f>
        <v>#NAME?</v>
      </c>
      <c r="F22" s="121"/>
      <c r="G22" s="121"/>
    </row>
    <row r="23" spans="1:7" ht="15.75" customHeight="1">
      <c r="A23" s="134" t="s">
        <v>46</v>
      </c>
      <c r="B23" s="135">
        <f ca="1">HLOOKUP(A23, 'Stats for Zce 0.41'!$A$1:$AC$116, $G$2,FALSE)</f>
        <v>1.0546997447670901E-3</v>
      </c>
      <c r="C23" s="132">
        <v>21</v>
      </c>
      <c r="D23" s="121" t="e">
        <f t="shared" ca="1" si="2"/>
        <v>#NAME?</v>
      </c>
      <c r="E23" s="136" t="e">
        <f t="shared" ca="1" si="3"/>
        <v>#NAME?</v>
      </c>
      <c r="F23" s="121"/>
      <c r="G23" s="121"/>
    </row>
    <row r="24" spans="1:7" ht="15.75" customHeight="1">
      <c r="A24" s="148" t="s">
        <v>83</v>
      </c>
      <c r="B24" s="141">
        <f ca="1">HLOOKUP(A24, 'Stats for Zce 0.41'!$A$1:$AC$116, $G$2,FALSE)</f>
        <v>3.4032301040026398E-5</v>
      </c>
      <c r="C24" s="142">
        <v>18</v>
      </c>
      <c r="D24" s="143" t="e">
        <f t="shared" ca="1" si="2"/>
        <v>#NAME?</v>
      </c>
      <c r="E24" s="144" t="e">
        <f t="shared" ca="1" si="3"/>
        <v>#NAME?</v>
      </c>
      <c r="F24" s="121"/>
      <c r="G24" s="121"/>
    </row>
    <row r="26" spans="1:7" ht="15.75" customHeight="1">
      <c r="A26" s="3" t="s">
        <v>229</v>
      </c>
      <c r="B26" s="127">
        <f ca="1">SUM(B3:B24)</f>
        <v>7.1065249190876686E-2</v>
      </c>
    </row>
  </sheetData>
  <mergeCells count="3">
    <mergeCell ref="A2:E2"/>
    <mergeCell ref="A19:E19"/>
    <mergeCell ref="A21:E21"/>
  </mergeCells>
  <conditionalFormatting sqref="B26">
    <cfRule type="cellIs" dxfId="98" priority="1" operator="greaterThan">
      <formula>"15%"</formula>
    </cfRule>
  </conditionalFormatting>
  <conditionalFormatting sqref="B26">
    <cfRule type="cellIs" dxfId="97" priority="2" operator="between">
      <formula>"10%"</formula>
      <formula>"15%"</formula>
    </cfRule>
  </conditionalFormatting>
  <conditionalFormatting sqref="B26">
    <cfRule type="cellIs" dxfId="96" priority="3" operator="between">
      <formula>"5%"</formula>
      <formula>"10%"</formula>
    </cfRule>
  </conditionalFormatting>
  <conditionalFormatting sqref="B26">
    <cfRule type="cellIs" dxfId="95" priority="4" operator="between">
      <formula>"1%"</formula>
      <formula>"5%"</formula>
    </cfRule>
  </conditionalFormatting>
  <conditionalFormatting sqref="B26">
    <cfRule type="cellIs" dxfId="94" priority="5" operator="between">
      <formula>"0.50%"</formula>
      <formula>"1.00%"</formula>
    </cfRule>
  </conditionalFormatting>
  <conditionalFormatting sqref="B26">
    <cfRule type="cellIs" dxfId="93" priority="6" operator="between">
      <formula>"0.10%"</formula>
      <formula>"0.50%"</formula>
    </cfRule>
  </conditionalFormatting>
  <conditionalFormatting sqref="B26">
    <cfRule type="cellIs" dxfId="92" priority="7" operator="lessThan">
      <formula>"0.10%"</formula>
    </cfRule>
  </conditionalFormatting>
  <conditionalFormatting sqref="E3:E18 E20">
    <cfRule type="cellIs" dxfId="91" priority="8" operator="greaterThan">
      <formula>100</formula>
    </cfRule>
  </conditionalFormatting>
  <conditionalFormatting sqref="E3:E18 E20">
    <cfRule type="cellIs" dxfId="90" priority="9" operator="greaterThan">
      <formula>50</formula>
    </cfRule>
  </conditionalFormatting>
  <conditionalFormatting sqref="E3:E18 E20 E22:E24">
    <cfRule type="cellIs" dxfId="89" priority="10" operator="greaterThan">
      <formula>10</formula>
    </cfRule>
  </conditionalFormatting>
  <conditionalFormatting sqref="B3:B18 B20 B22:B24">
    <cfRule type="cellIs" dxfId="88" priority="11" operator="greaterThanOrEqual">
      <formula>"0.50%"</formula>
    </cfRule>
  </conditionalFormatting>
  <conditionalFormatting sqref="B3:B18 B20 B22:B24">
    <cfRule type="cellIs" dxfId="87" priority="12" operator="greaterThanOrEqual">
      <formula>"0.10%"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26"/>
  <sheetViews>
    <sheetView workbookViewId="0"/>
  </sheetViews>
  <sheetFormatPr defaultColWidth="14.453125" defaultRowHeight="15.75" customHeight="1"/>
  <cols>
    <col min="1" max="1" width="17.453125" customWidth="1"/>
  </cols>
  <sheetData>
    <row r="1" spans="1:15" ht="15.75" customHeight="1">
      <c r="A1" s="132" t="s">
        <v>234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  <c r="I1" s="132" t="s">
        <v>235</v>
      </c>
      <c r="J1" s="132" t="s">
        <v>217</v>
      </c>
      <c r="K1" s="132" t="s">
        <v>218</v>
      </c>
      <c r="L1" s="132" t="s">
        <v>219</v>
      </c>
      <c r="M1" s="132" t="s">
        <v>220</v>
      </c>
      <c r="N1" s="121"/>
      <c r="O1" s="132" t="s">
        <v>221</v>
      </c>
    </row>
    <row r="2" spans="1:15">
      <c r="A2" s="174" t="s">
        <v>222</v>
      </c>
      <c r="B2" s="175"/>
      <c r="C2" s="175"/>
      <c r="D2" s="175"/>
      <c r="E2" s="176"/>
      <c r="F2" s="121"/>
      <c r="G2" s="133">
        <f>MATCH("RV32 GCC10 FPMark weighted average",'Stats for Zce 0.41'!$B$106:$B$116,0)+'Stats for Zce 0.41'!$A$106-1</f>
        <v>112</v>
      </c>
      <c r="I2" s="174" t="s">
        <v>222</v>
      </c>
      <c r="J2" s="175"/>
      <c r="K2" s="175"/>
      <c r="L2" s="175"/>
      <c r="M2" s="176"/>
      <c r="N2" s="121"/>
      <c r="O2" s="133">
        <f>MATCH("RV32 LLVM11 FPMark weighted average",'Stats for Zce 0.41'!$B$106:$B$116,0)+'Stats for Zce 0.41'!$A$106-1</f>
        <v>113</v>
      </c>
    </row>
    <row r="3" spans="1:15" ht="15.75" customHeight="1">
      <c r="A3" s="134" t="s">
        <v>69</v>
      </c>
      <c r="B3" s="135">
        <f ca="1">HLOOKUP(A3, 'Stats for Zce 0.41'!$A$1:$AC$116, $G$2,FALSE)</f>
        <v>2.8373967214261101E-3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  <c r="I3" s="134" t="s">
        <v>69</v>
      </c>
      <c r="J3" s="135">
        <f ca="1">HLOOKUP(I3, 'Stats for Zce 0.41'!$A$1:$AC$116, $O$2,FALSE)</f>
        <v>4.1604254990669698E-3</v>
      </c>
      <c r="K3" s="132">
        <v>10</v>
      </c>
      <c r="L3" s="121" t="e">
        <f t="shared" ref="L3:L18" ca="1" si="2">pow(2,K3)</f>
        <v>#NAME?</v>
      </c>
      <c r="M3" s="136" t="e">
        <f t="shared" ref="M3:M18" ca="1" si="3">J3/L3*1000000</f>
        <v>#NAME?</v>
      </c>
      <c r="N3" s="121"/>
      <c r="O3" s="121"/>
    </row>
    <row r="4" spans="1:15" ht="15.75" customHeight="1">
      <c r="A4" s="134" t="s">
        <v>70</v>
      </c>
      <c r="B4" s="135">
        <f ca="1">HLOOKUP(A4, 'Stats for Zce 0.41'!$A$1:$AC$116, $G$2,FALSE)</f>
        <v>1.32892027342816E-3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  <c r="I4" s="134" t="s">
        <v>70</v>
      </c>
      <c r="J4" s="135">
        <f ca="1">HLOOKUP(I4, 'Stats for Zce 0.41'!$A$1:$AC$116, $O$2,FALSE)</f>
        <v>1.18072601323685E-3</v>
      </c>
      <c r="K4" s="132">
        <v>10</v>
      </c>
      <c r="L4" s="121" t="e">
        <f t="shared" ca="1" si="2"/>
        <v>#NAME?</v>
      </c>
      <c r="M4" s="136" t="e">
        <f t="shared" ca="1" si="3"/>
        <v>#NAME?</v>
      </c>
      <c r="N4" s="121"/>
      <c r="O4" s="121"/>
    </row>
    <row r="5" spans="1:15" ht="15.75" customHeight="1">
      <c r="A5" s="137" t="s">
        <v>71</v>
      </c>
      <c r="B5" s="135">
        <f ca="1">HLOOKUP(A5, 'Stats for Zce 0.41'!$A$1:$AC$116, $G$2,FALSE)</f>
        <v>5.8243562025419703E-4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  <c r="I5" s="137" t="s">
        <v>71</v>
      </c>
      <c r="J5" s="135">
        <f ca="1">HLOOKUP(I5, 'Stats for Zce 0.41'!$A$1:$AC$116, $O$2,FALSE)</f>
        <v>6.1768388621138602E-4</v>
      </c>
      <c r="K5" s="132">
        <v>10</v>
      </c>
      <c r="L5" s="121" t="e">
        <f t="shared" ca="1" si="2"/>
        <v>#NAME?</v>
      </c>
      <c r="M5" s="136" t="e">
        <f t="shared" ca="1" si="3"/>
        <v>#NAME?</v>
      </c>
      <c r="N5" s="121"/>
      <c r="O5" s="121"/>
    </row>
    <row r="6" spans="1:15" ht="15.75" customHeight="1">
      <c r="A6" s="138" t="s">
        <v>72</v>
      </c>
      <c r="B6" s="135">
        <f ca="1">HLOOKUP(A6, 'Stats for Zce 0.41'!$A$1:$AC$116, $G$2,FALSE)</f>
        <v>9.8057809194692204E-4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  <c r="I6" s="138" t="s">
        <v>72</v>
      </c>
      <c r="J6" s="135">
        <f ca="1">HLOOKUP(I6, 'Stats for Zce 0.41'!$A$1:$AC$116, $O$2,FALSE)</f>
        <v>7.8584025829317005E-4</v>
      </c>
      <c r="K6" s="132">
        <v>10</v>
      </c>
      <c r="L6" s="121" t="e">
        <f t="shared" ca="1" si="2"/>
        <v>#NAME?</v>
      </c>
      <c r="M6" s="136" t="e">
        <f t="shared" ca="1" si="3"/>
        <v>#NAME?</v>
      </c>
      <c r="N6" s="121"/>
      <c r="O6" s="121"/>
    </row>
    <row r="7" spans="1:15" ht="15.75" customHeight="1">
      <c r="A7" s="134" t="s">
        <v>74</v>
      </c>
      <c r="B7" s="135">
        <f ca="1">HLOOKUP(A7, 'Stats for Zce 0.41'!$A$1:$AC$116, $G$2,FALSE)</f>
        <v>4.6537911060087701E-4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  <c r="I7" s="134" t="s">
        <v>74</v>
      </c>
      <c r="J7" s="135">
        <f ca="1">HLOOKUP(I7, 'Stats for Zce 0.41'!$A$1:$AC$116, $O$2,FALSE)</f>
        <v>6.9023117507282898E-4</v>
      </c>
      <c r="K7" s="132">
        <v>10</v>
      </c>
      <c r="L7" s="121" t="e">
        <f t="shared" ca="1" si="2"/>
        <v>#NAME?</v>
      </c>
      <c r="M7" s="136" t="e">
        <f t="shared" ca="1" si="3"/>
        <v>#NAME?</v>
      </c>
      <c r="N7" s="121"/>
      <c r="O7" s="121"/>
    </row>
    <row r="8" spans="1:15" ht="15.75" customHeight="1">
      <c r="A8" s="134" t="s">
        <v>73</v>
      </c>
      <c r="B8" s="135">
        <f ca="1">HLOOKUP(A8, 'Stats for Zce 0.41'!$A$1:$AC$116, $G$2,FALSE)</f>
        <v>1.2816836345200099E-3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  <c r="I8" s="134" t="s">
        <v>73</v>
      </c>
      <c r="J8" s="135">
        <f ca="1">HLOOKUP(I8, 'Stats for Zce 0.41'!$A$1:$AC$116, $O$2,FALSE)</f>
        <v>1.2330468928298101E-3</v>
      </c>
      <c r="K8" s="132">
        <v>10</v>
      </c>
      <c r="L8" s="121" t="e">
        <f t="shared" ca="1" si="2"/>
        <v>#NAME?</v>
      </c>
      <c r="M8" s="136" t="e">
        <f t="shared" ca="1" si="3"/>
        <v>#NAME?</v>
      </c>
      <c r="N8" s="121"/>
      <c r="O8" s="121"/>
    </row>
    <row r="9" spans="1:15" ht="15.75" customHeight="1">
      <c r="A9" s="134" t="s">
        <v>27</v>
      </c>
      <c r="B9" s="135">
        <f ca="1">HLOOKUP(A9, 'Stats for Zce 0.41'!$A$1:$AC$116, $G$2,FALSE)</f>
        <v>2.43431721630079E-4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  <c r="I9" s="134" t="s">
        <v>27</v>
      </c>
      <c r="J9" s="135">
        <f ca="1">HLOOKUP(I9, 'Stats for Zce 0.41'!$A$1:$AC$116, $O$2,FALSE)</f>
        <v>3.5404093221817903E-4</v>
      </c>
      <c r="K9" s="132">
        <v>3</v>
      </c>
      <c r="L9" s="121" t="e">
        <f t="shared" ca="1" si="2"/>
        <v>#NAME?</v>
      </c>
      <c r="M9" s="136" t="e">
        <f t="shared" ca="1" si="3"/>
        <v>#NAME?</v>
      </c>
      <c r="N9" s="121"/>
      <c r="O9" s="121"/>
    </row>
    <row r="10" spans="1:15" ht="15.75" customHeight="1">
      <c r="A10" s="134" t="s">
        <v>30</v>
      </c>
      <c r="B10" s="135">
        <f ca="1">HLOOKUP(A10, 'Stats for Zce 0.41'!$A$1:$AC$116, $G$2,FALSE)</f>
        <v>5.8297600801869402E-4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  <c r="I10" s="134" t="s">
        <v>30</v>
      </c>
      <c r="J10" s="135">
        <f ca="1">HLOOKUP(I10, 'Stats for Zce 0.41'!$A$1:$AC$116, $O$2,FALSE)</f>
        <v>2.5401643195639597E-4</v>
      </c>
      <c r="K10" s="132">
        <v>3</v>
      </c>
      <c r="L10" s="121" t="e">
        <f t="shared" ca="1" si="2"/>
        <v>#NAME?</v>
      </c>
      <c r="M10" s="136" t="e">
        <f t="shared" ca="1" si="3"/>
        <v>#NAME?</v>
      </c>
      <c r="N10" s="121"/>
      <c r="O10" s="121"/>
    </row>
    <row r="11" spans="1:15" ht="15.75" customHeight="1">
      <c r="A11" s="134" t="s">
        <v>25</v>
      </c>
      <c r="B11" s="135">
        <f ca="1">HLOOKUP(A11, 'Stats for Zce 0.41'!$A$1:$AC$116, $G$2,FALSE)</f>
        <v>5.2873915349157001E-4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  <c r="I11" s="134" t="s">
        <v>25</v>
      </c>
      <c r="J11" s="135">
        <f ca="1">HLOOKUP(I11, 'Stats for Zce 0.41'!$A$1:$AC$116, $O$2,FALSE)</f>
        <v>8.1892185423351098E-4</v>
      </c>
      <c r="K11" s="132">
        <v>6</v>
      </c>
      <c r="L11" s="121" t="e">
        <f t="shared" ca="1" si="2"/>
        <v>#NAME?</v>
      </c>
      <c r="M11" s="136" t="e">
        <f t="shared" ca="1" si="3"/>
        <v>#NAME?</v>
      </c>
      <c r="N11" s="121"/>
      <c r="O11" s="121"/>
    </row>
    <row r="12" spans="1:15" ht="15.75" customHeight="1">
      <c r="A12" s="139" t="s">
        <v>65</v>
      </c>
      <c r="B12" s="135">
        <f ca="1">HLOOKUP(A12, 'Stats for Zce 0.41'!$A$1:$AC$116, $G$2,FALSE)</f>
        <v>1.61390124651076E-3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  <c r="I12" s="139" t="s">
        <v>65</v>
      </c>
      <c r="J12" s="135">
        <f ca="1">HLOOKUP(I12, 'Stats for Zce 0.41'!$A$1:$AC$116, $O$2,FALSE)</f>
        <v>8.8828177314771301E-3</v>
      </c>
      <c r="K12" s="132">
        <v>6</v>
      </c>
      <c r="L12" s="121" t="e">
        <f t="shared" ca="1" si="2"/>
        <v>#NAME?</v>
      </c>
      <c r="M12" s="136" t="e">
        <f t="shared" ca="1" si="3"/>
        <v>#NAME?</v>
      </c>
      <c r="N12" s="121"/>
      <c r="O12" s="121"/>
    </row>
    <row r="13" spans="1:15" ht="15.75" customHeight="1">
      <c r="A13" s="134" t="s">
        <v>22</v>
      </c>
      <c r="B13" s="135">
        <f ca="1">HLOOKUP(A13, 'Stats for Zce 0.41'!$A$1:$AC$116, $G$2,FALSE)</f>
        <v>7.3622626005978998E-4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  <c r="I13" s="134" t="s">
        <v>22</v>
      </c>
      <c r="J13" s="135">
        <f ca="1">HLOOKUP(I13, 'Stats for Zce 0.41'!$A$1:$AC$116, $O$2,FALSE)</f>
        <v>1.53667132059767E-3</v>
      </c>
      <c r="K13" s="132">
        <v>3</v>
      </c>
      <c r="L13" s="121" t="e">
        <f t="shared" ca="1" si="2"/>
        <v>#NAME?</v>
      </c>
      <c r="M13" s="136" t="e">
        <f t="shared" ca="1" si="3"/>
        <v>#NAME?</v>
      </c>
      <c r="N13" s="121"/>
      <c r="O13" s="121"/>
    </row>
    <row r="14" spans="1:15" ht="15.75" customHeight="1">
      <c r="A14" s="134" t="s">
        <v>21</v>
      </c>
      <c r="B14" s="135">
        <f ca="1">HLOOKUP(A14, 'Stats for Zce 0.41'!$A$1:$AC$116, $G$2,FALSE)</f>
        <v>6.4729398189966104E-4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  <c r="I14" s="134" t="s">
        <v>21</v>
      </c>
      <c r="J14" s="135">
        <f ca="1">HLOOKUP(I14, 'Stats for Zce 0.41'!$A$1:$AC$116, $O$2,FALSE)</f>
        <v>0</v>
      </c>
      <c r="K14" s="132">
        <v>3</v>
      </c>
      <c r="L14" s="121" t="e">
        <f t="shared" ca="1" si="2"/>
        <v>#NAME?</v>
      </c>
      <c r="M14" s="136" t="e">
        <f t="shared" ca="1" si="3"/>
        <v>#NAME?</v>
      </c>
      <c r="N14" s="121"/>
      <c r="O14" s="121"/>
    </row>
    <row r="15" spans="1:15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32" t="s">
        <v>118</v>
      </c>
      <c r="G15" s="121"/>
      <c r="I15" s="134" t="s">
        <v>20</v>
      </c>
      <c r="J15" s="121" t="str">
        <f>HLOOKUP(I15, 'Stats for Zce 0.41'!$A$1:$AC$116, $O$2,FALSE)</f>
        <v>N/A</v>
      </c>
      <c r="K15" s="132">
        <v>3</v>
      </c>
      <c r="L15" s="121" t="e">
        <f t="shared" ca="1" si="2"/>
        <v>#NAME?</v>
      </c>
      <c r="M15" s="136" t="e">
        <f t="shared" ca="1" si="3"/>
        <v>#VALUE!</v>
      </c>
      <c r="N15" s="132" t="s">
        <v>118</v>
      </c>
      <c r="O15" s="121"/>
    </row>
    <row r="16" spans="1:15" ht="15.75" customHeight="1">
      <c r="A16" s="134" t="s">
        <v>17</v>
      </c>
      <c r="B16" s="135">
        <f ca="1">HLOOKUP(A16, 'Stats for Zce 0.41'!$A$1:$AC$116, $G$2,FALSE)</f>
        <v>2.0000000000000002E-5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  <c r="I16" s="134" t="s">
        <v>17</v>
      </c>
      <c r="J16" s="135">
        <f ca="1">HLOOKUP(I16, 'Stats for Zce 0.41'!$A$1:$AC$116, $O$2,FALSE)</f>
        <v>5.46172589241364E-5</v>
      </c>
      <c r="K16" s="132">
        <v>3</v>
      </c>
      <c r="L16" s="121" t="e">
        <f t="shared" ca="1" si="2"/>
        <v>#NAME?</v>
      </c>
      <c r="M16" s="136" t="e">
        <f t="shared" ca="1" si="3"/>
        <v>#NAME?</v>
      </c>
      <c r="N16" s="121"/>
      <c r="O16" s="121"/>
    </row>
    <row r="17" spans="1:15" ht="15.75" customHeight="1">
      <c r="A17" s="134" t="s">
        <v>15</v>
      </c>
      <c r="B17" s="135">
        <f ca="1">HLOOKUP(A17, 'Stats for Zce 0.41'!$A$1:$AC$116, $G$2,FALSE)</f>
        <v>6.7236638908152097E-5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  <c r="I17" s="134" t="s">
        <v>15</v>
      </c>
      <c r="J17" s="135">
        <f ca="1">HLOOKUP(I17, 'Stats for Zce 0.41'!$A$1:$AC$116, $O$2,FALSE)</f>
        <v>2.4065466041965901E-4</v>
      </c>
      <c r="K17" s="132">
        <v>3</v>
      </c>
      <c r="L17" s="121" t="e">
        <f t="shared" ca="1" si="2"/>
        <v>#NAME?</v>
      </c>
      <c r="M17" s="136" t="e">
        <f t="shared" ca="1" si="3"/>
        <v>#NAME?</v>
      </c>
      <c r="N17" s="121"/>
      <c r="O17" s="121"/>
    </row>
    <row r="18" spans="1:15" ht="15.75" customHeight="1">
      <c r="A18" s="140" t="s">
        <v>224</v>
      </c>
      <c r="B18" s="141">
        <f ca="1">HLOOKUP(A18, 'Stats for Zce 0.41'!$A$1:$AC$116, $G$2,FALSE)</f>
        <v>4.8232270584327398E-3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  <c r="I18" s="140" t="s">
        <v>224</v>
      </c>
      <c r="J18" s="141">
        <f ca="1">HLOOKUP(I18, 'Stats for Zce 0.41'!$A$1:$AC$116, $O$2,FALSE)</f>
        <v>4.9197837264562498E-3</v>
      </c>
      <c r="K18" s="142">
        <v>8</v>
      </c>
      <c r="L18" s="143" t="e">
        <f t="shared" ca="1" si="2"/>
        <v>#NAME?</v>
      </c>
      <c r="M18" s="144" t="e">
        <f t="shared" ca="1" si="3"/>
        <v>#NAME?</v>
      </c>
      <c r="N18" s="121"/>
      <c r="O18" s="121"/>
    </row>
    <row r="19" spans="1:15">
      <c r="A19" s="174" t="s">
        <v>225</v>
      </c>
      <c r="B19" s="175"/>
      <c r="C19" s="175"/>
      <c r="D19" s="175"/>
      <c r="E19" s="176"/>
      <c r="F19" s="121"/>
      <c r="G19" s="121"/>
      <c r="I19" s="174" t="s">
        <v>225</v>
      </c>
      <c r="J19" s="175"/>
      <c r="K19" s="175"/>
      <c r="L19" s="175"/>
      <c r="M19" s="176"/>
      <c r="N19" s="121"/>
      <c r="O19" s="121"/>
    </row>
    <row r="20" spans="1:15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0.115883601303037</v>
      </c>
      <c r="C20" s="147" t="s">
        <v>226</v>
      </c>
      <c r="D20" s="147">
        <f>2*5*8+5*8*2</f>
        <v>160</v>
      </c>
      <c r="E20" s="144">
        <f ca="1">B20/D20*1000000</f>
        <v>724.27250814398133</v>
      </c>
      <c r="F20" s="132" t="s">
        <v>227</v>
      </c>
      <c r="G20" s="121"/>
      <c r="I20" s="145" t="s">
        <v>86</v>
      </c>
      <c r="J20" s="146">
        <f ca="1">IF(ISNUMBER(HLOOKUP("PUSHPOP wrt MSR", 'Stats for Zce 0.41'!$A$1:$AC$116, $O$2,FALSE)),HLOOKUP("PUSHPOP wrt MSR", 'Stats for Zce 0.41'!$A$1:$AC$116, $O$2,FALSE),HLOOKUP("PUSHPOP", 'Stats for Zce 0.41'!$A$1:$AC$116, $O$2,FALSE))</f>
        <v>9.7924316006390205E-2</v>
      </c>
      <c r="K20" s="147" t="s">
        <v>226</v>
      </c>
      <c r="L20" s="147">
        <f>2*5*8+5*8*2</f>
        <v>160</v>
      </c>
      <c r="M20" s="144">
        <f ca="1">J20/L20*1000000</f>
        <v>612.02697503993875</v>
      </c>
      <c r="N20" s="132" t="s">
        <v>227</v>
      </c>
      <c r="O20" s="121"/>
    </row>
    <row r="21" spans="1:15">
      <c r="A21" s="174" t="s">
        <v>228</v>
      </c>
      <c r="B21" s="175"/>
      <c r="C21" s="175"/>
      <c r="D21" s="175"/>
      <c r="E21" s="176"/>
      <c r="F21" s="121"/>
      <c r="G21" s="121"/>
      <c r="I21" s="174" t="s">
        <v>228</v>
      </c>
      <c r="J21" s="175"/>
      <c r="K21" s="175"/>
      <c r="L21" s="175"/>
      <c r="M21" s="176"/>
      <c r="N21" s="121"/>
      <c r="O21" s="121"/>
    </row>
    <row r="22" spans="1:15" ht="15.75" customHeight="1">
      <c r="A22" s="134" t="s">
        <v>44</v>
      </c>
      <c r="B22" s="135">
        <f ca="1">HLOOKUP(A22, 'Stats for Zce 0.41'!$A$1:$AC$116, $G$2,FALSE)</f>
        <v>1.53038473417677E-3</v>
      </c>
      <c r="C22" s="132">
        <v>21</v>
      </c>
      <c r="D22" s="121" t="e">
        <f t="shared" ref="D22:D24" ca="1" si="4">pow(2,C22)</f>
        <v>#NAME?</v>
      </c>
      <c r="E22" s="136" t="e">
        <f t="shared" ref="E22:E24" ca="1" si="5">B22/D22*1000000</f>
        <v>#NAME?</v>
      </c>
      <c r="F22" s="121"/>
      <c r="G22" s="121"/>
      <c r="I22" s="134" t="s">
        <v>44</v>
      </c>
      <c r="J22" s="135">
        <f ca="1">HLOOKUP(I22, 'Stats for Zce 0.41'!$A$1:$AC$116, $O$2,FALSE)</f>
        <v>2.1637604881257601E-3</v>
      </c>
      <c r="K22" s="132">
        <v>21</v>
      </c>
      <c r="L22" s="121" t="e">
        <f t="shared" ref="L22:L24" ca="1" si="6">pow(2,K22)</f>
        <v>#NAME?</v>
      </c>
      <c r="M22" s="136" t="e">
        <f t="shared" ref="M22:M24" ca="1" si="7">J22/L22*1000000</f>
        <v>#NAME?</v>
      </c>
      <c r="N22" s="121"/>
      <c r="O22" s="121"/>
    </row>
    <row r="23" spans="1:15" ht="15.75" customHeight="1">
      <c r="A23" s="134" t="s">
        <v>46</v>
      </c>
      <c r="B23" s="135">
        <f ca="1">HLOOKUP(A23, 'Stats for Zce 0.41'!$A$1:$AC$116, $G$2,FALSE)</f>
        <v>1.7885911922563601E-3</v>
      </c>
      <c r="C23" s="132">
        <v>21</v>
      </c>
      <c r="D23" s="121" t="e">
        <f t="shared" ca="1" si="4"/>
        <v>#NAME?</v>
      </c>
      <c r="E23" s="136" t="e">
        <f t="shared" ca="1" si="5"/>
        <v>#NAME?</v>
      </c>
      <c r="F23" s="121"/>
      <c r="G23" s="121"/>
      <c r="I23" s="134" t="s">
        <v>46</v>
      </c>
      <c r="J23" s="135">
        <f ca="1">HLOOKUP(I23, 'Stats for Zce 0.41'!$A$1:$AC$116, $O$2,FALSE)</f>
        <v>2.36501490152908E-3</v>
      </c>
      <c r="K23" s="132">
        <v>21</v>
      </c>
      <c r="L23" s="121" t="e">
        <f t="shared" ca="1" si="6"/>
        <v>#NAME?</v>
      </c>
      <c r="M23" s="136" t="e">
        <f t="shared" ca="1" si="7"/>
        <v>#NAME?</v>
      </c>
      <c r="N23" s="121"/>
      <c r="O23" s="121"/>
    </row>
    <row r="24" spans="1:15" ht="15.75" customHeight="1">
      <c r="A24" s="148" t="s">
        <v>83</v>
      </c>
      <c r="B24" s="141">
        <f ca="1">HLOOKUP(A24, 'Stats for Zce 0.41'!$A$1:$AC$116, $G$2,FALSE)</f>
        <v>1.0769759730534501E-4</v>
      </c>
      <c r="C24" s="142">
        <v>18</v>
      </c>
      <c r="D24" s="143" t="e">
        <f t="shared" ca="1" si="4"/>
        <v>#NAME?</v>
      </c>
      <c r="E24" s="144" t="e">
        <f t="shared" ca="1" si="5"/>
        <v>#NAME?</v>
      </c>
      <c r="F24" s="121"/>
      <c r="G24" s="121"/>
      <c r="I24" s="148" t="s">
        <v>83</v>
      </c>
      <c r="J24" s="141">
        <f ca="1">HLOOKUP(I24, 'Stats for Zce 0.41'!$A$1:$AC$116, $O$2,FALSE)</f>
        <v>9.0337163876545498E-5</v>
      </c>
      <c r="K24" s="142">
        <v>18</v>
      </c>
      <c r="L24" s="143" t="e">
        <f t="shared" ca="1" si="6"/>
        <v>#NAME?</v>
      </c>
      <c r="M24" s="144" t="e">
        <f t="shared" ca="1" si="7"/>
        <v>#NAME?</v>
      </c>
      <c r="N24" s="121"/>
      <c r="O24" s="121"/>
    </row>
    <row r="26" spans="1:15" ht="15.75" customHeight="1">
      <c r="A26" s="3" t="s">
        <v>229</v>
      </c>
      <c r="B26" s="127">
        <f ca="1">SUM(B3:B24)</f>
        <v>0.13604970034790317</v>
      </c>
      <c r="I26" s="3" t="s">
        <v>229</v>
      </c>
      <c r="J26" s="127">
        <f ca="1">SUM(J3:J24)</f>
        <v>0.12827290620091553</v>
      </c>
    </row>
  </sheetData>
  <mergeCells count="6">
    <mergeCell ref="A2:E2"/>
    <mergeCell ref="I2:M2"/>
    <mergeCell ref="A19:E19"/>
    <mergeCell ref="I19:M19"/>
    <mergeCell ref="A21:E21"/>
    <mergeCell ref="I21:M21"/>
  </mergeCells>
  <conditionalFormatting sqref="B26 J26">
    <cfRule type="cellIs" dxfId="86" priority="1" operator="greaterThan">
      <formula>"15%"</formula>
    </cfRule>
  </conditionalFormatting>
  <conditionalFormatting sqref="B26 J26">
    <cfRule type="cellIs" dxfId="85" priority="2" operator="between">
      <formula>"10%"</formula>
      <formula>"15%"</formula>
    </cfRule>
  </conditionalFormatting>
  <conditionalFormatting sqref="B26 J26">
    <cfRule type="cellIs" dxfId="84" priority="3" operator="between">
      <formula>"5%"</formula>
      <formula>"10%"</formula>
    </cfRule>
  </conditionalFormatting>
  <conditionalFormatting sqref="B26 J26">
    <cfRule type="cellIs" dxfId="83" priority="4" operator="between">
      <formula>"1%"</formula>
      <formula>"5%"</formula>
    </cfRule>
  </conditionalFormatting>
  <conditionalFormatting sqref="B26 J26">
    <cfRule type="cellIs" dxfId="82" priority="5" operator="between">
      <formula>"0.50%"</formula>
      <formula>"1.00%"</formula>
    </cfRule>
  </conditionalFormatting>
  <conditionalFormatting sqref="B26 J26">
    <cfRule type="cellIs" dxfId="81" priority="6" operator="between">
      <formula>"0.10%"</formula>
      <formula>"0.50%"</formula>
    </cfRule>
  </conditionalFormatting>
  <conditionalFormatting sqref="B26 J26">
    <cfRule type="cellIs" dxfId="80" priority="7" operator="lessThan">
      <formula>"0.10%"</formula>
    </cfRule>
  </conditionalFormatting>
  <conditionalFormatting sqref="E3:E18 M3:M18 E20 M20">
    <cfRule type="cellIs" dxfId="79" priority="8" operator="greaterThan">
      <formula>100</formula>
    </cfRule>
  </conditionalFormatting>
  <conditionalFormatting sqref="E3:E18 M3:M18 E20 M20">
    <cfRule type="cellIs" dxfId="78" priority="9" operator="greaterThan">
      <formula>50</formula>
    </cfRule>
  </conditionalFormatting>
  <conditionalFormatting sqref="E3:E18 M3:M18 E20 M20 E22:E24 M22:M24">
    <cfRule type="cellIs" dxfId="77" priority="10" operator="greaterThan">
      <formula>10</formula>
    </cfRule>
  </conditionalFormatting>
  <conditionalFormatting sqref="B3:B18 J3:J18 B20 J20 B22:B24 J22:J24">
    <cfRule type="cellIs" dxfId="76" priority="11" operator="greaterThanOrEqual">
      <formula>"0.50%"</formula>
    </cfRule>
  </conditionalFormatting>
  <conditionalFormatting sqref="B3:B18 J3:J18 B20 J20 B22:B24 J22:J24">
    <cfRule type="cellIs" dxfId="75" priority="12" operator="greaterThanOrEqual">
      <formula>"0.10%"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26"/>
  <sheetViews>
    <sheetView workbookViewId="0"/>
  </sheetViews>
  <sheetFormatPr defaultColWidth="14.453125" defaultRowHeight="15.75" customHeight="1"/>
  <cols>
    <col min="1" max="1" width="17.453125" customWidth="1"/>
  </cols>
  <sheetData>
    <row r="1" spans="1:15" ht="15.75" customHeight="1">
      <c r="A1" s="132" t="s">
        <v>236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  <c r="I1" s="132"/>
      <c r="J1" s="132"/>
      <c r="K1" s="132"/>
      <c r="L1" s="132"/>
      <c r="M1" s="132"/>
      <c r="N1" s="121"/>
      <c r="O1" s="132"/>
    </row>
    <row r="2" spans="1:15">
      <c r="A2" s="174" t="s">
        <v>222</v>
      </c>
      <c r="B2" s="175"/>
      <c r="C2" s="175"/>
      <c r="D2" s="175"/>
      <c r="E2" s="176"/>
      <c r="F2" s="121"/>
      <c r="G2" s="133">
        <f>MATCH("RV32 (GCC10/LLVM11) coremark average",'Stats for Zce 0.41'!$B$106:$B$116,0)+'Stats for Zce 0.41'!$A$106-1</f>
        <v>108</v>
      </c>
      <c r="I2" s="177"/>
      <c r="J2" s="168"/>
      <c r="K2" s="168"/>
      <c r="L2" s="168"/>
      <c r="M2" s="168"/>
      <c r="N2" s="121"/>
      <c r="O2" s="132"/>
    </row>
    <row r="3" spans="1:15" ht="15.75" customHeight="1">
      <c r="A3" s="134" t="s">
        <v>69</v>
      </c>
      <c r="B3" s="135">
        <f>HLOOKUP(A3, 'Stats for Zce 0.41'!$A$1:$AC$116, $G$2,FALSE)</f>
        <v>3.5499999999999998E-3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  <c r="I3" s="151"/>
      <c r="J3" s="121"/>
      <c r="K3" s="132"/>
      <c r="L3" s="121"/>
      <c r="M3" s="149"/>
      <c r="N3" s="121"/>
      <c r="O3" s="121"/>
    </row>
    <row r="4" spans="1:15" ht="15.75" customHeight="1">
      <c r="A4" s="134" t="s">
        <v>70</v>
      </c>
      <c r="B4" s="135">
        <f>HLOOKUP(A4, 'Stats for Zce 0.41'!$A$1:$AC$116, $G$2,FALSE)</f>
        <v>2.7899999999999999E-3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  <c r="I4" s="151"/>
      <c r="J4" s="121"/>
      <c r="K4" s="132"/>
      <c r="L4" s="121"/>
      <c r="M4" s="149"/>
      <c r="N4" s="121"/>
      <c r="O4" s="121"/>
    </row>
    <row r="5" spans="1:15" ht="15.75" customHeight="1">
      <c r="A5" s="137" t="s">
        <v>71</v>
      </c>
      <c r="B5" s="135">
        <f>HLOOKUP(A5, 'Stats for Zce 0.41'!$A$1:$AC$116, $G$2,FALSE)</f>
        <v>2.2000000000000001E-4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  <c r="I5" s="39"/>
      <c r="J5" s="121"/>
      <c r="K5" s="132"/>
      <c r="L5" s="121"/>
      <c r="M5" s="149"/>
      <c r="N5" s="121"/>
      <c r="O5" s="121"/>
    </row>
    <row r="6" spans="1:15" ht="15.75" customHeight="1">
      <c r="A6" s="138" t="s">
        <v>72</v>
      </c>
      <c r="B6" s="135">
        <f>HLOOKUP(A6, 'Stats for Zce 0.41'!$A$1:$AC$116, $G$2,FALSE)</f>
        <v>3.4549999999999997E-3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  <c r="I6" s="140"/>
      <c r="J6" s="121"/>
      <c r="K6" s="132"/>
      <c r="L6" s="121"/>
      <c r="M6" s="149"/>
      <c r="N6" s="121"/>
      <c r="O6" s="121"/>
    </row>
    <row r="7" spans="1:15" ht="15.75" customHeight="1">
      <c r="A7" s="134" t="s">
        <v>74</v>
      </c>
      <c r="B7" s="135">
        <f>HLOOKUP(A7, 'Stats for Zce 0.41'!$A$1:$AC$116, $G$2,FALSE)</f>
        <v>1.0950000000000001E-3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  <c r="I7" s="151"/>
      <c r="J7" s="121"/>
      <c r="K7" s="132"/>
      <c r="L7" s="121"/>
      <c r="M7" s="149"/>
      <c r="N7" s="121"/>
      <c r="O7" s="121"/>
    </row>
    <row r="8" spans="1:15" ht="15.75" customHeight="1">
      <c r="A8" s="134" t="s">
        <v>73</v>
      </c>
      <c r="B8" s="135">
        <f>HLOOKUP(A8, 'Stats for Zce 0.41'!$A$1:$AC$116, $G$2,FALSE)</f>
        <v>3.4000000000000002E-3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  <c r="I8" s="151"/>
      <c r="J8" s="121"/>
      <c r="K8" s="132"/>
      <c r="L8" s="121"/>
      <c r="M8" s="149"/>
      <c r="N8" s="121"/>
      <c r="O8" s="121"/>
    </row>
    <row r="9" spans="1:15" ht="15.75" customHeight="1">
      <c r="A9" s="134" t="s">
        <v>27</v>
      </c>
      <c r="B9" s="135">
        <f>HLOOKUP(A9, 'Stats for Zce 0.41'!$A$1:$AC$116, $G$2,FALSE)</f>
        <v>2.2000000000000001E-4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  <c r="I9" s="151"/>
      <c r="J9" s="121"/>
      <c r="K9" s="132"/>
      <c r="L9" s="121"/>
      <c r="M9" s="149"/>
      <c r="N9" s="121"/>
      <c r="O9" s="121"/>
    </row>
    <row r="10" spans="1:15" ht="15.75" customHeight="1">
      <c r="A10" s="134" t="s">
        <v>30</v>
      </c>
      <c r="B10" s="135">
        <f>HLOOKUP(A10, 'Stats for Zce 0.41'!$A$1:$AC$116, $G$2,FALSE)</f>
        <v>8.0000000000000004E-4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  <c r="I10" s="151"/>
      <c r="J10" s="121"/>
      <c r="K10" s="132"/>
      <c r="L10" s="121"/>
      <c r="M10" s="149"/>
      <c r="N10" s="121"/>
      <c r="O10" s="121"/>
    </row>
    <row r="11" spans="1:15" ht="15.75" customHeight="1">
      <c r="A11" s="134" t="s">
        <v>25</v>
      </c>
      <c r="B11" s="135">
        <f>HLOOKUP(A11, 'Stats for Zce 0.41'!$A$1:$AC$116, $G$2,FALSE)</f>
        <v>2.0400000000000001E-3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  <c r="I11" s="151"/>
      <c r="J11" s="121"/>
      <c r="K11" s="132"/>
      <c r="L11" s="121"/>
      <c r="M11" s="149"/>
      <c r="N11" s="121"/>
      <c r="O11" s="121"/>
    </row>
    <row r="12" spans="1:15" ht="15.75" customHeight="1">
      <c r="A12" s="152" t="s">
        <v>65</v>
      </c>
      <c r="B12" s="135">
        <f>HLOOKUP(A12, 'Stats for Zce 0.41'!$A$1:$AC$116, $G$2,FALSE)</f>
        <v>2.9449999999999997E-3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  <c r="I12" s="153"/>
      <c r="J12" s="121"/>
      <c r="K12" s="132"/>
      <c r="L12" s="121"/>
      <c r="M12" s="149"/>
      <c r="N12" s="121"/>
      <c r="O12" s="121"/>
    </row>
    <row r="13" spans="1:15" ht="15.75" customHeight="1">
      <c r="A13" s="134" t="s">
        <v>22</v>
      </c>
      <c r="B13" s="135">
        <f>HLOOKUP(A13, 'Stats for Zce 0.41'!$A$1:$AC$116, $G$2,FALSE)</f>
        <v>1.075E-3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  <c r="I13" s="151"/>
      <c r="J13" s="121"/>
      <c r="K13" s="132"/>
      <c r="L13" s="121"/>
      <c r="M13" s="149"/>
      <c r="N13" s="121"/>
      <c r="O13" s="121"/>
    </row>
    <row r="14" spans="1:15" ht="15.75" customHeight="1">
      <c r="A14" s="134" t="s">
        <v>21</v>
      </c>
      <c r="B14" s="135">
        <f>HLOOKUP(A14, 'Stats for Zce 0.41'!$A$1:$AC$116, $G$2,FALSE)</f>
        <v>2.1199999999999999E-3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  <c r="I14" s="151"/>
      <c r="J14" s="121"/>
      <c r="K14" s="132"/>
      <c r="L14" s="121"/>
      <c r="M14" s="149"/>
      <c r="N14" s="121"/>
      <c r="O14" s="121"/>
    </row>
    <row r="15" spans="1:15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21"/>
      <c r="G15" s="121"/>
      <c r="I15" s="151"/>
      <c r="J15" s="121"/>
      <c r="K15" s="132"/>
      <c r="L15" s="121"/>
      <c r="M15" s="149"/>
      <c r="N15" s="121"/>
      <c r="O15" s="121"/>
    </row>
    <row r="16" spans="1:15" ht="15.75" customHeight="1">
      <c r="A16" s="134" t="s">
        <v>17</v>
      </c>
      <c r="B16" s="135">
        <f>HLOOKUP(A16, 'Stats for Zce 0.41'!$A$1:$AC$116, $G$2,FALSE)</f>
        <v>0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  <c r="I16" s="151"/>
      <c r="J16" s="121"/>
      <c r="K16" s="132"/>
      <c r="L16" s="121"/>
      <c r="M16" s="149"/>
      <c r="N16" s="121"/>
      <c r="O16" s="121"/>
    </row>
    <row r="17" spans="1:15" ht="15.75" customHeight="1">
      <c r="A17" s="134" t="s">
        <v>15</v>
      </c>
      <c r="B17" s="135">
        <f>HLOOKUP(A17, 'Stats for Zce 0.41'!$A$1:$AC$116, $G$2,FALSE)</f>
        <v>9.7000000000000005E-4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  <c r="I17" s="151"/>
      <c r="J17" s="121"/>
      <c r="K17" s="132"/>
      <c r="L17" s="121"/>
      <c r="M17" s="149"/>
      <c r="N17" s="121"/>
      <c r="O17" s="121"/>
    </row>
    <row r="18" spans="1:15" ht="15.75" customHeight="1">
      <c r="A18" s="140" t="s">
        <v>224</v>
      </c>
      <c r="B18" s="141">
        <f>HLOOKUP(A18, 'Stats for Zce 0.41'!$A$1:$AC$116, $G$2,FALSE)</f>
        <v>3.3150000000000002E-3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  <c r="I18" s="140"/>
      <c r="J18" s="121"/>
      <c r="K18" s="132"/>
      <c r="L18" s="121"/>
      <c r="M18" s="149"/>
      <c r="N18" s="121"/>
      <c r="O18" s="121"/>
    </row>
    <row r="19" spans="1:15">
      <c r="A19" s="174" t="s">
        <v>225</v>
      </c>
      <c r="B19" s="175"/>
      <c r="C19" s="175"/>
      <c r="D19" s="175"/>
      <c r="E19" s="176"/>
      <c r="F19" s="121"/>
      <c r="G19" s="121"/>
      <c r="I19" s="177"/>
      <c r="J19" s="168"/>
      <c r="K19" s="168"/>
      <c r="L19" s="168"/>
      <c r="M19" s="168"/>
      <c r="N19" s="121"/>
      <c r="O19" s="121"/>
    </row>
    <row r="20" spans="1:15" ht="15.75" customHeight="1">
      <c r="A20" s="145" t="s">
        <v>86</v>
      </c>
      <c r="B20" s="146">
        <f ca="1">IF(ISNUMBER(HLOOKUP("PUSHPOP wrt MSR", 'Stats for Zce 0.41'!$A$1:$AC$116, $G$2,FALSE)),HLOOKUP("PUSHPOP wrt MSR", 'Stats for Zce 0.41'!$A$1:$AC$116, $G$2,FALSE),HLOOKUP("PUSHPOP", 'Stats for Zce 0.41'!$A$1:$AC$116, $G$2,FALSE))</f>
        <v>5.3495996037406499E-2</v>
      </c>
      <c r="C20" s="147" t="s">
        <v>226</v>
      </c>
      <c r="D20" s="147">
        <f>2*5*8+5*8*2</f>
        <v>160</v>
      </c>
      <c r="E20" s="136">
        <f ca="1">B20/D20*1000000</f>
        <v>334.34997523379059</v>
      </c>
      <c r="F20" s="132" t="s">
        <v>227</v>
      </c>
      <c r="G20" s="121"/>
      <c r="I20" s="140"/>
      <c r="J20" s="121"/>
      <c r="K20" s="132"/>
      <c r="L20" s="132"/>
      <c r="M20" s="149"/>
      <c r="N20" s="132"/>
      <c r="O20" s="121"/>
    </row>
    <row r="21" spans="1:15">
      <c r="A21" s="174" t="s">
        <v>228</v>
      </c>
      <c r="B21" s="175"/>
      <c r="C21" s="175"/>
      <c r="D21" s="175"/>
      <c r="E21" s="176"/>
      <c r="F21" s="121"/>
      <c r="G21" s="121"/>
      <c r="I21" s="177"/>
      <c r="J21" s="168"/>
      <c r="K21" s="168"/>
      <c r="L21" s="168"/>
      <c r="M21" s="168"/>
      <c r="N21" s="121"/>
      <c r="O21" s="121"/>
    </row>
    <row r="22" spans="1:15" ht="15.75" customHeight="1">
      <c r="A22" s="134" t="s">
        <v>44</v>
      </c>
      <c r="B22" s="135">
        <f>HLOOKUP(A22, 'Stats for Zce 0.41'!$A$1:$AC$116, $G$2,FALSE)</f>
        <v>1.2850000000000001E-3</v>
      </c>
      <c r="C22" s="132">
        <v>21</v>
      </c>
      <c r="D22" s="121" t="e">
        <f t="shared" ref="D22:D24" ca="1" si="2">pow(2,C22)</f>
        <v>#NAME?</v>
      </c>
      <c r="E22" s="136" t="e">
        <f t="shared" ref="E22:E24" ca="1" si="3">B22/D22*1000000</f>
        <v>#NAME?</v>
      </c>
      <c r="F22" s="121"/>
      <c r="G22" s="121"/>
      <c r="I22" s="151"/>
      <c r="J22" s="121"/>
      <c r="K22" s="132"/>
      <c r="L22" s="121"/>
      <c r="M22" s="149"/>
      <c r="N22" s="121"/>
      <c r="O22" s="121"/>
    </row>
    <row r="23" spans="1:15" ht="15.75" customHeight="1">
      <c r="A23" s="134" t="s">
        <v>46</v>
      </c>
      <c r="B23" s="135">
        <f>HLOOKUP(A23, 'Stats for Zce 0.41'!$A$1:$AC$116, $G$2,FALSE)</f>
        <v>3.2450000000000001E-3</v>
      </c>
      <c r="C23" s="132">
        <v>21</v>
      </c>
      <c r="D23" s="121" t="e">
        <f t="shared" ca="1" si="2"/>
        <v>#NAME?</v>
      </c>
      <c r="E23" s="136" t="e">
        <f t="shared" ca="1" si="3"/>
        <v>#NAME?</v>
      </c>
      <c r="F23" s="121"/>
      <c r="G23" s="121"/>
      <c r="I23" s="151"/>
      <c r="J23" s="121"/>
      <c r="K23" s="132"/>
      <c r="L23" s="121"/>
      <c r="M23" s="149"/>
      <c r="N23" s="121"/>
      <c r="O23" s="121"/>
    </row>
    <row r="24" spans="1:15" ht="15.75" customHeight="1">
      <c r="A24" s="148" t="s">
        <v>83</v>
      </c>
      <c r="B24" s="141">
        <f>HLOOKUP(A24, 'Stats for Zce 0.41'!$A$1:$AC$116, $G$2,FALSE)</f>
        <v>1.699999999999998E-4</v>
      </c>
      <c r="C24" s="142">
        <v>18</v>
      </c>
      <c r="D24" s="143" t="e">
        <f t="shared" ca="1" si="2"/>
        <v>#NAME?</v>
      </c>
      <c r="E24" s="144" t="e">
        <f t="shared" ca="1" si="3"/>
        <v>#NAME?</v>
      </c>
      <c r="F24" s="121"/>
      <c r="G24" s="121"/>
      <c r="I24" s="151"/>
      <c r="J24" s="121"/>
      <c r="K24" s="132"/>
      <c r="L24" s="121"/>
      <c r="M24" s="149"/>
      <c r="N24" s="121"/>
      <c r="O24" s="121"/>
    </row>
    <row r="26" spans="1:15" ht="15.75" customHeight="1">
      <c r="A26" s="3" t="s">
        <v>229</v>
      </c>
      <c r="B26" s="127">
        <f ca="1">SUM(B3:B24)</f>
        <v>8.61909960374065E-2</v>
      </c>
    </row>
  </sheetData>
  <mergeCells count="6">
    <mergeCell ref="A2:E2"/>
    <mergeCell ref="I2:M2"/>
    <mergeCell ref="A19:E19"/>
    <mergeCell ref="I19:M19"/>
    <mergeCell ref="A21:E21"/>
    <mergeCell ref="I21:M21"/>
  </mergeCells>
  <conditionalFormatting sqref="B26">
    <cfRule type="cellIs" dxfId="74" priority="1" operator="greaterThan">
      <formula>"15%"</formula>
    </cfRule>
  </conditionalFormatting>
  <conditionalFormatting sqref="B26">
    <cfRule type="cellIs" dxfId="73" priority="2" operator="between">
      <formula>"10%"</formula>
      <formula>"15%"</formula>
    </cfRule>
  </conditionalFormatting>
  <conditionalFormatting sqref="B26">
    <cfRule type="cellIs" dxfId="72" priority="3" operator="between">
      <formula>"5%"</formula>
      <formula>"10%"</formula>
    </cfRule>
  </conditionalFormatting>
  <conditionalFormatting sqref="B26">
    <cfRule type="cellIs" dxfId="71" priority="4" operator="between">
      <formula>"1%"</formula>
      <formula>"5%"</formula>
    </cfRule>
  </conditionalFormatting>
  <conditionalFormatting sqref="B26">
    <cfRule type="cellIs" dxfId="70" priority="5" operator="between">
      <formula>"0.50%"</formula>
      <formula>"1.00%"</formula>
    </cfRule>
  </conditionalFormatting>
  <conditionalFormatting sqref="B26">
    <cfRule type="cellIs" dxfId="69" priority="6" operator="between">
      <formula>"0.10%"</formula>
      <formula>"0.50%"</formula>
    </cfRule>
  </conditionalFormatting>
  <conditionalFormatting sqref="B26">
    <cfRule type="cellIs" dxfId="68" priority="7" operator="lessThan">
      <formula>"0.10%"</formula>
    </cfRule>
  </conditionalFormatting>
  <conditionalFormatting sqref="E3:E18 M3:M18 E20">
    <cfRule type="cellIs" dxfId="67" priority="8" operator="greaterThan">
      <formula>100</formula>
    </cfRule>
  </conditionalFormatting>
  <conditionalFormatting sqref="E3:E18 M3:M18 E20">
    <cfRule type="cellIs" dxfId="66" priority="9" operator="greaterThan">
      <formula>50</formula>
    </cfRule>
  </conditionalFormatting>
  <conditionalFormatting sqref="E3:E18 M3:M18 E20 M20 E22:E24 M22:M24">
    <cfRule type="cellIs" dxfId="65" priority="10" operator="greaterThan">
      <formula>10</formula>
    </cfRule>
  </conditionalFormatting>
  <conditionalFormatting sqref="B3:B18 J3:J18 B20 J20 B22:B24 J22:J24">
    <cfRule type="cellIs" dxfId="64" priority="11" operator="greaterThanOrEqual">
      <formula>"0.50%"</formula>
    </cfRule>
  </conditionalFormatting>
  <conditionalFormatting sqref="B3:B18 J3:J18 B20 J20 B22:B24 J22:J24">
    <cfRule type="cellIs" dxfId="63" priority="12" operator="greaterThanOrEqual">
      <formula>"0.10%"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6"/>
  <sheetViews>
    <sheetView workbookViewId="0"/>
  </sheetViews>
  <sheetFormatPr defaultColWidth="14.453125" defaultRowHeight="15.75" customHeight="1"/>
  <cols>
    <col min="1" max="1" width="17.453125" customWidth="1"/>
  </cols>
  <sheetData>
    <row r="1" spans="1:15" ht="15.75" customHeight="1">
      <c r="A1" s="132" t="s">
        <v>237</v>
      </c>
      <c r="B1" s="132" t="s">
        <v>217</v>
      </c>
      <c r="C1" s="132" t="s">
        <v>218</v>
      </c>
      <c r="D1" s="132" t="s">
        <v>219</v>
      </c>
      <c r="E1" s="132" t="s">
        <v>220</v>
      </c>
      <c r="F1" s="121"/>
      <c r="G1" s="132" t="s">
        <v>221</v>
      </c>
      <c r="I1" s="132"/>
      <c r="J1" s="132"/>
      <c r="K1" s="132"/>
      <c r="L1" s="132"/>
      <c r="M1" s="132"/>
      <c r="N1" s="121"/>
      <c r="O1" s="132"/>
    </row>
    <row r="2" spans="1:15">
      <c r="A2" s="174" t="s">
        <v>222</v>
      </c>
      <c r="B2" s="175"/>
      <c r="C2" s="175"/>
      <c r="D2" s="175"/>
      <c r="E2" s="176"/>
      <c r="F2" s="121"/>
      <c r="G2" s="133">
        <f>MATCH("RV32 (GCC10/LLVM11) softfloat average",'Stats for Zce 0.41'!$B$106:$B$116,0)+'Stats for Zce 0.41'!$A$106-1</f>
        <v>109</v>
      </c>
      <c r="I2" s="177"/>
      <c r="J2" s="168"/>
      <c r="K2" s="168"/>
      <c r="L2" s="168"/>
      <c r="M2" s="168"/>
      <c r="N2" s="121"/>
      <c r="O2" s="132"/>
    </row>
    <row r="3" spans="1:15" ht="15.75" customHeight="1">
      <c r="A3" s="134" t="s">
        <v>69</v>
      </c>
      <c r="B3" s="135">
        <f>HLOOKUP(A3, 'Stats for Zce 0.41'!$A$1:$AC$116, $G$2,FALSE)</f>
        <v>2.9199999999999999E-3</v>
      </c>
      <c r="C3" s="132">
        <v>10</v>
      </c>
      <c r="D3" s="121" t="e">
        <f t="shared" ref="D3:D18" ca="1" si="0">pow(2,C3)</f>
        <v>#NAME?</v>
      </c>
      <c r="E3" s="136" t="e">
        <f t="shared" ref="E3:E18" ca="1" si="1">B3/D3*1000000</f>
        <v>#NAME?</v>
      </c>
      <c r="F3" s="121"/>
      <c r="G3" s="121"/>
      <c r="I3" s="151"/>
      <c r="J3" s="121"/>
      <c r="K3" s="132"/>
      <c r="L3" s="121"/>
      <c r="M3" s="149"/>
      <c r="N3" s="121"/>
      <c r="O3" s="121"/>
    </row>
    <row r="4" spans="1:15" ht="15.75" customHeight="1">
      <c r="A4" s="134" t="s">
        <v>70</v>
      </c>
      <c r="B4" s="135">
        <f>HLOOKUP(A4, 'Stats for Zce 0.41'!$A$1:$AC$116, $G$2,FALSE)</f>
        <v>1.065E-3</v>
      </c>
      <c r="C4" s="132">
        <v>10</v>
      </c>
      <c r="D4" s="121" t="e">
        <f t="shared" ca="1" si="0"/>
        <v>#NAME?</v>
      </c>
      <c r="E4" s="136" t="e">
        <f t="shared" ca="1" si="1"/>
        <v>#NAME?</v>
      </c>
      <c r="F4" s="121"/>
      <c r="G4" s="121"/>
      <c r="I4" s="151"/>
      <c r="J4" s="121"/>
      <c r="K4" s="132"/>
      <c r="L4" s="121"/>
      <c r="M4" s="149"/>
      <c r="N4" s="121"/>
      <c r="O4" s="121"/>
    </row>
    <row r="5" spans="1:15" ht="15.75" customHeight="1">
      <c r="A5" s="137" t="s">
        <v>71</v>
      </c>
      <c r="B5" s="135">
        <f>HLOOKUP(A5, 'Stats for Zce 0.41'!$A$1:$AC$116, $G$2,FALSE)</f>
        <v>2.1000000000000001E-4</v>
      </c>
      <c r="C5" s="132">
        <v>10</v>
      </c>
      <c r="D5" s="121" t="e">
        <f t="shared" ca="1" si="0"/>
        <v>#NAME?</v>
      </c>
      <c r="E5" s="136" t="e">
        <f t="shared" ca="1" si="1"/>
        <v>#NAME?</v>
      </c>
      <c r="F5" s="121"/>
      <c r="G5" s="121"/>
      <c r="I5" s="39"/>
      <c r="J5" s="121"/>
      <c r="K5" s="132"/>
      <c r="L5" s="121"/>
      <c r="M5" s="149"/>
      <c r="N5" s="121"/>
      <c r="O5" s="121"/>
    </row>
    <row r="6" spans="1:15" ht="15.75" customHeight="1">
      <c r="A6" s="138" t="s">
        <v>72</v>
      </c>
      <c r="B6" s="135">
        <f>HLOOKUP(A6, 'Stats for Zce 0.41'!$A$1:$AC$116, $G$2,FALSE)</f>
        <v>2.6499999999999999E-4</v>
      </c>
      <c r="C6" s="132">
        <v>10</v>
      </c>
      <c r="D6" s="121" t="e">
        <f t="shared" ca="1" si="0"/>
        <v>#NAME?</v>
      </c>
      <c r="E6" s="136" t="e">
        <f t="shared" ca="1" si="1"/>
        <v>#NAME?</v>
      </c>
      <c r="F6" s="121"/>
      <c r="G6" s="121"/>
      <c r="I6" s="140"/>
      <c r="J6" s="121"/>
      <c r="K6" s="132"/>
      <c r="L6" s="121"/>
      <c r="M6" s="149"/>
      <c r="N6" s="121"/>
      <c r="O6" s="121"/>
    </row>
    <row r="7" spans="1:15" ht="15.75" customHeight="1">
      <c r="A7" s="134" t="s">
        <v>74</v>
      </c>
      <c r="B7" s="135">
        <f>HLOOKUP(A7, 'Stats for Zce 0.41'!$A$1:$AC$116, $G$2,FALSE)</f>
        <v>1.25E-3</v>
      </c>
      <c r="C7" s="132">
        <v>10</v>
      </c>
      <c r="D7" s="121" t="e">
        <f t="shared" ca="1" si="0"/>
        <v>#NAME?</v>
      </c>
      <c r="E7" s="136" t="e">
        <f t="shared" ca="1" si="1"/>
        <v>#NAME?</v>
      </c>
      <c r="F7" s="121"/>
      <c r="G7" s="121"/>
      <c r="I7" s="151"/>
      <c r="J7" s="121"/>
      <c r="K7" s="132"/>
      <c r="L7" s="121"/>
      <c r="M7" s="149"/>
      <c r="N7" s="121"/>
      <c r="O7" s="121"/>
    </row>
    <row r="8" spans="1:15" ht="15.75" customHeight="1">
      <c r="A8" s="134" t="s">
        <v>73</v>
      </c>
      <c r="B8" s="135">
        <f>HLOOKUP(A8, 'Stats for Zce 0.41'!$A$1:$AC$116, $G$2,FALSE)</f>
        <v>7.6000000000000004E-4</v>
      </c>
      <c r="C8" s="132">
        <v>10</v>
      </c>
      <c r="D8" s="121" t="e">
        <f t="shared" ca="1" si="0"/>
        <v>#NAME?</v>
      </c>
      <c r="E8" s="136" t="e">
        <f t="shared" ca="1" si="1"/>
        <v>#NAME?</v>
      </c>
      <c r="F8" s="121"/>
      <c r="G8" s="121"/>
      <c r="I8" s="151"/>
      <c r="J8" s="121"/>
      <c r="K8" s="132"/>
      <c r="L8" s="121"/>
      <c r="M8" s="149"/>
      <c r="N8" s="121"/>
      <c r="O8" s="121"/>
    </row>
    <row r="9" spans="1:15" ht="15.75" customHeight="1">
      <c r="A9" s="134" t="s">
        <v>27</v>
      </c>
      <c r="B9" s="135">
        <f>HLOOKUP(A9, 'Stats for Zce 0.41'!$A$1:$AC$116, $G$2,FALSE)</f>
        <v>1.2700000000000001E-3</v>
      </c>
      <c r="C9" s="132">
        <v>3</v>
      </c>
      <c r="D9" s="121" t="e">
        <f t="shared" ca="1" si="0"/>
        <v>#NAME?</v>
      </c>
      <c r="E9" s="136" t="e">
        <f t="shared" ca="1" si="1"/>
        <v>#NAME?</v>
      </c>
      <c r="F9" s="121"/>
      <c r="G9" s="121"/>
      <c r="I9" s="151"/>
      <c r="J9" s="121"/>
      <c r="K9" s="132"/>
      <c r="L9" s="121"/>
      <c r="M9" s="149"/>
      <c r="N9" s="121"/>
      <c r="O9" s="121"/>
    </row>
    <row r="10" spans="1:15" ht="15.75" customHeight="1">
      <c r="A10" s="134" t="s">
        <v>30</v>
      </c>
      <c r="B10" s="135">
        <f>HLOOKUP(A10, 'Stats for Zce 0.41'!$A$1:$AC$116, $G$2,FALSE)</f>
        <v>7.2999999999999996E-4</v>
      </c>
      <c r="C10" s="132">
        <v>3</v>
      </c>
      <c r="D10" s="121" t="e">
        <f t="shared" ca="1" si="0"/>
        <v>#NAME?</v>
      </c>
      <c r="E10" s="136" t="e">
        <f t="shared" ca="1" si="1"/>
        <v>#NAME?</v>
      </c>
      <c r="F10" s="121"/>
      <c r="G10" s="121"/>
      <c r="I10" s="151"/>
      <c r="J10" s="121"/>
      <c r="K10" s="132"/>
      <c r="L10" s="121"/>
      <c r="M10" s="149"/>
      <c r="N10" s="121"/>
      <c r="O10" s="121"/>
    </row>
    <row r="11" spans="1:15" ht="15.75" customHeight="1">
      <c r="A11" s="134" t="s">
        <v>25</v>
      </c>
      <c r="B11" s="135">
        <f>HLOOKUP(A11, 'Stats for Zce 0.41'!$A$1:$AC$116, $G$2,FALSE)</f>
        <v>4.4000000000000002E-4</v>
      </c>
      <c r="C11" s="132">
        <v>6</v>
      </c>
      <c r="D11" s="121" t="e">
        <f t="shared" ca="1" si="0"/>
        <v>#NAME?</v>
      </c>
      <c r="E11" s="136" t="e">
        <f t="shared" ca="1" si="1"/>
        <v>#NAME?</v>
      </c>
      <c r="F11" s="121"/>
      <c r="G11" s="121"/>
      <c r="I11" s="151"/>
      <c r="J11" s="121"/>
      <c r="K11" s="132"/>
      <c r="L11" s="121"/>
      <c r="M11" s="149"/>
      <c r="N11" s="121"/>
      <c r="O11" s="121"/>
    </row>
    <row r="12" spans="1:15" ht="15.75" customHeight="1">
      <c r="A12" s="152" t="s">
        <v>65</v>
      </c>
      <c r="B12" s="135">
        <f>HLOOKUP(A12, 'Stats for Zce 0.41'!$A$1:$AC$116, $G$2,FALSE)</f>
        <v>3.6249999999999998E-3</v>
      </c>
      <c r="C12" s="132">
        <v>6</v>
      </c>
      <c r="D12" s="121" t="e">
        <f t="shared" ca="1" si="0"/>
        <v>#NAME?</v>
      </c>
      <c r="E12" s="136" t="e">
        <f t="shared" ca="1" si="1"/>
        <v>#NAME?</v>
      </c>
      <c r="F12" s="121"/>
      <c r="G12" s="121"/>
      <c r="I12" s="153"/>
      <c r="J12" s="121"/>
      <c r="K12" s="132"/>
      <c r="L12" s="121"/>
      <c r="M12" s="149"/>
      <c r="N12" s="121"/>
      <c r="O12" s="121"/>
    </row>
    <row r="13" spans="1:15" ht="15.75" customHeight="1">
      <c r="A13" s="134" t="s">
        <v>22</v>
      </c>
      <c r="B13" s="135">
        <f>HLOOKUP(A13, 'Stats for Zce 0.41'!$A$1:$AC$116, $G$2,FALSE)</f>
        <v>3.5E-4</v>
      </c>
      <c r="C13" s="132">
        <v>3</v>
      </c>
      <c r="D13" s="121" t="e">
        <f t="shared" ca="1" si="0"/>
        <v>#NAME?</v>
      </c>
      <c r="E13" s="136" t="e">
        <f t="shared" ca="1" si="1"/>
        <v>#NAME?</v>
      </c>
      <c r="F13" s="121"/>
      <c r="G13" s="121"/>
      <c r="I13" s="151"/>
      <c r="J13" s="121"/>
      <c r="K13" s="132"/>
      <c r="L13" s="121"/>
      <c r="M13" s="149"/>
      <c r="N13" s="121"/>
      <c r="O13" s="121"/>
    </row>
    <row r="14" spans="1:15" ht="15.75" customHeight="1">
      <c r="A14" s="134" t="s">
        <v>21</v>
      </c>
      <c r="B14" s="135">
        <f>HLOOKUP(A14, 'Stats for Zce 0.41'!$A$1:$AC$116, $G$2,FALSE)</f>
        <v>1.8500000000000001E-3</v>
      </c>
      <c r="C14" s="132">
        <v>3</v>
      </c>
      <c r="D14" s="121" t="e">
        <f t="shared" ca="1" si="0"/>
        <v>#NAME?</v>
      </c>
      <c r="E14" s="136" t="e">
        <f t="shared" ca="1" si="1"/>
        <v>#NAME?</v>
      </c>
      <c r="F14" s="121"/>
      <c r="G14" s="121"/>
      <c r="I14" s="151"/>
      <c r="J14" s="121"/>
      <c r="K14" s="132"/>
      <c r="L14" s="121"/>
      <c r="M14" s="149"/>
      <c r="N14" s="121"/>
      <c r="O14" s="121"/>
    </row>
    <row r="15" spans="1:15" ht="15.75" customHeight="1">
      <c r="A15" s="134" t="s">
        <v>20</v>
      </c>
      <c r="B15" s="121" t="str">
        <f>HLOOKUP(A15, 'Stats for Zce 0.41'!$A$1:$AC$116, $G$2,FALSE)</f>
        <v>N/A</v>
      </c>
      <c r="C15" s="132">
        <v>3</v>
      </c>
      <c r="D15" s="121" t="e">
        <f t="shared" ca="1" si="0"/>
        <v>#NAME?</v>
      </c>
      <c r="E15" s="136" t="e">
        <f t="shared" ca="1" si="1"/>
        <v>#VALUE!</v>
      </c>
      <c r="F15" s="132" t="s">
        <v>118</v>
      </c>
      <c r="G15" s="121"/>
      <c r="I15" s="151"/>
      <c r="J15" s="121"/>
      <c r="K15" s="132"/>
      <c r="L15" s="121"/>
      <c r="M15" s="149"/>
      <c r="N15" s="121"/>
      <c r="O15" s="121"/>
    </row>
    <row r="16" spans="1:15" ht="15.75" customHeight="1">
      <c r="A16" s="134" t="s">
        <v>17</v>
      </c>
      <c r="B16" s="135">
        <f>HLOOKUP(A16, 'Stats for Zce 0.41'!$A$1:$AC$116, $G$2,FALSE)</f>
        <v>7.45E-4</v>
      </c>
      <c r="C16" s="132">
        <v>3</v>
      </c>
      <c r="D16" s="121" t="e">
        <f t="shared" ca="1" si="0"/>
        <v>#NAME?</v>
      </c>
      <c r="E16" s="136" t="e">
        <f t="shared" ca="1" si="1"/>
        <v>#NAME?</v>
      </c>
      <c r="F16" s="121"/>
      <c r="G16" s="121"/>
      <c r="I16" s="151"/>
      <c r="J16" s="121"/>
      <c r="K16" s="132"/>
      <c r="L16" s="121"/>
      <c r="M16" s="149"/>
      <c r="N16" s="121"/>
      <c r="O16" s="121"/>
    </row>
    <row r="17" spans="1:15" ht="15.75" customHeight="1">
      <c r="A17" s="134" t="s">
        <v>15</v>
      </c>
      <c r="B17" s="135">
        <f>HLOOKUP(A17, 'Stats for Zce 0.41'!$A$1:$AC$116, $G$2,FALSE)</f>
        <v>9.5999999999999992E-4</v>
      </c>
      <c r="C17" s="132">
        <v>3</v>
      </c>
      <c r="D17" s="121" t="e">
        <f t="shared" ca="1" si="0"/>
        <v>#NAME?</v>
      </c>
      <c r="E17" s="136" t="e">
        <f t="shared" ca="1" si="1"/>
        <v>#NAME?</v>
      </c>
      <c r="F17" s="121"/>
      <c r="G17" s="121"/>
      <c r="I17" s="151"/>
      <c r="J17" s="121"/>
      <c r="K17" s="132"/>
      <c r="L17" s="121"/>
      <c r="M17" s="149"/>
      <c r="N17" s="121"/>
      <c r="O17" s="121"/>
    </row>
    <row r="18" spans="1:15" ht="15.75" customHeight="1">
      <c r="A18" s="140" t="s">
        <v>224</v>
      </c>
      <c r="B18" s="141">
        <f>HLOOKUP(A18, 'Stats for Zce 0.41'!$A$1:$AC$116, $G$2,FALSE)</f>
        <v>6.0099999999999997E-3</v>
      </c>
      <c r="C18" s="142">
        <v>8</v>
      </c>
      <c r="D18" s="143" t="e">
        <f t="shared" ca="1" si="0"/>
        <v>#NAME?</v>
      </c>
      <c r="E18" s="144" t="e">
        <f t="shared" ca="1" si="1"/>
        <v>#NAME?</v>
      </c>
      <c r="F18" s="121"/>
      <c r="G18" s="121"/>
      <c r="I18" s="140"/>
      <c r="J18" s="121"/>
      <c r="K18" s="132"/>
      <c r="L18" s="121"/>
      <c r="M18" s="149"/>
      <c r="N18" s="121"/>
      <c r="O18" s="121"/>
    </row>
    <row r="19" spans="1:15">
      <c r="A19" s="174" t="s">
        <v>225</v>
      </c>
      <c r="B19" s="175"/>
      <c r="C19" s="175"/>
      <c r="D19" s="175"/>
      <c r="E19" s="176"/>
      <c r="F19" s="121"/>
      <c r="G19" s="121"/>
      <c r="I19" s="177"/>
      <c r="J19" s="168"/>
      <c r="K19" s="168"/>
      <c r="L19" s="168"/>
      <c r="M19" s="168"/>
      <c r="N19" s="121"/>
      <c r="O19" s="121"/>
    </row>
    <row r="20" spans="1:15" ht="15.75" customHeight="1">
      <c r="A20" s="145" t="s">
        <v>86</v>
      </c>
      <c r="B20" s="146">
        <f>IF(ISNUMBER(HLOOKUP("PUSHPOP wrt MSR", 'Stats for Zce 0.41'!$A$1:$AC$116, $G$2,FALSE)),HLOOKUP("PUSHPOP wrt MSR", 'Stats for Zce 0.41'!$A$1:$AC$116, $G$2,FALSE),HLOOKUP("PUSHPOP", 'Stats for Zce 0.41'!$A$1:$AC$116, $G$2,FALSE))</f>
        <v>0.10405</v>
      </c>
      <c r="C20" s="147" t="s">
        <v>226</v>
      </c>
      <c r="D20" s="147">
        <f>2*5*8+5*8*2</f>
        <v>160</v>
      </c>
      <c r="E20" s="136">
        <f>B20/D20*1000000</f>
        <v>650.31250000000011</v>
      </c>
      <c r="F20" s="132" t="s">
        <v>227</v>
      </c>
      <c r="G20" s="121"/>
      <c r="I20" s="140"/>
      <c r="J20" s="121"/>
      <c r="K20" s="132"/>
      <c r="L20" s="132"/>
      <c r="M20" s="149"/>
      <c r="N20" s="132"/>
      <c r="O20" s="121"/>
    </row>
    <row r="21" spans="1:15">
      <c r="A21" s="174" t="s">
        <v>228</v>
      </c>
      <c r="B21" s="175"/>
      <c r="C21" s="175"/>
      <c r="D21" s="175"/>
      <c r="E21" s="176"/>
      <c r="F21" s="121"/>
      <c r="G21" s="121"/>
      <c r="I21" s="177"/>
      <c r="J21" s="168"/>
      <c r="K21" s="168"/>
      <c r="L21" s="168"/>
      <c r="M21" s="168"/>
      <c r="N21" s="121"/>
      <c r="O21" s="121"/>
    </row>
    <row r="22" spans="1:15" ht="15.75" customHeight="1">
      <c r="A22" s="134" t="s">
        <v>44</v>
      </c>
      <c r="B22" s="135">
        <f>HLOOKUP(A22, 'Stats for Zce 0.41'!$A$1:$AC$116, $G$2,FALSE)</f>
        <v>8.8000000000000003E-4</v>
      </c>
      <c r="C22" s="132">
        <v>21</v>
      </c>
      <c r="D22" s="121" t="e">
        <f t="shared" ref="D22:D24" ca="1" si="2">pow(2,C22)</f>
        <v>#NAME?</v>
      </c>
      <c r="E22" s="136" t="e">
        <f t="shared" ref="E22:E24" ca="1" si="3">B22/D22*1000000</f>
        <v>#NAME?</v>
      </c>
      <c r="F22" s="121"/>
      <c r="G22" s="121"/>
      <c r="I22" s="151"/>
      <c r="J22" s="121"/>
      <c r="K22" s="132"/>
      <c r="L22" s="121"/>
      <c r="M22" s="149"/>
      <c r="N22" s="121"/>
      <c r="O22" s="121"/>
    </row>
    <row r="23" spans="1:15" ht="15.75" customHeight="1">
      <c r="A23" s="134" t="s">
        <v>46</v>
      </c>
      <c r="B23" s="135">
        <f>HLOOKUP(A23, 'Stats for Zce 0.41'!$A$1:$AC$116, $G$2,FALSE)</f>
        <v>1.9499999999999999E-3</v>
      </c>
      <c r="C23" s="132">
        <v>21</v>
      </c>
      <c r="D23" s="121" t="e">
        <f t="shared" ca="1" si="2"/>
        <v>#NAME?</v>
      </c>
      <c r="E23" s="136" t="e">
        <f t="shared" ca="1" si="3"/>
        <v>#NAME?</v>
      </c>
      <c r="F23" s="121"/>
      <c r="G23" s="121"/>
      <c r="I23" s="151"/>
      <c r="J23" s="121"/>
      <c r="K23" s="132"/>
      <c r="L23" s="121"/>
      <c r="M23" s="149"/>
      <c r="N23" s="121"/>
      <c r="O23" s="121"/>
    </row>
    <row r="24" spans="1:15" ht="15.75" customHeight="1">
      <c r="A24" s="148" t="s">
        <v>83</v>
      </c>
      <c r="B24" s="141">
        <f>HLOOKUP(A24, 'Stats for Zce 0.41'!$A$1:$AC$116, $G$2,FALSE)</f>
        <v>5.0000000000000131E-6</v>
      </c>
      <c r="C24" s="142">
        <v>18</v>
      </c>
      <c r="D24" s="143" t="e">
        <f t="shared" ca="1" si="2"/>
        <v>#NAME?</v>
      </c>
      <c r="E24" s="144" t="e">
        <f t="shared" ca="1" si="3"/>
        <v>#NAME?</v>
      </c>
      <c r="F24" s="121"/>
      <c r="G24" s="121"/>
      <c r="I24" s="151"/>
      <c r="J24" s="121"/>
      <c r="K24" s="132"/>
      <c r="L24" s="121"/>
      <c r="M24" s="149"/>
      <c r="N24" s="121"/>
      <c r="O24" s="121"/>
    </row>
    <row r="26" spans="1:15" ht="15.75" customHeight="1">
      <c r="A26" s="3" t="s">
        <v>229</v>
      </c>
      <c r="B26" s="127">
        <f>SUM(B3:B24)</f>
        <v>0.12933500000000001</v>
      </c>
    </row>
  </sheetData>
  <mergeCells count="6">
    <mergeCell ref="A2:E2"/>
    <mergeCell ref="I2:M2"/>
    <mergeCell ref="A19:E19"/>
    <mergeCell ref="I19:M19"/>
    <mergeCell ref="A21:E21"/>
    <mergeCell ref="I21:M21"/>
  </mergeCells>
  <conditionalFormatting sqref="B26">
    <cfRule type="cellIs" dxfId="62" priority="1" operator="greaterThan">
      <formula>"15%"</formula>
    </cfRule>
  </conditionalFormatting>
  <conditionalFormatting sqref="B26">
    <cfRule type="cellIs" dxfId="61" priority="2" operator="between">
      <formula>"10%"</formula>
      <formula>"15%"</formula>
    </cfRule>
  </conditionalFormatting>
  <conditionalFormatting sqref="B26">
    <cfRule type="cellIs" dxfId="60" priority="3" operator="between">
      <formula>"5%"</formula>
      <formula>"10%"</formula>
    </cfRule>
  </conditionalFormatting>
  <conditionalFormatting sqref="B26">
    <cfRule type="cellIs" dxfId="59" priority="4" operator="between">
      <formula>"1%"</formula>
      <formula>"5%"</formula>
    </cfRule>
  </conditionalFormatting>
  <conditionalFormatting sqref="B26">
    <cfRule type="cellIs" dxfId="58" priority="5" operator="between">
      <formula>"0.50%"</formula>
      <formula>"1.00%"</formula>
    </cfRule>
  </conditionalFormatting>
  <conditionalFormatting sqref="B26">
    <cfRule type="cellIs" dxfId="57" priority="6" operator="between">
      <formula>"0.10%"</formula>
      <formula>"0.50%"</formula>
    </cfRule>
  </conditionalFormatting>
  <conditionalFormatting sqref="B26">
    <cfRule type="cellIs" dxfId="56" priority="7" operator="lessThan">
      <formula>"0.10%"</formula>
    </cfRule>
  </conditionalFormatting>
  <conditionalFormatting sqref="E3:E18 M3:M18 E20">
    <cfRule type="cellIs" dxfId="55" priority="8" operator="greaterThan">
      <formula>100</formula>
    </cfRule>
  </conditionalFormatting>
  <conditionalFormatting sqref="E3:E18 M3:M18 E20">
    <cfRule type="cellIs" dxfId="54" priority="9" operator="greaterThan">
      <formula>50</formula>
    </cfRule>
  </conditionalFormatting>
  <conditionalFormatting sqref="E3:E18 M3:M18 E20 M20 E22:E24 M22:M24">
    <cfRule type="cellIs" dxfId="53" priority="10" operator="greaterThan">
      <formula>10</formula>
    </cfRule>
  </conditionalFormatting>
  <conditionalFormatting sqref="B3:B18 J3:J18 B20 J20 B22:B24 J22:J24">
    <cfRule type="cellIs" dxfId="52" priority="11" operator="greaterThanOrEqual">
      <formula>"0.50%"</formula>
    </cfRule>
  </conditionalFormatting>
  <conditionalFormatting sqref="B3:B18 J3:J18 B20 J20 B22:B24 J22:J24">
    <cfRule type="cellIs" dxfId="51" priority="12" operator="greaterThanOrEqual">
      <formula>"0.10%"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ISA status</vt:lpstr>
      <vt:lpstr>Stats for Zce 0.41</vt:lpstr>
      <vt:lpstr>ALL summary</vt:lpstr>
      <vt:lpstr>IoT Summary</vt:lpstr>
      <vt:lpstr>Embench Summary</vt:lpstr>
      <vt:lpstr>Debian Summary</vt:lpstr>
      <vt:lpstr>FPMark Summary</vt:lpstr>
      <vt:lpstr>Coremark summary</vt:lpstr>
      <vt:lpstr>Softfloat summary</vt:lpstr>
      <vt:lpstr>Audio summary</vt:lpstr>
      <vt:lpstr>Google v8 summary</vt:lpstr>
      <vt:lpstr>Huawei IoT Short Summary</vt:lpstr>
      <vt:lpstr>Audio Short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Kurd</dc:creator>
  <cp:lastModifiedBy>Tariq Kurd</cp:lastModifiedBy>
  <dcterms:created xsi:type="dcterms:W3CDTF">2021-05-18T12:50:14Z</dcterms:created>
  <dcterms:modified xsi:type="dcterms:W3CDTF">2021-05-18T12:50:15Z</dcterms:modified>
</cp:coreProperties>
</file>