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o\Desktop\UABC\Ing Economica\"/>
    </mc:Choice>
  </mc:AlternateContent>
  <bookViews>
    <workbookView xWindow="0" yWindow="0" windowWidth="15345" windowHeight="4545"/>
  </bookViews>
  <sheets>
    <sheet name="Flujo de Efectivo" sheetId="1" r:id="rId1"/>
    <sheet name="Tabla de amortización de pagos " sheetId="2" r:id="rId2"/>
    <sheet name="Estado de Resultados" sheetId="3" r:id="rId3"/>
    <sheet name="Punto de Equilibrio" sheetId="4" r:id="rId4"/>
    <sheet name="Balance General" sheetId="5" r:id="rId5"/>
    <sheet name="VPN, TREMA" sheetId="7" r:id="rId6"/>
  </sheets>
  <definedNames>
    <definedName name="INVERSION_INICIAL">'VPN, TREMA'!$C$26</definedName>
    <definedName name="TASA_DE_DESCUENTO">'VPN, TREMA'!$D$21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F11" i="3"/>
  <c r="G11" i="3"/>
  <c r="G35" i="3" s="1"/>
  <c r="G38" i="3" s="1"/>
  <c r="G45" i="3" s="1"/>
  <c r="E33" i="3"/>
  <c r="E35" i="3" s="1"/>
  <c r="E38" i="3" s="1"/>
  <c r="E45" i="3" s="1"/>
  <c r="F33" i="3"/>
  <c r="G33" i="3"/>
  <c r="F35" i="3"/>
  <c r="F38" i="3" s="1"/>
  <c r="F45" i="3" s="1"/>
  <c r="D45" i="3"/>
  <c r="G7" i="7"/>
  <c r="G8" i="7"/>
  <c r="G9" i="7"/>
  <c r="C28" i="7" s="1"/>
  <c r="G10" i="7"/>
  <c r="C51" i="7" s="1"/>
  <c r="C92" i="7" s="1"/>
  <c r="E92" i="7" s="1"/>
  <c r="G11" i="7"/>
  <c r="G12" i="7"/>
  <c r="G13" i="7"/>
  <c r="C32" i="7" s="1"/>
  <c r="E32" i="7" s="1"/>
  <c r="G14" i="7"/>
  <c r="C55" i="7" s="1"/>
  <c r="C96" i="7" s="1"/>
  <c r="E96" i="7" s="1"/>
  <c r="G15" i="7"/>
  <c r="C17" i="7"/>
  <c r="D17" i="7"/>
  <c r="E17" i="7"/>
  <c r="F17" i="7"/>
  <c r="C26" i="7"/>
  <c r="E26" i="7" s="1"/>
  <c r="D26" i="7"/>
  <c r="C27" i="7"/>
  <c r="D27" i="7"/>
  <c r="E27" i="7"/>
  <c r="D28" i="7"/>
  <c r="C29" i="7"/>
  <c r="E29" i="7" s="1"/>
  <c r="D29" i="7"/>
  <c r="C30" i="7"/>
  <c r="E30" i="7" s="1"/>
  <c r="D30" i="7"/>
  <c r="C31" i="7"/>
  <c r="D31" i="7"/>
  <c r="E31" i="7"/>
  <c r="D32" i="7"/>
  <c r="C33" i="7"/>
  <c r="E33" i="7" s="1"/>
  <c r="D33" i="7"/>
  <c r="C34" i="7"/>
  <c r="E34" i="7" s="1"/>
  <c r="D34" i="7"/>
  <c r="C48" i="7"/>
  <c r="D48" i="7" s="1"/>
  <c r="D49" i="7" s="1"/>
  <c r="C49" i="7"/>
  <c r="C90" i="7" s="1"/>
  <c r="C52" i="7"/>
  <c r="C53" i="7"/>
  <c r="C94" i="7" s="1"/>
  <c r="E94" i="7" s="1"/>
  <c r="C56" i="7"/>
  <c r="C72" i="7"/>
  <c r="D72" i="7"/>
  <c r="E72" i="7"/>
  <c r="F72" i="7"/>
  <c r="G72" i="7"/>
  <c r="C76" i="7"/>
  <c r="D76" i="7"/>
  <c r="E76" i="7"/>
  <c r="F76" i="7"/>
  <c r="G76" i="7"/>
  <c r="C93" i="7"/>
  <c r="E93" i="7"/>
  <c r="C97" i="7"/>
  <c r="E97" i="7"/>
  <c r="F102" i="7"/>
  <c r="E103" i="7"/>
  <c r="D20" i="5"/>
  <c r="I20" i="5"/>
  <c r="I27" i="5"/>
  <c r="I30" i="5"/>
  <c r="D34" i="5"/>
  <c r="I40" i="5"/>
  <c r="D41" i="5"/>
  <c r="D43" i="5"/>
  <c r="I43" i="5"/>
  <c r="I46" i="5" s="1"/>
  <c r="C89" i="7" l="1"/>
  <c r="E38" i="7"/>
  <c r="E28" i="7"/>
  <c r="C109" i="7"/>
  <c r="E109" i="7" s="1"/>
  <c r="C113" i="7"/>
  <c r="E113" i="7" s="1"/>
  <c r="C112" i="7"/>
  <c r="E112" i="7" s="1"/>
  <c r="C116" i="7"/>
  <c r="E116" i="7" s="1"/>
  <c r="C114" i="7"/>
  <c r="E114" i="7" s="1"/>
  <c r="C115" i="7"/>
  <c r="E115" i="7" s="1"/>
  <c r="C110" i="7"/>
  <c r="E110" i="7" s="1"/>
  <c r="C111" i="7"/>
  <c r="E111" i="7" s="1"/>
  <c r="E90" i="7"/>
  <c r="E36" i="7"/>
  <c r="C36" i="7"/>
  <c r="G17" i="7"/>
  <c r="D114" i="7"/>
  <c r="C54" i="7"/>
  <c r="C95" i="7" s="1"/>
  <c r="E95" i="7" s="1"/>
  <c r="C50" i="7"/>
  <c r="D50" i="7" s="1"/>
  <c r="D51" i="7" s="1"/>
  <c r="D52" i="7" s="1"/>
  <c r="D53" i="7" s="1"/>
  <c r="D54" i="7" s="1"/>
  <c r="D55" i="7" s="1"/>
  <c r="D56" i="7" s="1"/>
  <c r="F10" i="4"/>
  <c r="F8" i="4"/>
  <c r="F9" i="4"/>
  <c r="G10" i="4"/>
  <c r="H10" i="4"/>
  <c r="I10" i="4"/>
  <c r="B12" i="4"/>
  <c r="B13" i="4" s="1"/>
  <c r="D110" i="7" l="1"/>
  <c r="D113" i="7"/>
  <c r="D109" i="7"/>
  <c r="D111" i="7"/>
  <c r="D116" i="7"/>
  <c r="D89" i="7"/>
  <c r="D90" i="7" s="1"/>
  <c r="D115" i="7"/>
  <c r="D112" i="7"/>
  <c r="E89" i="7"/>
  <c r="F89" i="7" s="1"/>
  <c r="F90" i="7" s="1"/>
  <c r="C91" i="7"/>
  <c r="C58" i="7"/>
  <c r="F11" i="4"/>
  <c r="F12" i="4" s="1"/>
  <c r="E13" i="4"/>
  <c r="H7" i="4"/>
  <c r="D33" i="3"/>
  <c r="C33" i="3"/>
  <c r="D11" i="3"/>
  <c r="C11" i="3"/>
  <c r="E91" i="7" l="1"/>
  <c r="F91" i="7" s="1"/>
  <c r="F92" i="7" s="1"/>
  <c r="F93" i="7" s="1"/>
  <c r="F94" i="7" s="1"/>
  <c r="F95" i="7" s="1"/>
  <c r="F96" i="7" s="1"/>
  <c r="F97" i="7" s="1"/>
  <c r="C99" i="7"/>
  <c r="D91" i="7"/>
  <c r="D92" i="7" s="1"/>
  <c r="D93" i="7" s="1"/>
  <c r="D94" i="7" s="1"/>
  <c r="D95" i="7" s="1"/>
  <c r="D96" i="7" s="1"/>
  <c r="D97" i="7" s="1"/>
  <c r="G7" i="4"/>
  <c r="I7" i="4" s="1"/>
  <c r="H8" i="4"/>
  <c r="H9" i="4"/>
  <c r="H11" i="4" s="1"/>
  <c r="C35" i="3"/>
  <c r="C38" i="3" s="1"/>
  <c r="C45" i="3" s="1"/>
  <c r="D35" i="3"/>
  <c r="D38" i="3" s="1"/>
  <c r="E2" i="2"/>
  <c r="F2" i="2"/>
  <c r="G2" i="2" s="1"/>
  <c r="E3" i="2"/>
  <c r="F3" i="2"/>
  <c r="G3" i="2" s="1"/>
  <c r="B4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H12" i="4" l="1"/>
  <c r="I9" i="4"/>
  <c r="I11" i="4" s="1"/>
  <c r="I8" i="4"/>
  <c r="G8" i="4"/>
  <c r="G9" i="4"/>
  <c r="G11" i="4" s="1"/>
  <c r="G22" i="2"/>
  <c r="G18" i="2"/>
  <c r="G14" i="2"/>
  <c r="G10" i="2"/>
  <c r="G5" i="2"/>
  <c r="G23" i="2"/>
  <c r="G19" i="2"/>
  <c r="G15" i="2"/>
  <c r="G11" i="2"/>
  <c r="G7" i="2"/>
  <c r="G24" i="2"/>
  <c r="G20" i="2"/>
  <c r="G16" i="2"/>
  <c r="G12" i="2"/>
  <c r="G8" i="2"/>
  <c r="G4" i="2"/>
  <c r="G6" i="2"/>
  <c r="G25" i="2"/>
  <c r="G21" i="2"/>
  <c r="G17" i="2"/>
  <c r="G13" i="2"/>
  <c r="G9" i="2"/>
  <c r="G12" i="4" l="1"/>
  <c r="I12" i="4"/>
  <c r="B10" i="1"/>
  <c r="B11" i="1" s="1"/>
  <c r="B16" i="1" s="1"/>
  <c r="M43" i="1"/>
  <c r="M33" i="1"/>
  <c r="F18" i="1"/>
  <c r="I13" i="1"/>
  <c r="I10" i="1"/>
  <c r="F9" i="1"/>
  <c r="F13" i="1" s="1"/>
  <c r="F19" i="1" l="1"/>
  <c r="M7" i="1"/>
  <c r="M23" i="1" s="1"/>
  <c r="M47" i="1" s="1"/>
  <c r="M50" i="1" s="1"/>
  <c r="I17" i="1"/>
  <c r="I18" i="1" s="1"/>
  <c r="I19" i="1" s="1"/>
  <c r="H22" i="1" s="1"/>
</calcChain>
</file>

<file path=xl/sharedStrings.xml><?xml version="1.0" encoding="utf-8"?>
<sst xmlns="http://schemas.openxmlformats.org/spreadsheetml/2006/main" count="264" uniqueCount="235">
  <si>
    <t>Balance General</t>
  </si>
  <si>
    <t>2019 Enero</t>
  </si>
  <si>
    <t>Enero</t>
  </si>
  <si>
    <t>Ingresos</t>
  </si>
  <si>
    <t>En MXN</t>
  </si>
  <si>
    <t>Flujo de Efectivo</t>
  </si>
  <si>
    <t>Costo de Ventas</t>
  </si>
  <si>
    <t>Ganancia Bruta</t>
  </si>
  <si>
    <t>Activos</t>
  </si>
  <si>
    <t>Pasivos y Capital</t>
  </si>
  <si>
    <t>Operaciones</t>
  </si>
  <si>
    <t>2019 Ene</t>
  </si>
  <si>
    <t>Operación:</t>
  </si>
  <si>
    <t>Activo Circulante</t>
  </si>
  <si>
    <t>Pasivo Circulante</t>
  </si>
  <si>
    <t>Ingreso Neto</t>
  </si>
  <si>
    <t>Gastos de Venta</t>
  </si>
  <si>
    <t>Efectivo y Equivalentes</t>
  </si>
  <si>
    <t>Cuentas por pagar</t>
  </si>
  <si>
    <t>Gastos Administrativos</t>
  </si>
  <si>
    <t>Efectivo Total</t>
  </si>
  <si>
    <t>Compromisos</t>
  </si>
  <si>
    <t>Depreciación, Amortización y otros elementos no-efectivo</t>
  </si>
  <si>
    <t>Gastos totales de Operación</t>
  </si>
  <si>
    <t>Total Pasivo Circulante</t>
  </si>
  <si>
    <t>Compensación en Acciones</t>
  </si>
  <si>
    <t>Ingresos de operación</t>
  </si>
  <si>
    <t>Cuentas por Cobrar</t>
  </si>
  <si>
    <t>Pérdidas (ganancias) netas en inversiones y derivados</t>
  </si>
  <si>
    <t>Depreciación</t>
  </si>
  <si>
    <t>Inventarios</t>
  </si>
  <si>
    <t>Pasivo a Largo Plazo</t>
  </si>
  <si>
    <t>Excess tax benefits from stock-based compensation</t>
  </si>
  <si>
    <t>Otros ingresos (Gastos)</t>
  </si>
  <si>
    <t>Activo Circulante Total</t>
  </si>
  <si>
    <t>Total Pasivos Largo Plazo</t>
  </si>
  <si>
    <t>Impuestos Diferidos</t>
  </si>
  <si>
    <t>Ingresos antes de impuestos</t>
  </si>
  <si>
    <t>Ingresos No Merecidas - Diferidas</t>
  </si>
  <si>
    <t>Impuestos</t>
  </si>
  <si>
    <t>Propiedades y Equipo</t>
  </si>
  <si>
    <t>Capital</t>
  </si>
  <si>
    <t>Reconocimiento de Ganancias no Merecidas</t>
  </si>
  <si>
    <t>Ingresos Netos</t>
  </si>
  <si>
    <t>Depreciación Acumulada</t>
  </si>
  <si>
    <t>Acciones comunes</t>
  </si>
  <si>
    <t>Activos Intangibles</t>
  </si>
  <si>
    <t>Ganancia Retenida 2019</t>
  </si>
  <si>
    <t>Activo Largo Plazo Total</t>
  </si>
  <si>
    <t>Capital Total</t>
  </si>
  <si>
    <t>Otros activos circulantes</t>
  </si>
  <si>
    <t>Activos Totales</t>
  </si>
  <si>
    <t>Total Capital y Pasivos</t>
  </si>
  <si>
    <t>Otros activos largo plazo</t>
  </si>
  <si>
    <t>Otros Pasivos circulantes</t>
  </si>
  <si>
    <t>Otros pasivos largo-plazo</t>
  </si>
  <si>
    <t>A=P+C</t>
  </si>
  <si>
    <t>Efectivo de operaciones</t>
  </si>
  <si>
    <t>Financiamiento</t>
  </si>
  <si>
    <t>Préstamos a corto plazo (90 días)</t>
  </si>
  <si>
    <t>Deuda de largo plazo</t>
  </si>
  <si>
    <t>Repayments of debt, maturities longer than 90 days</t>
  </si>
  <si>
    <t>Acciones emitidas (comunes)</t>
  </si>
  <si>
    <t>Acciones recompradas</t>
  </si>
  <si>
    <t>Dividendos Pagados</t>
  </si>
  <si>
    <t>Efectivo usado en Financiamiento</t>
  </si>
  <si>
    <t>Inversiones</t>
  </si>
  <si>
    <t>Compras a propiedad y equipo</t>
  </si>
  <si>
    <t>Compras de Compañías</t>
  </si>
  <si>
    <t>Compras de Inversiones</t>
  </si>
  <si>
    <t>Inversiones que terminan</t>
  </si>
  <si>
    <t>Ventas de Inversiones</t>
  </si>
  <si>
    <t>Prestámos de activos pagables</t>
  </si>
  <si>
    <t>Efectivo de Inversiones</t>
  </si>
  <si>
    <t>Efectos del tipo de cambio</t>
  </si>
  <si>
    <t>Cambio neto en efectivo y equivalentes de Efectivo</t>
  </si>
  <si>
    <t>Efectivo y Equivalentes al final del periodo</t>
  </si>
  <si>
    <t>Estado de resultados</t>
  </si>
  <si>
    <t>Cambios en Inventario</t>
  </si>
  <si>
    <t>Efectivo y equilantes al principio del periodo</t>
  </si>
  <si>
    <t>Pago (mensual):</t>
  </si>
  <si>
    <t>Número de pagos (mensuales):</t>
  </si>
  <si>
    <t>Tasa de interés (anual):</t>
  </si>
  <si>
    <t>Saldo</t>
  </si>
  <si>
    <t>Pago Capital</t>
  </si>
  <si>
    <t>Pago Interés</t>
  </si>
  <si>
    <t># Pago</t>
  </si>
  <si>
    <t>Monto del crédito:</t>
  </si>
  <si>
    <t>Los ingresos por ventas</t>
  </si>
  <si>
    <t>(Menos devoluciones de ventas y bonificaciones)</t>
  </si>
  <si>
    <t>Ingresos por servicios</t>
  </si>
  <si>
    <t>El retorno de una inversión</t>
  </si>
  <si>
    <t>Otros ingresos</t>
  </si>
  <si>
    <t>Ingresos totales</t>
  </si>
  <si>
    <t>[42]</t>
  </si>
  <si>
    <t>Gastos</t>
  </si>
  <si>
    <t>Publicidad</t>
  </si>
  <si>
    <t>Deuda incobrable</t>
  </si>
  <si>
    <t>Comisiones</t>
  </si>
  <si>
    <t>Costo de los bienes vendidos</t>
  </si>
  <si>
    <t>Beneficios para empleados</t>
  </si>
  <si>
    <t>Muebles y equipo</t>
  </si>
  <si>
    <t>Seguro</t>
  </si>
  <si>
    <t>Gastos por intereses</t>
  </si>
  <si>
    <t>Mantenimiento y reparaciones</t>
  </si>
  <si>
    <t>Material de oficina</t>
  </si>
  <si>
    <t>Impuestos sobre la nómina</t>
  </si>
  <si>
    <t>Alquilar</t>
  </si>
  <si>
    <t>Investigación y desarrollo</t>
  </si>
  <si>
    <t>Salarios y sueldos</t>
  </si>
  <si>
    <t>Software</t>
  </si>
  <si>
    <t>Utilidades</t>
  </si>
  <si>
    <t>Alojamiento web y dominios</t>
  </si>
  <si>
    <t>Otro</t>
  </si>
  <si>
    <t>Total Gastos</t>
  </si>
  <si>
    <t>Utilidad neta antes de impuestos</t>
  </si>
  <si>
    <t>Ingreso por gastos de impuesto</t>
  </si>
  <si>
    <t>Ingreso por operaciones continuas</t>
  </si>
  <si>
    <t>{42}</t>
  </si>
  <si>
    <t>Elementos por debajo de la línea</t>
  </si>
  <si>
    <t>Ingreso por operaciones interrumpidas</t>
  </si>
  <si>
    <t>Efecto de los cambios contables</t>
  </si>
  <si>
    <t>Artículos extraordinarios</t>
  </si>
  <si>
    <t>Ingresos netos</t>
  </si>
  <si>
    <t>$ de Equilibrio</t>
  </si>
  <si>
    <t>$ Ventas Equilibrio</t>
  </si>
  <si>
    <t>Beneficio</t>
  </si>
  <si>
    <t>Q de Equilibrio</t>
  </si>
  <si>
    <t>Pto. Equilibrio</t>
  </si>
  <si>
    <t>Costo Total</t>
  </si>
  <si>
    <t>Gastos Fijos Mes</t>
  </si>
  <si>
    <t>Costo Fijo</t>
  </si>
  <si>
    <t>Coste Unitario</t>
  </si>
  <si>
    <t>Costo Variable</t>
  </si>
  <si>
    <t>Precio Venta</t>
  </si>
  <si>
    <t>$ Ventas</t>
  </si>
  <si>
    <t>Datos iniciales</t>
  </si>
  <si>
    <t>Q Ventas</t>
  </si>
  <si>
    <t>UTILIDAD</t>
  </si>
  <si>
    <t>P.E.</t>
  </si>
  <si>
    <t>PERDIDA</t>
  </si>
  <si>
    <t>Datos para el gráfico</t>
  </si>
  <si>
    <t>Vendiendo por encima de dicho punto se obtienen beneficios y vendiendo por debajo se obtienen pérdidas.</t>
  </si>
  <si>
    <t>El punto de equilibrio es aquel punto donde los Ingresos totales se igualan a los Costes totales.</t>
  </si>
  <si>
    <t>[ Nombre Compañía ]</t>
  </si>
  <si>
    <t>Plantilla De Punto de equilibrio</t>
  </si>
  <si>
    <t>SUMA DEL PASIVO + CAPITAL CONTABLE</t>
  </si>
  <si>
    <t>SUMA DEL CAPITAL CONTABLE</t>
  </si>
  <si>
    <t xml:space="preserve">SUMA DEL ACTIVO </t>
  </si>
  <si>
    <t>Total Activo Diferido</t>
  </si>
  <si>
    <t>Total Capital contable</t>
  </si>
  <si>
    <t>Otros activos diferidos</t>
  </si>
  <si>
    <t>Resultados del ejercicio</t>
  </si>
  <si>
    <t>Rentas pagadas por anticipado</t>
  </si>
  <si>
    <t>Resultados de ejercicios anteriores</t>
  </si>
  <si>
    <t>Reservas</t>
  </si>
  <si>
    <t>Activo diferido</t>
  </si>
  <si>
    <t>Capital social</t>
  </si>
  <si>
    <t>CAPITAL CONTABLE</t>
  </si>
  <si>
    <t>Total Activo Fijo</t>
  </si>
  <si>
    <t>Depreciación acumulada</t>
  </si>
  <si>
    <t>Equipo de cómputo</t>
  </si>
  <si>
    <t>SUMA DEL PASIVO</t>
  </si>
  <si>
    <t>Equipo de transporte</t>
  </si>
  <si>
    <t>Mobiliario y equipo.</t>
  </si>
  <si>
    <t>Documentos por pagar a largo plazo</t>
  </si>
  <si>
    <t>Terrenos</t>
  </si>
  <si>
    <t>Edificios</t>
  </si>
  <si>
    <t>Activo Fijo</t>
  </si>
  <si>
    <t>Total Activo Circulante</t>
  </si>
  <si>
    <t>Anticipo de clientes</t>
  </si>
  <si>
    <t>Inventario</t>
  </si>
  <si>
    <t>ISR por pagar</t>
  </si>
  <si>
    <t>Cuentas por cobrar</t>
  </si>
  <si>
    <t>Intereses por pagar</t>
  </si>
  <si>
    <t>Inversiones a corto plazo</t>
  </si>
  <si>
    <t>Acreedores</t>
  </si>
  <si>
    <t>Bancos</t>
  </si>
  <si>
    <t>Proveedores</t>
  </si>
  <si>
    <t>Caja</t>
  </si>
  <si>
    <t>PASIVO</t>
  </si>
  <si>
    <t>ACTIVO</t>
  </si>
  <si>
    <t>BALANCE GENERAL AL 31 DE DICIEMBRE DE 2014</t>
  </si>
  <si>
    <t xml:space="preserve">EMPRESA S.A. DE C.V </t>
  </si>
  <si>
    <t>[ LOGO DE TU EMPRESA]</t>
  </si>
  <si>
    <t>VF DE FC</t>
  </si>
  <si>
    <t>VF DE -Io</t>
  </si>
  <si>
    <t>VP DE FC</t>
  </si>
  <si>
    <t>AÑO</t>
  </si>
  <si>
    <t>REPRESENTACION DEL PUNTO DE CORTE ENTRE VF DE Io Y DEL FC PROYECTADO</t>
  </si>
  <si>
    <t>AÑOS</t>
  </si>
  <si>
    <t xml:space="preserve">ES DECIR QUE EL PRID ES DE </t>
  </si>
  <si>
    <t xml:space="preserve">EL TIEMPO QUE CORRESPONDE A 0.79 ES </t>
  </si>
  <si>
    <t>A 1 AÑO CORRESPONDE UNA VARIACION DE 0,79+2,91; ES DECIR 3,7</t>
  </si>
  <si>
    <t>TOTAL</t>
  </si>
  <si>
    <t>FC ACUMULADO</t>
  </si>
  <si>
    <t>FC DESCONTADO ANUAL</t>
  </si>
  <si>
    <t>ACUMULADO</t>
  </si>
  <si>
    <t xml:space="preserve"> TOTAL ANUAL</t>
  </si>
  <si>
    <t>PERIODO (AÑO)</t>
  </si>
  <si>
    <t>FC DESCONTADO</t>
  </si>
  <si>
    <t xml:space="preserve">FC HISTORICO </t>
  </si>
  <si>
    <t>,</t>
  </si>
  <si>
    <t>ANALISIS DE UNA SOLA INVERSION</t>
  </si>
  <si>
    <t>METODO DEL PERIODO DE RECUPERACION DE LA INVERSION - DESCONTADO</t>
  </si>
  <si>
    <t>PERIODOD DE CORTE</t>
  </si>
  <si>
    <t>VNA</t>
  </si>
  <si>
    <t>1 Y 4</t>
  </si>
  <si>
    <t>NSR</t>
  </si>
  <si>
    <t>PRI</t>
  </si>
  <si>
    <t>INV. E</t>
  </si>
  <si>
    <t>INV. D</t>
  </si>
  <si>
    <t>INV. C</t>
  </si>
  <si>
    <t>INV. B</t>
  </si>
  <si>
    <t>INV. A</t>
  </si>
  <si>
    <t>FC HISTORICOS</t>
  </si>
  <si>
    <t>ANALISIS DE VARIAS INVERSIONES</t>
  </si>
  <si>
    <t>FC HISTORICO ACUMULADO</t>
  </si>
  <si>
    <t>FC HISTORICO TOTAL ANUAL</t>
  </si>
  <si>
    <t>METODO DEL PERIODO DE RECUPERACION DE LA INVERSION</t>
  </si>
  <si>
    <t>CALCULO DEL VAN POR FUNCION DE EXCEL</t>
  </si>
  <si>
    <t>FC ACTUALIZADO</t>
  </si>
  <si>
    <t>FACTOR DE ACTUALIZACION</t>
  </si>
  <si>
    <t>FC HISTORICO TOTAL</t>
  </si>
  <si>
    <t>TASA DE DESCUENTO</t>
  </si>
  <si>
    <t>METODO DEL VAN</t>
  </si>
  <si>
    <t>TOTAL FC TOTAL</t>
  </si>
  <si>
    <t>RECUPERACION</t>
  </si>
  <si>
    <t>FC (DESEMBOLSOS)</t>
  </si>
  <si>
    <t>FC (INGRESOS)</t>
  </si>
  <si>
    <t>INV. INICIAL</t>
  </si>
  <si>
    <t>FLUJO DE CAJA HISTORICO</t>
  </si>
  <si>
    <t>FLUJOS DE CAJA DE LA INVERSION O PROYECTO</t>
  </si>
  <si>
    <t>Calcuradora retorno de la inversión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</si>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</sst>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7" formatCode="_(* #,##0_);_(* \(#,##0\);_(* &quot;-&quot;_);_(@_)"/>
    <numFmt numFmtId="168" formatCode="&quot;$&quot;#,##0"/>
    <numFmt numFmtId="169" formatCode="#,##0.00\ &quot;€&quot;"/>
    <numFmt numFmtId="170" formatCode="#,##0.00\ &quot;€&quot;;[Red]\-#,##0.00\ &quot;€&quot;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Franklin Gothic Demi Cond"/>
      <family val="2"/>
    </font>
    <font>
      <sz val="20"/>
      <color theme="1"/>
      <name val="Franklin Gothic Demi Cond"/>
      <family val="2"/>
    </font>
    <font>
      <sz val="12"/>
      <color theme="1"/>
      <name val="Franklin Gothic Demi Cond"/>
      <family val="2"/>
    </font>
    <font>
      <sz val="11"/>
      <color theme="1"/>
      <name val="Segoe UI Light"/>
      <family val="2"/>
    </font>
    <font>
      <sz val="14"/>
      <color theme="1"/>
      <name val="Franklin Gothic Demi Cond"/>
      <family val="2"/>
    </font>
    <font>
      <sz val="10"/>
      <name val="Arial"/>
      <family val="2"/>
    </font>
    <font>
      <sz val="16"/>
      <name val="Calibri Light"/>
      <family val="1"/>
      <scheme val="major"/>
    </font>
    <font>
      <sz val="10"/>
      <name val="Calibri Light"/>
      <family val="1"/>
      <scheme val="major"/>
    </font>
    <font>
      <b/>
      <sz val="20"/>
      <color theme="4"/>
      <name val="Calibri Light"/>
      <family val="1"/>
      <scheme val="major"/>
    </font>
    <font>
      <sz val="10"/>
      <name val="Calibri"/>
      <family val="2"/>
      <scheme val="minor"/>
    </font>
    <font>
      <b/>
      <sz val="14"/>
      <color indexed="9"/>
      <name val="Calibri Light"/>
      <family val="1"/>
      <scheme val="major"/>
    </font>
    <font>
      <b/>
      <sz val="14"/>
      <color indexed="9"/>
      <name val="Arial"/>
      <family val="2"/>
    </font>
    <font>
      <b/>
      <sz val="12"/>
      <name val="Calibri"/>
      <family val="2"/>
      <scheme val="minor"/>
    </font>
    <font>
      <sz val="2"/>
      <color indexed="9"/>
      <name val="Calibri"/>
      <family val="2"/>
      <scheme val="minor"/>
    </font>
    <font>
      <sz val="11"/>
      <name val="Courier New"/>
      <family val="3"/>
    </font>
    <font>
      <sz val="10"/>
      <name val="Calibri"/>
      <family val="2"/>
    </font>
    <font>
      <u/>
      <sz val="10"/>
      <color indexed="12"/>
      <name val="Courier New"/>
      <family val="3"/>
    </font>
    <font>
      <sz val="10"/>
      <color theme="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2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24"/>
      <color theme="3" tint="0.39997558519241921"/>
      <name val="Century Gothic"/>
      <family val="1"/>
    </font>
    <font>
      <sz val="20"/>
      <color theme="1"/>
      <name val="Century Gothic"/>
      <family val="1"/>
    </font>
    <font>
      <sz val="11"/>
      <color theme="1"/>
      <name val="Century Gothic Bold"/>
    </font>
    <font>
      <sz val="11"/>
      <color theme="1"/>
      <name val="Century Gothic"/>
      <family val="1"/>
    </font>
    <font>
      <b/>
      <sz val="22"/>
      <color theme="4"/>
      <name val="Century Gothic"/>
      <family val="1"/>
    </font>
    <font>
      <sz val="24"/>
      <color theme="1"/>
      <name val="Century Gothic"/>
      <family val="1"/>
    </font>
    <font>
      <b/>
      <sz val="24"/>
      <color theme="4"/>
      <name val="Century Gothic"/>
      <family val="1"/>
    </font>
    <font>
      <b/>
      <sz val="24"/>
      <color theme="0" tint="-0.34998626667073579"/>
      <name val="Century Gothic"/>
      <family val="1"/>
    </font>
    <font>
      <sz val="12"/>
      <color theme="1"/>
      <name val="Arial"/>
      <family val="2"/>
    </font>
    <font>
      <b/>
      <sz val="12"/>
      <color rgb="FF16307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163072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4"/>
      <color rgb="FF009999"/>
      <name val="Arial"/>
      <family val="2"/>
    </font>
    <font>
      <sz val="16"/>
      <color theme="0"/>
      <name val="Arial"/>
      <family val="2"/>
    </font>
    <font>
      <b/>
      <sz val="16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00CC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16307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9999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163072"/>
      </bottom>
      <diagonal/>
    </border>
    <border>
      <left/>
      <right style="thin">
        <color rgb="FF163072"/>
      </right>
      <top/>
      <bottom style="thin">
        <color rgb="FF163072"/>
      </bottom>
      <diagonal/>
    </border>
    <border>
      <left style="thin">
        <color rgb="FF163072"/>
      </left>
      <right/>
      <top/>
      <bottom style="thin">
        <color rgb="FF163072"/>
      </bottom>
      <diagonal/>
    </border>
    <border>
      <left/>
      <right style="thin">
        <color rgb="FF163072"/>
      </right>
      <top/>
      <bottom/>
      <diagonal/>
    </border>
    <border>
      <left style="thin">
        <color rgb="FF163072"/>
      </left>
      <right/>
      <top/>
      <bottom/>
      <diagonal/>
    </border>
    <border>
      <left/>
      <right style="thin">
        <color rgb="FF163072"/>
      </right>
      <top style="thin">
        <color rgb="FF163072"/>
      </top>
      <bottom/>
      <diagonal/>
    </border>
    <border>
      <left style="thin">
        <color rgb="FF163072"/>
      </left>
      <right/>
      <top style="thin">
        <color rgb="FF163072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20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8" fillId="0" borderId="0" xfId="0" applyFont="1"/>
    <xf numFmtId="8" fontId="8" fillId="0" borderId="0" xfId="0" applyNumberFormat="1" applyFont="1"/>
    <xf numFmtId="8" fontId="0" fillId="0" borderId="0" xfId="0" applyNumberFormat="1"/>
    <xf numFmtId="8" fontId="6" fillId="0" borderId="0" xfId="0" applyNumberFormat="1" applyFont="1"/>
    <xf numFmtId="164" fontId="6" fillId="0" borderId="0" xfId="0" applyNumberFormat="1" applyFont="1"/>
    <xf numFmtId="0" fontId="6" fillId="0" borderId="1" xfId="0" applyFont="1" applyBorder="1"/>
    <xf numFmtId="8" fontId="6" fillId="0" borderId="1" xfId="0" applyNumberFormat="1" applyFont="1" applyBorder="1"/>
    <xf numFmtId="0" fontId="8" fillId="0" borderId="2" xfId="0" applyFont="1" applyBorder="1"/>
    <xf numFmtId="8" fontId="8" fillId="0" borderId="2" xfId="0" applyNumberFormat="1" applyFont="1" applyBorder="1"/>
    <xf numFmtId="164" fontId="8" fillId="0" borderId="0" xfId="0" applyNumberFormat="1" applyFont="1"/>
    <xf numFmtId="165" fontId="0" fillId="0" borderId="3" xfId="0" applyNumberFormat="1" applyFont="1" applyBorder="1"/>
    <xf numFmtId="165" fontId="0" fillId="0" borderId="4" xfId="0" applyNumberFormat="1" applyFont="1" applyBorder="1"/>
    <xf numFmtId="0" fontId="0" fillId="0" borderId="5" xfId="0" applyFont="1" applyBorder="1"/>
    <xf numFmtId="165" fontId="0" fillId="2" borderId="6" xfId="0" applyNumberFormat="1" applyFont="1" applyFill="1" applyBorder="1"/>
    <xf numFmtId="165" fontId="0" fillId="2" borderId="7" xfId="0" applyNumberFormat="1" applyFont="1" applyFill="1" applyBorder="1"/>
    <xf numFmtId="0" fontId="0" fillId="2" borderId="8" xfId="0" applyFont="1" applyFill="1" applyBorder="1"/>
    <xf numFmtId="165" fontId="0" fillId="0" borderId="6" xfId="0" applyNumberFormat="1" applyFont="1" applyBorder="1"/>
    <xf numFmtId="165" fontId="0" fillId="0" borderId="7" xfId="0" applyNumberFormat="1" applyFont="1" applyBorder="1"/>
    <xf numFmtId="0" fontId="0" fillId="0" borderId="8" xfId="0" applyFont="1" applyBorder="1"/>
    <xf numFmtId="8" fontId="0" fillId="0" borderId="9" xfId="0" applyNumberFormat="1" applyFont="1" applyBorder="1"/>
    <xf numFmtId="0" fontId="0" fillId="0" borderId="10" xfId="0" applyFont="1" applyBorder="1" applyAlignment="1">
      <alignment horizontal="right"/>
    </xf>
    <xf numFmtId="0" fontId="0" fillId="3" borderId="11" xfId="0" applyFont="1" applyFill="1" applyBorder="1"/>
    <xf numFmtId="0" fontId="0" fillId="3" borderId="12" xfId="0" applyFont="1" applyFill="1" applyBorder="1" applyAlignment="1">
      <alignment horizontal="right"/>
    </xf>
    <xf numFmtId="9" fontId="0" fillId="0" borderId="11" xfId="0" applyNumberFormat="1" applyFont="1" applyBorder="1"/>
    <xf numFmtId="0" fontId="0" fillId="0" borderId="12" xfId="0" applyFont="1" applyBorder="1" applyAlignment="1">
      <alignment horizontal="right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5" fontId="0" fillId="3" borderId="11" xfId="0" applyNumberFormat="1" applyFont="1" applyFill="1" applyBorder="1"/>
    <xf numFmtId="0" fontId="9" fillId="0" borderId="0" xfId="0" applyFont="1" applyProtection="1"/>
    <xf numFmtId="0" fontId="9" fillId="0" borderId="0" xfId="0" applyFont="1" applyAlignment="1" applyProtection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</xf>
    <xf numFmtId="0" fontId="12" fillId="0" borderId="0" xfId="0" applyFont="1" applyAlignment="1" applyProtection="1">
      <alignment horizontal="right" vertical="center"/>
    </xf>
    <xf numFmtId="0" fontId="13" fillId="0" borderId="0" xfId="0" applyFont="1" applyFill="1" applyAlignment="1" applyProtection="1">
      <alignment vertical="center"/>
      <protection locked="0"/>
    </xf>
    <xf numFmtId="0" fontId="13" fillId="0" borderId="0" xfId="0" applyFont="1" applyFill="1" applyAlignment="1" applyProtection="1">
      <alignment horizontal="right" vertical="center"/>
      <protection locked="0"/>
    </xf>
    <xf numFmtId="0" fontId="13" fillId="0" borderId="0" xfId="0" applyFont="1" applyAlignment="1" applyProtection="1">
      <alignment vertical="center"/>
    </xf>
    <xf numFmtId="0" fontId="14" fillId="5" borderId="0" xfId="0" applyFont="1" applyFill="1" applyAlignment="1" applyProtection="1">
      <alignment vertical="center"/>
    </xf>
    <xf numFmtId="0" fontId="15" fillId="5" borderId="0" xfId="0" applyFont="1" applyFill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167" fontId="13" fillId="0" borderId="13" xfId="1" applyNumberFormat="1" applyFont="1" applyBorder="1" applyAlignment="1" applyProtection="1">
      <alignment vertical="center"/>
      <protection locked="0"/>
    </xf>
    <xf numFmtId="0" fontId="16" fillId="6" borderId="0" xfId="0" applyFont="1" applyFill="1" applyAlignment="1" applyProtection="1">
      <alignment vertical="center"/>
    </xf>
    <xf numFmtId="167" fontId="16" fillId="6" borderId="14" xfId="0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horizontal="right" vertical="center"/>
    </xf>
    <xf numFmtId="0" fontId="13" fillId="0" borderId="0" xfId="0" applyFont="1" applyBorder="1" applyAlignment="1" applyProtection="1">
      <alignment vertical="center"/>
      <protection locked="0"/>
    </xf>
    <xf numFmtId="0" fontId="13" fillId="6" borderId="0" xfId="0" applyFont="1" applyFill="1" applyAlignment="1" applyProtection="1">
      <alignment vertical="center"/>
    </xf>
    <xf numFmtId="167" fontId="13" fillId="6" borderId="0" xfId="0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</xf>
    <xf numFmtId="167" fontId="15" fillId="5" borderId="0" xfId="0" applyNumberFormat="1" applyFont="1" applyFill="1" applyAlignment="1" applyProtection="1">
      <alignment vertical="center"/>
      <protection locked="0"/>
    </xf>
    <xf numFmtId="0" fontId="18" fillId="0" borderId="0" xfId="0" applyFont="1" applyAlignment="1">
      <alignment horizontal="left" vertical="top" wrapText="1"/>
    </xf>
    <xf numFmtId="0" fontId="19" fillId="0" borderId="0" xfId="0" applyFont="1"/>
    <xf numFmtId="0" fontId="20" fillId="0" borderId="0" xfId="3" applyBorder="1" applyAlignment="1" applyProtection="1">
      <alignment vertical="center"/>
    </xf>
    <xf numFmtId="0" fontId="21" fillId="5" borderId="15" xfId="0" applyFont="1" applyFill="1" applyBorder="1" applyAlignment="1">
      <alignment horizontal="center"/>
    </xf>
    <xf numFmtId="0" fontId="21" fillId="5" borderId="16" xfId="0" applyFont="1" applyFill="1" applyBorder="1" applyAlignment="1">
      <alignment horizontal="center"/>
    </xf>
    <xf numFmtId="0" fontId="21" fillId="5" borderId="17" xfId="0" applyFont="1" applyFill="1" applyBorder="1" applyAlignment="1">
      <alignment horizontal="center"/>
    </xf>
    <xf numFmtId="0" fontId="22" fillId="0" borderId="0" xfId="0" applyFont="1"/>
    <xf numFmtId="3" fontId="23" fillId="7" borderId="18" xfId="0" applyNumberFormat="1" applyFont="1" applyFill="1" applyBorder="1" applyAlignment="1">
      <alignment horizontal="center"/>
    </xf>
    <xf numFmtId="0" fontId="24" fillId="5" borderId="19" xfId="0" applyFont="1" applyFill="1" applyBorder="1" applyAlignment="1">
      <alignment horizontal="right"/>
    </xf>
    <xf numFmtId="3" fontId="22" fillId="0" borderId="15" xfId="0" applyNumberFormat="1" applyFont="1" applyBorder="1"/>
    <xf numFmtId="3" fontId="25" fillId="7" borderId="16" xfId="0" applyNumberFormat="1" applyFont="1" applyFill="1" applyBorder="1"/>
    <xf numFmtId="3" fontId="22" fillId="0" borderId="16" xfId="0" applyNumberFormat="1" applyFont="1" applyBorder="1"/>
    <xf numFmtId="0" fontId="22" fillId="0" borderId="17" xfId="0" applyFont="1" applyFill="1" applyBorder="1"/>
    <xf numFmtId="3" fontId="26" fillId="0" borderId="18" xfId="0" applyNumberFormat="1" applyFont="1" applyBorder="1" applyAlignment="1">
      <alignment horizontal="center"/>
    </xf>
    <xf numFmtId="3" fontId="23" fillId="7" borderId="20" xfId="0" applyNumberFormat="1" applyFont="1" applyFill="1" applyBorder="1" applyAlignment="1">
      <alignment horizontal="center"/>
    </xf>
    <xf numFmtId="3" fontId="26" fillId="0" borderId="20" xfId="0" applyNumberFormat="1" applyFont="1" applyBorder="1" applyAlignment="1">
      <alignment horizontal="center"/>
    </xf>
    <xf numFmtId="0" fontId="22" fillId="0" borderId="19" xfId="0" applyFont="1" applyBorder="1"/>
    <xf numFmtId="0" fontId="27" fillId="0" borderId="0" xfId="0" applyFont="1"/>
    <xf numFmtId="3" fontId="28" fillId="0" borderId="21" xfId="0" applyNumberFormat="1" applyFont="1" applyBorder="1" applyAlignment="1">
      <alignment horizontal="center"/>
    </xf>
    <xf numFmtId="0" fontId="24" fillId="5" borderId="22" xfId="0" applyFont="1" applyFill="1" applyBorder="1" applyAlignment="1">
      <alignment horizontal="right"/>
    </xf>
    <xf numFmtId="3" fontId="26" fillId="0" borderId="21" xfId="0" applyNumberFormat="1" applyFont="1" applyBorder="1" applyAlignment="1">
      <alignment horizontal="center"/>
    </xf>
    <xf numFmtId="3" fontId="26" fillId="0" borderId="0" xfId="0" applyNumberFormat="1" applyFont="1" applyBorder="1" applyAlignment="1">
      <alignment horizontal="center"/>
    </xf>
    <xf numFmtId="0" fontId="22" fillId="0" borderId="22" xfId="0" applyFont="1" applyBorder="1"/>
    <xf numFmtId="3" fontId="28" fillId="0" borderId="23" xfId="0" applyNumberFormat="1" applyFont="1" applyBorder="1" applyAlignment="1">
      <alignment horizontal="center"/>
    </xf>
    <xf numFmtId="0" fontId="24" fillId="5" borderId="24" xfId="0" applyFont="1" applyFill="1" applyBorder="1" applyAlignment="1">
      <alignment horizontal="right"/>
    </xf>
    <xf numFmtId="3" fontId="23" fillId="7" borderId="0" xfId="0" applyNumberFormat="1" applyFont="1" applyFill="1" applyBorder="1" applyAlignment="1">
      <alignment horizontal="center"/>
    </xf>
    <xf numFmtId="0" fontId="25" fillId="0" borderId="0" xfId="0" applyFont="1"/>
    <xf numFmtId="3" fontId="26" fillId="0" borderId="23" xfId="0" applyNumberFormat="1" applyFont="1" applyBorder="1" applyAlignment="1">
      <alignment horizontal="center"/>
    </xf>
    <xf numFmtId="3" fontId="23" fillId="7" borderId="14" xfId="0" applyNumberFormat="1" applyFont="1" applyFill="1" applyBorder="1" applyAlignment="1">
      <alignment horizontal="center"/>
    </xf>
    <xf numFmtId="3" fontId="26" fillId="0" borderId="14" xfId="0" applyNumberFormat="1" applyFont="1" applyBorder="1" applyAlignment="1">
      <alignment horizontal="center"/>
    </xf>
    <xf numFmtId="0" fontId="22" fillId="0" borderId="24" xfId="0" applyFont="1" applyBorder="1"/>
    <xf numFmtId="0" fontId="29" fillId="5" borderId="0" xfId="0" applyFont="1" applyFill="1" applyAlignment="1">
      <alignment horizontal="center" vertical="center"/>
    </xf>
    <xf numFmtId="0" fontId="30" fillId="5" borderId="0" xfId="0" applyFont="1" applyFill="1" applyAlignment="1">
      <alignment horizontal="center" vertical="center"/>
    </xf>
    <xf numFmtId="0" fontId="24" fillId="5" borderId="0" xfId="0" applyFont="1" applyFill="1"/>
    <xf numFmtId="0" fontId="29" fillId="5" borderId="0" xfId="0" applyFont="1" applyFill="1"/>
    <xf numFmtId="0" fontId="20" fillId="0" borderId="0" xfId="3" applyAlignment="1" applyProtection="1"/>
    <xf numFmtId="0" fontId="31" fillId="0" borderId="0" xfId="0" applyFont="1"/>
    <xf numFmtId="0" fontId="32" fillId="0" borderId="0" xfId="0" applyFont="1" applyAlignment="1">
      <alignment horizontal="right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horizontal="left" vertical="center"/>
    </xf>
    <xf numFmtId="0" fontId="31" fillId="0" borderId="0" xfId="0" applyFont="1" applyAlignment="1">
      <alignment vertical="center"/>
    </xf>
    <xf numFmtId="0" fontId="33" fillId="0" borderId="0" xfId="0" applyFont="1" applyAlignment="1">
      <alignment horizontal="left"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168" fontId="0" fillId="0" borderId="0" xfId="0" applyNumberFormat="1"/>
    <xf numFmtId="168" fontId="41" fillId="0" borderId="0" xfId="0" applyNumberFormat="1" applyFont="1"/>
    <xf numFmtId="0" fontId="42" fillId="8" borderId="0" xfId="0" applyFont="1" applyFill="1" applyAlignment="1">
      <alignment horizontal="center"/>
    </xf>
    <xf numFmtId="168" fontId="3" fillId="9" borderId="0" xfId="0" applyNumberFormat="1" applyFont="1" applyFill="1"/>
    <xf numFmtId="0" fontId="0" fillId="9" borderId="0" xfId="0" applyFill="1"/>
    <xf numFmtId="0" fontId="3" fillId="9" borderId="0" xfId="0" applyFont="1" applyFill="1"/>
    <xf numFmtId="0" fontId="0" fillId="0" borderId="25" xfId="0" applyBorder="1"/>
    <xf numFmtId="0" fontId="3" fillId="0" borderId="25" xfId="0" applyFont="1" applyBorder="1"/>
    <xf numFmtId="168" fontId="3" fillId="0" borderId="0" xfId="0" applyNumberFormat="1" applyFont="1" applyFill="1"/>
    <xf numFmtId="0" fontId="0" fillId="0" borderId="0" xfId="0" applyFill="1"/>
    <xf numFmtId="0" fontId="3" fillId="0" borderId="0" xfId="0" applyFont="1" applyFill="1"/>
    <xf numFmtId="0" fontId="41" fillId="9" borderId="0" xfId="0" applyFont="1" applyFill="1" applyAlignment="1">
      <alignment horizontal="center"/>
    </xf>
    <xf numFmtId="9" fontId="0" fillId="0" borderId="0" xfId="2" applyFont="1"/>
    <xf numFmtId="0" fontId="0" fillId="0" borderId="0" xfId="0" applyNumberFormat="1"/>
    <xf numFmtId="0" fontId="43" fillId="0" borderId="26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42" fillId="8" borderId="0" xfId="0" applyFont="1" applyFill="1" applyAlignment="1">
      <alignment horizontal="center"/>
    </xf>
    <xf numFmtId="0" fontId="43" fillId="0" borderId="28" xfId="0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43" fillId="0" borderId="30" xfId="0" applyFont="1" applyBorder="1" applyAlignment="1">
      <alignment horizontal="center" vertical="center"/>
    </xf>
    <xf numFmtId="0" fontId="43" fillId="0" borderId="3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4" fillId="0" borderId="0" xfId="0" applyFont="1" applyAlignment="1">
      <alignment horizontal="center"/>
    </xf>
    <xf numFmtId="0" fontId="0" fillId="10" borderId="32" xfId="0" applyFill="1" applyBorder="1"/>
    <xf numFmtId="169" fontId="9" fillId="10" borderId="2" xfId="0" applyNumberFormat="1" applyFont="1" applyFill="1" applyBorder="1" applyAlignment="1">
      <alignment horizontal="center"/>
    </xf>
    <xf numFmtId="0" fontId="44" fillId="10" borderId="33" xfId="0" applyFont="1" applyFill="1" applyBorder="1" applyAlignment="1">
      <alignment horizontal="center"/>
    </xf>
    <xf numFmtId="0" fontId="0" fillId="10" borderId="34" xfId="0" applyFill="1" applyBorder="1"/>
    <xf numFmtId="169" fontId="9" fillId="10" borderId="35" xfId="0" applyNumberFormat="1" applyFont="1" applyFill="1" applyBorder="1" applyAlignment="1">
      <alignment horizontal="center"/>
    </xf>
    <xf numFmtId="0" fontId="44" fillId="10" borderId="36" xfId="0" applyFont="1" applyFill="1" applyBorder="1" applyAlignment="1">
      <alignment horizontal="center"/>
    </xf>
    <xf numFmtId="169" fontId="9" fillId="11" borderId="0" xfId="0" applyNumberFormat="1" applyFont="1" applyFill="1" applyAlignment="1">
      <alignment horizont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0" fillId="11" borderId="37" xfId="0" applyFill="1" applyBorder="1" applyAlignment="1">
      <alignment horizontal="center"/>
    </xf>
    <xf numFmtId="0" fontId="0" fillId="11" borderId="37" xfId="0" applyFill="1" applyBorder="1"/>
    <xf numFmtId="0" fontId="0" fillId="0" borderId="37" xfId="0" applyBorder="1"/>
    <xf numFmtId="0" fontId="0" fillId="0" borderId="37" xfId="0" applyBorder="1" applyAlignment="1">
      <alignment horizontal="center"/>
    </xf>
    <xf numFmtId="0" fontId="44" fillId="11" borderId="37" xfId="0" applyFont="1" applyFill="1" applyBorder="1" applyAlignment="1">
      <alignment horizontal="center"/>
    </xf>
    <xf numFmtId="0" fontId="44" fillId="12" borderId="37" xfId="0" applyFont="1" applyFill="1" applyBorder="1" applyAlignment="1">
      <alignment horizontal="center"/>
    </xf>
    <xf numFmtId="0" fontId="0" fillId="0" borderId="38" xfId="0" applyBorder="1"/>
    <xf numFmtId="0" fontId="0" fillId="0" borderId="38" xfId="0" applyBorder="1" applyAlignment="1">
      <alignment horizontal="center"/>
    </xf>
    <xf numFmtId="0" fontId="0" fillId="11" borderId="38" xfId="0" applyFill="1" applyBorder="1" applyAlignment="1">
      <alignment horizontal="center"/>
    </xf>
    <xf numFmtId="0" fontId="44" fillId="11" borderId="38" xfId="0" applyFont="1" applyFill="1" applyBorder="1" applyAlignment="1">
      <alignment horizontal="center"/>
    </xf>
    <xf numFmtId="0" fontId="44" fillId="12" borderId="39" xfId="0" applyFont="1" applyFill="1" applyBorder="1" applyAlignment="1">
      <alignment horizontal="center"/>
    </xf>
    <xf numFmtId="2" fontId="0" fillId="0" borderId="39" xfId="0" applyNumberFormat="1" applyBorder="1"/>
    <xf numFmtId="2" fontId="0" fillId="0" borderId="39" xfId="0" applyNumberFormat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44" fillId="11" borderId="39" xfId="0" applyFont="1" applyFill="1" applyBorder="1" applyAlignment="1">
      <alignment horizontal="center"/>
    </xf>
    <xf numFmtId="0" fontId="0" fillId="0" borderId="40" xfId="0" applyBorder="1"/>
    <xf numFmtId="0" fontId="0" fillId="0" borderId="40" xfId="0" applyBorder="1" applyAlignment="1">
      <alignment horizontal="center"/>
    </xf>
    <xf numFmtId="0" fontId="0" fillId="11" borderId="40" xfId="0" applyFill="1" applyBorder="1" applyAlignment="1">
      <alignment horizontal="center"/>
    </xf>
    <xf numFmtId="0" fontId="44" fillId="11" borderId="40" xfId="0" applyFont="1" applyFill="1" applyBorder="1" applyAlignment="1">
      <alignment horizontal="center"/>
    </xf>
    <xf numFmtId="0" fontId="44" fillId="12" borderId="40" xfId="0" applyFont="1" applyFill="1" applyBorder="1" applyAlignment="1">
      <alignment horizontal="center"/>
    </xf>
    <xf numFmtId="0" fontId="0" fillId="12" borderId="38" xfId="0" applyFill="1" applyBorder="1" applyAlignment="1">
      <alignment horizontal="center" vertical="center" wrapText="1"/>
    </xf>
    <xf numFmtId="0" fontId="45" fillId="12" borderId="40" xfId="0" applyFont="1" applyFill="1" applyBorder="1" applyAlignment="1">
      <alignment horizontal="center" vertical="center" wrapText="1"/>
    </xf>
    <xf numFmtId="0" fontId="44" fillId="12" borderId="41" xfId="0" applyFont="1" applyFill="1" applyBorder="1" applyAlignment="1">
      <alignment horizontal="center"/>
    </xf>
    <xf numFmtId="0" fontId="44" fillId="12" borderId="42" xfId="0" applyFont="1" applyFill="1" applyBorder="1" applyAlignment="1">
      <alignment horizontal="center"/>
    </xf>
    <xf numFmtId="0" fontId="46" fillId="0" borderId="0" xfId="0" applyFont="1" applyAlignment="1">
      <alignment horizontal="left"/>
    </xf>
    <xf numFmtId="0" fontId="0" fillId="13" borderId="37" xfId="0" applyFill="1" applyBorder="1" applyAlignment="1">
      <alignment horizontal="center"/>
    </xf>
    <xf numFmtId="170" fontId="44" fillId="0" borderId="37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9" fillId="11" borderId="37" xfId="0" applyFont="1" applyFill="1" applyBorder="1" applyAlignment="1">
      <alignment horizontal="center"/>
    </xf>
    <xf numFmtId="0" fontId="0" fillId="13" borderId="32" xfId="0" applyFill="1" applyBorder="1"/>
    <xf numFmtId="0" fontId="0" fillId="13" borderId="38" xfId="0" applyFill="1" applyBorder="1"/>
    <xf numFmtId="0" fontId="0" fillId="13" borderId="38" xfId="0" applyFill="1" applyBorder="1" applyAlignment="1">
      <alignment horizontal="center"/>
    </xf>
    <xf numFmtId="0" fontId="44" fillId="13" borderId="38" xfId="0" applyFont="1" applyFill="1" applyBorder="1" applyAlignment="1">
      <alignment horizontal="center"/>
    </xf>
    <xf numFmtId="0" fontId="0" fillId="13" borderId="43" xfId="0" applyFill="1" applyBorder="1"/>
    <xf numFmtId="0" fontId="0" fillId="13" borderId="39" xfId="0" applyFill="1" applyBorder="1" applyAlignment="1">
      <alignment horizontal="center"/>
    </xf>
    <xf numFmtId="0" fontId="9" fillId="13" borderId="39" xfId="0" applyFont="1" applyFill="1" applyBorder="1" applyAlignment="1">
      <alignment horizontal="center"/>
    </xf>
    <xf numFmtId="0" fontId="0" fillId="13" borderId="43" xfId="0" applyFill="1" applyBorder="1" applyAlignment="1">
      <alignment horizontal="center"/>
    </xf>
    <xf numFmtId="0" fontId="0" fillId="13" borderId="34" xfId="0" applyFill="1" applyBorder="1"/>
    <xf numFmtId="0" fontId="0" fillId="13" borderId="40" xfId="0" applyFill="1" applyBorder="1"/>
    <xf numFmtId="0" fontId="0" fillId="13" borderId="40" xfId="0" applyFill="1" applyBorder="1" applyAlignment="1">
      <alignment horizontal="center"/>
    </xf>
    <xf numFmtId="0" fontId="44" fillId="13" borderId="40" xfId="0" applyFont="1" applyFill="1" applyBorder="1" applyAlignment="1">
      <alignment horizontal="center"/>
    </xf>
    <xf numFmtId="0" fontId="44" fillId="12" borderId="41" xfId="0" applyFont="1" applyFill="1" applyBorder="1" applyAlignment="1">
      <alignment horizontal="center"/>
    </xf>
    <xf numFmtId="0" fontId="44" fillId="12" borderId="44" xfId="0" applyFont="1" applyFill="1" applyBorder="1" applyAlignment="1">
      <alignment horizontal="center"/>
    </xf>
    <xf numFmtId="170" fontId="0" fillId="11" borderId="37" xfId="0" applyNumberFormat="1" applyFill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44" fillId="0" borderId="37" xfId="0" applyFont="1" applyBorder="1" applyAlignment="1">
      <alignment horizontal="center"/>
    </xf>
    <xf numFmtId="0" fontId="44" fillId="0" borderId="33" xfId="0" applyFont="1" applyBorder="1" applyAlignment="1">
      <alignment horizontal="center"/>
    </xf>
    <xf numFmtId="0" fontId="20" fillId="0" borderId="0" xfId="3" applyBorder="1" applyAlignment="1" applyProtection="1"/>
    <xf numFmtId="2" fontId="0" fillId="11" borderId="39" xfId="0" applyNumberFormat="1" applyFill="1" applyBorder="1" applyAlignment="1">
      <alignment horizontal="center"/>
    </xf>
    <xf numFmtId="0" fontId="44" fillId="0" borderId="45" xfId="0" applyFont="1" applyBorder="1" applyAlignment="1">
      <alignment horizontal="center"/>
    </xf>
    <xf numFmtId="0" fontId="44" fillId="0" borderId="36" xfId="0" applyFont="1" applyBorder="1" applyAlignment="1">
      <alignment horizontal="center"/>
    </xf>
    <xf numFmtId="0" fontId="0" fillId="12" borderId="39" xfId="0" applyFill="1" applyBorder="1" applyAlignment="1">
      <alignment horizontal="center" vertical="center" wrapText="1"/>
    </xf>
    <xf numFmtId="10" fontId="0" fillId="13" borderId="37" xfId="0" applyNumberFormat="1" applyFill="1" applyBorder="1" applyAlignment="1">
      <alignment horizontal="center"/>
    </xf>
    <xf numFmtId="0" fontId="0" fillId="11" borderId="43" xfId="0" applyFill="1" applyBorder="1" applyAlignment="1">
      <alignment horizontal="center"/>
    </xf>
    <xf numFmtId="0" fontId="0" fillId="13" borderId="33" xfId="0" applyFill="1" applyBorder="1" applyAlignment="1">
      <alignment horizontal="center"/>
    </xf>
    <xf numFmtId="0" fontId="0" fillId="13" borderId="45" xfId="0" applyFill="1" applyBorder="1" applyAlignment="1">
      <alignment horizontal="center"/>
    </xf>
    <xf numFmtId="0" fontId="44" fillId="13" borderId="39" xfId="0" applyFont="1" applyFill="1" applyBorder="1" applyAlignment="1">
      <alignment horizontal="center"/>
    </xf>
    <xf numFmtId="0" fontId="0" fillId="13" borderId="36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3" borderId="35" xfId="0" applyFill="1" applyBorder="1" applyAlignment="1">
      <alignment horizontal="center"/>
    </xf>
    <xf numFmtId="0" fontId="44" fillId="0" borderId="0" xfId="0" applyFont="1" applyAlignment="1">
      <alignment horizontal="center" vertical="center" wrapText="1"/>
    </xf>
    <xf numFmtId="0" fontId="45" fillId="12" borderId="37" xfId="0" applyFont="1" applyFill="1" applyBorder="1" applyAlignment="1">
      <alignment wrapText="1"/>
    </xf>
    <xf numFmtId="0" fontId="0" fillId="14" borderId="0" xfId="0" applyFill="1"/>
    <xf numFmtId="0" fontId="47" fillId="14" borderId="0" xfId="0" applyFont="1" applyFill="1" applyAlignment="1">
      <alignment vertical="center"/>
    </xf>
    <xf numFmtId="0" fontId="47" fillId="14" borderId="0" xfId="0" applyFont="1" applyFill="1" applyAlignment="1">
      <alignment horizontal="center" vertical="center"/>
    </xf>
    <xf numFmtId="0" fontId="48" fillId="14" borderId="0" xfId="0" applyFont="1" applyFill="1" applyAlignment="1">
      <alignment horizontal="center" vertical="center"/>
    </xf>
    <xf numFmtId="0" fontId="44" fillId="14" borderId="0" xfId="0" applyFont="1" applyFill="1" applyAlignment="1">
      <alignment horizont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Punto</a:t>
            </a:r>
            <a:r>
              <a:rPr lang="es-DO" baseline="0"/>
              <a:t> de equilibrio</a:t>
            </a:r>
            <a:endParaRPr lang="es-D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'Punto de Equilibrio'!$E$8</c:f>
              <c:strCache>
                <c:ptCount val="1"/>
                <c:pt idx="0">
                  <c:v>$ Ventas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'Punto de Equilibrio'!$F$7:$I$7</c:f>
              <c:numCache>
                <c:formatCode>#,##0</c:formatCode>
                <c:ptCount val="4"/>
                <c:pt idx="0">
                  <c:v>0</c:v>
                </c:pt>
                <c:pt idx="1">
                  <c:v>1.0606028466580404</c:v>
                </c:pt>
                <c:pt idx="2">
                  <c:v>2.1212056933160808</c:v>
                </c:pt>
                <c:pt idx="3">
                  <c:v>3.1818085399741212</c:v>
                </c:pt>
              </c:numCache>
            </c:numRef>
          </c:xVal>
          <c:yVal>
            <c:numRef>
              <c:f>'Punto de Equilibrio'!$F$8:$I$8</c:f>
              <c:numCache>
                <c:formatCode>#,##0</c:formatCode>
                <c:ptCount val="4"/>
                <c:pt idx="0">
                  <c:v>0</c:v>
                </c:pt>
                <c:pt idx="1">
                  <c:v>53.030142332902017</c:v>
                </c:pt>
                <c:pt idx="2">
                  <c:v>106.06028466580403</c:v>
                </c:pt>
                <c:pt idx="3">
                  <c:v>159.09042699870605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2-4057-846D-C32FC2FD98BC}"/>
            </c:ext>
          </c:extLst>
        </c:ser>
        <c:ser>
          <c:idx val="1"/>
          <c:order val="1"/>
          <c:tx>
            <c:strRef>
              <c:f>'Punto de Equilibrio'!$E$9</c:f>
              <c:strCache>
                <c:ptCount val="1"/>
                <c:pt idx="0">
                  <c:v>Costo Variable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'Punto de Equilibrio'!$F$7:$I$7</c:f>
              <c:numCache>
                <c:formatCode>#,##0</c:formatCode>
                <c:ptCount val="4"/>
                <c:pt idx="0">
                  <c:v>0</c:v>
                </c:pt>
                <c:pt idx="1">
                  <c:v>1.0606028466580404</c:v>
                </c:pt>
                <c:pt idx="2">
                  <c:v>2.1212056933160808</c:v>
                </c:pt>
                <c:pt idx="3">
                  <c:v>3.1818085399741212</c:v>
                </c:pt>
              </c:numCache>
            </c:numRef>
          </c:xVal>
          <c:yVal>
            <c:numRef>
              <c:f>'Punto de Equilibrio'!$F$9:$I$9</c:f>
              <c:numCache>
                <c:formatCode>#,##0</c:formatCode>
                <c:ptCount val="4"/>
                <c:pt idx="0">
                  <c:v>0</c:v>
                </c:pt>
                <c:pt idx="1">
                  <c:v>3.0301423329020216</c:v>
                </c:pt>
                <c:pt idx="2">
                  <c:v>6.0602846658040432</c:v>
                </c:pt>
                <c:pt idx="3">
                  <c:v>9.0904269987060644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2-4057-846D-C32FC2FD98BC}"/>
            </c:ext>
          </c:extLst>
        </c:ser>
        <c:ser>
          <c:idx val="2"/>
          <c:order val="2"/>
          <c:tx>
            <c:strRef>
              <c:f>'Punto de Equilibrio'!$E$10</c:f>
              <c:strCache>
                <c:ptCount val="1"/>
                <c:pt idx="0">
                  <c:v>Costo Fijo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'Punto de Equilibrio'!$F$7:$I$7</c:f>
              <c:numCache>
                <c:formatCode>#,##0</c:formatCode>
                <c:ptCount val="4"/>
                <c:pt idx="0">
                  <c:v>0</c:v>
                </c:pt>
                <c:pt idx="1">
                  <c:v>1.0606028466580404</c:v>
                </c:pt>
                <c:pt idx="2">
                  <c:v>2.1212056933160808</c:v>
                </c:pt>
                <c:pt idx="3">
                  <c:v>3.1818085399741212</c:v>
                </c:pt>
              </c:numCache>
            </c:numRef>
          </c:xVal>
          <c:yVal>
            <c:numRef>
              <c:f>'Punto de Equilibrio'!$F$10:$I$10</c:f>
              <c:numCache>
                <c:formatCode>#,##0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42-4057-846D-C32FC2FD98BC}"/>
            </c:ext>
          </c:extLst>
        </c:ser>
        <c:ser>
          <c:idx val="3"/>
          <c:order val="3"/>
          <c:tx>
            <c:strRef>
              <c:f>'Punto de Equilibrio'!$E$11</c:f>
              <c:strCache>
                <c:ptCount val="1"/>
                <c:pt idx="0">
                  <c:v>Costo Total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'Punto de Equilibrio'!$F$7:$I$7</c:f>
              <c:numCache>
                <c:formatCode>#,##0</c:formatCode>
                <c:ptCount val="4"/>
                <c:pt idx="0">
                  <c:v>0</c:v>
                </c:pt>
                <c:pt idx="1">
                  <c:v>1.0606028466580404</c:v>
                </c:pt>
                <c:pt idx="2">
                  <c:v>2.1212056933160808</c:v>
                </c:pt>
                <c:pt idx="3">
                  <c:v>3.1818085399741212</c:v>
                </c:pt>
              </c:numCache>
            </c:numRef>
          </c:xVal>
          <c:yVal>
            <c:numRef>
              <c:f>'Punto de Equilibrio'!$F$11:$I$11</c:f>
              <c:numCache>
                <c:formatCode>#,##0</c:formatCode>
                <c:ptCount val="4"/>
                <c:pt idx="0">
                  <c:v>100</c:v>
                </c:pt>
                <c:pt idx="1">
                  <c:v>103.03014233290202</c:v>
                </c:pt>
                <c:pt idx="2">
                  <c:v>106.06028466580405</c:v>
                </c:pt>
                <c:pt idx="3">
                  <c:v>109.09042699870606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42-4057-846D-C32FC2FD98BC}"/>
            </c:ext>
          </c:extLst>
        </c:ser>
        <c:ser>
          <c:idx val="4"/>
          <c:order val="4"/>
          <c:tx>
            <c:strRef>
              <c:f>'Punto de Equilibrio'!$E$12</c:f>
              <c:strCache>
                <c:ptCount val="1"/>
                <c:pt idx="0">
                  <c:v>Beneficio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'Punto de Equilibrio'!$F$7:$I$7</c:f>
              <c:numCache>
                <c:formatCode>#,##0</c:formatCode>
                <c:ptCount val="4"/>
                <c:pt idx="0">
                  <c:v>0</c:v>
                </c:pt>
                <c:pt idx="1">
                  <c:v>1.0606028466580404</c:v>
                </c:pt>
                <c:pt idx="2">
                  <c:v>2.1212056933160808</c:v>
                </c:pt>
                <c:pt idx="3">
                  <c:v>3.1818085399741212</c:v>
                </c:pt>
              </c:numCache>
            </c:numRef>
          </c:xVal>
          <c:yVal>
            <c:numRef>
              <c:f>'Punto de Equilibrio'!$F$12:$I$12</c:f>
              <c:numCache>
                <c:formatCode>#,##0</c:formatCode>
                <c:ptCount val="4"/>
                <c:pt idx="0">
                  <c:v>-100</c:v>
                </c:pt>
                <c:pt idx="1">
                  <c:v>-50</c:v>
                </c:pt>
                <c:pt idx="2">
                  <c:v>0</c:v>
                </c:pt>
                <c:pt idx="3">
                  <c:v>49.999999999999986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42-4057-846D-C32FC2FD9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538127"/>
        <c:axId val="1342300943"/>
      </c:scatterChart>
      <c:valAx>
        <c:axId val="125053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00943"/>
        <c:crosses val="autoZero"/>
        <c:crossBetween val="midCat"/>
      </c:valAx>
      <c:valAx>
        <c:axId val="13423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3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18806441100879"/>
          <c:y val="9.9236826165960024E-2"/>
          <c:w val="0.61555140510196438"/>
          <c:h val="0.7290089922191678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'VPN, TREMA'!$B$109:$B$116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'VPN, TREMA'!$C$109:$C$116</c:f>
              <c:numCache>
                <c:formatCode>#,##0.00\ "€"</c:formatCode>
                <c:ptCount val="8"/>
                <c:pt idx="0">
                  <c:v>5.4545454545454559</c:v>
                </c:pt>
                <c:pt idx="1">
                  <c:v>10.413223140495873</c:v>
                </c:pt>
                <c:pt idx="2">
                  <c:v>14.921111945905347</c:v>
                </c:pt>
                <c:pt idx="3">
                  <c:v>19.019192678095767</c:v>
                </c:pt>
                <c:pt idx="4">
                  <c:v>22.744720616450707</c:v>
                </c:pt>
                <c:pt idx="5">
                  <c:v>26.131564196773365</c:v>
                </c:pt>
                <c:pt idx="6">
                  <c:v>29.210512906157611</c:v>
                </c:pt>
                <c:pt idx="7">
                  <c:v>32.009557187416007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EC-4ADA-BE8A-8A1E541C268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'VPN, TREMA'!$B$109:$B$116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'VPN, TREMA'!$D$109:$D$116</c:f>
              <c:numCache>
                <c:formatCode>#,##0.00\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EC-4ADA-BE8A-8A1E541C268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'VPN, TREMA'!$B$109:$B$116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'VPN, TREMA'!$E$109:$E$116</c:f>
              <c:numCache>
                <c:formatCode>#,##0.00\ "€"</c:formatCode>
                <c:ptCount val="8"/>
                <c:pt idx="0">
                  <c:v>6.0000000000000018</c:v>
                </c:pt>
                <c:pt idx="1">
                  <c:v>12.600000000000009</c:v>
                </c:pt>
                <c:pt idx="2">
                  <c:v>19.860000000000024</c:v>
                </c:pt>
                <c:pt idx="3">
                  <c:v>27.846000000000018</c:v>
                </c:pt>
                <c:pt idx="4">
                  <c:v>36.630600000000037</c:v>
                </c:pt>
                <c:pt idx="5">
                  <c:v>46.293660000000038</c:v>
                </c:pt>
                <c:pt idx="6">
                  <c:v>56.923026000000064</c:v>
                </c:pt>
                <c:pt idx="7">
                  <c:v>68.615328600000055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EC-4ADA-BE8A-8A1E541C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98623"/>
        <c:axId val="1"/>
      </c:scatterChart>
      <c:valAx>
        <c:axId val="1572098623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\ &quot;€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09862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93611219763828"/>
          <c:y val="0.34351225180821859"/>
          <c:w val="0.17278640385934474"/>
          <c:h val="0.244275209873574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https://siempreexcel.com/plantillas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786765</xdr:colOff>
      <xdr:row>3</xdr:row>
      <xdr:rowOff>123825</xdr:rowOff>
    </xdr:from>
    <xdr:to>
      <xdr:col>12</xdr:col>
      <xdr:colOff>558165</xdr:colOff>
      <xdr:row>26</xdr:row>
      <xdr:rowOff>133350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>
          <a:spLocks noChangeArrowheads="1"/>
        </xdr:cNvSpPr>
      </xdr:nvSpPr>
      <xdr:spPr bwMode="auto">
        <a:xfrm>
          <a:off x="7816215" y="1381125"/>
          <a:ext cx="2286000" cy="3952875"/>
        </a:xfrm>
        <a:prstGeom prst="foldedCorner">
          <a:avLst>
            <a:gd name="adj" fmla="val 12500"/>
          </a:avLst>
        </a:prstGeom>
        <a:ln>
          <a:solidFill>
            <a:srgbClr val="00B050"/>
          </a:solidFill>
          <a:headEnd/>
          <a:tailE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900" b="1" i="0" u="sng" strike="noStrike">
              <a:solidFill>
                <a:srgbClr val="00B050"/>
              </a:solidFill>
              <a:latin typeface="Arial"/>
              <a:cs typeface="Arial"/>
            </a:rPr>
            <a:t>Derivación de la fórmula:</a:t>
          </a:r>
          <a:endParaRPr lang="es-ES" sz="900" b="0" i="0" strike="noStrike">
            <a:solidFill>
              <a:srgbClr val="00B05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s-ES" sz="900" b="0" i="0" strike="noStrike">
            <a:solidFill>
              <a:srgbClr val="00B05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s-ES" sz="900" b="0" i="0" strike="noStrike">
              <a:solidFill>
                <a:srgbClr val="00B050"/>
              </a:solidFill>
              <a:latin typeface="Arial"/>
              <a:cs typeface="Arial"/>
            </a:rPr>
            <a:t>Q = cantidad</a:t>
          </a:r>
        </a:p>
        <a:p>
          <a:pPr algn="l" rtl="1">
            <a:defRPr sz="1000"/>
          </a:pPr>
          <a:r>
            <a:rPr lang="es-ES" sz="900" b="0" i="0" strike="noStrike">
              <a:solidFill>
                <a:srgbClr val="00B050"/>
              </a:solidFill>
              <a:latin typeface="Arial"/>
              <a:cs typeface="Arial"/>
            </a:rPr>
            <a:t>Qe = cantidad de equilibrio</a:t>
          </a:r>
        </a:p>
        <a:p>
          <a:pPr algn="l" rtl="1">
            <a:defRPr sz="1000"/>
          </a:pPr>
          <a:r>
            <a:rPr lang="es-ES" sz="900" b="0" i="0" strike="noStrike">
              <a:solidFill>
                <a:srgbClr val="00B050"/>
              </a:solidFill>
              <a:latin typeface="Arial"/>
              <a:cs typeface="Arial"/>
            </a:rPr>
            <a:t>VT = ventas totales</a:t>
          </a:r>
        </a:p>
        <a:p>
          <a:pPr algn="l" rtl="1">
            <a:defRPr sz="1000"/>
          </a:pPr>
          <a:r>
            <a:rPr lang="es-ES" sz="900" b="0" i="0" strike="noStrike">
              <a:solidFill>
                <a:srgbClr val="00B050"/>
              </a:solidFill>
              <a:latin typeface="Arial"/>
              <a:cs typeface="Arial"/>
            </a:rPr>
            <a:t>VTe = ventas totales de equilibrio</a:t>
          </a:r>
        </a:p>
        <a:p>
          <a:pPr algn="l" rtl="1">
            <a:defRPr sz="1000"/>
          </a:pPr>
          <a:r>
            <a:rPr lang="es-ES" sz="900" b="0" i="0" strike="noStrike">
              <a:solidFill>
                <a:srgbClr val="00B050"/>
              </a:solidFill>
              <a:latin typeface="Arial"/>
              <a:cs typeface="Arial"/>
            </a:rPr>
            <a:t>CT = costes totales</a:t>
          </a:r>
        </a:p>
        <a:p>
          <a:pPr algn="l" rtl="1">
            <a:defRPr sz="1000"/>
          </a:pPr>
          <a:r>
            <a:rPr lang="es-ES" sz="900" b="0" i="0" strike="noStrike">
              <a:solidFill>
                <a:srgbClr val="00B050"/>
              </a:solidFill>
              <a:latin typeface="Arial"/>
              <a:cs typeface="Arial"/>
            </a:rPr>
            <a:t>Cu = coste unitario</a:t>
          </a:r>
        </a:p>
        <a:p>
          <a:pPr algn="l" rtl="1">
            <a:defRPr sz="1000"/>
          </a:pPr>
          <a:r>
            <a:rPr lang="es-ES" sz="900" b="0" i="0" strike="noStrike">
              <a:solidFill>
                <a:srgbClr val="00B050"/>
              </a:solidFill>
              <a:latin typeface="Arial"/>
              <a:cs typeface="Arial"/>
            </a:rPr>
            <a:t>Pu = precio unitario</a:t>
          </a:r>
        </a:p>
        <a:p>
          <a:pPr algn="l" rtl="1">
            <a:defRPr sz="1000"/>
          </a:pPr>
          <a:r>
            <a:rPr lang="es-ES" sz="900" b="0" i="0" strike="noStrike">
              <a:solidFill>
                <a:srgbClr val="00B050"/>
              </a:solidFill>
              <a:latin typeface="Arial"/>
              <a:cs typeface="Arial"/>
            </a:rPr>
            <a:t>Mu = margen unitario</a:t>
          </a:r>
        </a:p>
        <a:p>
          <a:pPr algn="l" rtl="1">
            <a:defRPr sz="1000"/>
          </a:pPr>
          <a:r>
            <a:rPr lang="es-ES" sz="900" b="0" i="0" strike="noStrike">
              <a:solidFill>
                <a:srgbClr val="00B050"/>
              </a:solidFill>
              <a:latin typeface="Arial"/>
              <a:cs typeface="Arial"/>
            </a:rPr>
            <a:t>CV = costes variables</a:t>
          </a:r>
        </a:p>
        <a:p>
          <a:pPr algn="l" rtl="1">
            <a:defRPr sz="1000"/>
          </a:pPr>
          <a:r>
            <a:rPr lang="es-ES" sz="900" b="0" i="0" strike="noStrike">
              <a:solidFill>
                <a:srgbClr val="00B050"/>
              </a:solidFill>
              <a:latin typeface="Arial"/>
              <a:cs typeface="Arial"/>
            </a:rPr>
            <a:t>CF = costes fijos</a:t>
          </a:r>
        </a:p>
        <a:p>
          <a:pPr algn="l" rtl="1">
            <a:defRPr sz="1000"/>
          </a:pPr>
          <a:endParaRPr lang="es-ES" sz="900" b="0" i="0" strike="noStrike">
            <a:solidFill>
              <a:srgbClr val="00B05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s-ES" sz="900" b="0" i="0" strike="noStrike">
            <a:solidFill>
              <a:srgbClr val="00B05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s-ES" sz="900" b="1" i="0" strike="noStrike">
              <a:solidFill>
                <a:srgbClr val="00B050"/>
              </a:solidFill>
              <a:latin typeface="Arial"/>
              <a:cs typeface="Arial"/>
            </a:rPr>
            <a:t>VT - CT = 0</a:t>
          </a:r>
          <a:endParaRPr lang="es-ES" sz="900" b="0" i="0" strike="noStrike">
            <a:solidFill>
              <a:srgbClr val="00B05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s-ES" sz="900" b="0" i="0" strike="noStrike">
              <a:solidFill>
                <a:srgbClr val="00B050"/>
              </a:solidFill>
              <a:latin typeface="Arial"/>
              <a:cs typeface="Arial"/>
            </a:rPr>
            <a:t>VT - CV - CF = 0</a:t>
          </a:r>
        </a:p>
        <a:p>
          <a:pPr algn="l" rtl="1">
            <a:defRPr sz="1000"/>
          </a:pPr>
          <a:r>
            <a:rPr lang="es-ES" sz="900" b="0" i="0" strike="noStrike">
              <a:solidFill>
                <a:srgbClr val="00B050"/>
              </a:solidFill>
              <a:latin typeface="Arial"/>
              <a:cs typeface="Arial"/>
            </a:rPr>
            <a:t>Pu * Q - Cu * Q - CF = 0</a:t>
          </a:r>
          <a:endParaRPr lang="es-ES" sz="1000" b="0" i="0" strike="noStrike">
            <a:solidFill>
              <a:srgbClr val="00B05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s-ES" sz="1000" b="0" i="0" strike="noStrike">
              <a:solidFill>
                <a:srgbClr val="00B050"/>
              </a:solidFill>
              <a:latin typeface="Arial"/>
              <a:cs typeface="Arial"/>
            </a:rPr>
            <a:t>CF = Pu * Q - Cu * Q</a:t>
          </a:r>
        </a:p>
        <a:p>
          <a:pPr algn="l" rtl="1">
            <a:defRPr sz="1000"/>
          </a:pPr>
          <a:r>
            <a:rPr lang="es-ES" sz="1000" b="0" i="0" strike="noStrike">
              <a:solidFill>
                <a:srgbClr val="00B050"/>
              </a:solidFill>
              <a:latin typeface="Arial"/>
              <a:cs typeface="Arial"/>
            </a:rPr>
            <a:t>CF = Q * (Pu-Cu)</a:t>
          </a:r>
        </a:p>
        <a:p>
          <a:pPr algn="l" rtl="1">
            <a:defRPr sz="1000"/>
          </a:pPr>
          <a:r>
            <a:rPr lang="es-ES" sz="1000" b="0" i="0" strike="noStrike">
              <a:solidFill>
                <a:srgbClr val="00B050"/>
              </a:solidFill>
              <a:latin typeface="Arial"/>
              <a:cs typeface="Arial"/>
            </a:rPr>
            <a:t>CF = Q * Mu</a:t>
          </a:r>
        </a:p>
        <a:p>
          <a:pPr algn="l" rtl="1">
            <a:defRPr sz="1000"/>
          </a:pPr>
          <a:r>
            <a:rPr lang="es-ES" sz="1000" b="1" i="0" strike="noStrike">
              <a:solidFill>
                <a:srgbClr val="00B050"/>
              </a:solidFill>
              <a:latin typeface="Arial"/>
              <a:cs typeface="Arial"/>
            </a:rPr>
            <a:t>Qe = CF / Mu</a:t>
          </a:r>
        </a:p>
        <a:p>
          <a:pPr algn="l" rtl="1">
            <a:defRPr sz="1000"/>
          </a:pPr>
          <a:endParaRPr lang="es-ES" sz="1000" b="1" i="0" strike="noStrike">
            <a:solidFill>
              <a:srgbClr val="00B05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s-ES" sz="1000" b="1" i="0" strike="noStrike">
              <a:solidFill>
                <a:srgbClr val="00B050"/>
              </a:solidFill>
              <a:latin typeface="Arial"/>
              <a:cs typeface="Arial"/>
            </a:rPr>
            <a:t>VTe = Qe * Pu</a:t>
          </a:r>
        </a:p>
        <a:p>
          <a:pPr algn="l" rtl="1">
            <a:defRPr sz="1000"/>
          </a:pPr>
          <a:endParaRPr lang="es-ES" sz="1000" b="1" i="0" strike="noStrike">
            <a:solidFill>
              <a:srgbClr val="00B05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s-ES" sz="1000" b="1" i="0" strike="noStrike">
              <a:solidFill>
                <a:srgbClr val="00B050"/>
              </a:solidFill>
              <a:latin typeface="Arial"/>
              <a:cs typeface="Arial"/>
            </a:rPr>
            <a:t>ITe = Qe * (Pu</a:t>
          </a:r>
          <a:endParaRPr lang="es-ES" sz="1000" b="0" i="0" strike="noStrike">
            <a:solidFill>
              <a:srgbClr val="00B050"/>
            </a:solidFill>
            <a:latin typeface="Courier New"/>
            <a:cs typeface="Courier New"/>
          </a:endParaRPr>
        </a:p>
        <a:p>
          <a:pPr algn="l" rtl="1">
            <a:defRPr sz="1000"/>
          </a:pPr>
          <a:endParaRPr lang="es-ES" sz="1000" b="0" i="0" strike="noStrike">
            <a:solidFill>
              <a:srgbClr val="00B050"/>
            </a:solidFill>
            <a:latin typeface="Courier New"/>
            <a:cs typeface="Courier New"/>
          </a:endParaRPr>
        </a:p>
        <a:p>
          <a:pPr algn="l" rtl="1">
            <a:defRPr sz="1000"/>
          </a:pPr>
          <a:endParaRPr lang="es-ES" sz="1000" b="0" i="0" strike="noStrike">
            <a:solidFill>
              <a:srgbClr val="00B050"/>
            </a:solidFill>
            <a:latin typeface="Courier New"/>
            <a:cs typeface="Courier New"/>
          </a:endParaRPr>
        </a:p>
      </xdr:txBody>
    </xdr:sp>
    <xdr:clientData/>
  </xdr:twoCellAnchor>
  <xdr:twoCellAnchor>
    <xdr:from>
      <xdr:col>9</xdr:col>
      <xdr:colOff>259080</xdr:colOff>
      <xdr:row>0</xdr:row>
      <xdr:rowOff>381000</xdr:rowOff>
    </xdr:from>
    <xdr:to>
      <xdr:col>12</xdr:col>
      <xdr:colOff>525780</xdr:colOff>
      <xdr:row>1</xdr:row>
      <xdr:rowOff>121920</xdr:rowOff>
    </xdr:to>
    <xdr:sp macro="" textlink="">
      <xdr:nvSpPr>
        <xdr:cNvPr id="3" name="Rectá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284597-D3B4-4F14-B53A-238A5FB2AF2A}"/>
            </a:ext>
          </a:extLst>
        </xdr:cNvPr>
        <xdr:cNvSpPr/>
      </xdr:nvSpPr>
      <xdr:spPr>
        <a:xfrm>
          <a:off x="7288530" y="381000"/>
          <a:ext cx="2781300" cy="369570"/>
        </a:xfrm>
        <a:prstGeom prst="rect">
          <a:avLst/>
        </a:prstGeom>
        <a:solidFill>
          <a:srgbClr val="00B050"/>
        </a:solidFill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DO" sz="1400"/>
            <a:t>Más</a:t>
          </a:r>
          <a:r>
            <a:rPr lang="es-DO" sz="1400" baseline="0"/>
            <a:t> Plantillas De </a:t>
          </a:r>
          <a:r>
            <a:rPr lang="es-DO" sz="1400" u="sng" baseline="0"/>
            <a:t>Siempreexcel</a:t>
          </a:r>
          <a:endParaRPr lang="es-DO" sz="1400" u="sng"/>
        </a:p>
      </xdr:txBody>
    </xdr:sp>
    <xdr:clientData/>
  </xdr:twoCellAnchor>
  <xdr:twoCellAnchor>
    <xdr:from>
      <xdr:col>1</xdr:col>
      <xdr:colOff>681038</xdr:colOff>
      <xdr:row>14</xdr:row>
      <xdr:rowOff>138113</xdr:rowOff>
    </xdr:from>
    <xdr:to>
      <xdr:col>8</xdr:col>
      <xdr:colOff>261938</xdr:colOff>
      <xdr:row>30</xdr:row>
      <xdr:rowOff>138113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B55A69-ED1E-4FA4-A9D2-02190A15F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27</xdr:row>
      <xdr:rowOff>57150</xdr:rowOff>
    </xdr:from>
    <xdr:to>
      <xdr:col>8</xdr:col>
      <xdr:colOff>685800</xdr:colOff>
      <xdr:row>36</xdr:row>
      <xdr:rowOff>9525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4943475" y="5067300"/>
          <a:ext cx="2886075" cy="1419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 FUNCION VNA CALCULA SOLO VALORES PRESENTES Y NO VALORES PRESENTES NETOS DE INVERSIONES; POR ELLO SE DEBE CALCULAR EL VALOR PRESENTE DE LOS FLUJOS DE CAJA POSTERIORES AL PERIODO 0 Y A ESO SUMARLE ALGEBRAICAMNTE EL VALOR DE LA INVERSION INICIAL; ES DECIR EL FLUJO DE CAJA DEL PERIODO 0 PARA DETERMINAR EL VAN</a:t>
          </a:r>
        </a:p>
        <a:p>
          <a:pPr algn="l" rtl="0">
            <a:defRPr sz="1000"/>
          </a:pPr>
          <a:endParaRPr lang="es-E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314325</xdr:colOff>
      <xdr:row>36</xdr:row>
      <xdr:rowOff>28575</xdr:rowOff>
    </xdr:from>
    <xdr:to>
      <xdr:col>5</xdr:col>
      <xdr:colOff>828675</xdr:colOff>
      <xdr:row>37</xdr:row>
      <xdr:rowOff>57150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 rot="-1466637">
          <a:off x="4838700" y="6505575"/>
          <a:ext cx="514350" cy="190500"/>
        </a:xfrm>
        <a:prstGeom prst="curvedUpArrow">
          <a:avLst>
            <a:gd name="adj1" fmla="val 51429"/>
            <a:gd name="adj2" fmla="val 102857"/>
            <a:gd name="adj3" fmla="val 33333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34"/>
        </a:solidFill>
        <a:ln w="9525">
          <a:solidFill>
            <a:srgbClr xmlns:mc="http://schemas.openxmlformats.org/markup-compatibility/2006" xmlns:a14="http://schemas.microsoft.com/office/drawing/2010/main" val="FFFF00" mc:Ignorable="a14" a14:legacySpreadsheetColorIndex="3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533400</xdr:colOff>
      <xdr:row>48</xdr:row>
      <xdr:rowOff>142875</xdr:rowOff>
    </xdr:from>
    <xdr:to>
      <xdr:col>8</xdr:col>
      <xdr:colOff>285750</xdr:colOff>
      <xdr:row>56</xdr:row>
      <xdr:rowOff>161925</xdr:rowOff>
    </xdr:to>
    <xdr:sp macro="" textlink="">
      <xdr:nvSpPr>
        <xdr:cNvPr id="4" name="Rectangl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3981450" y="8553450"/>
          <a:ext cx="3448050" cy="1314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CUANDO EL VALOR ACUMULADO ES CERO O POSITIVO AL FINAL DE UN PERIODO SIGNIFICA QUEN LA INVERSION INICIAL SE HA RECUPERADO. CUANDO ES CERO SIGNIFICA QUE SE HA RECUPERADO AL FINAL DE ESE PERIODO; EN CAMBIO CUANDO ES POSITIVO SIGNIFICA QUE SE RECUPERO ENTRE EL PERIODO ANTERIOR Y AQUEL EN EL CUAL EL FC ACUMULADO ES POSITIVO</a:t>
          </a:r>
        </a:p>
      </xdr:txBody>
    </xdr:sp>
    <xdr:clientData/>
  </xdr:twoCellAnchor>
  <xdr:twoCellAnchor>
    <xdr:from>
      <xdr:col>3</xdr:col>
      <xdr:colOff>628650</xdr:colOff>
      <xdr:row>52</xdr:row>
      <xdr:rowOff>47625</xdr:rowOff>
    </xdr:from>
    <xdr:to>
      <xdr:col>4</xdr:col>
      <xdr:colOff>495300</xdr:colOff>
      <xdr:row>52</xdr:row>
      <xdr:rowOff>123825</xdr:rowOff>
    </xdr:to>
    <xdr:sp macro="" textlink="">
      <xdr:nvSpPr>
        <xdr:cNvPr id="5" name="AutoShape 9"/>
        <xdr:cNvSpPr>
          <a:spLocks noChangeArrowheads="1"/>
        </xdr:cNvSpPr>
      </xdr:nvSpPr>
      <xdr:spPr bwMode="auto">
        <a:xfrm>
          <a:off x="3124200" y="9105900"/>
          <a:ext cx="819150" cy="76200"/>
        </a:xfrm>
        <a:prstGeom prst="notchedRightArrow">
          <a:avLst>
            <a:gd name="adj1" fmla="val 50000"/>
            <a:gd name="adj2" fmla="val 26875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3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771525</xdr:colOff>
      <xdr:row>95</xdr:row>
      <xdr:rowOff>114300</xdr:rowOff>
    </xdr:from>
    <xdr:to>
      <xdr:col>6</xdr:col>
      <xdr:colOff>723900</xdr:colOff>
      <xdr:row>96</xdr:row>
      <xdr:rowOff>28575</xdr:rowOff>
    </xdr:to>
    <xdr:sp macro="" textlink="">
      <xdr:nvSpPr>
        <xdr:cNvPr id="6" name="AutoShape 10"/>
        <xdr:cNvSpPr>
          <a:spLocks noChangeArrowheads="1"/>
        </xdr:cNvSpPr>
      </xdr:nvSpPr>
      <xdr:spPr bwMode="auto">
        <a:xfrm>
          <a:off x="5295900" y="16163925"/>
          <a:ext cx="819150" cy="76200"/>
        </a:xfrm>
        <a:prstGeom prst="notchedRightArrow">
          <a:avLst>
            <a:gd name="adj1" fmla="val 50000"/>
            <a:gd name="adj2" fmla="val 26875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3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657225</xdr:colOff>
      <xdr:row>91</xdr:row>
      <xdr:rowOff>114300</xdr:rowOff>
    </xdr:from>
    <xdr:to>
      <xdr:col>8</xdr:col>
      <xdr:colOff>38100</xdr:colOff>
      <xdr:row>99</xdr:row>
      <xdr:rowOff>38100</xdr:rowOff>
    </xdr:to>
    <xdr:sp macro="" textlink="">
      <xdr:nvSpPr>
        <xdr:cNvPr id="7" name="Rectangle 1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rrowheads="1"/>
        </xdr:cNvSpPr>
      </xdr:nvSpPr>
      <xdr:spPr bwMode="auto">
        <a:xfrm>
          <a:off x="6048375" y="15516225"/>
          <a:ext cx="1133475" cy="1219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EL PRID ESTA ENTRE EL PERIODO 7 Y OCHO. EXACTAMENTE ES DE </a:t>
          </a:r>
        </a:p>
        <a:p>
          <a:pPr algn="l" rtl="0">
            <a:defRPr sz="1000"/>
          </a:pPr>
          <a:endParaRPr lang="es-E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76200</xdr:colOff>
      <xdr:row>117</xdr:row>
      <xdr:rowOff>104775</xdr:rowOff>
    </xdr:from>
    <xdr:to>
      <xdr:col>5</xdr:col>
      <xdr:colOff>723900</xdr:colOff>
      <xdr:row>133</xdr:row>
      <xdr:rowOff>9525</xdr:rowOff>
    </xdr:to>
    <xdr:graphicFrame macro="">
      <xdr:nvGraphicFramePr>
        <xdr:cNvPr id="8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114</xdr:row>
      <xdr:rowOff>123825</xdr:rowOff>
    </xdr:from>
    <xdr:to>
      <xdr:col>6</xdr:col>
      <xdr:colOff>485775</xdr:colOff>
      <xdr:row>115</xdr:row>
      <xdr:rowOff>38100</xdr:rowOff>
    </xdr:to>
    <xdr:sp macro="" textlink="">
      <xdr:nvSpPr>
        <xdr:cNvPr id="9" name="AutoShape 14"/>
        <xdr:cNvSpPr>
          <a:spLocks noChangeArrowheads="1"/>
        </xdr:cNvSpPr>
      </xdr:nvSpPr>
      <xdr:spPr bwMode="auto">
        <a:xfrm>
          <a:off x="5057775" y="19250025"/>
          <a:ext cx="819150" cy="76200"/>
        </a:xfrm>
        <a:prstGeom prst="notchedRightArrow">
          <a:avLst>
            <a:gd name="adj1" fmla="val 50000"/>
            <a:gd name="adj2" fmla="val 26875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3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tabSelected="1" zoomScale="75" zoomScaleNormal="100" workbookViewId="0">
      <selection activeCell="F2" sqref="F2"/>
    </sheetView>
  </sheetViews>
  <sheetFormatPr baseColWidth="10" defaultRowHeight="15"/>
  <cols>
    <col min="1" max="1" width="26.7109375" bestFit="1" customWidth="1"/>
    <col min="2" max="2" width="14.85546875" bestFit="1" customWidth="1"/>
    <col min="5" max="5" width="35" bestFit="1" customWidth="1"/>
    <col min="6" max="6" width="19.140625" bestFit="1" customWidth="1"/>
    <col min="8" max="8" width="30.42578125" bestFit="1" customWidth="1"/>
    <col min="9" max="9" width="19.140625" bestFit="1" customWidth="1"/>
    <col min="11" max="11" width="55.140625" bestFit="1" customWidth="1"/>
    <col min="12" max="12" width="60.5703125" bestFit="1" customWidth="1"/>
    <col min="13" max="13" width="16.5703125" bestFit="1" customWidth="1"/>
  </cols>
  <sheetData>
    <row r="2" spans="1:13" ht="33">
      <c r="A2" s="4" t="s">
        <v>77</v>
      </c>
      <c r="B2" s="2">
        <v>2019</v>
      </c>
      <c r="E2" s="1" t="s">
        <v>0</v>
      </c>
      <c r="F2" s="2" t="s">
        <v>1</v>
      </c>
      <c r="G2" s="2"/>
    </row>
    <row r="3" spans="1:13" ht="16.5">
      <c r="B3" s="3" t="s">
        <v>2</v>
      </c>
      <c r="E3" s="4"/>
      <c r="F3" s="5"/>
      <c r="G3" s="5"/>
    </row>
    <row r="4" spans="1:13" ht="33">
      <c r="A4" s="6" t="s">
        <v>3</v>
      </c>
      <c r="B4" s="7"/>
      <c r="E4" s="4" t="s">
        <v>4</v>
      </c>
      <c r="F4" s="5"/>
      <c r="G4" s="5"/>
      <c r="K4" s="1" t="s">
        <v>5</v>
      </c>
    </row>
    <row r="5" spans="1:13" ht="19.5">
      <c r="A5" t="s">
        <v>6</v>
      </c>
      <c r="B5" s="7"/>
      <c r="E5" s="4"/>
      <c r="F5" s="5"/>
      <c r="G5" s="5"/>
    </row>
    <row r="6" spans="1:13" ht="27">
      <c r="A6" s="6" t="s">
        <v>7</v>
      </c>
      <c r="B6" s="7"/>
      <c r="E6" s="2" t="s">
        <v>8</v>
      </c>
      <c r="H6" s="2" t="s">
        <v>9</v>
      </c>
      <c r="I6" s="5"/>
      <c r="K6" s="6" t="s">
        <v>10</v>
      </c>
      <c r="L6" s="6"/>
      <c r="M6" s="2" t="s">
        <v>11</v>
      </c>
    </row>
    <row r="7" spans="1:13" ht="19.5">
      <c r="A7" s="3" t="s">
        <v>12</v>
      </c>
      <c r="B7" s="8"/>
      <c r="E7" s="6" t="s">
        <v>13</v>
      </c>
      <c r="F7" s="5"/>
      <c r="G7" s="5"/>
      <c r="H7" s="6" t="s">
        <v>14</v>
      </c>
      <c r="I7" s="5"/>
      <c r="K7" s="3" t="s">
        <v>15</v>
      </c>
      <c r="L7" s="3"/>
      <c r="M7" s="9">
        <f>B16</f>
        <v>0</v>
      </c>
    </row>
    <row r="8" spans="1:13" ht="16.5">
      <c r="A8" t="s">
        <v>16</v>
      </c>
      <c r="B8" s="8"/>
      <c r="E8" s="4" t="s">
        <v>17</v>
      </c>
      <c r="F8" s="5"/>
      <c r="G8" s="5"/>
      <c r="H8" s="4" t="s">
        <v>18</v>
      </c>
      <c r="I8" s="5"/>
      <c r="M8" s="8"/>
    </row>
    <row r="9" spans="1:13" ht="16.5">
      <c r="A9" t="s">
        <v>19</v>
      </c>
      <c r="B9" s="8"/>
      <c r="E9" s="3" t="s">
        <v>20</v>
      </c>
      <c r="F9" s="10">
        <f>+F8</f>
        <v>0</v>
      </c>
      <c r="G9" s="10"/>
      <c r="H9" s="4" t="s">
        <v>21</v>
      </c>
      <c r="I9" s="5"/>
      <c r="L9" t="s">
        <v>22</v>
      </c>
      <c r="M9" s="8"/>
    </row>
    <row r="10" spans="1:13" ht="17.25" thickBot="1">
      <c r="A10" s="11" t="s">
        <v>23</v>
      </c>
      <c r="B10" s="12">
        <f>SUM(B8:B9)</f>
        <v>0</v>
      </c>
      <c r="E10" s="4"/>
      <c r="F10" s="5"/>
      <c r="G10" s="5"/>
      <c r="H10" s="3" t="s">
        <v>24</v>
      </c>
      <c r="I10" s="10">
        <f>+I8+I9</f>
        <v>0</v>
      </c>
      <c r="L10" t="s">
        <v>25</v>
      </c>
      <c r="M10" s="8"/>
    </row>
    <row r="11" spans="1:13" ht="16.5">
      <c r="A11" s="3" t="s">
        <v>26</v>
      </c>
      <c r="B11" s="9">
        <f>B6-B10</f>
        <v>0</v>
      </c>
      <c r="E11" s="4" t="s">
        <v>27</v>
      </c>
      <c r="F11" s="5"/>
      <c r="G11" s="5"/>
      <c r="H11" s="4"/>
      <c r="I11" s="5"/>
      <c r="L11" t="s">
        <v>28</v>
      </c>
      <c r="M11" s="8"/>
    </row>
    <row r="12" spans="1:13" ht="16.5">
      <c r="A12" t="s">
        <v>29</v>
      </c>
      <c r="B12" s="8"/>
      <c r="E12" s="4" t="s">
        <v>30</v>
      </c>
      <c r="F12" s="5"/>
      <c r="G12" s="5"/>
      <c r="H12" s="4" t="s">
        <v>31</v>
      </c>
      <c r="I12" s="5"/>
      <c r="L12" t="s">
        <v>32</v>
      </c>
      <c r="M12" s="8"/>
    </row>
    <row r="13" spans="1:13" ht="16.5">
      <c r="A13" t="s">
        <v>33</v>
      </c>
      <c r="B13" s="8"/>
      <c r="E13" s="3" t="s">
        <v>34</v>
      </c>
      <c r="F13" s="10">
        <f>+F9+F11+F12</f>
        <v>0</v>
      </c>
      <c r="G13" s="10"/>
      <c r="H13" s="3" t="s">
        <v>35</v>
      </c>
      <c r="I13" s="10">
        <f>+I12</f>
        <v>0</v>
      </c>
      <c r="L13" t="s">
        <v>36</v>
      </c>
      <c r="M13" s="8"/>
    </row>
    <row r="14" spans="1:13" ht="16.5">
      <c r="A14" s="3" t="s">
        <v>37</v>
      </c>
      <c r="B14" s="10"/>
      <c r="E14" s="4"/>
      <c r="F14" s="5"/>
      <c r="G14" s="5"/>
      <c r="H14" s="4"/>
      <c r="I14" s="5"/>
      <c r="L14" t="s">
        <v>38</v>
      </c>
      <c r="M14" s="8"/>
    </row>
    <row r="15" spans="1:13" ht="19.5">
      <c r="A15" t="s">
        <v>39</v>
      </c>
      <c r="B15" s="8"/>
      <c r="E15" s="4" t="s">
        <v>40</v>
      </c>
      <c r="F15" s="5"/>
      <c r="G15" s="5"/>
      <c r="H15" s="6" t="s">
        <v>41</v>
      </c>
      <c r="I15" s="5"/>
      <c r="L15" t="s">
        <v>42</v>
      </c>
      <c r="M15" s="8"/>
    </row>
    <row r="16" spans="1:13" ht="20.25" thickBot="1">
      <c r="A16" s="13" t="s">
        <v>43</v>
      </c>
      <c r="B16" s="14">
        <f>B11</f>
        <v>0</v>
      </c>
      <c r="E16" s="4" t="s">
        <v>44</v>
      </c>
      <c r="F16" s="5"/>
      <c r="G16" s="5"/>
      <c r="H16" s="4" t="s">
        <v>45</v>
      </c>
      <c r="I16" s="5"/>
      <c r="L16" t="s">
        <v>78</v>
      </c>
      <c r="M16" s="8"/>
    </row>
    <row r="17" spans="2:13" ht="16.5">
      <c r="B17" s="8"/>
      <c r="E17" s="4" t="s">
        <v>46</v>
      </c>
      <c r="F17" s="5"/>
      <c r="G17" s="5"/>
      <c r="H17" s="4" t="s">
        <v>47</v>
      </c>
      <c r="I17" s="5">
        <f>+B16</f>
        <v>0</v>
      </c>
      <c r="L17" t="s">
        <v>27</v>
      </c>
      <c r="M17" s="8"/>
    </row>
    <row r="18" spans="2:13" ht="16.5">
      <c r="E18" s="3" t="s">
        <v>48</v>
      </c>
      <c r="F18" s="10">
        <f>+F15+F16+F17</f>
        <v>0</v>
      </c>
      <c r="G18" s="10"/>
      <c r="H18" s="3" t="s">
        <v>49</v>
      </c>
      <c r="I18" s="10">
        <f>+I16+I17</f>
        <v>0</v>
      </c>
      <c r="L18" t="s">
        <v>50</v>
      </c>
      <c r="M18" s="8"/>
    </row>
    <row r="19" spans="2:13" ht="19.5">
      <c r="E19" s="6" t="s">
        <v>51</v>
      </c>
      <c r="F19" s="15">
        <f>+F13+F18</f>
        <v>0</v>
      </c>
      <c r="G19" s="15"/>
      <c r="H19" s="6" t="s">
        <v>52</v>
      </c>
      <c r="I19" s="15">
        <f>+I13+I18</f>
        <v>0</v>
      </c>
      <c r="L19" t="s">
        <v>53</v>
      </c>
      <c r="M19" s="8"/>
    </row>
    <row r="20" spans="2:13" ht="16.5">
      <c r="E20" s="4"/>
      <c r="F20" s="5"/>
      <c r="G20" s="5"/>
      <c r="L20" t="s">
        <v>54</v>
      </c>
      <c r="M20" s="8"/>
    </row>
    <row r="21" spans="2:13">
      <c r="L21" t="s">
        <v>55</v>
      </c>
      <c r="M21" s="8"/>
    </row>
    <row r="22" spans="2:13">
      <c r="F22" t="s">
        <v>56</v>
      </c>
      <c r="H22" t="b">
        <f>F19=I19</f>
        <v>1</v>
      </c>
      <c r="M22" s="8"/>
    </row>
    <row r="23" spans="2:13" ht="16.5">
      <c r="K23" s="3" t="s">
        <v>57</v>
      </c>
      <c r="L23" s="3"/>
      <c r="M23" s="9">
        <f>SUM(M7:M21)</f>
        <v>0</v>
      </c>
    </row>
    <row r="24" spans="2:13">
      <c r="M24" s="8"/>
    </row>
    <row r="25" spans="2:13" ht="19.5">
      <c r="K25" s="6" t="s">
        <v>58</v>
      </c>
      <c r="L25" s="6"/>
      <c r="M25" s="7"/>
    </row>
    <row r="26" spans="2:13">
      <c r="L26" t="s">
        <v>59</v>
      </c>
      <c r="M26" s="8"/>
    </row>
    <row r="27" spans="2:13">
      <c r="L27" t="s">
        <v>60</v>
      </c>
      <c r="M27" s="8"/>
    </row>
    <row r="28" spans="2:13">
      <c r="L28" t="s">
        <v>61</v>
      </c>
      <c r="M28" s="8"/>
    </row>
    <row r="29" spans="2:13">
      <c r="L29" t="s">
        <v>62</v>
      </c>
      <c r="M29" s="8"/>
    </row>
    <row r="30" spans="2:13">
      <c r="L30" t="s">
        <v>63</v>
      </c>
      <c r="M30" s="8"/>
    </row>
    <row r="31" spans="2:13">
      <c r="L31" t="s">
        <v>64</v>
      </c>
      <c r="M31" s="8"/>
    </row>
    <row r="32" spans="2:13">
      <c r="M32" s="8"/>
    </row>
    <row r="33" spans="11:13" ht="16.5">
      <c r="K33" s="3" t="s">
        <v>65</v>
      </c>
      <c r="L33" s="3"/>
      <c r="M33" s="9">
        <f>SUM(M26:M31)</f>
        <v>0</v>
      </c>
    </row>
    <row r="34" spans="11:13">
      <c r="M34" s="8"/>
    </row>
    <row r="35" spans="11:13" ht="19.5">
      <c r="K35" s="6" t="s">
        <v>66</v>
      </c>
      <c r="L35" s="6"/>
      <c r="M35" s="7"/>
    </row>
    <row r="36" spans="11:13">
      <c r="L36" t="s">
        <v>67</v>
      </c>
      <c r="M36" s="8"/>
    </row>
    <row r="37" spans="11:13">
      <c r="L37" t="s">
        <v>68</v>
      </c>
      <c r="M37" s="8"/>
    </row>
    <row r="38" spans="11:13">
      <c r="L38" t="s">
        <v>69</v>
      </c>
      <c r="M38" s="8"/>
    </row>
    <row r="39" spans="11:13">
      <c r="L39" t="s">
        <v>70</v>
      </c>
      <c r="M39" s="8"/>
    </row>
    <row r="40" spans="11:13">
      <c r="L40" t="s">
        <v>71</v>
      </c>
      <c r="M40" s="8"/>
    </row>
    <row r="41" spans="11:13">
      <c r="L41" t="s">
        <v>72</v>
      </c>
      <c r="M41" s="8"/>
    </row>
    <row r="42" spans="11:13">
      <c r="M42" s="8"/>
    </row>
    <row r="43" spans="11:13" ht="16.5">
      <c r="K43" s="3" t="s">
        <v>73</v>
      </c>
      <c r="L43" s="3"/>
      <c r="M43" s="9">
        <f>SUM(M36:M41)</f>
        <v>0</v>
      </c>
    </row>
    <row r="44" spans="11:13">
      <c r="M44" s="8"/>
    </row>
    <row r="45" spans="11:13">
      <c r="K45" t="s">
        <v>74</v>
      </c>
      <c r="M45" s="8"/>
    </row>
    <row r="46" spans="11:13">
      <c r="M46" s="8"/>
    </row>
    <row r="47" spans="11:13" ht="16.5">
      <c r="K47" s="3" t="s">
        <v>75</v>
      </c>
      <c r="L47" s="3"/>
      <c r="M47" s="9">
        <f>M23+M33+M43+M45</f>
        <v>0</v>
      </c>
    </row>
    <row r="48" spans="11:13" ht="16.5">
      <c r="K48" s="3" t="s">
        <v>79</v>
      </c>
      <c r="L48" s="3"/>
      <c r="M48" s="9">
        <v>0</v>
      </c>
    </row>
    <row r="49" spans="11:13">
      <c r="M49" s="8"/>
    </row>
    <row r="50" spans="11:13" ht="19.5">
      <c r="K50" s="6" t="s">
        <v>76</v>
      </c>
      <c r="M50" s="7">
        <f>M47+M48</f>
        <v>0</v>
      </c>
    </row>
  </sheetData>
  <conditionalFormatting sqref="H22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J12" sqref="J12"/>
    </sheetView>
  </sheetViews>
  <sheetFormatPr baseColWidth="10" defaultRowHeight="15"/>
  <cols>
    <col min="1" max="1" width="29" bestFit="1" customWidth="1"/>
    <col min="2" max="2" width="9.140625" bestFit="1" customWidth="1"/>
  </cols>
  <sheetData>
    <row r="1" spans="1:7">
      <c r="A1" s="28" t="s">
        <v>87</v>
      </c>
      <c r="B1" s="34">
        <v>1000</v>
      </c>
      <c r="D1" s="33" t="s">
        <v>86</v>
      </c>
      <c r="E1" s="32" t="s">
        <v>85</v>
      </c>
      <c r="F1" s="32" t="s">
        <v>84</v>
      </c>
      <c r="G1" s="31" t="s">
        <v>83</v>
      </c>
    </row>
    <row r="2" spans="1:7">
      <c r="A2" s="30" t="s">
        <v>82</v>
      </c>
      <c r="B2" s="29">
        <v>0.02</v>
      </c>
      <c r="D2" s="21">
        <v>1</v>
      </c>
      <c r="E2" s="20">
        <f>IPMT($B$2/12,D2,$B$3,-$B$1)</f>
        <v>1.6666666666666667</v>
      </c>
      <c r="F2" s="20">
        <f>PPMT($B$2/12,D2,$B$3,-$B$1)</f>
        <v>40.873596701813561</v>
      </c>
      <c r="G2" s="19">
        <f>$B$1-SUM($F$2:F2)</f>
        <v>959.12640329818646</v>
      </c>
    </row>
    <row r="3" spans="1:7">
      <c r="A3" s="28" t="s">
        <v>81</v>
      </c>
      <c r="B3" s="27">
        <v>24</v>
      </c>
      <c r="D3" s="24">
        <v>2</v>
      </c>
      <c r="E3" s="23">
        <f>IPMT($B$2/12,D3,$B$3,-$B$1)</f>
        <v>1.5985440054969775</v>
      </c>
      <c r="F3" s="23">
        <f>PPMT($B$2/12,D3,$B$3,-$B$1)</f>
        <v>40.941719362983257</v>
      </c>
      <c r="G3" s="22">
        <f>$B$1-SUM($F$2:F3)</f>
        <v>918.18468393520322</v>
      </c>
    </row>
    <row r="4" spans="1:7">
      <c r="A4" s="26" t="s">
        <v>80</v>
      </c>
      <c r="B4" s="25">
        <f>PMT(B2/12,B3,-B1)</f>
        <v>42.540263368480232</v>
      </c>
      <c r="D4" s="21">
        <v>3</v>
      </c>
      <c r="E4" s="20">
        <f>IPMT($B$2/12,D4,$B$3,-$B$1)</f>
        <v>1.5303078065586717</v>
      </c>
      <c r="F4" s="20">
        <f>PPMT($B$2/12,D4,$B$3,-$B$1)</f>
        <v>41.009955561921558</v>
      </c>
      <c r="G4" s="19">
        <f>$B$1-SUM($F$2:F4)</f>
        <v>877.1747283732816</v>
      </c>
    </row>
    <row r="5" spans="1:7">
      <c r="D5" s="24">
        <v>4</v>
      </c>
      <c r="E5" s="23">
        <f>IPMT($B$2/12,D5,$B$3,-$B$1)</f>
        <v>1.4619578806221363</v>
      </c>
      <c r="F5" s="23">
        <f>PPMT($B$2/12,D5,$B$3,-$B$1)</f>
        <v>41.078305487858088</v>
      </c>
      <c r="G5" s="22">
        <f>$B$1-SUM($F$2:F5)</f>
        <v>836.09642288542352</v>
      </c>
    </row>
    <row r="6" spans="1:7">
      <c r="D6" s="21">
        <v>5</v>
      </c>
      <c r="E6" s="20">
        <f>IPMT($B$2/12,D6,$B$3,-$B$1)</f>
        <v>1.3934940381423726</v>
      </c>
      <c r="F6" s="20">
        <f>PPMT($B$2/12,D6,$B$3,-$B$1)</f>
        <v>41.146769330337854</v>
      </c>
      <c r="G6" s="19">
        <f>$B$1-SUM($F$2:F6)</f>
        <v>794.94965355508566</v>
      </c>
    </row>
    <row r="7" spans="1:7">
      <c r="D7" s="24">
        <v>6</v>
      </c>
      <c r="E7" s="23">
        <f>IPMT($B$2/12,D7,$B$3,-$B$1)</f>
        <v>1.3249160892584761</v>
      </c>
      <c r="F7" s="23">
        <f>PPMT($B$2/12,D7,$B$3,-$B$1)</f>
        <v>41.215347279221753</v>
      </c>
      <c r="G7" s="22">
        <f>$B$1-SUM($F$2:F7)</f>
        <v>753.7343062758639</v>
      </c>
    </row>
    <row r="8" spans="1:7">
      <c r="D8" s="21">
        <v>7</v>
      </c>
      <c r="E8" s="20">
        <f>IPMT($B$2/12,D8,$B$3,-$B$1)</f>
        <v>1.2562238437931066</v>
      </c>
      <c r="F8" s="20">
        <f>PPMT($B$2/12,D8,$B$3,-$B$1)</f>
        <v>41.284039524687124</v>
      </c>
      <c r="G8" s="19">
        <f>$B$1-SUM($F$2:F8)</f>
        <v>712.45026675117674</v>
      </c>
    </row>
    <row r="9" spans="1:7">
      <c r="D9" s="24">
        <v>8</v>
      </c>
      <c r="E9" s="23">
        <f>IPMT($B$2/12,D9,$B$3,-$B$1)</f>
        <v>1.1874171112519614</v>
      </c>
      <c r="F9" s="23">
        <f>PPMT($B$2/12,D9,$B$3,-$B$1)</f>
        <v>41.352846257228272</v>
      </c>
      <c r="G9" s="22">
        <f>$B$1-SUM($F$2:F9)</f>
        <v>671.09742049394845</v>
      </c>
    </row>
    <row r="10" spans="1:7">
      <c r="D10" s="21">
        <v>9</v>
      </c>
      <c r="E10" s="20">
        <f>IPMT($B$2/12,D10,$B$3,-$B$1)</f>
        <v>1.1184957008232475</v>
      </c>
      <c r="F10" s="20">
        <f>PPMT($B$2/12,D10,$B$3,-$B$1)</f>
        <v>41.421767667656979</v>
      </c>
      <c r="G10" s="19">
        <f>$B$1-SUM($F$2:F10)</f>
        <v>629.67565282629153</v>
      </c>
    </row>
    <row r="11" spans="1:7">
      <c r="D11" s="24">
        <v>10</v>
      </c>
      <c r="E11" s="23">
        <f>IPMT($B$2/12,D11,$B$3,-$B$1)</f>
        <v>1.0494594213771526</v>
      </c>
      <c r="F11" s="23">
        <f>PPMT($B$2/12,D11,$B$3,-$B$1)</f>
        <v>41.490803947103075</v>
      </c>
      <c r="G11" s="22">
        <f>$B$1-SUM($F$2:F11)</f>
        <v>588.18484887918839</v>
      </c>
    </row>
    <row r="12" spans="1:7">
      <c r="D12" s="21">
        <v>11</v>
      </c>
      <c r="E12" s="20">
        <f>IPMT($B$2/12,D12,$B$3,-$B$1)</f>
        <v>0.98030808146531423</v>
      </c>
      <c r="F12" s="20">
        <f>PPMT($B$2/12,D12,$B$3,-$B$1)</f>
        <v>41.559955287014908</v>
      </c>
      <c r="G12" s="19">
        <f>$B$1-SUM($F$2:F12)</f>
        <v>546.62489359217352</v>
      </c>
    </row>
    <row r="13" spans="1:7">
      <c r="D13" s="24">
        <v>12</v>
      </c>
      <c r="E13" s="23">
        <f>IPMT($B$2/12,D13,$B$3,-$B$1)</f>
        <v>0.91104148932028928</v>
      </c>
      <c r="F13" s="23">
        <f>PPMT($B$2/12,D13,$B$3,-$B$1)</f>
        <v>41.629221879159942</v>
      </c>
      <c r="G13" s="22">
        <f>$B$1-SUM($F$2:F13)</f>
        <v>504.99567171301356</v>
      </c>
    </row>
    <row r="14" spans="1:7">
      <c r="D14" s="21">
        <v>13</v>
      </c>
      <c r="E14" s="20">
        <f>IPMT($B$2/12,D14,$B$3,-$B$1)</f>
        <v>0.84165945285502275</v>
      </c>
      <c r="F14" s="20">
        <f>PPMT($B$2/12,D14,$B$3,-$B$1)</f>
        <v>41.698603915625206</v>
      </c>
      <c r="G14" s="19">
        <f>$B$1-SUM($F$2:F14)</f>
        <v>463.29706779738831</v>
      </c>
    </row>
    <row r="15" spans="1:7">
      <c r="D15" s="24">
        <v>14</v>
      </c>
      <c r="E15" s="23">
        <f>IPMT($B$2/12,D15,$B$3,-$B$1)</f>
        <v>0.77216177966231392</v>
      </c>
      <c r="F15" s="23">
        <f>PPMT($B$2/12,D15,$B$3,-$B$1)</f>
        <v>41.768101588817913</v>
      </c>
      <c r="G15" s="22">
        <f>$B$1-SUM($F$2:F15)</f>
        <v>421.52896620857041</v>
      </c>
    </row>
    <row r="16" spans="1:7">
      <c r="D16" s="21">
        <v>15</v>
      </c>
      <c r="E16" s="20">
        <f>IPMT($B$2/12,D16,$B$3,-$B$1)</f>
        <v>0.70254827701428402</v>
      </c>
      <c r="F16" s="20">
        <f>PPMT($B$2/12,D16,$B$3,-$B$1)</f>
        <v>41.837715091465945</v>
      </c>
      <c r="G16" s="19">
        <f>$B$1-SUM($F$2:F16)</f>
        <v>379.69125111710446</v>
      </c>
    </row>
    <row r="17" spans="4:7">
      <c r="D17" s="24">
        <v>16</v>
      </c>
      <c r="E17" s="23">
        <f>IPMT($B$2/12,D17,$B$3,-$B$1)</f>
        <v>0.63281875186184078</v>
      </c>
      <c r="F17" s="23">
        <f>PPMT($B$2/12,D17,$B$3,-$B$1)</f>
        <v>41.907444616618385</v>
      </c>
      <c r="G17" s="22">
        <f>$B$1-SUM($F$2:F17)</f>
        <v>337.78380650048609</v>
      </c>
    </row>
    <row r="18" spans="4:7">
      <c r="D18" s="21">
        <v>17</v>
      </c>
      <c r="E18" s="20">
        <f>IPMT($B$2/12,D18,$B$3,-$B$1)</f>
        <v>0.56297301083414353</v>
      </c>
      <c r="F18" s="20">
        <f>PPMT($B$2/12,D18,$B$3,-$B$1)</f>
        <v>41.977290357646083</v>
      </c>
      <c r="G18" s="19">
        <f>$B$1-SUM($F$2:F18)</f>
        <v>295.80651614284</v>
      </c>
    </row>
    <row r="19" spans="4:7">
      <c r="D19" s="24">
        <v>18</v>
      </c>
      <c r="E19" s="23">
        <f>IPMT($B$2/12,D19,$B$3,-$B$1)</f>
        <v>0.49301086023806678</v>
      </c>
      <c r="F19" s="23">
        <f>PPMT($B$2/12,D19,$B$3,-$B$1)</f>
        <v>42.04725250824216</v>
      </c>
      <c r="G19" s="22">
        <f>$B$1-SUM($F$2:F19)</f>
        <v>253.7592636345978</v>
      </c>
    </row>
    <row r="20" spans="4:7">
      <c r="D20" s="21">
        <v>19</v>
      </c>
      <c r="E20" s="20">
        <f>IPMT($B$2/12,D20,$B$3,-$B$1)</f>
        <v>0.42293210605766324</v>
      </c>
      <c r="F20" s="20">
        <f>PPMT($B$2/12,D20,$B$3,-$B$1)</f>
        <v>42.117331262422567</v>
      </c>
      <c r="G20" s="19">
        <f>$B$1-SUM($F$2:F20)</f>
        <v>211.64193237217523</v>
      </c>
    </row>
    <row r="21" spans="4:7">
      <c r="D21" s="24">
        <v>20</v>
      </c>
      <c r="E21" s="23">
        <f>IPMT($B$2/12,D21,$B$3,-$B$1)</f>
        <v>0.35273655395362552</v>
      </c>
      <c r="F21" s="23">
        <f>PPMT($B$2/12,D21,$B$3,-$B$1)</f>
        <v>42.187526814526606</v>
      </c>
      <c r="G21" s="22">
        <f>$B$1-SUM($F$2:F21)</f>
        <v>169.45440555764867</v>
      </c>
    </row>
    <row r="22" spans="4:7">
      <c r="D22" s="21">
        <v>21</v>
      </c>
      <c r="E22" s="20">
        <f>IPMT($B$2/12,D22,$B$3,-$B$1)</f>
        <v>0.28242400926274785</v>
      </c>
      <c r="F22" s="20">
        <f>PPMT($B$2/12,D22,$B$3,-$B$1)</f>
        <v>42.257839359217485</v>
      </c>
      <c r="G22" s="19">
        <f>$B$1-SUM($F$2:F22)</f>
        <v>127.19656619843113</v>
      </c>
    </row>
    <row r="23" spans="4:7">
      <c r="D23" s="24">
        <v>22</v>
      </c>
      <c r="E23" s="23">
        <f>IPMT($B$2/12,D23,$B$3,-$B$1)</f>
        <v>0.21199427699738538</v>
      </c>
      <c r="F23" s="23">
        <f>PPMT($B$2/12,D23,$B$3,-$B$1)</f>
        <v>42.328269091482845</v>
      </c>
      <c r="G23" s="22">
        <f>$B$1-SUM($F$2:F23)</f>
        <v>84.868297106948262</v>
      </c>
    </row>
    <row r="24" spans="4:7">
      <c r="D24" s="21">
        <v>23</v>
      </c>
      <c r="E24" s="20">
        <f>IPMT($B$2/12,D24,$B$3,-$B$1)</f>
        <v>0.14144716184491393</v>
      </c>
      <c r="F24" s="20">
        <f>PPMT($B$2/12,D24,$B$3,-$B$1)</f>
        <v>42.398816206635317</v>
      </c>
      <c r="G24" s="19">
        <f>$B$1-SUM($F$2:F24)</f>
        <v>42.469480900312988</v>
      </c>
    </row>
    <row r="25" spans="4:7">
      <c r="D25" s="18">
        <v>24</v>
      </c>
      <c r="E25" s="17">
        <f>IPMT($B$2/12,D25,$B$3,-$B$1)</f>
        <v>7.0782468167188417E-2</v>
      </c>
      <c r="F25" s="17">
        <f>PPMT($B$2/12,D25,$B$3,-$B$1)</f>
        <v>42.469480900313044</v>
      </c>
      <c r="G25" s="16">
        <f>$B$1-SUM($F$2:F25)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84" workbookViewId="0">
      <selection activeCell="I7" sqref="I7"/>
    </sheetView>
  </sheetViews>
  <sheetFormatPr baseColWidth="10" defaultRowHeight="15"/>
  <cols>
    <col min="1" max="1" width="41.7109375" bestFit="1" customWidth="1"/>
    <col min="2" max="2" width="40.28515625" bestFit="1" customWidth="1"/>
    <col min="3" max="3" width="11.5703125" bestFit="1" customWidth="1"/>
    <col min="4" max="4" width="10.5703125" customWidth="1"/>
  </cols>
  <sheetData>
    <row r="1" spans="1:7">
      <c r="A1" s="35"/>
      <c r="B1" s="35"/>
      <c r="C1" s="35"/>
      <c r="D1" s="35"/>
      <c r="E1" s="35"/>
    </row>
    <row r="2" spans="1:7" ht="26.25">
      <c r="A2" s="37"/>
      <c r="B2" s="37"/>
      <c r="C2" s="38"/>
      <c r="D2" s="39" t="s">
        <v>77</v>
      </c>
      <c r="E2" s="36"/>
    </row>
    <row r="3" spans="1:7">
      <c r="A3" s="36"/>
      <c r="B3" s="40"/>
      <c r="C3" s="40"/>
      <c r="D3" s="41"/>
      <c r="E3" s="36"/>
    </row>
    <row r="4" spans="1:7">
      <c r="A4" s="42"/>
      <c r="B4" s="42"/>
      <c r="C4" s="42"/>
      <c r="D4" s="42"/>
      <c r="E4" s="36"/>
    </row>
    <row r="5" spans="1:7" ht="18.75">
      <c r="A5" s="43" t="s">
        <v>3</v>
      </c>
      <c r="B5" s="43"/>
      <c r="C5" s="44">
        <v>2020</v>
      </c>
      <c r="D5" s="44">
        <v>2021</v>
      </c>
      <c r="E5" s="44">
        <v>2022</v>
      </c>
      <c r="F5" s="44">
        <v>2023</v>
      </c>
      <c r="G5" s="44">
        <v>2024</v>
      </c>
    </row>
    <row r="6" spans="1:7">
      <c r="A6" s="42"/>
      <c r="B6" s="45" t="s">
        <v>88</v>
      </c>
      <c r="C6" s="46"/>
      <c r="D6" s="46"/>
      <c r="E6" s="46"/>
      <c r="F6" s="46"/>
      <c r="G6" s="46"/>
    </row>
    <row r="7" spans="1:7">
      <c r="A7" s="42"/>
      <c r="B7" s="45" t="s">
        <v>89</v>
      </c>
      <c r="C7" s="46"/>
      <c r="D7" s="46"/>
      <c r="E7" s="46"/>
      <c r="F7" s="46"/>
      <c r="G7" s="46"/>
    </row>
    <row r="8" spans="1:7">
      <c r="A8" s="42"/>
      <c r="B8" s="45" t="s">
        <v>90</v>
      </c>
      <c r="C8" s="46"/>
      <c r="D8" s="46"/>
      <c r="E8" s="46"/>
      <c r="F8" s="46"/>
      <c r="G8" s="46"/>
    </row>
    <row r="9" spans="1:7">
      <c r="A9" s="42"/>
      <c r="B9" s="45" t="s">
        <v>91</v>
      </c>
      <c r="C9" s="46"/>
      <c r="D9" s="46"/>
      <c r="E9" s="46"/>
      <c r="F9" s="46"/>
      <c r="G9" s="46"/>
    </row>
    <row r="10" spans="1:7">
      <c r="A10" s="42"/>
      <c r="B10" s="45" t="s">
        <v>92</v>
      </c>
      <c r="C10" s="46"/>
      <c r="D10" s="46"/>
      <c r="E10" s="46"/>
      <c r="F10" s="46"/>
      <c r="G10" s="46"/>
    </row>
    <row r="11" spans="1:7" ht="15.75">
      <c r="A11" s="45" t="s">
        <v>93</v>
      </c>
      <c r="B11" s="47"/>
      <c r="C11" s="48">
        <f>SUM(C6:C10)</f>
        <v>0</v>
      </c>
      <c r="D11" s="48">
        <f>SUM(D6:D10)</f>
        <v>0</v>
      </c>
      <c r="E11" s="48">
        <f t="shared" ref="E11:G11" si="0">SUM(E6:E10)</f>
        <v>0</v>
      </c>
      <c r="F11" s="48">
        <f t="shared" si="0"/>
        <v>0</v>
      </c>
      <c r="G11" s="48">
        <f t="shared" si="0"/>
        <v>0</v>
      </c>
    </row>
    <row r="12" spans="1:7">
      <c r="A12" s="42"/>
      <c r="B12" s="42"/>
      <c r="C12" s="42"/>
      <c r="D12" s="49" t="s">
        <v>94</v>
      </c>
      <c r="E12" s="49" t="s">
        <v>94</v>
      </c>
      <c r="F12" s="49" t="s">
        <v>94</v>
      </c>
      <c r="G12" s="49" t="s">
        <v>94</v>
      </c>
    </row>
    <row r="13" spans="1:7" ht="18.75">
      <c r="A13" s="43" t="s">
        <v>95</v>
      </c>
      <c r="B13" s="43"/>
      <c r="C13" s="44"/>
      <c r="D13" s="44"/>
      <c r="E13" s="44"/>
      <c r="F13" s="44"/>
      <c r="G13" s="44"/>
    </row>
    <row r="14" spans="1:7">
      <c r="A14" s="42"/>
      <c r="B14" s="50" t="s">
        <v>96</v>
      </c>
      <c r="C14" s="46"/>
      <c r="D14" s="46"/>
      <c r="E14" s="46"/>
      <c r="F14" s="46"/>
      <c r="G14" s="46"/>
    </row>
    <row r="15" spans="1:7">
      <c r="A15" s="42"/>
      <c r="B15" s="50" t="s">
        <v>97</v>
      </c>
      <c r="C15" s="46"/>
      <c r="D15" s="46"/>
      <c r="E15" s="46"/>
      <c r="F15" s="46"/>
      <c r="G15" s="46"/>
    </row>
    <row r="16" spans="1:7">
      <c r="A16" s="42"/>
      <c r="B16" s="50" t="s">
        <v>98</v>
      </c>
      <c r="C16" s="46"/>
      <c r="D16" s="46"/>
      <c r="E16" s="46"/>
      <c r="F16" s="46"/>
      <c r="G16" s="46"/>
    </row>
    <row r="17" spans="1:7">
      <c r="A17" s="42"/>
      <c r="B17" s="50" t="s">
        <v>99</v>
      </c>
      <c r="C17" s="46"/>
      <c r="D17" s="46"/>
      <c r="E17" s="46"/>
      <c r="F17" s="46"/>
      <c r="G17" s="46"/>
    </row>
    <row r="18" spans="1:7">
      <c r="A18" s="42"/>
      <c r="B18" s="50" t="s">
        <v>29</v>
      </c>
      <c r="C18" s="46"/>
      <c r="D18" s="46"/>
      <c r="E18" s="46"/>
      <c r="F18" s="46"/>
      <c r="G18" s="46"/>
    </row>
    <row r="19" spans="1:7">
      <c r="A19" s="42"/>
      <c r="B19" s="50" t="s">
        <v>100</v>
      </c>
      <c r="C19" s="46"/>
      <c r="D19" s="46"/>
      <c r="E19" s="46"/>
      <c r="F19" s="46"/>
      <c r="G19" s="46"/>
    </row>
    <row r="20" spans="1:7">
      <c r="A20" s="42"/>
      <c r="B20" s="50" t="s">
        <v>101</v>
      </c>
      <c r="C20" s="46"/>
      <c r="D20" s="46"/>
      <c r="E20" s="46"/>
      <c r="F20" s="46"/>
      <c r="G20" s="46"/>
    </row>
    <row r="21" spans="1:7">
      <c r="A21" s="42"/>
      <c r="B21" s="50" t="s">
        <v>102</v>
      </c>
      <c r="C21" s="46"/>
      <c r="D21" s="46"/>
      <c r="E21" s="46"/>
      <c r="F21" s="46"/>
      <c r="G21" s="46"/>
    </row>
    <row r="22" spans="1:7">
      <c r="A22" s="42"/>
      <c r="B22" s="50" t="s">
        <v>103</v>
      </c>
      <c r="C22" s="46"/>
      <c r="D22" s="46"/>
      <c r="E22" s="46"/>
      <c r="F22" s="46"/>
      <c r="G22" s="46"/>
    </row>
    <row r="23" spans="1:7">
      <c r="A23" s="42"/>
      <c r="B23" s="50" t="s">
        <v>104</v>
      </c>
      <c r="C23" s="46"/>
      <c r="D23" s="46"/>
      <c r="E23" s="46"/>
      <c r="F23" s="46"/>
      <c r="G23" s="46"/>
    </row>
    <row r="24" spans="1:7">
      <c r="A24" s="42"/>
      <c r="B24" s="50" t="s">
        <v>105</v>
      </c>
      <c r="C24" s="46"/>
      <c r="D24" s="46"/>
      <c r="E24" s="46"/>
      <c r="F24" s="46"/>
      <c r="G24" s="46"/>
    </row>
    <row r="25" spans="1:7">
      <c r="A25" s="42"/>
      <c r="B25" s="50" t="s">
        <v>106</v>
      </c>
      <c r="C25" s="46"/>
      <c r="D25" s="46"/>
      <c r="E25" s="46"/>
      <c r="F25" s="46"/>
      <c r="G25" s="46"/>
    </row>
    <row r="26" spans="1:7">
      <c r="A26" s="42"/>
      <c r="B26" s="50" t="s">
        <v>107</v>
      </c>
      <c r="C26" s="46"/>
      <c r="D26" s="46"/>
      <c r="E26" s="46"/>
      <c r="F26" s="46"/>
      <c r="G26" s="46"/>
    </row>
    <row r="27" spans="1:7">
      <c r="A27" s="42"/>
      <c r="B27" s="50" t="s">
        <v>108</v>
      </c>
      <c r="C27" s="46"/>
      <c r="D27" s="46"/>
      <c r="E27" s="46"/>
      <c r="F27" s="46"/>
      <c r="G27" s="46"/>
    </row>
    <row r="28" spans="1:7">
      <c r="A28" s="42"/>
      <c r="B28" s="50" t="s">
        <v>109</v>
      </c>
      <c r="C28" s="46"/>
      <c r="D28" s="46"/>
      <c r="E28" s="46"/>
      <c r="F28" s="46"/>
      <c r="G28" s="46"/>
    </row>
    <row r="29" spans="1:7">
      <c r="A29" s="42"/>
      <c r="B29" s="50" t="s">
        <v>110</v>
      </c>
      <c r="C29" s="46"/>
      <c r="D29" s="46"/>
      <c r="E29" s="46"/>
      <c r="F29" s="46"/>
      <c r="G29" s="46"/>
    </row>
    <row r="30" spans="1:7">
      <c r="A30" s="42"/>
      <c r="B30" s="50" t="s">
        <v>111</v>
      </c>
      <c r="C30" s="46"/>
      <c r="D30" s="46"/>
      <c r="E30" s="46"/>
      <c r="F30" s="46"/>
      <c r="G30" s="46"/>
    </row>
    <row r="31" spans="1:7">
      <c r="A31" s="42"/>
      <c r="B31" s="50" t="s">
        <v>112</v>
      </c>
      <c r="C31" s="46"/>
      <c r="D31" s="46"/>
      <c r="E31" s="46"/>
      <c r="F31" s="46"/>
      <c r="G31" s="46"/>
    </row>
    <row r="32" spans="1:7">
      <c r="A32" s="42"/>
      <c r="B32" s="50" t="s">
        <v>113</v>
      </c>
      <c r="C32" s="46"/>
      <c r="D32" s="46"/>
      <c r="E32" s="46"/>
      <c r="F32" s="46"/>
      <c r="G32" s="46"/>
    </row>
    <row r="33" spans="1:7" ht="15.75">
      <c r="A33" s="47" t="s">
        <v>114</v>
      </c>
      <c r="B33" s="47"/>
      <c r="C33" s="48">
        <f>SUM(C14:C32)</f>
        <v>0</v>
      </c>
      <c r="D33" s="48">
        <f>SUM(D14:D32)</f>
        <v>0</v>
      </c>
      <c r="E33" s="48">
        <f t="shared" ref="E33:G33" si="1">SUM(E14:E32)</f>
        <v>0</v>
      </c>
      <c r="F33" s="48">
        <f t="shared" si="1"/>
        <v>0</v>
      </c>
      <c r="G33" s="48">
        <f t="shared" si="1"/>
        <v>0</v>
      </c>
    </row>
    <row r="34" spans="1:7">
      <c r="A34" s="42"/>
      <c r="B34" s="42"/>
      <c r="C34" s="42"/>
      <c r="D34" s="42"/>
      <c r="E34" s="42"/>
      <c r="F34" s="42"/>
      <c r="G34" s="42"/>
    </row>
    <row r="35" spans="1:7">
      <c r="A35" s="42"/>
      <c r="B35" s="51" t="s">
        <v>115</v>
      </c>
      <c r="C35" s="52">
        <f>C11-C33</f>
        <v>0</v>
      </c>
      <c r="D35" s="52">
        <f>D11-D33</f>
        <v>0</v>
      </c>
      <c r="E35" s="52">
        <f t="shared" ref="E35:G35" si="2">E11-E33</f>
        <v>0</v>
      </c>
      <c r="F35" s="52">
        <f t="shared" si="2"/>
        <v>0</v>
      </c>
      <c r="G35" s="52">
        <f t="shared" si="2"/>
        <v>0</v>
      </c>
    </row>
    <row r="36" spans="1:7">
      <c r="A36" s="42"/>
      <c r="B36" s="45" t="s">
        <v>116</v>
      </c>
      <c r="C36" s="46"/>
      <c r="D36" s="46"/>
      <c r="E36" s="46"/>
      <c r="F36" s="46"/>
      <c r="G36" s="46"/>
    </row>
    <row r="37" spans="1:7">
      <c r="A37" s="42"/>
      <c r="B37" s="42"/>
      <c r="C37" s="42"/>
      <c r="D37" s="42"/>
      <c r="E37" s="42"/>
      <c r="F37" s="42"/>
      <c r="G37" s="42"/>
    </row>
    <row r="38" spans="1:7" ht="15.75">
      <c r="A38" s="47" t="s">
        <v>117</v>
      </c>
      <c r="B38" s="47"/>
      <c r="C38" s="48">
        <f>C35-C36</f>
        <v>0</v>
      </c>
      <c r="D38" s="48">
        <f>D35-D36</f>
        <v>0</v>
      </c>
      <c r="E38" s="48">
        <f t="shared" ref="E38:G38" si="3">E35-E36</f>
        <v>0</v>
      </c>
      <c r="F38" s="48">
        <f t="shared" si="3"/>
        <v>0</v>
      </c>
      <c r="G38" s="48">
        <f t="shared" si="3"/>
        <v>0</v>
      </c>
    </row>
    <row r="39" spans="1:7">
      <c r="A39" s="42"/>
      <c r="B39" s="53" t="s">
        <v>118</v>
      </c>
      <c r="C39" s="42"/>
      <c r="D39" s="49" t="s">
        <v>94</v>
      </c>
      <c r="E39" s="49" t="s">
        <v>94</v>
      </c>
      <c r="F39" s="49" t="s">
        <v>94</v>
      </c>
      <c r="G39" s="49" t="s">
        <v>94</v>
      </c>
    </row>
    <row r="40" spans="1:7" ht="18.75">
      <c r="A40" s="43" t="s">
        <v>119</v>
      </c>
      <c r="B40" s="43"/>
      <c r="C40" s="44"/>
      <c r="D40" s="44"/>
      <c r="E40" s="44"/>
      <c r="F40" s="44"/>
      <c r="G40" s="44"/>
    </row>
    <row r="41" spans="1:7">
      <c r="A41" s="42"/>
      <c r="B41" s="45" t="s">
        <v>120</v>
      </c>
      <c r="C41" s="46"/>
      <c r="D41" s="46"/>
      <c r="E41" s="46"/>
      <c r="F41" s="46"/>
      <c r="G41" s="46"/>
    </row>
    <row r="42" spans="1:7">
      <c r="A42" s="42"/>
      <c r="B42" s="45" t="s">
        <v>121</v>
      </c>
      <c r="C42" s="46"/>
      <c r="D42" s="46"/>
      <c r="E42" s="46"/>
      <c r="F42" s="46"/>
      <c r="G42" s="46"/>
    </row>
    <row r="43" spans="1:7">
      <c r="A43" s="42"/>
      <c r="B43" s="45" t="s">
        <v>122</v>
      </c>
      <c r="C43" s="46"/>
      <c r="D43" s="46"/>
      <c r="E43" s="46"/>
      <c r="F43" s="46"/>
      <c r="G43" s="46"/>
    </row>
    <row r="44" spans="1:7">
      <c r="A44" s="42"/>
      <c r="B44" s="42"/>
      <c r="C44" s="42"/>
      <c r="D44" s="42"/>
      <c r="E44" s="42"/>
      <c r="F44" s="42"/>
      <c r="G44" s="42"/>
    </row>
    <row r="45" spans="1:7" ht="18.75">
      <c r="A45" s="43" t="s">
        <v>123</v>
      </c>
      <c r="B45" s="43"/>
      <c r="C45" s="54">
        <f>C38+SUM(C41:C44)</f>
        <v>0</v>
      </c>
      <c r="D45" s="54">
        <f>D38+SUM(D41:D44)</f>
        <v>0</v>
      </c>
      <c r="E45" s="54">
        <f t="shared" ref="E45:G45" si="4">E38+SUM(E41:E44)</f>
        <v>0</v>
      </c>
      <c r="F45" s="54">
        <f t="shared" si="4"/>
        <v>0</v>
      </c>
      <c r="G45" s="54">
        <f t="shared" si="4"/>
        <v>0</v>
      </c>
    </row>
    <row r="46" spans="1:7">
      <c r="A46" s="36"/>
      <c r="B46" s="36"/>
      <c r="C46" s="36"/>
      <c r="D46" s="36"/>
      <c r="E46" s="36"/>
    </row>
    <row r="47" spans="1:7">
      <c r="A47" s="36"/>
      <c r="B47" s="36"/>
      <c r="C47" s="36"/>
      <c r="D47" s="36"/>
      <c r="E47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2" workbookViewId="0">
      <selection activeCell="B10" sqref="B10"/>
    </sheetView>
  </sheetViews>
  <sheetFormatPr baseColWidth="10" defaultRowHeight="15"/>
  <cols>
    <col min="1" max="1" width="18.140625" customWidth="1"/>
  </cols>
  <sheetData>
    <row r="1" spans="1:14" ht="30.75">
      <c r="A1" s="102"/>
      <c r="B1" s="101" t="s">
        <v>145</v>
      </c>
      <c r="C1" s="100"/>
      <c r="D1" s="100"/>
      <c r="E1" s="99"/>
      <c r="F1" s="99"/>
      <c r="G1" s="99"/>
      <c r="H1" s="97"/>
      <c r="I1" s="97"/>
      <c r="J1" s="98"/>
      <c r="K1" s="97"/>
      <c r="L1" s="97"/>
      <c r="M1" s="97"/>
      <c r="N1" s="97"/>
    </row>
    <row r="2" spans="1:14" ht="30.75">
      <c r="A2" s="91"/>
      <c r="B2" s="96" t="s">
        <v>144</v>
      </c>
      <c r="C2" s="93"/>
      <c r="D2" s="93"/>
      <c r="E2" s="95"/>
      <c r="F2" s="94"/>
      <c r="G2" s="93"/>
      <c r="H2" s="92"/>
      <c r="I2" s="91"/>
      <c r="J2" s="91"/>
      <c r="K2" s="91"/>
      <c r="L2" s="91"/>
      <c r="M2" s="91"/>
      <c r="N2" s="91"/>
    </row>
    <row r="3" spans="1:14">
      <c r="A3" s="61" t="s">
        <v>143</v>
      </c>
      <c r="B3" s="61"/>
      <c r="C3" s="61"/>
      <c r="D3" s="61"/>
      <c r="E3" s="61"/>
      <c r="F3" s="61"/>
      <c r="G3" s="61"/>
      <c r="H3" s="61"/>
      <c r="I3" s="61"/>
    </row>
    <row r="4" spans="1:14">
      <c r="A4" s="61" t="s">
        <v>142</v>
      </c>
      <c r="B4" s="61"/>
      <c r="C4" s="61"/>
      <c r="D4" s="61"/>
      <c r="E4" s="61"/>
      <c r="F4" s="61"/>
      <c r="G4" s="61"/>
      <c r="H4" s="61"/>
      <c r="I4" s="61"/>
    </row>
    <row r="5" spans="1:14">
      <c r="A5" s="90"/>
      <c r="B5" s="61"/>
      <c r="C5" s="61"/>
      <c r="D5" s="61"/>
      <c r="E5" s="61"/>
      <c r="F5" s="61"/>
      <c r="G5" s="61"/>
      <c r="H5" s="61"/>
      <c r="I5" s="61"/>
    </row>
    <row r="6" spans="1:14" ht="18.75">
      <c r="A6" s="61"/>
      <c r="B6" s="61"/>
      <c r="C6" s="61"/>
      <c r="D6" s="61"/>
      <c r="E6" s="89" t="s">
        <v>141</v>
      </c>
      <c r="F6" s="88"/>
      <c r="G6" s="86" t="s">
        <v>140</v>
      </c>
      <c r="H6" s="87" t="s">
        <v>139</v>
      </c>
      <c r="I6" s="86" t="s">
        <v>138</v>
      </c>
    </row>
    <row r="7" spans="1:14">
      <c r="A7" s="61"/>
      <c r="B7" s="61"/>
      <c r="C7" s="61"/>
      <c r="D7" s="61"/>
      <c r="E7" s="85" t="s">
        <v>137</v>
      </c>
      <c r="F7" s="84">
        <v>0</v>
      </c>
      <c r="G7" s="84">
        <f>+H7/2</f>
        <v>1.0606028466580404</v>
      </c>
      <c r="H7" s="83">
        <f>+B12</f>
        <v>2.1212056933160808</v>
      </c>
      <c r="I7" s="82">
        <f>+H7+H7-G7</f>
        <v>3.1818085399741212</v>
      </c>
    </row>
    <row r="8" spans="1:14">
      <c r="A8" s="81" t="s">
        <v>136</v>
      </c>
      <c r="B8" s="61"/>
      <c r="C8" s="61"/>
      <c r="D8" s="61"/>
      <c r="E8" s="77" t="s">
        <v>135</v>
      </c>
      <c r="F8" s="76">
        <f>+F7*$B$9</f>
        <v>0</v>
      </c>
      <c r="G8" s="76">
        <f>+G7*$B$9</f>
        <v>53.030142332902017</v>
      </c>
      <c r="H8" s="80">
        <f>+H7*$B$9</f>
        <v>106.06028466580403</v>
      </c>
      <c r="I8" s="75">
        <f>+I7*$B$9</f>
        <v>159.09042699870605</v>
      </c>
    </row>
    <row r="9" spans="1:14">
      <c r="A9" s="79" t="s">
        <v>134</v>
      </c>
      <c r="B9" s="78">
        <v>50</v>
      </c>
      <c r="C9" s="72"/>
      <c r="D9" s="61"/>
      <c r="E9" s="77" t="s">
        <v>133</v>
      </c>
      <c r="F9" s="76">
        <f>+F7*$B$10</f>
        <v>0</v>
      </c>
      <c r="G9" s="76">
        <f>+G7*$B$10</f>
        <v>3.0301423329020216</v>
      </c>
      <c r="H9" s="76">
        <f>+H7*$B$10</f>
        <v>6.0602846658040432</v>
      </c>
      <c r="I9" s="75">
        <f>+I7*$B$10</f>
        <v>9.0904269987060644</v>
      </c>
    </row>
    <row r="10" spans="1:14">
      <c r="A10" s="74" t="s">
        <v>132</v>
      </c>
      <c r="B10" s="73">
        <v>2.8570000000000002</v>
      </c>
      <c r="C10" s="72"/>
      <c r="D10" s="61"/>
      <c r="E10" s="77" t="s">
        <v>131</v>
      </c>
      <c r="F10" s="76">
        <f>+$B$11</f>
        <v>100</v>
      </c>
      <c r="G10" s="76">
        <f>+$B$11</f>
        <v>100</v>
      </c>
      <c r="H10" s="76">
        <f>+$B$11</f>
        <v>100</v>
      </c>
      <c r="I10" s="75">
        <f>+$B$11</f>
        <v>100</v>
      </c>
    </row>
    <row r="11" spans="1:14">
      <c r="A11" s="74" t="s">
        <v>130</v>
      </c>
      <c r="B11" s="73">
        <v>100</v>
      </c>
      <c r="C11" s="72"/>
      <c r="D11" s="61"/>
      <c r="E11" s="71" t="s">
        <v>129</v>
      </c>
      <c r="F11" s="70">
        <f>+F9+F10</f>
        <v>100</v>
      </c>
      <c r="G11" s="70">
        <f>+G9+G10</f>
        <v>103.03014233290202</v>
      </c>
      <c r="H11" s="69">
        <f>+H9+H10</f>
        <v>106.06028466580405</v>
      </c>
      <c r="I11" s="68">
        <f>+I9+I10</f>
        <v>109.09042699870606</v>
      </c>
    </row>
    <row r="12" spans="1:14">
      <c r="A12" s="63" t="s">
        <v>128</v>
      </c>
      <c r="B12" s="62">
        <f>+B11/(B9-B10)</f>
        <v>2.1212056933160808</v>
      </c>
      <c r="C12" s="61" t="s">
        <v>127</v>
      </c>
      <c r="D12" s="61"/>
      <c r="E12" s="67" t="s">
        <v>126</v>
      </c>
      <c r="F12" s="66">
        <f>+F8-F11</f>
        <v>-100</v>
      </c>
      <c r="G12" s="66">
        <f>+G8-G11</f>
        <v>-50</v>
      </c>
      <c r="H12" s="65">
        <f>+H8-H11</f>
        <v>0</v>
      </c>
      <c r="I12" s="64">
        <f>+I8-I11</f>
        <v>49.999999999999986</v>
      </c>
    </row>
    <row r="13" spans="1:14">
      <c r="A13" s="63" t="s">
        <v>125</v>
      </c>
      <c r="B13" s="62">
        <f>B12*B9</f>
        <v>106.06028466580403</v>
      </c>
      <c r="C13" s="61" t="s">
        <v>124</v>
      </c>
      <c r="D13" s="56"/>
      <c r="E13" s="60" t="str">
        <f>IF(B12&lt;0,"Nunca alcanzarás el punto de equilibrio con esos datos!","Para alcanzar el punto de equilibrio debes vender "&amp;TEXT(B12,"#.##0")&amp;" unidades mes")</f>
        <v>Para alcanzar el punto de equilibrio debes vender 2.121 unidades mes</v>
      </c>
      <c r="F13" s="59"/>
      <c r="G13" s="59"/>
      <c r="H13" s="59"/>
      <c r="I13" s="58"/>
    </row>
    <row r="14" spans="1:14">
      <c r="A14" s="56"/>
      <c r="B14" s="56"/>
      <c r="C14" s="56"/>
      <c r="D14" s="56"/>
      <c r="E14" s="56"/>
      <c r="F14" s="56"/>
      <c r="G14" s="56"/>
      <c r="H14" s="56"/>
      <c r="I14" s="56"/>
    </row>
    <row r="15" spans="1:14">
      <c r="A15" s="56"/>
      <c r="B15" s="56"/>
      <c r="C15" s="56"/>
      <c r="D15" s="56"/>
      <c r="E15" s="56"/>
      <c r="F15" s="56"/>
      <c r="G15" s="56"/>
      <c r="H15" s="56"/>
      <c r="I15" s="56"/>
    </row>
    <row r="16" spans="1:14">
      <c r="A16" s="56"/>
      <c r="B16" s="56"/>
      <c r="C16" s="56"/>
      <c r="D16" s="56"/>
      <c r="E16" s="56"/>
      <c r="F16" s="56"/>
      <c r="G16" s="56"/>
      <c r="H16" s="56"/>
      <c r="I16" s="56"/>
      <c r="N16" s="57"/>
    </row>
    <row r="17" spans="1:9">
      <c r="A17" s="56"/>
      <c r="B17" s="56"/>
      <c r="C17" s="56"/>
      <c r="D17" s="56"/>
      <c r="E17" s="56"/>
      <c r="F17" s="56"/>
      <c r="G17" s="56"/>
      <c r="H17" s="56"/>
      <c r="I17" s="56"/>
    </row>
    <row r="18" spans="1:9">
      <c r="A18" s="56"/>
      <c r="B18" s="56"/>
      <c r="C18" s="56"/>
      <c r="D18" s="56"/>
      <c r="E18" s="56"/>
      <c r="F18" s="56"/>
      <c r="G18" s="56"/>
      <c r="H18" s="56"/>
      <c r="I18" s="56"/>
    </row>
    <row r="19" spans="1:9">
      <c r="A19" s="56"/>
      <c r="B19" s="56"/>
      <c r="C19" s="56"/>
      <c r="D19" s="56"/>
      <c r="E19" s="56"/>
      <c r="F19" s="56"/>
      <c r="G19" s="56"/>
      <c r="H19" s="56"/>
      <c r="I19" s="56"/>
    </row>
    <row r="20" spans="1:9">
      <c r="A20" s="56"/>
      <c r="B20" s="56"/>
      <c r="C20" s="56"/>
      <c r="D20" s="56"/>
      <c r="E20" s="56"/>
      <c r="F20" s="56"/>
      <c r="G20" s="56"/>
      <c r="H20" s="56"/>
      <c r="I20" s="56"/>
    </row>
    <row r="21" spans="1:9">
      <c r="A21" s="56"/>
      <c r="B21" s="56"/>
      <c r="C21" s="56"/>
      <c r="D21" s="56"/>
      <c r="E21" s="56"/>
      <c r="F21" s="56"/>
      <c r="G21" s="56"/>
      <c r="H21" s="56"/>
      <c r="I21" s="56"/>
    </row>
    <row r="22" spans="1:9">
      <c r="A22" s="56"/>
      <c r="B22" s="56"/>
      <c r="C22" s="56"/>
      <c r="D22" s="56"/>
      <c r="E22" s="56"/>
      <c r="F22" s="56"/>
      <c r="G22" s="56"/>
      <c r="H22" s="56"/>
      <c r="I22" s="56"/>
    </row>
    <row r="23" spans="1:9">
      <c r="A23" s="56"/>
      <c r="B23" s="56"/>
      <c r="C23" s="56"/>
      <c r="D23" s="56"/>
      <c r="E23" s="56"/>
      <c r="F23" s="56"/>
      <c r="G23" s="56"/>
      <c r="H23" s="56"/>
      <c r="I23" s="56"/>
    </row>
    <row r="24" spans="1:9">
      <c r="A24" s="56"/>
      <c r="B24" s="56"/>
      <c r="C24" s="56"/>
      <c r="D24" s="56"/>
      <c r="E24" s="56"/>
      <c r="F24" s="56"/>
      <c r="G24" s="56"/>
      <c r="H24" s="56"/>
      <c r="I24" s="56"/>
    </row>
    <row r="25" spans="1:9">
      <c r="A25" s="56"/>
      <c r="B25" s="56"/>
      <c r="C25" s="56"/>
      <c r="D25" s="56"/>
      <c r="E25" s="56"/>
      <c r="F25" s="56"/>
      <c r="G25" s="56"/>
      <c r="H25" s="56"/>
      <c r="I25" s="56"/>
    </row>
    <row r="26" spans="1:9">
      <c r="A26" s="56"/>
      <c r="B26" s="56"/>
      <c r="C26" s="56"/>
      <c r="D26" s="56"/>
      <c r="E26" s="56"/>
      <c r="F26" s="56"/>
      <c r="G26" s="56"/>
      <c r="H26" s="56"/>
      <c r="I26" s="56"/>
    </row>
    <row r="27" spans="1:9">
      <c r="A27" s="56"/>
      <c r="B27" s="56"/>
      <c r="C27" s="56"/>
      <c r="D27" s="56"/>
      <c r="E27" s="56"/>
      <c r="F27" s="56"/>
      <c r="G27" s="56"/>
      <c r="H27" s="56"/>
      <c r="I27" s="56"/>
    </row>
    <row r="28" spans="1:9">
      <c r="A28" s="56"/>
      <c r="B28" s="56"/>
      <c r="C28" s="56"/>
      <c r="D28" s="56"/>
      <c r="E28" s="56"/>
      <c r="F28" s="56"/>
      <c r="G28" s="56"/>
      <c r="H28" s="56"/>
      <c r="I28" s="56"/>
    </row>
    <row r="29" spans="1:9">
      <c r="A29" s="56"/>
      <c r="B29" s="56"/>
      <c r="C29" s="56"/>
      <c r="D29" s="56"/>
      <c r="E29" s="56"/>
      <c r="F29" s="56"/>
      <c r="G29" s="56"/>
      <c r="H29" s="56"/>
      <c r="I29" s="56"/>
    </row>
    <row r="33" spans="4:7">
      <c r="D33" s="55"/>
      <c r="E33" s="55"/>
      <c r="F33" s="55"/>
      <c r="G33" s="55"/>
    </row>
  </sheetData>
  <mergeCells count="2">
    <mergeCell ref="E13:I13"/>
    <mergeCell ref="D33:G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0"/>
  <sheetViews>
    <sheetView zoomScale="82" workbookViewId="0">
      <selection activeCell="D5" sqref="D5:J5"/>
    </sheetView>
  </sheetViews>
  <sheetFormatPr baseColWidth="10" defaultRowHeight="15"/>
  <cols>
    <col min="2" max="2" width="31.5703125" bestFit="1" customWidth="1"/>
    <col min="7" max="7" width="40.85546875" bestFit="1" customWidth="1"/>
  </cols>
  <sheetData>
    <row r="2" spans="2:11">
      <c r="B2" s="124" t="s">
        <v>184</v>
      </c>
      <c r="C2" s="123"/>
    </row>
    <row r="3" spans="2:11">
      <c r="B3" s="121"/>
      <c r="C3" s="120"/>
    </row>
    <row r="4" spans="2:11">
      <c r="B4" s="121"/>
      <c r="C4" s="120"/>
    </row>
    <row r="5" spans="2:11">
      <c r="B5" s="121"/>
      <c r="C5" s="120"/>
      <c r="D5" s="122" t="s">
        <v>183</v>
      </c>
      <c r="E5" s="122"/>
      <c r="F5" s="122"/>
      <c r="G5" s="122"/>
      <c r="H5" s="122"/>
      <c r="I5" s="122"/>
      <c r="J5" s="122"/>
    </row>
    <row r="6" spans="2:11">
      <c r="B6" s="121"/>
      <c r="C6" s="120"/>
    </row>
    <row r="7" spans="2:11" ht="15.75">
      <c r="B7" s="121"/>
      <c r="C7" s="120"/>
      <c r="D7" s="119" t="s">
        <v>182</v>
      </c>
      <c r="E7" s="119"/>
      <c r="F7" s="119"/>
      <c r="G7" s="119"/>
      <c r="H7" s="119"/>
      <c r="I7" s="119"/>
      <c r="J7" s="119"/>
    </row>
    <row r="8" spans="2:11">
      <c r="B8" s="118"/>
      <c r="C8" s="117"/>
    </row>
    <row r="11" spans="2:11" ht="15.75">
      <c r="B11" s="114" t="s">
        <v>181</v>
      </c>
      <c r="C11" s="114"/>
      <c r="G11" s="114" t="s">
        <v>180</v>
      </c>
      <c r="H11" s="114"/>
    </row>
    <row r="13" spans="2:11" ht="15.75" thickBot="1">
      <c r="B13" s="110" t="s">
        <v>13</v>
      </c>
      <c r="G13" s="110" t="s">
        <v>14</v>
      </c>
    </row>
    <row r="15" spans="2:11">
      <c r="B15" t="s">
        <v>179</v>
      </c>
      <c r="D15" s="103"/>
      <c r="G15" t="s">
        <v>178</v>
      </c>
      <c r="I15" s="103"/>
      <c r="K15" s="116"/>
    </row>
    <row r="16" spans="2:11">
      <c r="B16" t="s">
        <v>177</v>
      </c>
      <c r="D16" s="103"/>
      <c r="G16" t="s">
        <v>176</v>
      </c>
      <c r="I16" s="103"/>
    </row>
    <row r="17" spans="2:11">
      <c r="B17" t="s">
        <v>175</v>
      </c>
      <c r="D17" s="103"/>
      <c r="G17" t="s">
        <v>174</v>
      </c>
      <c r="I17" s="103"/>
    </row>
    <row r="18" spans="2:11">
      <c r="B18" t="s">
        <v>173</v>
      </c>
      <c r="D18" s="103"/>
      <c r="G18" t="s">
        <v>172</v>
      </c>
      <c r="I18" s="103"/>
    </row>
    <row r="19" spans="2:11" ht="15.75" thickBot="1">
      <c r="B19" s="109" t="s">
        <v>171</v>
      </c>
      <c r="D19" s="103"/>
      <c r="G19" s="109" t="s">
        <v>170</v>
      </c>
      <c r="I19" s="103"/>
    </row>
    <row r="20" spans="2:11">
      <c r="B20" s="108" t="s">
        <v>169</v>
      </c>
      <c r="C20" s="107"/>
      <c r="D20" s="106">
        <f>SUM(D15:D19)</f>
        <v>0</v>
      </c>
      <c r="G20" s="108" t="s">
        <v>24</v>
      </c>
      <c r="H20" s="107"/>
      <c r="I20" s="106">
        <f>SUM(I15:I19)</f>
        <v>0</v>
      </c>
      <c r="K20" s="115"/>
    </row>
    <row r="23" spans="2:11" ht="15.75" thickBot="1">
      <c r="B23" s="110" t="s">
        <v>168</v>
      </c>
      <c r="G23" s="110" t="s">
        <v>31</v>
      </c>
    </row>
    <row r="25" spans="2:11">
      <c r="B25" t="s">
        <v>167</v>
      </c>
      <c r="D25" s="103"/>
    </row>
    <row r="26" spans="2:11" ht="15.75" thickBot="1">
      <c r="B26" t="s">
        <v>166</v>
      </c>
      <c r="D26" s="103"/>
      <c r="G26" s="109" t="s">
        <v>165</v>
      </c>
      <c r="I26" s="103"/>
    </row>
    <row r="27" spans="2:11">
      <c r="B27" t="s">
        <v>160</v>
      </c>
      <c r="D27" s="103"/>
      <c r="G27" s="108" t="s">
        <v>24</v>
      </c>
      <c r="H27" s="107"/>
      <c r="I27" s="106">
        <f>SUM(I26)</f>
        <v>0</v>
      </c>
    </row>
    <row r="28" spans="2:11">
      <c r="B28" t="s">
        <v>164</v>
      </c>
      <c r="D28" s="103"/>
    </row>
    <row r="29" spans="2:11">
      <c r="B29" t="s">
        <v>160</v>
      </c>
      <c r="D29" s="103"/>
    </row>
    <row r="30" spans="2:11" ht="15.75">
      <c r="B30" t="s">
        <v>163</v>
      </c>
      <c r="D30" s="103"/>
      <c r="G30" s="105" t="s">
        <v>162</v>
      </c>
      <c r="I30" s="104">
        <f>+I20+I27</f>
        <v>0</v>
      </c>
    </row>
    <row r="31" spans="2:11">
      <c r="B31" t="s">
        <v>160</v>
      </c>
      <c r="D31" s="103"/>
    </row>
    <row r="32" spans="2:11">
      <c r="B32" t="s">
        <v>161</v>
      </c>
      <c r="D32" s="103"/>
    </row>
    <row r="33" spans="2:10" ht="15.75" thickBot="1">
      <c r="B33" s="109" t="s">
        <v>160</v>
      </c>
      <c r="D33" s="103"/>
    </row>
    <row r="34" spans="2:10" ht="15.75">
      <c r="B34" s="108" t="s">
        <v>159</v>
      </c>
      <c r="C34" s="107"/>
      <c r="D34" s="106">
        <f>SUM(D25:D33)</f>
        <v>0</v>
      </c>
      <c r="G34" s="114" t="s">
        <v>158</v>
      </c>
      <c r="H34" s="114"/>
    </row>
    <row r="35" spans="2:10">
      <c r="B35" s="113"/>
      <c r="C35" s="112"/>
      <c r="D35" s="111"/>
    </row>
    <row r="36" spans="2:10">
      <c r="G36" t="s">
        <v>157</v>
      </c>
      <c r="I36" s="103"/>
    </row>
    <row r="37" spans="2:10" ht="15.75" thickBot="1">
      <c r="B37" s="110" t="s">
        <v>156</v>
      </c>
      <c r="G37" t="s">
        <v>155</v>
      </c>
      <c r="I37" s="103"/>
    </row>
    <row r="38" spans="2:10">
      <c r="G38" t="s">
        <v>154</v>
      </c>
      <c r="I38" s="103"/>
    </row>
    <row r="39" spans="2:10">
      <c r="B39" t="s">
        <v>153</v>
      </c>
      <c r="D39" s="103"/>
      <c r="G39" t="s">
        <v>152</v>
      </c>
      <c r="I39" s="103"/>
    </row>
    <row r="40" spans="2:10" ht="15.75" thickBot="1">
      <c r="B40" s="109" t="s">
        <v>151</v>
      </c>
      <c r="D40" s="103"/>
      <c r="G40" s="108" t="s">
        <v>150</v>
      </c>
      <c r="H40" s="107"/>
      <c r="I40" s="106">
        <f>SUM(I36:I39)</f>
        <v>0</v>
      </c>
    </row>
    <row r="41" spans="2:10">
      <c r="B41" s="108" t="s">
        <v>149</v>
      </c>
      <c r="C41" s="107"/>
      <c r="D41" s="106">
        <f>SUM(D39:D40)</f>
        <v>0</v>
      </c>
    </row>
    <row r="43" spans="2:10" ht="15.75">
      <c r="B43" s="105" t="s">
        <v>148</v>
      </c>
      <c r="D43" s="104">
        <f>+D20+D34+D41</f>
        <v>0</v>
      </c>
      <c r="G43" s="105" t="s">
        <v>147</v>
      </c>
      <c r="I43" s="104">
        <f>+I40</f>
        <v>0</v>
      </c>
    </row>
    <row r="44" spans="2:10">
      <c r="J44" s="103"/>
    </row>
    <row r="45" spans="2:10">
      <c r="J45" s="103"/>
    </row>
    <row r="46" spans="2:10" ht="15.75">
      <c r="G46" s="105" t="s">
        <v>146</v>
      </c>
      <c r="I46" s="104">
        <f>+I43+I30</f>
        <v>0</v>
      </c>
    </row>
    <row r="50" spans="8:8">
      <c r="H50" s="103"/>
    </row>
  </sheetData>
  <mergeCells count="6">
    <mergeCell ref="G34:H34"/>
    <mergeCell ref="B2:C8"/>
    <mergeCell ref="D5:J5"/>
    <mergeCell ref="D7:J7"/>
    <mergeCell ref="B11:C11"/>
    <mergeCell ref="G11:H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opLeftCell="A130" zoomScale="88" zoomScaleNormal="100" workbookViewId="0">
      <selection activeCell="E134" sqref="E134"/>
    </sheetView>
  </sheetViews>
  <sheetFormatPr baseColWidth="10" defaultRowHeight="15"/>
  <cols>
    <col min="2" max="2" width="15" customWidth="1"/>
    <col min="3" max="3" width="13.28515625" customWidth="1"/>
  </cols>
  <sheetData>
    <row r="1" spans="1:12" ht="20.25">
      <c r="A1" s="198" t="s">
        <v>234</v>
      </c>
      <c r="B1" s="202"/>
      <c r="C1" s="201"/>
      <c r="D1" s="200" t="s">
        <v>233</v>
      </c>
      <c r="E1" s="200"/>
      <c r="F1" s="199"/>
      <c r="G1" s="198"/>
      <c r="H1" s="198"/>
      <c r="I1" s="198"/>
    </row>
    <row r="2" spans="1:12" ht="18">
      <c r="B2" s="160" t="s">
        <v>232</v>
      </c>
      <c r="C2" s="126"/>
      <c r="D2" s="125"/>
      <c r="E2" s="125"/>
    </row>
    <row r="3" spans="1:12" ht="15.75" thickBot="1">
      <c r="B3" s="126"/>
      <c r="C3" s="126"/>
      <c r="D3" s="125"/>
      <c r="E3" s="125"/>
    </row>
    <row r="4" spans="1:12" ht="15.75" thickBot="1">
      <c r="B4" s="157" t="s">
        <v>199</v>
      </c>
      <c r="C4" s="159" t="s">
        <v>231</v>
      </c>
      <c r="D4" s="178"/>
      <c r="E4" s="178"/>
      <c r="F4" s="178"/>
      <c r="G4" s="158"/>
    </row>
    <row r="5" spans="1:12" ht="35.25" thickBot="1">
      <c r="A5" s="196"/>
      <c r="B5" s="156"/>
      <c r="C5" s="197" t="s">
        <v>230</v>
      </c>
      <c r="D5" s="197" t="s">
        <v>229</v>
      </c>
      <c r="E5" s="197" t="s">
        <v>228</v>
      </c>
      <c r="F5" s="197" t="s">
        <v>227</v>
      </c>
      <c r="G5" s="197" t="s">
        <v>226</v>
      </c>
      <c r="H5" s="196"/>
      <c r="I5" s="196"/>
      <c r="J5" s="196"/>
      <c r="K5" s="196"/>
      <c r="L5" s="196"/>
    </row>
    <row r="6" spans="1:12" ht="15.75" thickBot="1">
      <c r="B6" s="155"/>
      <c r="C6" s="176"/>
      <c r="D6" s="175"/>
      <c r="E6" s="195"/>
      <c r="F6" s="175"/>
      <c r="G6" s="194"/>
    </row>
    <row r="7" spans="1:12">
      <c r="B7" s="146">
        <v>0</v>
      </c>
      <c r="C7" s="192">
        <v>0</v>
      </c>
      <c r="D7" s="170"/>
      <c r="E7" s="193"/>
      <c r="F7" s="170"/>
      <c r="G7" s="189">
        <f>+SUM(C7:F7)</f>
        <v>0</v>
      </c>
    </row>
    <row r="8" spans="1:12">
      <c r="B8" s="146">
        <v>1</v>
      </c>
      <c r="C8" s="192"/>
      <c r="D8" s="170">
        <v>20</v>
      </c>
      <c r="E8" s="191">
        <v>-14</v>
      </c>
      <c r="F8" s="170"/>
      <c r="G8" s="189">
        <f>+SUM(C8:F8)</f>
        <v>6</v>
      </c>
    </row>
    <row r="9" spans="1:12">
      <c r="B9" s="146">
        <v>2</v>
      </c>
      <c r="C9" s="192"/>
      <c r="D9" s="170">
        <v>20</v>
      </c>
      <c r="E9" s="191">
        <v>-14</v>
      </c>
      <c r="F9" s="170"/>
      <c r="G9" s="189">
        <f>+SUM(C9:F9)</f>
        <v>6</v>
      </c>
    </row>
    <row r="10" spans="1:12">
      <c r="B10" s="146">
        <v>3</v>
      </c>
      <c r="C10" s="192"/>
      <c r="D10" s="170">
        <v>20</v>
      </c>
      <c r="E10" s="191">
        <v>-14</v>
      </c>
      <c r="F10" s="170"/>
      <c r="G10" s="189">
        <f>+SUM(C10:F10)</f>
        <v>6</v>
      </c>
    </row>
    <row r="11" spans="1:12">
      <c r="B11" s="146">
        <v>4</v>
      </c>
      <c r="C11" s="192"/>
      <c r="D11" s="170">
        <v>20</v>
      </c>
      <c r="E11" s="191">
        <v>-14</v>
      </c>
      <c r="F11" s="170"/>
      <c r="G11" s="189">
        <f>+SUM(C11:F11)</f>
        <v>6</v>
      </c>
    </row>
    <row r="12" spans="1:12">
      <c r="B12" s="146">
        <v>5</v>
      </c>
      <c r="C12" s="192"/>
      <c r="D12" s="170">
        <v>20</v>
      </c>
      <c r="E12" s="191">
        <v>-14</v>
      </c>
      <c r="F12" s="170"/>
      <c r="G12" s="189">
        <f>+SUM(C12:F12)</f>
        <v>6</v>
      </c>
    </row>
    <row r="13" spans="1:12">
      <c r="B13" s="146">
        <v>6</v>
      </c>
      <c r="C13" s="192"/>
      <c r="D13" s="170">
        <v>20</v>
      </c>
      <c r="E13" s="191">
        <v>-14</v>
      </c>
      <c r="F13" s="170"/>
      <c r="G13" s="189">
        <f>+SUM(C13:F13)</f>
        <v>6</v>
      </c>
    </row>
    <row r="14" spans="1:12">
      <c r="B14" s="146">
        <v>7</v>
      </c>
      <c r="C14" s="192"/>
      <c r="D14" s="170">
        <v>20</v>
      </c>
      <c r="E14" s="191">
        <v>-14</v>
      </c>
      <c r="F14" s="170"/>
      <c r="G14" s="189">
        <f>+SUM(C14:F14)</f>
        <v>6</v>
      </c>
    </row>
    <row r="15" spans="1:12">
      <c r="B15" s="146">
        <v>8</v>
      </c>
      <c r="C15" s="192"/>
      <c r="D15" s="170">
        <v>20</v>
      </c>
      <c r="E15" s="191">
        <v>-14</v>
      </c>
      <c r="F15" s="170">
        <v>2</v>
      </c>
      <c r="G15" s="189">
        <f>+SUM(C15:F15)</f>
        <v>8</v>
      </c>
      <c r="J15" s="57"/>
      <c r="K15" s="57"/>
      <c r="L15" s="57"/>
    </row>
    <row r="16" spans="1:12" ht="15.75" thickBot="1">
      <c r="B16" s="146"/>
      <c r="C16" s="168"/>
      <c r="D16" s="167"/>
      <c r="E16" s="190"/>
      <c r="F16" s="167"/>
      <c r="G16" s="189"/>
    </row>
    <row r="17" spans="2:7" ht="15.75" thickBot="1">
      <c r="B17" s="140" t="s">
        <v>194</v>
      </c>
      <c r="C17" s="140">
        <f>SUM(C7:C16)</f>
        <v>0</v>
      </c>
      <c r="D17" s="140">
        <f>SUM(D7:D16)</f>
        <v>160</v>
      </c>
      <c r="E17" s="140">
        <f>SUM(E7:E16)</f>
        <v>-112</v>
      </c>
      <c r="F17" s="140">
        <f>SUM(F7:F16)</f>
        <v>2</v>
      </c>
      <c r="G17" s="140">
        <f>SUM(G7:G16)</f>
        <v>50</v>
      </c>
    </row>
    <row r="18" spans="2:7">
      <c r="B18" s="126"/>
      <c r="C18" s="126"/>
      <c r="D18" s="125"/>
      <c r="E18" s="125"/>
    </row>
    <row r="19" spans="2:7" ht="18">
      <c r="B19" s="160" t="s">
        <v>225</v>
      </c>
      <c r="C19" s="126"/>
      <c r="D19" s="125"/>
      <c r="E19" s="125"/>
    </row>
    <row r="20" spans="2:7" ht="15.75" thickBot="1">
      <c r="B20" s="126"/>
      <c r="C20" s="126"/>
      <c r="D20" s="125"/>
      <c r="E20" s="125"/>
    </row>
    <row r="21" spans="2:7" ht="15.75" thickBot="1">
      <c r="B21" s="134" t="s">
        <v>224</v>
      </c>
      <c r="C21" s="126"/>
      <c r="D21" s="188">
        <v>0.1</v>
      </c>
      <c r="E21" s="125"/>
    </row>
    <row r="22" spans="2:7" ht="15.75" thickBot="1">
      <c r="B22" s="126"/>
      <c r="C22" s="126"/>
      <c r="D22" s="125"/>
      <c r="E22" s="125"/>
    </row>
    <row r="23" spans="2:7">
      <c r="B23" s="157" t="s">
        <v>199</v>
      </c>
      <c r="C23" s="157" t="s">
        <v>223</v>
      </c>
      <c r="D23" s="157" t="s">
        <v>222</v>
      </c>
      <c r="E23" s="157" t="s">
        <v>221</v>
      </c>
    </row>
    <row r="24" spans="2:7" ht="15.75" thickBot="1">
      <c r="B24" s="156"/>
      <c r="C24" s="156"/>
      <c r="D24" s="187"/>
      <c r="E24" s="156"/>
    </row>
    <row r="25" spans="2:7">
      <c r="B25" s="155"/>
      <c r="C25" s="186"/>
      <c r="D25" s="153"/>
      <c r="E25" s="153"/>
    </row>
    <row r="26" spans="2:7">
      <c r="B26" s="146">
        <v>0</v>
      </c>
      <c r="C26" s="185">
        <f>+G7</f>
        <v>0</v>
      </c>
      <c r="D26" s="184">
        <f>+(1+TASA_DE_DESCUENTO)^-B26</f>
        <v>1</v>
      </c>
      <c r="E26" s="184">
        <f>+C26*D26</f>
        <v>0</v>
      </c>
    </row>
    <row r="27" spans="2:7">
      <c r="B27" s="146">
        <v>1</v>
      </c>
      <c r="C27" s="185">
        <f>+G8</f>
        <v>6</v>
      </c>
      <c r="D27" s="184">
        <f>+(1+TASA_DE_DESCUENTO)^-B27</f>
        <v>0.90909090909090906</v>
      </c>
      <c r="E27" s="184">
        <f>+C27*D27</f>
        <v>5.4545454545454541</v>
      </c>
    </row>
    <row r="28" spans="2:7">
      <c r="B28" s="146">
        <v>2</v>
      </c>
      <c r="C28" s="185">
        <f>+G9</f>
        <v>6</v>
      </c>
      <c r="D28" s="184">
        <f>+(1+TASA_DE_DESCUENTO)^-B28</f>
        <v>0.82644628099173545</v>
      </c>
      <c r="E28" s="184">
        <f>+C28*D28</f>
        <v>4.9586776859504127</v>
      </c>
    </row>
    <row r="29" spans="2:7">
      <c r="B29" s="146">
        <v>3</v>
      </c>
      <c r="C29" s="185">
        <f>+G10</f>
        <v>6</v>
      </c>
      <c r="D29" s="184">
        <f>+(1+TASA_DE_DESCUENTO)^-B29</f>
        <v>0.75131480090157754</v>
      </c>
      <c r="E29" s="184">
        <f>+C29*D29</f>
        <v>4.5078888054094648</v>
      </c>
    </row>
    <row r="30" spans="2:7">
      <c r="B30" s="146">
        <v>4</v>
      </c>
      <c r="C30" s="185">
        <f>+G11</f>
        <v>6</v>
      </c>
      <c r="D30" s="184">
        <f>+(1+TASA_DE_DESCUENTO)^-B30</f>
        <v>0.68301345536507052</v>
      </c>
      <c r="E30" s="184">
        <f>+C30*D30</f>
        <v>4.0980807321904233</v>
      </c>
    </row>
    <row r="31" spans="2:7">
      <c r="B31" s="146">
        <v>5</v>
      </c>
      <c r="C31" s="185">
        <f>+G12</f>
        <v>6</v>
      </c>
      <c r="D31" s="184">
        <f>+(1+TASA_DE_DESCUENTO)^-B31</f>
        <v>0.62092132305915493</v>
      </c>
      <c r="E31" s="184">
        <f>+C31*D31</f>
        <v>3.7255279383549293</v>
      </c>
    </row>
    <row r="32" spans="2:7">
      <c r="B32" s="146">
        <v>6</v>
      </c>
      <c r="C32" s="185">
        <f>+G13</f>
        <v>6</v>
      </c>
      <c r="D32" s="184">
        <f>+(1+TASA_DE_DESCUENTO)^-B32</f>
        <v>0.56447393005377722</v>
      </c>
      <c r="E32" s="184">
        <f>+C32*D32</f>
        <v>3.3868435803226635</v>
      </c>
    </row>
    <row r="33" spans="2:12">
      <c r="B33" s="146">
        <v>7</v>
      </c>
      <c r="C33" s="185">
        <f>+G14</f>
        <v>6</v>
      </c>
      <c r="D33" s="184">
        <f>+(1+TASA_DE_DESCUENTO)^-B33</f>
        <v>0.51315811823070645</v>
      </c>
      <c r="E33" s="184">
        <f>+C33*D33</f>
        <v>3.0789487093842389</v>
      </c>
    </row>
    <row r="34" spans="2:12">
      <c r="B34" s="146">
        <v>8</v>
      </c>
      <c r="C34" s="185">
        <f>+G15</f>
        <v>8</v>
      </c>
      <c r="D34" s="184">
        <f>+(1+TASA_DE_DESCUENTO)^-B34</f>
        <v>0.46650738020973315</v>
      </c>
      <c r="E34" s="184">
        <f>+C34*D34</f>
        <v>3.7320590416778652</v>
      </c>
      <c r="J34" s="183"/>
      <c r="K34" s="183"/>
      <c r="L34" s="183"/>
    </row>
    <row r="35" spans="2:12" ht="15.75" thickBot="1">
      <c r="B35" s="146"/>
      <c r="C35" s="182"/>
      <c r="D35" s="144"/>
      <c r="E35" s="144"/>
    </row>
    <row r="36" spans="2:12" ht="15.75" thickBot="1">
      <c r="B36" s="141" t="s">
        <v>194</v>
      </c>
      <c r="C36" s="181">
        <f>SUM(C26:C35)</f>
        <v>50</v>
      </c>
      <c r="D36" s="125"/>
      <c r="E36" s="180">
        <f>SUM(E26:E35)</f>
        <v>32.942571947835454</v>
      </c>
    </row>
    <row r="37" spans="2:12" ht="15.75" thickBot="1">
      <c r="B37" s="126"/>
      <c r="C37" s="126"/>
      <c r="D37" s="125"/>
      <c r="E37" s="125"/>
    </row>
    <row r="38" spans="2:12" ht="15.75" thickBot="1">
      <c r="B38" s="134" t="s">
        <v>220</v>
      </c>
      <c r="C38" s="126"/>
      <c r="D38" s="125"/>
      <c r="E38" s="179">
        <f>+INVERSION_INICIAL+NPV(TASA_DE_DESCUENTO,C27:C34)</f>
        <v>32.942571947835454</v>
      </c>
    </row>
    <row r="39" spans="2:12">
      <c r="B39" s="126"/>
      <c r="C39" s="126"/>
      <c r="D39" s="125"/>
      <c r="E39" s="125"/>
    </row>
    <row r="40" spans="2:12" ht="18">
      <c r="B40" s="160" t="s">
        <v>219</v>
      </c>
      <c r="C40" s="126"/>
      <c r="D40" s="125"/>
      <c r="E40" s="125"/>
    </row>
    <row r="41" spans="2:12">
      <c r="E41" s="125"/>
    </row>
    <row r="42" spans="2:12">
      <c r="E42" s="125"/>
    </row>
    <row r="43" spans="2:12">
      <c r="B43" s="134" t="s">
        <v>203</v>
      </c>
      <c r="E43" s="125"/>
    </row>
    <row r="44" spans="2:12" ht="15.75" thickBot="1">
      <c r="B44" s="126"/>
      <c r="C44" s="126"/>
      <c r="D44" s="125"/>
      <c r="E44" s="125"/>
    </row>
    <row r="45" spans="2:12">
      <c r="B45" s="157" t="s">
        <v>199</v>
      </c>
      <c r="C45" s="157" t="s">
        <v>218</v>
      </c>
      <c r="D45" s="157" t="s">
        <v>217</v>
      </c>
      <c r="E45" s="125"/>
    </row>
    <row r="46" spans="2:12" ht="15.75" thickBot="1">
      <c r="B46" s="156"/>
      <c r="C46" s="156"/>
      <c r="D46" s="156"/>
      <c r="E46" s="125"/>
    </row>
    <row r="47" spans="2:12">
      <c r="B47" s="155"/>
      <c r="C47" s="154"/>
      <c r="D47" s="153"/>
      <c r="E47" s="125"/>
    </row>
    <row r="48" spans="2:12">
      <c r="B48" s="146">
        <v>0</v>
      </c>
      <c r="C48" s="150">
        <f>+G7</f>
        <v>0</v>
      </c>
      <c r="D48" s="149">
        <f>+C48</f>
        <v>0</v>
      </c>
      <c r="E48" s="125"/>
    </row>
    <row r="49" spans="2:7">
      <c r="B49" s="146">
        <v>1</v>
      </c>
      <c r="C49" s="150">
        <f>+G8</f>
        <v>6</v>
      </c>
      <c r="D49" s="149">
        <f>+D48+C49</f>
        <v>6</v>
      </c>
      <c r="E49" s="125"/>
    </row>
    <row r="50" spans="2:7">
      <c r="B50" s="146">
        <v>2</v>
      </c>
      <c r="C50" s="150">
        <f>+G9</f>
        <v>6</v>
      </c>
      <c r="D50" s="149">
        <f>+D49+C50</f>
        <v>12</v>
      </c>
      <c r="E50" s="125"/>
    </row>
    <row r="51" spans="2:7">
      <c r="B51" s="146">
        <v>3</v>
      </c>
      <c r="C51" s="150">
        <f>+G10</f>
        <v>6</v>
      </c>
      <c r="D51" s="149">
        <f>+D50+C51</f>
        <v>18</v>
      </c>
      <c r="E51" s="125"/>
    </row>
    <row r="52" spans="2:7">
      <c r="B52" s="146">
        <v>4</v>
      </c>
      <c r="C52" s="150">
        <f>+G11</f>
        <v>6</v>
      </c>
      <c r="D52" s="149">
        <f>+D51+C52</f>
        <v>24</v>
      </c>
      <c r="E52" s="125"/>
    </row>
    <row r="53" spans="2:7">
      <c r="B53" s="146">
        <v>5</v>
      </c>
      <c r="C53" s="150">
        <f>+G12</f>
        <v>6</v>
      </c>
      <c r="D53" s="149">
        <f>+D52+C53</f>
        <v>30</v>
      </c>
      <c r="E53" s="125"/>
    </row>
    <row r="54" spans="2:7">
      <c r="B54" s="146">
        <v>6</v>
      </c>
      <c r="C54" s="150">
        <f>+G13</f>
        <v>6</v>
      </c>
      <c r="D54" s="149">
        <f>+D53+C54</f>
        <v>36</v>
      </c>
      <c r="E54" s="125"/>
    </row>
    <row r="55" spans="2:7">
      <c r="B55" s="146">
        <v>7</v>
      </c>
      <c r="C55" s="150">
        <f>+G14</f>
        <v>6</v>
      </c>
      <c r="D55" s="149">
        <f>+D54+C55</f>
        <v>42</v>
      </c>
      <c r="E55" s="125"/>
    </row>
    <row r="56" spans="2:7">
      <c r="B56" s="146">
        <v>8</v>
      </c>
      <c r="C56" s="150">
        <f>+G15</f>
        <v>8</v>
      </c>
      <c r="D56" s="149">
        <f>+D55+C56</f>
        <v>50</v>
      </c>
      <c r="E56" s="125"/>
    </row>
    <row r="57" spans="2:7" ht="15.75" thickBot="1">
      <c r="B57" s="146"/>
      <c r="C57" s="145"/>
      <c r="D57" s="144"/>
      <c r="E57" s="125"/>
    </row>
    <row r="58" spans="2:7" ht="15.75" thickBot="1">
      <c r="B58" s="141" t="s">
        <v>194</v>
      </c>
      <c r="C58" s="140">
        <f>SUM(C48:C57)</f>
        <v>50</v>
      </c>
      <c r="D58" s="125"/>
      <c r="E58" s="125"/>
    </row>
    <row r="59" spans="2:7">
      <c r="B59" s="126"/>
      <c r="C59" s="126"/>
      <c r="D59" s="125"/>
      <c r="E59" s="125"/>
    </row>
    <row r="60" spans="2:7">
      <c r="B60" s="134" t="s">
        <v>216</v>
      </c>
      <c r="C60" s="126"/>
      <c r="D60" s="125"/>
      <c r="E60" s="125"/>
    </row>
    <row r="61" spans="2:7">
      <c r="B61" s="126"/>
      <c r="C61" s="126"/>
      <c r="D61" s="125"/>
      <c r="E61" s="125"/>
    </row>
    <row r="62" spans="2:7" ht="15.75" thickBot="1">
      <c r="B62" s="126"/>
      <c r="C62" s="126"/>
      <c r="D62" s="125"/>
      <c r="E62" s="125"/>
    </row>
    <row r="63" spans="2:7" ht="15.75" thickBot="1">
      <c r="B63" s="126"/>
      <c r="C63" s="159" t="s">
        <v>215</v>
      </c>
      <c r="D63" s="178"/>
      <c r="E63" s="178"/>
      <c r="F63" s="178"/>
      <c r="G63" s="158"/>
    </row>
    <row r="64" spans="2:7" ht="15.75" thickBot="1">
      <c r="B64" s="155" t="s">
        <v>188</v>
      </c>
      <c r="C64" s="177" t="s">
        <v>214</v>
      </c>
      <c r="D64" s="141" t="s">
        <v>213</v>
      </c>
      <c r="E64" s="141" t="s">
        <v>212</v>
      </c>
      <c r="F64" s="141" t="s">
        <v>211</v>
      </c>
      <c r="G64" s="141" t="s">
        <v>210</v>
      </c>
    </row>
    <row r="65" spans="2:7">
      <c r="B65" s="146"/>
      <c r="C65" s="176"/>
      <c r="D65" s="175"/>
      <c r="E65" s="175"/>
      <c r="F65" s="174"/>
      <c r="G65" s="173"/>
    </row>
    <row r="66" spans="2:7">
      <c r="B66" s="146">
        <v>0</v>
      </c>
      <c r="C66" s="171">
        <v>-100</v>
      </c>
      <c r="D66" s="170">
        <v>-200</v>
      </c>
      <c r="E66" s="170">
        <v>-200</v>
      </c>
      <c r="F66" s="170">
        <v>-100</v>
      </c>
      <c r="G66" s="172">
        <v>-50</v>
      </c>
    </row>
    <row r="67" spans="2:7">
      <c r="B67" s="146">
        <v>1</v>
      </c>
      <c r="C67" s="171">
        <v>30</v>
      </c>
      <c r="D67" s="170">
        <v>40</v>
      </c>
      <c r="E67" s="170">
        <v>40</v>
      </c>
      <c r="F67" s="170">
        <v>100</v>
      </c>
      <c r="G67" s="172">
        <v>100</v>
      </c>
    </row>
    <row r="68" spans="2:7">
      <c r="B68" s="146">
        <v>2</v>
      </c>
      <c r="C68" s="171">
        <v>40</v>
      </c>
      <c r="D68" s="170">
        <v>20</v>
      </c>
      <c r="E68" s="170">
        <v>20</v>
      </c>
      <c r="F68" s="170">
        <v>100</v>
      </c>
      <c r="G68" s="172">
        <v>-50000000</v>
      </c>
    </row>
    <row r="69" spans="2:7">
      <c r="B69" s="146">
        <v>3</v>
      </c>
      <c r="C69" s="171">
        <v>50</v>
      </c>
      <c r="D69" s="170">
        <v>10</v>
      </c>
      <c r="E69" s="170">
        <v>10</v>
      </c>
      <c r="F69" s="170">
        <v>-200</v>
      </c>
      <c r="G69" s="169"/>
    </row>
    <row r="70" spans="2:7">
      <c r="B70" s="146">
        <v>4</v>
      </c>
      <c r="C70" s="171">
        <v>60</v>
      </c>
      <c r="D70" s="170"/>
      <c r="E70" s="170">
        <v>120</v>
      </c>
      <c r="F70" s="170">
        <v>200</v>
      </c>
      <c r="G70" s="169"/>
    </row>
    <row r="71" spans="2:7" ht="15.75" thickBot="1">
      <c r="B71" s="146"/>
      <c r="C71" s="168"/>
      <c r="D71" s="167"/>
      <c r="E71" s="167"/>
      <c r="F71" s="166"/>
      <c r="G71" s="165"/>
    </row>
    <row r="72" spans="2:7" ht="15.75" thickBot="1">
      <c r="B72" s="141" t="s">
        <v>194</v>
      </c>
      <c r="C72" s="164">
        <f>SUM(C66:C71)</f>
        <v>80</v>
      </c>
      <c r="D72" s="164">
        <f>SUM(D66:D71)</f>
        <v>-130</v>
      </c>
      <c r="E72" s="164">
        <f>SUM(E66:E71)</f>
        <v>-10</v>
      </c>
      <c r="F72" s="164">
        <f>SUM(F66:F71)</f>
        <v>100</v>
      </c>
      <c r="G72" s="164">
        <f>SUM(G66:G71)</f>
        <v>-49999950</v>
      </c>
    </row>
    <row r="73" spans="2:7" ht="15.75" thickBot="1">
      <c r="B73" s="126"/>
      <c r="C73" s="126"/>
      <c r="D73" s="125"/>
      <c r="E73" s="125"/>
    </row>
    <row r="74" spans="2:7" ht="15.75" thickBot="1">
      <c r="B74" s="141" t="s">
        <v>209</v>
      </c>
      <c r="C74" s="163">
        <v>2.6</v>
      </c>
      <c r="D74" s="163" t="s">
        <v>208</v>
      </c>
      <c r="E74" s="163" t="s">
        <v>208</v>
      </c>
      <c r="F74" s="163" t="s">
        <v>207</v>
      </c>
      <c r="G74" s="163">
        <v>0.5</v>
      </c>
    </row>
    <row r="75" spans="2:7" ht="15.75" thickBot="1">
      <c r="B75" s="126"/>
      <c r="C75" s="126"/>
      <c r="D75" s="125"/>
      <c r="E75" s="125"/>
    </row>
    <row r="76" spans="2:7" ht="15.75" thickBot="1">
      <c r="B76" s="141" t="s">
        <v>206</v>
      </c>
      <c r="C76" s="162">
        <f>NPV(TASA_DE_DESCUENTO,C67:C70)+C66</f>
        <v>38.877125879379804</v>
      </c>
      <c r="D76" s="162">
        <f>NPV(TASA_DE_DESCUENTO,D67:D70)+D66</f>
        <v>-139.59429000751317</v>
      </c>
      <c r="E76" s="162">
        <f>NPV(TASA_DE_DESCUENTO,E67:E70)+E66</f>
        <v>-57.63267536370472</v>
      </c>
      <c r="F76" s="162">
        <f>NPV(TASA_DE_DESCUENTO,F67:F70)+F66</f>
        <v>59.893449900962992</v>
      </c>
      <c r="G76" s="162">
        <f>NPV(TASA_DE_DESCUENTO,G67:G70)+G66</f>
        <v>-41322273.140495867</v>
      </c>
    </row>
    <row r="77" spans="2:7" ht="15.75" thickBot="1">
      <c r="B77" s="126"/>
      <c r="C77" s="126"/>
      <c r="D77" s="125"/>
      <c r="E77" s="125"/>
    </row>
    <row r="78" spans="2:7" ht="15.75" thickBot="1">
      <c r="B78" s="134" t="s">
        <v>205</v>
      </c>
      <c r="C78" s="126"/>
      <c r="D78" s="161">
        <v>2</v>
      </c>
      <c r="E78" s="125"/>
    </row>
    <row r="79" spans="2:7">
      <c r="B79" s="126"/>
      <c r="C79" s="126"/>
      <c r="D79" s="125"/>
      <c r="E79" s="125"/>
    </row>
    <row r="80" spans="2:7">
      <c r="B80" s="126"/>
      <c r="C80" s="126"/>
      <c r="D80" s="125"/>
      <c r="E80" s="125"/>
    </row>
    <row r="81" spans="2:6" ht="18">
      <c r="B81" s="160" t="s">
        <v>204</v>
      </c>
      <c r="C81" s="126"/>
      <c r="D81" s="125"/>
      <c r="E81" s="125"/>
    </row>
    <row r="82" spans="2:6">
      <c r="B82" s="126"/>
      <c r="C82" s="126"/>
      <c r="D82" s="125"/>
      <c r="E82" s="125"/>
    </row>
    <row r="83" spans="2:6">
      <c r="B83" s="134" t="s">
        <v>203</v>
      </c>
      <c r="E83" s="125"/>
    </row>
    <row r="84" spans="2:6" ht="15.75" thickBot="1">
      <c r="B84" s="126"/>
      <c r="C84" s="126"/>
      <c r="D84" s="125"/>
      <c r="E84" s="125" t="s">
        <v>202</v>
      </c>
    </row>
    <row r="85" spans="2:6" ht="15.75" thickBot="1">
      <c r="B85" s="126"/>
      <c r="C85" s="159" t="s">
        <v>201</v>
      </c>
      <c r="D85" s="158"/>
      <c r="E85" s="159" t="s">
        <v>200</v>
      </c>
      <c r="F85" s="158"/>
    </row>
    <row r="86" spans="2:6">
      <c r="B86" s="157" t="s">
        <v>199</v>
      </c>
      <c r="C86" s="157" t="s">
        <v>198</v>
      </c>
      <c r="D86" s="157" t="s">
        <v>197</v>
      </c>
      <c r="E86" s="157" t="s">
        <v>196</v>
      </c>
      <c r="F86" s="157" t="s">
        <v>195</v>
      </c>
    </row>
    <row r="87" spans="2:6" ht="15.75" thickBot="1">
      <c r="B87" s="156"/>
      <c r="C87" s="156"/>
      <c r="D87" s="156"/>
      <c r="E87" s="156"/>
      <c r="F87" s="156"/>
    </row>
    <row r="88" spans="2:6">
      <c r="B88" s="155"/>
      <c r="C88" s="154"/>
      <c r="D88" s="153"/>
      <c r="E88" s="152"/>
      <c r="F88" s="151"/>
    </row>
    <row r="89" spans="2:6">
      <c r="B89" s="146">
        <v>0</v>
      </c>
      <c r="C89" s="150">
        <f>+C48</f>
        <v>0</v>
      </c>
      <c r="D89" s="149">
        <f>+C89</f>
        <v>0</v>
      </c>
      <c r="E89" s="148">
        <f>+(1+TASA_DE_DESCUENTO)^-B89*C89</f>
        <v>0</v>
      </c>
      <c r="F89" s="147">
        <f>+E89</f>
        <v>0</v>
      </c>
    </row>
    <row r="90" spans="2:6">
      <c r="B90" s="146">
        <v>1</v>
      </c>
      <c r="C90" s="150">
        <f>+C49</f>
        <v>6</v>
      </c>
      <c r="D90" s="149">
        <f>+D89+C90</f>
        <v>6</v>
      </c>
      <c r="E90" s="148">
        <f>+(1+TASA_DE_DESCUENTO)^-B90*C90</f>
        <v>5.4545454545454541</v>
      </c>
      <c r="F90" s="147">
        <f>+F89+E90</f>
        <v>5.4545454545454541</v>
      </c>
    </row>
    <row r="91" spans="2:6">
      <c r="B91" s="146">
        <v>2</v>
      </c>
      <c r="C91" s="150">
        <f>+C50</f>
        <v>6</v>
      </c>
      <c r="D91" s="149">
        <f>+D90+C91</f>
        <v>12</v>
      </c>
      <c r="E91" s="148">
        <f>+(1+TASA_DE_DESCUENTO)^-B91*C91</f>
        <v>4.9586776859504127</v>
      </c>
      <c r="F91" s="147">
        <f>+F90+E91</f>
        <v>10.413223140495866</v>
      </c>
    </row>
    <row r="92" spans="2:6">
      <c r="B92" s="146">
        <v>3</v>
      </c>
      <c r="C92" s="150">
        <f>+C51</f>
        <v>6</v>
      </c>
      <c r="D92" s="149">
        <f>+D91+C92</f>
        <v>18</v>
      </c>
      <c r="E92" s="148">
        <f>+(1+TASA_DE_DESCUENTO)^-B92*C92</f>
        <v>4.5078888054094648</v>
      </c>
      <c r="F92" s="147">
        <f>+F91+E92</f>
        <v>14.921111945905331</v>
      </c>
    </row>
    <row r="93" spans="2:6">
      <c r="B93" s="146">
        <v>4</v>
      </c>
      <c r="C93" s="150">
        <f>+C52</f>
        <v>6</v>
      </c>
      <c r="D93" s="149">
        <f>+D92+C93</f>
        <v>24</v>
      </c>
      <c r="E93" s="148">
        <f>+(1+TASA_DE_DESCUENTO)^-B93*C93</f>
        <v>4.0980807321904233</v>
      </c>
      <c r="F93" s="147">
        <f>+F92+E93</f>
        <v>19.019192678095756</v>
      </c>
    </row>
    <row r="94" spans="2:6">
      <c r="B94" s="146">
        <v>5</v>
      </c>
      <c r="C94" s="150">
        <f>+C53</f>
        <v>6</v>
      </c>
      <c r="D94" s="149">
        <f>+D93+C94</f>
        <v>30</v>
      </c>
      <c r="E94" s="148">
        <f>+(1+TASA_DE_DESCUENTO)^-B94*C94</f>
        <v>3.7255279383549293</v>
      </c>
      <c r="F94" s="147">
        <f>+F93+E94</f>
        <v>22.744720616450685</v>
      </c>
    </row>
    <row r="95" spans="2:6">
      <c r="B95" s="146">
        <v>6</v>
      </c>
      <c r="C95" s="150">
        <f>+C54</f>
        <v>6</v>
      </c>
      <c r="D95" s="149">
        <f>+D94+C95</f>
        <v>36</v>
      </c>
      <c r="E95" s="148">
        <f>+(1+TASA_DE_DESCUENTO)^-B95*C95</f>
        <v>3.3868435803226635</v>
      </c>
      <c r="F95" s="147">
        <f>+F94+E95</f>
        <v>26.131564196773347</v>
      </c>
    </row>
    <row r="96" spans="2:6">
      <c r="B96" s="146">
        <v>7</v>
      </c>
      <c r="C96" s="150">
        <f>+C55</f>
        <v>6</v>
      </c>
      <c r="D96" s="149">
        <f>+D95+C96</f>
        <v>42</v>
      </c>
      <c r="E96" s="148">
        <f>+(1+TASA_DE_DESCUENTO)^-B96*C96</f>
        <v>3.0789487093842389</v>
      </c>
      <c r="F96" s="147">
        <f>+F95+E96</f>
        <v>29.210512906157586</v>
      </c>
    </row>
    <row r="97" spans="1:6">
      <c r="B97" s="146">
        <v>8</v>
      </c>
      <c r="C97" s="150">
        <f>+C56</f>
        <v>8</v>
      </c>
      <c r="D97" s="149">
        <f>+D96+C97</f>
        <v>50</v>
      </c>
      <c r="E97" s="148">
        <f>+(1+TASA_DE_DESCUENTO)^-B97*C97</f>
        <v>3.7320590416778652</v>
      </c>
      <c r="F97" s="147">
        <f>+F96+E97</f>
        <v>32.942571947835454</v>
      </c>
    </row>
    <row r="98" spans="1:6" ht="15.75" thickBot="1">
      <c r="B98" s="146"/>
      <c r="C98" s="145"/>
      <c r="D98" s="144"/>
      <c r="E98" s="143"/>
      <c r="F98" s="142"/>
    </row>
    <row r="99" spans="1:6" ht="15.75" thickBot="1">
      <c r="B99" s="141" t="s">
        <v>194</v>
      </c>
      <c r="C99" s="140">
        <f>SUM(C89:C98)</f>
        <v>50</v>
      </c>
      <c r="D99" s="139"/>
      <c r="E99" s="139"/>
      <c r="F99" s="138"/>
    </row>
    <row r="100" spans="1:6">
      <c r="B100" s="126"/>
      <c r="C100" s="126"/>
      <c r="D100" s="125"/>
      <c r="E100" s="125"/>
    </row>
    <row r="101" spans="1:6" ht="15.75" thickBot="1">
      <c r="A101" s="134"/>
      <c r="B101" s="134"/>
      <c r="C101" s="134" t="s">
        <v>193</v>
      </c>
      <c r="D101" s="125"/>
      <c r="E101" s="125"/>
    </row>
    <row r="102" spans="1:6" ht="15.75" thickBot="1">
      <c r="B102" s="126"/>
      <c r="C102" s="134" t="s">
        <v>192</v>
      </c>
      <c r="D102" s="125"/>
      <c r="E102" s="125"/>
      <c r="F102" s="137">
        <f>0.79/(0.79+2.94)</f>
        <v>0.21179624664879357</v>
      </c>
    </row>
    <row r="103" spans="1:6" ht="15.75" thickBot="1">
      <c r="B103" s="126"/>
      <c r="C103" s="134" t="s">
        <v>191</v>
      </c>
      <c r="D103" s="125"/>
      <c r="E103" s="136">
        <f>7+F102</f>
        <v>7.2117962466487935</v>
      </c>
      <c r="F103" s="135" t="s">
        <v>190</v>
      </c>
    </row>
    <row r="104" spans="1:6">
      <c r="B104" s="126"/>
      <c r="C104" s="126"/>
      <c r="D104" s="125"/>
      <c r="E104" s="125"/>
    </row>
    <row r="105" spans="1:6">
      <c r="B105" s="134" t="s">
        <v>189</v>
      </c>
      <c r="C105" s="126"/>
      <c r="D105" s="125"/>
      <c r="E105" s="125"/>
    </row>
    <row r="106" spans="1:6">
      <c r="B106" s="126"/>
      <c r="C106" s="126"/>
      <c r="D106" s="125"/>
      <c r="E106" s="125"/>
    </row>
    <row r="107" spans="1:6">
      <c r="B107" s="126" t="s">
        <v>188</v>
      </c>
      <c r="C107" s="126" t="s">
        <v>187</v>
      </c>
      <c r="D107" s="126" t="s">
        <v>186</v>
      </c>
      <c r="E107" s="126" t="s">
        <v>185</v>
      </c>
    </row>
    <row r="108" spans="1:6">
      <c r="B108" s="126"/>
      <c r="C108" s="126"/>
      <c r="D108" s="126"/>
      <c r="E108" s="125"/>
    </row>
    <row r="109" spans="1:6">
      <c r="B109" s="126">
        <v>1</v>
      </c>
      <c r="C109" s="133">
        <f>+$C$90*(1-1/(1+TASA_DE_DESCUENTO)^B109)/TASA_DE_DESCUENTO</f>
        <v>5.4545454545454559</v>
      </c>
      <c r="D109" s="133">
        <f>-$C$89*(1+TASA_DE_DESCUENTO)^B109</f>
        <v>0</v>
      </c>
      <c r="E109" s="133">
        <f>+C109*(1+TASA_DE_DESCUENTO)^B109</f>
        <v>6.0000000000000018</v>
      </c>
    </row>
    <row r="110" spans="1:6">
      <c r="B110" s="126">
        <v>2</v>
      </c>
      <c r="C110" s="133">
        <f>+$C$90*(1-1/(1+TASA_DE_DESCUENTO)^B110)/TASA_DE_DESCUENTO</f>
        <v>10.413223140495873</v>
      </c>
      <c r="D110" s="133">
        <f>-$C$89*(1+TASA_DE_DESCUENTO)^B110</f>
        <v>0</v>
      </c>
      <c r="E110" s="133">
        <f>+C110*(1+TASA_DE_DESCUENTO)^B110</f>
        <v>12.600000000000009</v>
      </c>
    </row>
    <row r="111" spans="1:6">
      <c r="B111" s="126">
        <v>3</v>
      </c>
      <c r="C111" s="133">
        <f>+$C$90*(1-1/(1+TASA_DE_DESCUENTO)^B111)/TASA_DE_DESCUENTO</f>
        <v>14.921111945905347</v>
      </c>
      <c r="D111" s="133">
        <f>-$C$89*(1+TASA_DE_DESCUENTO)^B111</f>
        <v>0</v>
      </c>
      <c r="E111" s="133">
        <f>+C111*(1+TASA_DE_DESCUENTO)^B111</f>
        <v>19.860000000000024</v>
      </c>
    </row>
    <row r="112" spans="1:6">
      <c r="B112" s="126">
        <v>4</v>
      </c>
      <c r="C112" s="133">
        <f>+$C$90*(1-1/(1+TASA_DE_DESCUENTO)^B112)/TASA_DE_DESCUENTO</f>
        <v>19.019192678095767</v>
      </c>
      <c r="D112" s="133">
        <f>-$C$89*(1+TASA_DE_DESCUENTO)^B112</f>
        <v>0</v>
      </c>
      <c r="E112" s="133">
        <f>+C112*(1+TASA_DE_DESCUENTO)^B112</f>
        <v>27.846000000000018</v>
      </c>
    </row>
    <row r="113" spans="2:6">
      <c r="B113" s="126">
        <v>5</v>
      </c>
      <c r="C113" s="133">
        <f>+$C$90*(1-1/(1+TASA_DE_DESCUENTO)^B113)/TASA_DE_DESCUENTO</f>
        <v>22.744720616450707</v>
      </c>
      <c r="D113" s="133">
        <f>-$C$89*(1+TASA_DE_DESCUENTO)^B113</f>
        <v>0</v>
      </c>
      <c r="E113" s="133">
        <f>+C113*(1+TASA_DE_DESCUENTO)^B113</f>
        <v>36.630600000000037</v>
      </c>
    </row>
    <row r="114" spans="2:6" ht="15.75" thickBot="1">
      <c r="B114" s="126">
        <v>6</v>
      </c>
      <c r="C114" s="133">
        <f>+$C$90*(1-1/(1+TASA_DE_DESCUENTO)^B114)/TASA_DE_DESCUENTO</f>
        <v>26.131564196773365</v>
      </c>
      <c r="D114" s="133">
        <f>-$C$89*(1+TASA_DE_DESCUENTO)^B114</f>
        <v>0</v>
      </c>
      <c r="E114" s="133">
        <f>+C114*(1+TASA_DE_DESCUENTO)^B114</f>
        <v>46.293660000000038</v>
      </c>
    </row>
    <row r="115" spans="2:6">
      <c r="B115" s="132">
        <v>7</v>
      </c>
      <c r="C115" s="131">
        <f>+$C$90*(1-1/(1+TASA_DE_DESCUENTO)^B115)/TASA_DE_DESCUENTO</f>
        <v>29.210512906157611</v>
      </c>
      <c r="D115" s="131">
        <f>-$C$89*(1+TASA_DE_DESCUENTO)^B115</f>
        <v>0</v>
      </c>
      <c r="E115" s="131">
        <f>+C115*(1+TASA_DE_DESCUENTO)^B115</f>
        <v>56.923026000000064</v>
      </c>
      <c r="F115" s="130"/>
    </row>
    <row r="116" spans="2:6" ht="15.75" thickBot="1">
      <c r="B116" s="129">
        <v>8</v>
      </c>
      <c r="C116" s="128">
        <f>+$C$90*(1-1/(1+TASA_DE_DESCUENTO)^B116)/TASA_DE_DESCUENTO</f>
        <v>32.009557187416007</v>
      </c>
      <c r="D116" s="128">
        <f>-$C$89*(1+TASA_DE_DESCUENTO)^B116</f>
        <v>0</v>
      </c>
      <c r="E116" s="128">
        <f>+C116*(1+TASA_DE_DESCUENTO)^B116</f>
        <v>68.615328600000055</v>
      </c>
      <c r="F116" s="127"/>
    </row>
    <row r="117" spans="2:6">
      <c r="B117" s="126"/>
      <c r="C117" s="126"/>
      <c r="D117" s="125"/>
      <c r="E117" s="125"/>
    </row>
    <row r="118" spans="2:6">
      <c r="B118" s="126"/>
      <c r="C118" s="126"/>
      <c r="D118" s="125"/>
      <c r="E118" s="125"/>
    </row>
    <row r="119" spans="2:6">
      <c r="B119" s="126"/>
      <c r="C119" s="126"/>
      <c r="D119" s="125"/>
      <c r="E119" s="125"/>
    </row>
    <row r="120" spans="2:6">
      <c r="B120" s="126"/>
      <c r="C120" s="126"/>
      <c r="D120" s="125"/>
      <c r="E120" s="125"/>
    </row>
    <row r="121" spans="2:6">
      <c r="B121" s="126"/>
      <c r="C121" s="126"/>
      <c r="D121" s="125"/>
      <c r="E121" s="125"/>
    </row>
    <row r="122" spans="2:6">
      <c r="B122" s="126"/>
      <c r="C122" s="126"/>
      <c r="D122" s="125"/>
      <c r="E122" s="125"/>
    </row>
    <row r="123" spans="2:6">
      <c r="B123" s="126"/>
      <c r="C123" s="126"/>
      <c r="D123" s="125"/>
      <c r="E123" s="125"/>
    </row>
    <row r="124" spans="2:6">
      <c r="B124" s="126"/>
      <c r="C124" s="126"/>
      <c r="D124" s="125"/>
      <c r="E124" s="125"/>
    </row>
    <row r="125" spans="2:6">
      <c r="B125" s="126"/>
      <c r="C125" s="126"/>
      <c r="D125" s="125"/>
      <c r="E125" s="125"/>
    </row>
    <row r="126" spans="2:6">
      <c r="B126" s="126"/>
      <c r="C126" s="126"/>
      <c r="D126" s="125"/>
      <c r="E126" s="125"/>
    </row>
    <row r="127" spans="2:6">
      <c r="B127" s="126"/>
      <c r="C127" s="126"/>
      <c r="D127" s="125"/>
      <c r="E127" s="125"/>
    </row>
    <row r="128" spans="2:6">
      <c r="B128" s="126"/>
      <c r="C128" s="126"/>
      <c r="D128" s="125"/>
      <c r="E128" s="125"/>
    </row>
    <row r="129" spans="2:5">
      <c r="B129" s="126"/>
      <c r="C129" s="126"/>
      <c r="D129" s="125"/>
      <c r="E129" s="125"/>
    </row>
    <row r="130" spans="2:5">
      <c r="B130" s="126"/>
      <c r="C130" s="126"/>
      <c r="D130" s="125"/>
      <c r="E130" s="125"/>
    </row>
    <row r="131" spans="2:5">
      <c r="B131" s="126"/>
      <c r="C131" s="126"/>
      <c r="D131" s="125"/>
      <c r="E131" s="125"/>
    </row>
    <row r="132" spans="2:5">
      <c r="B132" s="126"/>
      <c r="C132" s="126"/>
      <c r="D132" s="125"/>
      <c r="E132" s="125"/>
    </row>
    <row r="133" spans="2:5">
      <c r="B133" s="126"/>
      <c r="C133" s="126"/>
      <c r="D133" s="125"/>
      <c r="E133" s="125"/>
    </row>
    <row r="134" spans="2:5">
      <c r="B134" s="126"/>
      <c r="C134" s="126"/>
      <c r="D134" s="125"/>
      <c r="E134" s="125"/>
    </row>
    <row r="135" spans="2:5">
      <c r="B135" s="126"/>
      <c r="C135" s="126"/>
      <c r="D135" s="125"/>
      <c r="E135" s="125"/>
    </row>
    <row r="136" spans="2:5">
      <c r="B136" s="126"/>
      <c r="C136" s="126"/>
      <c r="D136" s="125"/>
      <c r="E136" s="125"/>
    </row>
    <row r="137" spans="2:5">
      <c r="B137" s="126"/>
      <c r="C137" s="126"/>
      <c r="D137" s="125"/>
      <c r="E137" s="125"/>
    </row>
    <row r="138" spans="2:5">
      <c r="B138" s="126"/>
      <c r="C138" s="126"/>
      <c r="D138" s="125"/>
      <c r="E138" s="125"/>
    </row>
    <row r="139" spans="2:5">
      <c r="B139" s="126"/>
      <c r="C139" s="126"/>
      <c r="D139" s="125"/>
      <c r="E139" s="125"/>
    </row>
    <row r="140" spans="2:5">
      <c r="B140" s="126"/>
      <c r="C140" s="126"/>
      <c r="D140" s="125"/>
      <c r="E140" s="125"/>
    </row>
    <row r="141" spans="2:5">
      <c r="B141" s="126"/>
      <c r="C141" s="126"/>
      <c r="D141" s="125"/>
      <c r="E141" s="125"/>
    </row>
    <row r="142" spans="2:5">
      <c r="B142" s="126"/>
      <c r="C142" s="126"/>
      <c r="D142" s="125"/>
      <c r="E142" s="125"/>
    </row>
    <row r="143" spans="2:5">
      <c r="B143" s="126"/>
      <c r="C143" s="126"/>
      <c r="D143" s="125"/>
      <c r="E143" s="125"/>
    </row>
    <row r="144" spans="2:5">
      <c r="B144" s="126"/>
      <c r="C144" s="126"/>
      <c r="D144" s="125"/>
      <c r="E144" s="125"/>
    </row>
    <row r="145" spans="2:5">
      <c r="B145" s="126"/>
      <c r="C145" s="126"/>
      <c r="D145" s="125"/>
      <c r="E145" s="125"/>
    </row>
    <row r="146" spans="2:5">
      <c r="B146" s="126"/>
      <c r="C146" s="126"/>
      <c r="D146" s="125"/>
      <c r="E146" s="125"/>
    </row>
  </sheetData>
  <mergeCells count="17">
    <mergeCell ref="C63:G63"/>
    <mergeCell ref="E86:E87"/>
    <mergeCell ref="F86:F87"/>
    <mergeCell ref="E85:F85"/>
    <mergeCell ref="B86:B87"/>
    <mergeCell ref="C86:C87"/>
    <mergeCell ref="D86:D87"/>
    <mergeCell ref="C85:D85"/>
    <mergeCell ref="C4:G4"/>
    <mergeCell ref="B4:B5"/>
    <mergeCell ref="B23:B24"/>
    <mergeCell ref="C23:C24"/>
    <mergeCell ref="D23:D24"/>
    <mergeCell ref="E23:E24"/>
    <mergeCell ref="B45:B46"/>
    <mergeCell ref="C45:C46"/>
    <mergeCell ref="D45:D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Flujo de Efectivo</vt:lpstr>
      <vt:lpstr>Tabla de amortización de pagos </vt:lpstr>
      <vt:lpstr>Estado de Resultados</vt:lpstr>
      <vt:lpstr>Punto de Equilibrio</vt:lpstr>
      <vt:lpstr>Balance General</vt:lpstr>
      <vt:lpstr>VPN, TREMA</vt:lpstr>
      <vt:lpstr>INVERSION_INICIAL</vt:lpstr>
      <vt:lpstr>TASA_DE_DESCUENTO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2022-06-07T02:44:47Z</dcterms:created>
  <dcterms:modified xsi:type="dcterms:W3CDTF">2022-06-07T03:21:24Z</dcterms:modified>
</cp:coreProperties>
</file>