
<file path=[Content_Types].xml><?xml version="1.0" encoding="utf-8"?>
<Types xmlns="http://schemas.openxmlformats.org/package/2006/content-types">
  <Default Extension="jfif" ContentType="image/jpeg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ristigo-my.sharepoint.com/personal/dan_cristigo_onmicrosoft_com/Documents/A2/Blog2/2020/2020.01/Flujo de Efectivo/"/>
    </mc:Choice>
  </mc:AlternateContent>
  <xr:revisionPtr revIDLastSave="434" documentId="8_{3FDCA10E-1EB7-4EF3-8BDC-5240418C4ACE}" xr6:coauthVersionLast="45" xr6:coauthVersionMax="45" xr10:uidLastSave="{8CF78084-6764-4B76-91FB-E542D2AC3703}"/>
  <bookViews>
    <workbookView xWindow="-120" yWindow="-120" windowWidth="29040" windowHeight="15840" activeTab="8" xr2:uid="{E7C87000-A044-46C4-ADA8-056B1565EC28}"/>
  </bookViews>
  <sheets>
    <sheet name="Hoja de Balance" sheetId="10" r:id="rId1"/>
    <sheet name="Estado de Resultados" sheetId="11" r:id="rId2"/>
    <sheet name="Sheet1" sheetId="1" state="hidden" r:id="rId3"/>
    <sheet name="Flujo de Efectivo" sheetId="12" r:id="rId4"/>
    <sheet name="Capital Inicial" sheetId="2" r:id="rId5"/>
    <sheet name="Compras" sheetId="4" r:id="rId6"/>
    <sheet name="Publicidad e Inv." sheetId="5" r:id="rId7"/>
    <sheet name="Ventas" sheetId="6" r:id="rId8"/>
    <sheet name="Gastos Adicionales" sheetId="7" r:id="rId9"/>
    <sheet name="Final" sheetId="9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25" i="7" l="1"/>
  <c r="B32" i="7"/>
  <c r="B31" i="7"/>
  <c r="B26" i="7"/>
  <c r="M53" i="7"/>
  <c r="M60" i="7" s="1"/>
  <c r="M50" i="7"/>
  <c r="F32" i="7"/>
  <c r="F35" i="7" s="1"/>
  <c r="I30" i="7"/>
  <c r="F28" i="7"/>
  <c r="B27" i="7"/>
  <c r="I25" i="7"/>
  <c r="I27" i="7" s="1"/>
  <c r="F26" i="7"/>
  <c r="F30" i="7" s="1"/>
  <c r="B23" i="7"/>
  <c r="B28" i="7" s="1"/>
  <c r="B22" i="7"/>
  <c r="B21" i="7"/>
  <c r="I36" i="6"/>
  <c r="I25" i="6"/>
  <c r="B22" i="6"/>
  <c r="F28" i="6"/>
  <c r="B21" i="6"/>
  <c r="F25" i="6"/>
  <c r="B23" i="6"/>
  <c r="M53" i="6"/>
  <c r="M60" i="6" s="1"/>
  <c r="M50" i="6"/>
  <c r="F32" i="6"/>
  <c r="F35" i="6" s="1"/>
  <c r="I30" i="6"/>
  <c r="I27" i="6"/>
  <c r="B27" i="6"/>
  <c r="F26" i="6"/>
  <c r="F30" i="6" s="1"/>
  <c r="F36" i="6" s="1"/>
  <c r="F26" i="5"/>
  <c r="M61" i="5"/>
  <c r="M54" i="5"/>
  <c r="M51" i="5"/>
  <c r="F27" i="4"/>
  <c r="I36" i="4"/>
  <c r="M54" i="4"/>
  <c r="B35" i="4"/>
  <c r="M25" i="4"/>
  <c r="M41" i="4" s="1"/>
  <c r="B29" i="4"/>
  <c r="F34" i="4"/>
  <c r="M61" i="4"/>
  <c r="M51" i="4"/>
  <c r="I34" i="2"/>
  <c r="M46" i="9"/>
  <c r="M36" i="9"/>
  <c r="M10" i="9"/>
  <c r="M26" i="9" s="1"/>
  <c r="M50" i="9" s="1"/>
  <c r="F37" i="4"/>
  <c r="I35" i="4"/>
  <c r="I37" i="4" s="1"/>
  <c r="I32" i="4"/>
  <c r="F32" i="4"/>
  <c r="I29" i="4"/>
  <c r="F28" i="4"/>
  <c r="F33" i="5"/>
  <c r="F36" i="5" s="1"/>
  <c r="I31" i="5"/>
  <c r="I28" i="5"/>
  <c r="B28" i="5"/>
  <c r="B29" i="5" s="1"/>
  <c r="B34" i="5" s="1"/>
  <c r="I35" i="5" s="1"/>
  <c r="I36" i="5" s="1"/>
  <c r="F27" i="5"/>
  <c r="F31" i="5" s="1"/>
  <c r="F37" i="5" s="1"/>
  <c r="M61" i="2"/>
  <c r="M51" i="2"/>
  <c r="M25" i="2"/>
  <c r="M41" i="2" s="1"/>
  <c r="B33" i="7" l="1"/>
  <c r="F36" i="7"/>
  <c r="M24" i="7"/>
  <c r="M40" i="7" s="1"/>
  <c r="M64" i="7" s="1"/>
  <c r="M67" i="7" s="1"/>
  <c r="I34" i="7"/>
  <c r="I35" i="7" s="1"/>
  <c r="I36" i="7" s="1"/>
  <c r="H39" i="7" s="1"/>
  <c r="B28" i="6"/>
  <c r="B33" i="6" s="1"/>
  <c r="M24" i="6"/>
  <c r="M40" i="6" s="1"/>
  <c r="M64" i="6" s="1"/>
  <c r="M67" i="6" s="1"/>
  <c r="I34" i="6"/>
  <c r="I35" i="6" s="1"/>
  <c r="H39" i="6" s="1"/>
  <c r="M25" i="5"/>
  <c r="M41" i="5" s="1"/>
  <c r="M65" i="5" s="1"/>
  <c r="M68" i="5" s="1"/>
  <c r="M65" i="4"/>
  <c r="M68" i="4" s="1"/>
  <c r="F38" i="4"/>
  <c r="I38" i="4"/>
  <c r="I37" i="5"/>
  <c r="M65" i="2"/>
  <c r="M68" i="2" s="1"/>
  <c r="I31" i="2" l="1"/>
  <c r="I28" i="2"/>
  <c r="F36" i="2"/>
  <c r="F31" i="2"/>
  <c r="F27" i="2"/>
  <c r="I36" i="2"/>
  <c r="F37" i="2" l="1"/>
  <c r="I37" i="2"/>
  <c r="H40" i="2"/>
  <c r="B20" i="9"/>
  <c r="F26" i="9"/>
  <c r="I24" i="9"/>
  <c r="I21" i="9"/>
  <c r="B16" i="9"/>
  <c r="B15" i="9"/>
  <c r="B17" i="9" s="1"/>
  <c r="B21" i="9" s="1"/>
  <c r="B25" i="9" s="1"/>
  <c r="F29" i="9" l="1"/>
  <c r="M51" i="9"/>
  <c r="M53" i="9" s="1"/>
  <c r="B26" i="9"/>
  <c r="F19" i="9" s="1"/>
  <c r="F20" i="9" s="1"/>
  <c r="F24" i="9" s="1"/>
  <c r="F30" i="9"/>
  <c r="H40" i="5"/>
  <c r="H41" i="4"/>
  <c r="B19" i="1"/>
  <c r="B27" i="9" l="1"/>
  <c r="I28" i="9" s="1"/>
  <c r="I29" i="9" s="1"/>
  <c r="I30" i="9" s="1"/>
  <c r="H33" i="9" s="1"/>
  <c r="B17" i="1"/>
  <c r="B12" i="1"/>
  <c r="B16" i="1"/>
  <c r="B15" i="1"/>
</calcChain>
</file>

<file path=xl/sharedStrings.xml><?xml version="1.0" encoding="utf-8"?>
<sst xmlns="http://schemas.openxmlformats.org/spreadsheetml/2006/main" count="507" uniqueCount="105">
  <si>
    <t>Movimiento</t>
  </si>
  <si>
    <t>Monto</t>
  </si>
  <si>
    <t>Dermatología</t>
  </si>
  <si>
    <t>Abril junta sus ahorros para comenzar</t>
  </si>
  <si>
    <t>Su hermano que trabaja en USA le da dinero para comprar un laser</t>
  </si>
  <si>
    <t>Abril compra el Laser e implementos quirurgicos</t>
  </si>
  <si>
    <t>Compra Mobiliario para el consultorio</t>
  </si>
  <si>
    <t>150 Pacientes en el mes a 600 x consulta</t>
  </si>
  <si>
    <t>20 Procedimientos quirurgicos a 1200 el procedimiento</t>
  </si>
  <si>
    <t>Paga publicidad por Facebook, Instagram para el Mes</t>
  </si>
  <si>
    <t>Paga Impuestos</t>
  </si>
  <si>
    <t>Paga a su recepcionista (compartida)</t>
  </si>
  <si>
    <t>Ingresos</t>
  </si>
  <si>
    <t>Operación:</t>
  </si>
  <si>
    <t>Costo de Ventas</t>
  </si>
  <si>
    <t>Gastos totales de Operación</t>
  </si>
  <si>
    <t>Ingresos de operación</t>
  </si>
  <si>
    <t>Depreciación</t>
  </si>
  <si>
    <t>Otros ingresos (Gastos)</t>
  </si>
  <si>
    <t>Ingresos antes de impuestos</t>
  </si>
  <si>
    <t>Impuestos</t>
  </si>
  <si>
    <t>Ingresos Netos</t>
  </si>
  <si>
    <t>Enero</t>
  </si>
  <si>
    <t>Gastos de Venta</t>
  </si>
  <si>
    <t>Gastos Administrativos</t>
  </si>
  <si>
    <t>Ganancia Bruta</t>
  </si>
  <si>
    <t>Recoge un perrito que llegó al consultorío, lo da en adopcion</t>
  </si>
  <si>
    <t>Balance General</t>
  </si>
  <si>
    <t>Activos</t>
  </si>
  <si>
    <t>Activo Circulante</t>
  </si>
  <si>
    <t>Efectivo y Equivalentes</t>
  </si>
  <si>
    <t>Efectivo Total</t>
  </si>
  <si>
    <t>Cuentas por Cobrar</t>
  </si>
  <si>
    <t>Inventarios</t>
  </si>
  <si>
    <t>Activo Circulante Total</t>
  </si>
  <si>
    <t>Propiedades y Equipo</t>
  </si>
  <si>
    <t>Depreciación Acumulada</t>
  </si>
  <si>
    <t>Activos Intangibles</t>
  </si>
  <si>
    <t>Activo Largo Plazo Total</t>
  </si>
  <si>
    <t>Activos Totales</t>
  </si>
  <si>
    <t>Pasivos y Capital</t>
  </si>
  <si>
    <t>Pasivo Circulante</t>
  </si>
  <si>
    <t>Cuentas por pagar</t>
  </si>
  <si>
    <t>Total Pasivo Circulante</t>
  </si>
  <si>
    <t>Pasivo a Largo Plazo</t>
  </si>
  <si>
    <t>Total Pasivos Largo Plazo</t>
  </si>
  <si>
    <t>Capital</t>
  </si>
  <si>
    <t>Acciones comunes</t>
  </si>
  <si>
    <t>Capital Total</t>
  </si>
  <si>
    <t>Total Capital y Pasivos</t>
  </si>
  <si>
    <t>2019 Enero</t>
  </si>
  <si>
    <t>En MXN</t>
  </si>
  <si>
    <t>Ganancia Retenida 2019</t>
  </si>
  <si>
    <t>Su mamá le presta dinero a 5 años</t>
  </si>
  <si>
    <t>10 Pacientes en el mes a 600 x Consulta que le pagarán el sig mes</t>
  </si>
  <si>
    <t>15 Procedimientos quirurgicos costaron 400 en materiales</t>
  </si>
  <si>
    <t>5 Procedimientos quirurgicos costaron 400 en materiales a pagar el sig mes</t>
  </si>
  <si>
    <t>Compromisos</t>
  </si>
  <si>
    <t>Momento</t>
  </si>
  <si>
    <t>Compra material para procedimientos quirurgicos</t>
  </si>
  <si>
    <t>Tab</t>
  </si>
  <si>
    <t>Se anota a un contrato de 12 meses de renta, 8,000 al mes, paga el primero en efectivo</t>
  </si>
  <si>
    <t>Se registra depreciacion del primer mes del laser</t>
  </si>
  <si>
    <t>A=P+C</t>
  </si>
  <si>
    <t>Estado de Resultados</t>
  </si>
  <si>
    <t>Estado de resultados</t>
  </si>
  <si>
    <t>Flujo de Efectivo</t>
  </si>
  <si>
    <t>Operaciones</t>
  </si>
  <si>
    <t>Ingreso Neto</t>
  </si>
  <si>
    <t>Depreciación, Amortización y otros elementos no-efectivo</t>
  </si>
  <si>
    <t>Compensación en Acciones</t>
  </si>
  <si>
    <t>Pérdidas (ganancias) netas en inversiones y derivados</t>
  </si>
  <si>
    <t>Excess tax benefits from stock-based compensation</t>
  </si>
  <si>
    <t>Impuestos Diferidos</t>
  </si>
  <si>
    <t>Ingresos No Merecidas - Diferidas</t>
  </si>
  <si>
    <t>Reconocimiento de Ganancias no Merecidas</t>
  </si>
  <si>
    <t>Changes in operating assets and liabilities:</t>
  </si>
  <si>
    <t>Otros activos circulantes</t>
  </si>
  <si>
    <t>Otros activos largo plazo</t>
  </si>
  <si>
    <t>Otros Pasivos circulantes</t>
  </si>
  <si>
    <t>Otros pasivos largo-plazo</t>
  </si>
  <si>
    <t>Efectivo de operaciones</t>
  </si>
  <si>
    <t>Financiamiento</t>
  </si>
  <si>
    <t>Préstamos a corto plazo (90 días)</t>
  </si>
  <si>
    <t>Deuda de largo plazo</t>
  </si>
  <si>
    <t>Repayments of debt, maturities longer than 90 days</t>
  </si>
  <si>
    <t>Acciones emitidas (comunes)</t>
  </si>
  <si>
    <t>Acciones recompradas</t>
  </si>
  <si>
    <t>Dividendos Pagados</t>
  </si>
  <si>
    <t>Efectivo usado en Financiamiento</t>
  </si>
  <si>
    <t>Inversiones</t>
  </si>
  <si>
    <t>Compras a propiedad y equipo</t>
  </si>
  <si>
    <t>Compras de Compañías</t>
  </si>
  <si>
    <t>Compras de Inversiones</t>
  </si>
  <si>
    <t>Inversiones que terminan</t>
  </si>
  <si>
    <t>Ventas de Inversiones</t>
  </si>
  <si>
    <t>Prestámos de activos pagables</t>
  </si>
  <si>
    <t>Efectivo de Inversiones</t>
  </si>
  <si>
    <t>Efectos del tipo de cambio</t>
  </si>
  <si>
    <t>Cambio neto en efectivo y equivalentes de Efectivo</t>
  </si>
  <si>
    <t>Efectivo y equilantes al principio del periodo</t>
  </si>
  <si>
    <t>Efectivo y Equivalentes al final del periodo</t>
  </si>
  <si>
    <t>2019 Ene</t>
  </si>
  <si>
    <t>Efectivo y equivalents al principio del periodo</t>
  </si>
  <si>
    <t>Cambios en Inventario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</si>
</sst>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$&quot;#,##0.00_);[Red]\(&quot;$&quot;#,##0.00\)"/>
    <numFmt numFmtId="164" formatCode="&quot;$&quot;#,##0.00;[Red]\-&quot;$&quot;#,##0.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20"/>
      <color theme="1"/>
      <name val="Franklin Gothic Demi Cond"/>
      <family val="2"/>
    </font>
    <font>
      <sz val="12"/>
      <color theme="1"/>
      <name val="Franklin Gothic Demi Cond"/>
      <family val="2"/>
    </font>
    <font>
      <sz val="14"/>
      <color theme="1"/>
      <name val="Franklin Gothic Demi Cond"/>
      <family val="2"/>
    </font>
    <font>
      <sz val="26"/>
      <color theme="1"/>
      <name val="Franklin Gothic Demi Cond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8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164" fontId="4" fillId="0" borderId="0" xfId="0" applyNumberFormat="1" applyFont="1"/>
    <xf numFmtId="164" fontId="0" fillId="0" borderId="0" xfId="0" applyNumberFormat="1"/>
    <xf numFmtId="0" fontId="3" fillId="0" borderId="1" xfId="0" applyFont="1" applyBorder="1"/>
    <xf numFmtId="164" fontId="3" fillId="0" borderId="1" xfId="0" applyNumberFormat="1" applyFont="1" applyBorder="1"/>
    <xf numFmtId="164" fontId="3" fillId="0" borderId="0" xfId="0" applyNumberFormat="1" applyFont="1"/>
    <xf numFmtId="8" fontId="3" fillId="0" borderId="0" xfId="0" applyNumberFormat="1" applyFont="1"/>
    <xf numFmtId="0" fontId="4" fillId="0" borderId="2" xfId="0" applyFont="1" applyBorder="1"/>
    <xf numFmtId="164" fontId="4" fillId="0" borderId="2" xfId="0" applyNumberFormat="1" applyFont="1" applyBorder="1"/>
    <xf numFmtId="0" fontId="5" fillId="0" borderId="0" xfId="0" applyFont="1"/>
    <xf numFmtId="8" fontId="1" fillId="0" borderId="0" xfId="0" applyNumberFormat="1" applyFont="1"/>
    <xf numFmtId="8" fontId="4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17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12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image" Target="../media/image8.png"/><Relationship Id="rId4" Type="http://schemas.openxmlformats.org/officeDocument/2006/relationships/image" Target="../media/image9.jfi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8.png"/><Relationship Id="rId6" Type="http://schemas.openxmlformats.org/officeDocument/2006/relationships/image" Target="../media/image2.svg"/><Relationship Id="rId5" Type="http://schemas.openxmlformats.org/officeDocument/2006/relationships/image" Target="../media/image1.png"/><Relationship Id="rId4" Type="http://schemas.openxmlformats.org/officeDocument/2006/relationships/image" Target="../media/image12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8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182880</xdr:colOff>
      <xdr:row>9</xdr:row>
      <xdr:rowOff>167640</xdr:rowOff>
    </xdr:from>
    <xdr:to>
      <xdr:col>7</xdr:col>
      <xdr:colOff>640080</xdr:colOff>
      <xdr:row>29</xdr:row>
      <xdr:rowOff>167640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D95607F8-C9AB-4974-95EE-161A8502E350}"/>
            </a:ext>
          </a:extLst>
        </xdr:cNvPr>
        <xdr:cNvSpPr/>
      </xdr:nvSpPr>
      <xdr:spPr>
        <a:xfrm>
          <a:off x="3352800" y="1447800"/>
          <a:ext cx="2834640" cy="3657600"/>
        </a:xfrm>
        <a:prstGeom prst="rect">
          <a:avLst/>
        </a:prstGeom>
        <a:solidFill>
          <a:schemeClr val="accent6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>
              <a:latin typeface="Franklin Gothic Demi Cond" panose="020B0706030402020204" pitchFamily="34" charset="0"/>
            </a:rPr>
            <a:t>Activos</a:t>
          </a:r>
        </a:p>
      </xdr:txBody>
    </xdr:sp>
    <xdr:clientData/>
  </xdr:twoCellAnchor>
  <xdr:twoCellAnchor>
    <xdr:from>
      <xdr:col>7</xdr:col>
      <xdr:colOff>784860</xdr:colOff>
      <xdr:row>9</xdr:row>
      <xdr:rowOff>167640</xdr:rowOff>
    </xdr:from>
    <xdr:to>
      <xdr:col>11</xdr:col>
      <xdr:colOff>449580</xdr:colOff>
      <xdr:row>19</xdr:row>
      <xdr:rowOff>68580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1747F5C3-D42D-4AC9-A781-02C35F3F4F1F}"/>
            </a:ext>
          </a:extLst>
        </xdr:cNvPr>
        <xdr:cNvSpPr/>
      </xdr:nvSpPr>
      <xdr:spPr>
        <a:xfrm>
          <a:off x="6332220" y="1447800"/>
          <a:ext cx="2834640" cy="17297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>
              <a:latin typeface="Franklin Gothic Demi Cond" panose="020B0706030402020204" pitchFamily="34" charset="0"/>
            </a:rPr>
            <a:t>Pasivos</a:t>
          </a:r>
        </a:p>
      </xdr:txBody>
    </xdr:sp>
    <xdr:clientData/>
  </xdr:twoCellAnchor>
  <xdr:twoCellAnchor>
    <xdr:from>
      <xdr:col>7</xdr:col>
      <xdr:colOff>769620</xdr:colOff>
      <xdr:row>19</xdr:row>
      <xdr:rowOff>160020</xdr:rowOff>
    </xdr:from>
    <xdr:to>
      <xdr:col>11</xdr:col>
      <xdr:colOff>434340</xdr:colOff>
      <xdr:row>29</xdr:row>
      <xdr:rowOff>167640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1B8D88B4-51B6-4D0D-849C-47F32E68207B}"/>
            </a:ext>
          </a:extLst>
        </xdr:cNvPr>
        <xdr:cNvSpPr/>
      </xdr:nvSpPr>
      <xdr:spPr>
        <a:xfrm>
          <a:off x="6316980" y="3268980"/>
          <a:ext cx="2834640" cy="18364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200">
              <a:latin typeface="Franklin Gothic Demi Cond" panose="020B0706030402020204" pitchFamily="34" charset="0"/>
            </a:rPr>
            <a:t>Capital</a:t>
          </a:r>
        </a:p>
      </xdr:txBody>
    </xdr:sp>
    <xdr:clientData/>
  </xdr:twoCellAnchor>
  <xdr:twoCellAnchor>
    <xdr:from>
      <xdr:col>4</xdr:col>
      <xdr:colOff>655320</xdr:colOff>
      <xdr:row>30</xdr:row>
      <xdr:rowOff>137160</xdr:rowOff>
    </xdr:from>
    <xdr:to>
      <xdr:col>11</xdr:col>
      <xdr:colOff>7620</xdr:colOff>
      <xdr:row>37</xdr:row>
      <xdr:rowOff>15240</xdr:rowOff>
    </xdr:to>
    <xdr:sp macro="" textlink="">
      <xdr:nvSpPr>
        <xdr:cNvPr id="5" name="CuadroTexto 4">
          <a:extLst>
            <a:ext uri="{FF2B5EF4-FFF2-40B4-BE49-F238E27FC236}">
              <a16:creationId xmlns:a16="http://schemas.microsoft.com/office/drawing/2014/main" id="{83568CF1-5D7B-4DD5-8DD8-FC6253A6C554}"/>
            </a:ext>
          </a:extLst>
        </xdr:cNvPr>
        <xdr:cNvSpPr txBox="1"/>
      </xdr:nvSpPr>
      <xdr:spPr>
        <a:xfrm>
          <a:off x="3825240" y="5257800"/>
          <a:ext cx="4899660" cy="1158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Activos = Pasivos + Capital</a:t>
          </a:r>
        </a:p>
      </xdr:txBody>
    </xdr:sp>
    <xdr:clientData/>
  </xdr:twoCellAnchor>
  <xdr:twoCellAnchor editAs="oneCell">
    <xdr:from>
      <xdr:col>11</xdr:col>
      <xdr:colOff>586740</xdr:colOff>
      <xdr:row>18</xdr:row>
      <xdr:rowOff>0</xdr:rowOff>
    </xdr:from>
    <xdr:to>
      <xdr:col>12</xdr:col>
      <xdr:colOff>365760</xdr:colOff>
      <xdr:row>21</xdr:row>
      <xdr:rowOff>22860</xdr:rowOff>
    </xdr:to>
    <xdr:pic>
      <xdr:nvPicPr>
        <xdr:cNvPr id="7" name="Gráfico 6" descr="Flecha recta">
          <a:extLst>
            <a:ext uri="{FF2B5EF4-FFF2-40B4-BE49-F238E27FC236}">
              <a16:creationId xmlns:a16="http://schemas.microsoft.com/office/drawing/2014/main" id="{6CDADFB4-0FB2-4C28-AFD5-182DB7889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9304020" y="292608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259080</xdr:colOff>
      <xdr:row>18</xdr:row>
      <xdr:rowOff>15240</xdr:rowOff>
    </xdr:from>
    <xdr:to>
      <xdr:col>4</xdr:col>
      <xdr:colOff>38100</xdr:colOff>
      <xdr:row>21</xdr:row>
      <xdr:rowOff>38100</xdr:rowOff>
    </xdr:to>
    <xdr:pic>
      <xdr:nvPicPr>
        <xdr:cNvPr id="8" name="Gráfico 7" descr="Flecha recta">
          <a:extLst>
            <a:ext uri="{FF2B5EF4-FFF2-40B4-BE49-F238E27FC236}">
              <a16:creationId xmlns:a16="http://schemas.microsoft.com/office/drawing/2014/main" id="{EE373E88-0F51-4BEC-9E52-431C40617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636520" y="2941320"/>
          <a:ext cx="571500" cy="571500"/>
        </a:xfrm>
        <a:prstGeom prst="rect">
          <a:avLst/>
        </a:prstGeom>
      </xdr:spPr>
    </xdr:pic>
    <xdr:clientData/>
  </xdr:twoCellAnchor>
  <xdr:twoCellAnchor>
    <xdr:from>
      <xdr:col>12</xdr:col>
      <xdr:colOff>265022</xdr:colOff>
      <xdr:row>18</xdr:row>
      <xdr:rowOff>73812</xdr:rowOff>
    </xdr:from>
    <xdr:to>
      <xdr:col>13</xdr:col>
      <xdr:colOff>546962</xdr:colOff>
      <xdr:row>23</xdr:row>
      <xdr:rowOff>62984</xdr:rowOff>
    </xdr:to>
    <xdr:sp macro="" textlink="">
      <xdr:nvSpPr>
        <xdr:cNvPr id="9" name="CuadroTexto 8">
          <a:extLst>
            <a:ext uri="{FF2B5EF4-FFF2-40B4-BE49-F238E27FC236}">
              <a16:creationId xmlns:a16="http://schemas.microsoft.com/office/drawing/2014/main" id="{460EB88C-872E-464B-8965-C1441DEEB0DE}"/>
            </a:ext>
          </a:extLst>
        </xdr:cNvPr>
        <xdr:cNvSpPr txBox="1"/>
      </xdr:nvSpPr>
      <xdr:spPr>
        <a:xfrm rot="19118969">
          <a:off x="9774782" y="2999892"/>
          <a:ext cx="1074420" cy="903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C00000"/>
              </a:solidFill>
              <a:latin typeface="Bradley Hand ITC" panose="03070402050302030203" pitchFamily="66" charset="0"/>
            </a:rPr>
            <a:t>$$$$ entra por aquí</a:t>
          </a:r>
        </a:p>
      </xdr:txBody>
    </xdr:sp>
    <xdr:clientData/>
  </xdr:twoCellAnchor>
  <xdr:twoCellAnchor>
    <xdr:from>
      <xdr:col>2</xdr:col>
      <xdr:colOff>127862</xdr:colOff>
      <xdr:row>16</xdr:row>
      <xdr:rowOff>58572</xdr:rowOff>
    </xdr:from>
    <xdr:to>
      <xdr:col>3</xdr:col>
      <xdr:colOff>409802</xdr:colOff>
      <xdr:row>21</xdr:row>
      <xdr:rowOff>47744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45629EAF-6093-4802-BDA4-A1D86BD4834D}"/>
            </a:ext>
          </a:extLst>
        </xdr:cNvPr>
        <xdr:cNvSpPr txBox="1"/>
      </xdr:nvSpPr>
      <xdr:spPr>
        <a:xfrm rot="19118969">
          <a:off x="1712822" y="2801772"/>
          <a:ext cx="1074420" cy="9035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C00000"/>
              </a:solidFill>
              <a:latin typeface="Bradley Hand ITC" panose="03070402050302030203" pitchFamily="66" charset="0"/>
            </a:rPr>
            <a:t> inverisones</a:t>
          </a:r>
          <a:r>
            <a:rPr lang="en-US" sz="1400" baseline="0">
              <a:solidFill>
                <a:srgbClr val="C00000"/>
              </a:solidFill>
              <a:latin typeface="Bradley Hand ITC" panose="03070402050302030203" pitchFamily="66" charset="0"/>
            </a:rPr>
            <a:t> para mas $$$</a:t>
          </a:r>
          <a:endParaRPr lang="en-US" sz="1400">
            <a:solidFill>
              <a:srgbClr val="C00000"/>
            </a:solidFill>
            <a:latin typeface="Bradley Hand ITC" panose="03070402050302030203" pitchFamily="66" charset="0"/>
          </a:endParaRPr>
        </a:p>
      </xdr:txBody>
    </xdr:sp>
    <xdr:clientData/>
  </xdr:twoCellAnchor>
  <xdr:twoCellAnchor editAs="oneCell">
    <xdr:from>
      <xdr:col>0</xdr:col>
      <xdr:colOff>766389</xdr:colOff>
      <xdr:row>42</xdr:row>
      <xdr:rowOff>22860</xdr:rowOff>
    </xdr:from>
    <xdr:to>
      <xdr:col>4</xdr:col>
      <xdr:colOff>297181</xdr:colOff>
      <xdr:row>51</xdr:row>
      <xdr:rowOff>172626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6F99B0B1-A628-4FF2-B370-9C3D30C88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89" y="6972300"/>
          <a:ext cx="2700712" cy="1795686"/>
        </a:xfrm>
        <a:prstGeom prst="rect">
          <a:avLst/>
        </a:prstGeom>
      </xdr:spPr>
    </xdr:pic>
    <xdr:clientData/>
  </xdr:twoCellAnchor>
  <xdr:twoCellAnchor>
    <xdr:from>
      <xdr:col>3</xdr:col>
      <xdr:colOff>167640</xdr:colOff>
      <xdr:row>37</xdr:row>
      <xdr:rowOff>15240</xdr:rowOff>
    </xdr:from>
    <xdr:to>
      <xdr:col>5</xdr:col>
      <xdr:colOff>7620</xdr:colOff>
      <xdr:row>40</xdr:row>
      <xdr:rowOff>15240</xdr:rowOff>
    </xdr:to>
    <xdr:sp macro="" textlink="">
      <xdr:nvSpPr>
        <xdr:cNvPr id="15" name="CuadroTexto 14">
          <a:extLst>
            <a:ext uri="{FF2B5EF4-FFF2-40B4-BE49-F238E27FC236}">
              <a16:creationId xmlns:a16="http://schemas.microsoft.com/office/drawing/2014/main" id="{9505DD92-73B8-457F-8D18-B61E272E1BFF}"/>
            </a:ext>
          </a:extLst>
        </xdr:cNvPr>
        <xdr:cNvSpPr txBox="1"/>
      </xdr:nvSpPr>
      <xdr:spPr>
        <a:xfrm>
          <a:off x="2545080" y="6416040"/>
          <a:ext cx="142494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Activos</a:t>
          </a:r>
        </a:p>
      </xdr:txBody>
    </xdr:sp>
    <xdr:clientData/>
  </xdr:twoCellAnchor>
  <xdr:twoCellAnchor>
    <xdr:from>
      <xdr:col>3</xdr:col>
      <xdr:colOff>259080</xdr:colOff>
      <xdr:row>52</xdr:row>
      <xdr:rowOff>7620</xdr:rowOff>
    </xdr:from>
    <xdr:to>
      <xdr:col>5</xdr:col>
      <xdr:colOff>99060</xdr:colOff>
      <xdr:row>55</xdr:row>
      <xdr:rowOff>7620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83A466E8-663C-4C43-9CF4-A420D583C64C}"/>
            </a:ext>
          </a:extLst>
        </xdr:cNvPr>
        <xdr:cNvSpPr txBox="1"/>
      </xdr:nvSpPr>
      <xdr:spPr>
        <a:xfrm>
          <a:off x="2636520" y="9517380"/>
          <a:ext cx="142494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latin typeface="Franklin Gothic Demi Cond" panose="020B0706030402020204" pitchFamily="34" charset="0"/>
            </a:rPr>
            <a:t>Corto plazo (&lt;1</a:t>
          </a:r>
          <a:r>
            <a:rPr lang="en-US" sz="1200" baseline="0">
              <a:latin typeface="Franklin Gothic Demi Cond" panose="020B0706030402020204" pitchFamily="34" charset="0"/>
            </a:rPr>
            <a:t> año)</a:t>
          </a:r>
          <a:endParaRPr lang="en-US" sz="1200">
            <a:latin typeface="Franklin Gothic Demi Cond" panose="020B0706030402020204" pitchFamily="34" charset="0"/>
          </a:endParaRPr>
        </a:p>
      </xdr:txBody>
    </xdr:sp>
    <xdr:clientData/>
  </xdr:twoCellAnchor>
  <xdr:twoCellAnchor editAs="oneCell">
    <xdr:from>
      <xdr:col>1</xdr:col>
      <xdr:colOff>525780</xdr:colOff>
      <xdr:row>58</xdr:row>
      <xdr:rowOff>121920</xdr:rowOff>
    </xdr:from>
    <xdr:to>
      <xdr:col>6</xdr:col>
      <xdr:colOff>769620</xdr:colOff>
      <xdr:row>74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A2D6B61-4AB2-492B-B395-1833172C2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18260" y="10728960"/>
          <a:ext cx="4206240" cy="2804160"/>
        </a:xfrm>
        <a:prstGeom prst="rect">
          <a:avLst/>
        </a:prstGeom>
      </xdr:spPr>
    </xdr:pic>
    <xdr:clientData/>
  </xdr:twoCellAnchor>
  <xdr:twoCellAnchor editAs="oneCell">
    <xdr:from>
      <xdr:col>4</xdr:col>
      <xdr:colOff>281940</xdr:colOff>
      <xdr:row>42</xdr:row>
      <xdr:rowOff>78880</xdr:rowOff>
    </xdr:from>
    <xdr:to>
      <xdr:col>7</xdr:col>
      <xdr:colOff>594360</xdr:colOff>
      <xdr:row>52</xdr:row>
      <xdr:rowOff>43320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19923978-79DA-4D04-8B0C-BB0E18F6B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860" y="7759840"/>
          <a:ext cx="2689860" cy="1793240"/>
        </a:xfrm>
        <a:prstGeom prst="rect">
          <a:avLst/>
        </a:prstGeom>
      </xdr:spPr>
    </xdr:pic>
    <xdr:clientData/>
  </xdr:twoCellAnchor>
  <xdr:twoCellAnchor>
    <xdr:from>
      <xdr:col>3</xdr:col>
      <xdr:colOff>160020</xdr:colOff>
      <xdr:row>73</xdr:row>
      <xdr:rowOff>114300</xdr:rowOff>
    </xdr:from>
    <xdr:to>
      <xdr:col>5</xdr:col>
      <xdr:colOff>0</xdr:colOff>
      <xdr:row>76</xdr:row>
      <xdr:rowOff>114300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717D0015-BF9A-48C7-9C12-70C40E99C443}"/>
            </a:ext>
          </a:extLst>
        </xdr:cNvPr>
        <xdr:cNvSpPr txBox="1"/>
      </xdr:nvSpPr>
      <xdr:spPr>
        <a:xfrm>
          <a:off x="2537460" y="13464540"/>
          <a:ext cx="142494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latin typeface="Franklin Gothic Demi Cond" panose="020B0706030402020204" pitchFamily="34" charset="0"/>
            </a:rPr>
            <a:t>Largo Plazo (&gt;</a:t>
          </a:r>
          <a:r>
            <a:rPr lang="en-US" sz="1200" baseline="0">
              <a:latin typeface="Franklin Gothic Demi Cond" panose="020B0706030402020204" pitchFamily="34" charset="0"/>
            </a:rPr>
            <a:t> 1 año)</a:t>
          </a:r>
          <a:endParaRPr lang="en-US" sz="1200"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6</xdr:col>
      <xdr:colOff>190500</xdr:colOff>
      <xdr:row>79</xdr:row>
      <xdr:rowOff>22860</xdr:rowOff>
    </xdr:from>
    <xdr:to>
      <xdr:col>8</xdr:col>
      <xdr:colOff>30480</xdr:colOff>
      <xdr:row>81</xdr:row>
      <xdr:rowOff>22860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992BCF6-01D6-43A2-A064-FAED336640D4}"/>
            </a:ext>
          </a:extLst>
        </xdr:cNvPr>
        <xdr:cNvSpPr txBox="1"/>
      </xdr:nvSpPr>
      <xdr:spPr>
        <a:xfrm>
          <a:off x="4945380" y="14470380"/>
          <a:ext cx="1424940" cy="365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Pasivos</a:t>
          </a:r>
        </a:p>
      </xdr:txBody>
    </xdr:sp>
    <xdr:clientData/>
  </xdr:twoCellAnchor>
  <xdr:twoCellAnchor>
    <xdr:from>
      <xdr:col>12</xdr:col>
      <xdr:colOff>358140</xdr:colOff>
      <xdr:row>78</xdr:row>
      <xdr:rowOff>137160</xdr:rowOff>
    </xdr:from>
    <xdr:to>
      <xdr:col>14</xdr:col>
      <xdr:colOff>198120</xdr:colOff>
      <xdr:row>81</xdr:row>
      <xdr:rowOff>137160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75AF7DB8-C6B5-4FE3-B103-9F8D446744EC}"/>
            </a:ext>
          </a:extLst>
        </xdr:cNvPr>
        <xdr:cNvSpPr txBox="1"/>
      </xdr:nvSpPr>
      <xdr:spPr>
        <a:xfrm>
          <a:off x="9867900" y="14401800"/>
          <a:ext cx="1424940" cy="548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Capital</a:t>
          </a:r>
        </a:p>
      </xdr:txBody>
    </xdr:sp>
    <xdr:clientData/>
  </xdr:twoCellAnchor>
  <xdr:twoCellAnchor editAs="oneCell">
    <xdr:from>
      <xdr:col>5</xdr:col>
      <xdr:colOff>378460</xdr:colOff>
      <xdr:row>81</xdr:row>
      <xdr:rowOff>182879</xdr:rowOff>
    </xdr:from>
    <xdr:to>
      <xdr:col>9</xdr:col>
      <xdr:colOff>213360</xdr:colOff>
      <xdr:row>94</xdr:row>
      <xdr:rowOff>59054</xdr:rowOff>
    </xdr:to>
    <xdr:pic>
      <xdr:nvPicPr>
        <xdr:cNvPr id="29" name="Imagen 28" descr="Image result for bank&quot;">
          <a:extLst>
            <a:ext uri="{FF2B5EF4-FFF2-40B4-BE49-F238E27FC236}">
              <a16:creationId xmlns:a16="http://schemas.microsoft.com/office/drawing/2014/main" id="{7A653698-C43B-4DA2-A6A7-13D792E062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40860" y="14996159"/>
          <a:ext cx="3004820" cy="22536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304800</xdr:colOff>
      <xdr:row>95</xdr:row>
      <xdr:rowOff>22860</xdr:rowOff>
    </xdr:from>
    <xdr:to>
      <xdr:col>8</xdr:col>
      <xdr:colOff>144780</xdr:colOff>
      <xdr:row>99</xdr:row>
      <xdr:rowOff>129540</xdr:rowOff>
    </xdr:to>
    <xdr:sp macro="" textlink="">
      <xdr:nvSpPr>
        <xdr:cNvPr id="31" name="CuadroTexto 30">
          <a:extLst>
            <a:ext uri="{FF2B5EF4-FFF2-40B4-BE49-F238E27FC236}">
              <a16:creationId xmlns:a16="http://schemas.microsoft.com/office/drawing/2014/main" id="{E1650C22-77D3-47BB-8FCF-3D457790AAF1}"/>
            </a:ext>
          </a:extLst>
        </xdr:cNvPr>
        <xdr:cNvSpPr txBox="1"/>
      </xdr:nvSpPr>
      <xdr:spPr>
        <a:xfrm>
          <a:off x="5059680" y="17396460"/>
          <a:ext cx="1424940" cy="838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latin typeface="Franklin Gothic Demi Cond" panose="020B0706030402020204" pitchFamily="34" charset="0"/>
            </a:rPr>
            <a:t>Dinero que pides prestado (a quien sea)</a:t>
          </a:r>
        </a:p>
      </xdr:txBody>
    </xdr:sp>
    <xdr:clientData/>
  </xdr:twoCellAnchor>
  <xdr:twoCellAnchor>
    <xdr:from>
      <xdr:col>15</xdr:col>
      <xdr:colOff>15240</xdr:colOff>
      <xdr:row>86</xdr:row>
      <xdr:rowOff>152400</xdr:rowOff>
    </xdr:from>
    <xdr:to>
      <xdr:col>16</xdr:col>
      <xdr:colOff>647700</xdr:colOff>
      <xdr:row>92</xdr:row>
      <xdr:rowOff>129540</xdr:rowOff>
    </xdr:to>
    <xdr:sp macro="" textlink="">
      <xdr:nvSpPr>
        <xdr:cNvPr id="32" name="CuadroTexto 31">
          <a:extLst>
            <a:ext uri="{FF2B5EF4-FFF2-40B4-BE49-F238E27FC236}">
              <a16:creationId xmlns:a16="http://schemas.microsoft.com/office/drawing/2014/main" id="{519C67A5-3F97-4E78-AFF0-589D836E8992}"/>
            </a:ext>
          </a:extLst>
        </xdr:cNvPr>
        <xdr:cNvSpPr txBox="1"/>
      </xdr:nvSpPr>
      <xdr:spPr>
        <a:xfrm>
          <a:off x="11902440" y="15880080"/>
          <a:ext cx="1424940" cy="1074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>
              <a:latin typeface="Franklin Gothic Demi Cond" panose="020B0706030402020204" pitchFamily="34" charset="0"/>
            </a:rPr>
            <a:t>Dinero que recibes</a:t>
          </a:r>
          <a:r>
            <a:rPr lang="en-US" sz="1200" baseline="0">
              <a:latin typeface="Franklin Gothic Demi Cond" panose="020B0706030402020204" pitchFamily="34" charset="0"/>
            </a:rPr>
            <a:t> a a cambio de un % en la empresa</a:t>
          </a:r>
          <a:endParaRPr lang="en-US" sz="1200">
            <a:latin typeface="Franklin Gothic Demi Cond" panose="020B0706030402020204" pitchFamily="34" charset="0"/>
          </a:endParaRPr>
        </a:p>
      </xdr:txBody>
    </xdr:sp>
    <xdr:clientData/>
  </xdr:twoCellAnchor>
  <xdr:twoCellAnchor editAs="oneCell">
    <xdr:from>
      <xdr:col>11</xdr:col>
      <xdr:colOff>734507</xdr:colOff>
      <xdr:row>81</xdr:row>
      <xdr:rowOff>99060</xdr:rowOff>
    </xdr:from>
    <xdr:to>
      <xdr:col>15</xdr:col>
      <xdr:colOff>10959</xdr:colOff>
      <xdr:row>100</xdr:row>
      <xdr:rowOff>83820</xdr:rowOff>
    </xdr:to>
    <xdr:pic>
      <xdr:nvPicPr>
        <xdr:cNvPr id="34" name="Imagen 33">
          <a:extLst>
            <a:ext uri="{FF2B5EF4-FFF2-40B4-BE49-F238E27FC236}">
              <a16:creationId xmlns:a16="http://schemas.microsoft.com/office/drawing/2014/main" id="{66C41DDA-AA78-426F-A7EA-B7309CA65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51787" y="14912340"/>
          <a:ext cx="2446372" cy="3459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7</xdr:col>
      <xdr:colOff>62865</xdr:colOff>
      <xdr:row>7</xdr:row>
      <xdr:rowOff>61843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F1A61783-2265-4386-82D3-321AAC4C3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10225" cy="134200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62865</xdr:colOff>
      <xdr:row>7</xdr:row>
      <xdr:rowOff>61843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1EE9F26-748D-4E50-A73C-3FD8261EA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610225" cy="1342003"/>
        </a:xfrm>
        <a:prstGeom prst="rect">
          <a:avLst/>
        </a:prstGeom>
      </xdr:spPr>
    </xdr:pic>
    <xdr:clientData/>
  </xdr:twoCellAnchor>
  <xdr:twoCellAnchor>
    <xdr:from>
      <xdr:col>2</xdr:col>
      <xdr:colOff>609600</xdr:colOff>
      <xdr:row>9</xdr:row>
      <xdr:rowOff>53340</xdr:rowOff>
    </xdr:from>
    <xdr:to>
      <xdr:col>7</xdr:col>
      <xdr:colOff>693420</xdr:colOff>
      <xdr:row>15</xdr:row>
      <xdr:rowOff>45720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307C8CA3-5F17-46BC-B384-C303C306ACC9}"/>
            </a:ext>
          </a:extLst>
        </xdr:cNvPr>
        <xdr:cNvSpPr/>
      </xdr:nvSpPr>
      <xdr:spPr>
        <a:xfrm>
          <a:off x="2194560" y="1699260"/>
          <a:ext cx="4046220" cy="1089660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Ingresos de Operaciones (VENTAS)</a:t>
          </a:r>
        </a:p>
      </xdr:txBody>
    </xdr:sp>
    <xdr:clientData/>
  </xdr:twoCellAnchor>
  <xdr:twoCellAnchor>
    <xdr:from>
      <xdr:col>2</xdr:col>
      <xdr:colOff>594360</xdr:colOff>
      <xdr:row>15</xdr:row>
      <xdr:rowOff>175260</xdr:rowOff>
    </xdr:from>
    <xdr:to>
      <xdr:col>7</xdr:col>
      <xdr:colOff>678180</xdr:colOff>
      <xdr:row>19</xdr:row>
      <xdr:rowOff>129540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AE0BC098-2291-49C8-8D94-6B0303BC83C5}"/>
            </a:ext>
          </a:extLst>
        </xdr:cNvPr>
        <xdr:cNvSpPr/>
      </xdr:nvSpPr>
      <xdr:spPr>
        <a:xfrm>
          <a:off x="2179320" y="2918460"/>
          <a:ext cx="4046220" cy="68580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Costo de lo Vendido</a:t>
          </a:r>
        </a:p>
      </xdr:txBody>
    </xdr:sp>
    <xdr:clientData/>
  </xdr:twoCellAnchor>
  <xdr:twoCellAnchor>
    <xdr:from>
      <xdr:col>2</xdr:col>
      <xdr:colOff>594360</xdr:colOff>
      <xdr:row>20</xdr:row>
      <xdr:rowOff>0</xdr:rowOff>
    </xdr:from>
    <xdr:to>
      <xdr:col>7</xdr:col>
      <xdr:colOff>678180</xdr:colOff>
      <xdr:row>29</xdr:row>
      <xdr:rowOff>137160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6FE23D47-721F-4A59-9AB6-7C9C243E79F1}"/>
            </a:ext>
          </a:extLst>
        </xdr:cNvPr>
        <xdr:cNvSpPr/>
      </xdr:nvSpPr>
      <xdr:spPr>
        <a:xfrm>
          <a:off x="2179320" y="3657600"/>
          <a:ext cx="4046220" cy="1783080"/>
        </a:xfrm>
        <a:prstGeom prst="rect">
          <a:avLst/>
        </a:prstGeom>
        <a:solidFill>
          <a:srgbClr val="C0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Gastos</a:t>
          </a:r>
          <a:r>
            <a:rPr lang="en-US" sz="2800" baseline="0">
              <a:latin typeface="Franklin Gothic Demi Cond" panose="020B0706030402020204" pitchFamily="34" charset="0"/>
            </a:rPr>
            <a:t> de Venta</a:t>
          </a:r>
          <a:endParaRPr lang="en-US" sz="2800"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2</xdr:col>
      <xdr:colOff>586740</xdr:colOff>
      <xdr:row>30</xdr:row>
      <xdr:rowOff>7620</xdr:rowOff>
    </xdr:from>
    <xdr:to>
      <xdr:col>7</xdr:col>
      <xdr:colOff>670560</xdr:colOff>
      <xdr:row>33</xdr:row>
      <xdr:rowOff>38100</xdr:rowOff>
    </xdr:to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13669B1F-32AC-4003-B3A9-EC6A5DABC8F9}"/>
            </a:ext>
          </a:extLst>
        </xdr:cNvPr>
        <xdr:cNvSpPr/>
      </xdr:nvSpPr>
      <xdr:spPr>
        <a:xfrm>
          <a:off x="2171700" y="5494020"/>
          <a:ext cx="4046220" cy="579120"/>
        </a:xfrm>
        <a:prstGeom prst="rect">
          <a:avLst/>
        </a:prstGeom>
        <a:solidFill>
          <a:schemeClr val="accent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Resultado Neto</a:t>
          </a:r>
        </a:p>
      </xdr:txBody>
    </xdr:sp>
    <xdr:clientData/>
  </xdr:twoCellAnchor>
  <xdr:twoCellAnchor editAs="oneCell">
    <xdr:from>
      <xdr:col>8</xdr:col>
      <xdr:colOff>22860</xdr:colOff>
      <xdr:row>10</xdr:row>
      <xdr:rowOff>68580</xdr:rowOff>
    </xdr:from>
    <xdr:to>
      <xdr:col>8</xdr:col>
      <xdr:colOff>594360</xdr:colOff>
      <xdr:row>13</xdr:row>
      <xdr:rowOff>91440</xdr:rowOff>
    </xdr:to>
    <xdr:pic>
      <xdr:nvPicPr>
        <xdr:cNvPr id="7" name="Gráfico 6" descr="Flecha recta">
          <a:extLst>
            <a:ext uri="{FF2B5EF4-FFF2-40B4-BE49-F238E27FC236}">
              <a16:creationId xmlns:a16="http://schemas.microsoft.com/office/drawing/2014/main" id="{A89B1B5D-26A0-4AA8-9118-3D9274786F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362700" y="1897380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576882</xdr:colOff>
      <xdr:row>9</xdr:row>
      <xdr:rowOff>19966</xdr:rowOff>
    </xdr:from>
    <xdr:to>
      <xdr:col>10</xdr:col>
      <xdr:colOff>66342</xdr:colOff>
      <xdr:row>12</xdr:row>
      <xdr:rowOff>73322</xdr:rowOff>
    </xdr:to>
    <xdr:sp macro="" textlink="">
      <xdr:nvSpPr>
        <xdr:cNvPr id="8" name="CuadroTexto 7">
          <a:extLst>
            <a:ext uri="{FF2B5EF4-FFF2-40B4-BE49-F238E27FC236}">
              <a16:creationId xmlns:a16="http://schemas.microsoft.com/office/drawing/2014/main" id="{21D7E483-D43D-4AB3-BEB1-6DB7A67D57CE}"/>
            </a:ext>
          </a:extLst>
        </xdr:cNvPr>
        <xdr:cNvSpPr txBox="1"/>
      </xdr:nvSpPr>
      <xdr:spPr>
        <a:xfrm rot="19118969">
          <a:off x="6916722" y="1665886"/>
          <a:ext cx="1074420" cy="601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C00000"/>
              </a:solidFill>
              <a:latin typeface="Bradley Hand ITC" panose="03070402050302030203" pitchFamily="66" charset="0"/>
            </a:rPr>
            <a:t>$$$$ Por operar</a:t>
          </a:r>
        </a:p>
      </xdr:txBody>
    </xdr:sp>
    <xdr:clientData/>
  </xdr:twoCellAnchor>
  <xdr:twoCellAnchor editAs="oneCell">
    <xdr:from>
      <xdr:col>8</xdr:col>
      <xdr:colOff>129540</xdr:colOff>
      <xdr:row>20</xdr:row>
      <xdr:rowOff>76201</xdr:rowOff>
    </xdr:from>
    <xdr:to>
      <xdr:col>8</xdr:col>
      <xdr:colOff>701040</xdr:colOff>
      <xdr:row>23</xdr:row>
      <xdr:rowOff>99061</xdr:rowOff>
    </xdr:to>
    <xdr:pic>
      <xdr:nvPicPr>
        <xdr:cNvPr id="9" name="Gráfico 8" descr="Flecha recta">
          <a:extLst>
            <a:ext uri="{FF2B5EF4-FFF2-40B4-BE49-F238E27FC236}">
              <a16:creationId xmlns:a16="http://schemas.microsoft.com/office/drawing/2014/main" id="{395A4C35-414F-431E-BB6D-1FC8CDC1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6469380" y="3733801"/>
          <a:ext cx="571500" cy="571500"/>
        </a:xfrm>
        <a:prstGeom prst="rect">
          <a:avLst/>
        </a:prstGeom>
      </xdr:spPr>
    </xdr:pic>
    <xdr:clientData/>
  </xdr:twoCellAnchor>
  <xdr:twoCellAnchor>
    <xdr:from>
      <xdr:col>8</xdr:col>
      <xdr:colOff>683562</xdr:colOff>
      <xdr:row>19</xdr:row>
      <xdr:rowOff>27587</xdr:rowOff>
    </xdr:from>
    <xdr:to>
      <xdr:col>10</xdr:col>
      <xdr:colOff>173022</xdr:colOff>
      <xdr:row>22</xdr:row>
      <xdr:rowOff>80943</xdr:rowOff>
    </xdr:to>
    <xdr:sp macro="" textlink="">
      <xdr:nvSpPr>
        <xdr:cNvPr id="10" name="CuadroTexto 9">
          <a:extLst>
            <a:ext uri="{FF2B5EF4-FFF2-40B4-BE49-F238E27FC236}">
              <a16:creationId xmlns:a16="http://schemas.microsoft.com/office/drawing/2014/main" id="{BCFD78DB-2F36-4DA2-938F-DDD0D59ED7F0}"/>
            </a:ext>
          </a:extLst>
        </xdr:cNvPr>
        <xdr:cNvSpPr txBox="1"/>
      </xdr:nvSpPr>
      <xdr:spPr>
        <a:xfrm rot="19118969">
          <a:off x="7023402" y="3502307"/>
          <a:ext cx="1074420" cy="6019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C00000"/>
              </a:solidFill>
              <a:latin typeface="Bradley Hand ITC" panose="03070402050302030203" pitchFamily="66" charset="0"/>
            </a:rPr>
            <a:t>Gastos de operación</a:t>
          </a:r>
        </a:p>
      </xdr:txBody>
    </xdr:sp>
    <xdr:clientData/>
  </xdr:twoCellAnchor>
  <xdr:twoCellAnchor editAs="oneCell">
    <xdr:from>
      <xdr:col>1</xdr:col>
      <xdr:colOff>685800</xdr:colOff>
      <xdr:row>29</xdr:row>
      <xdr:rowOff>144781</xdr:rowOff>
    </xdr:from>
    <xdr:to>
      <xdr:col>2</xdr:col>
      <xdr:colOff>464820</xdr:colOff>
      <xdr:row>32</xdr:row>
      <xdr:rowOff>167641</xdr:rowOff>
    </xdr:to>
    <xdr:pic>
      <xdr:nvPicPr>
        <xdr:cNvPr id="11" name="Gráfico 10" descr="Flecha recta">
          <a:extLst>
            <a:ext uri="{FF2B5EF4-FFF2-40B4-BE49-F238E27FC236}">
              <a16:creationId xmlns:a16="http://schemas.microsoft.com/office/drawing/2014/main" id="{4B3E6B07-E7F5-4039-BD39-CCFB68A24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1478280" y="5448301"/>
          <a:ext cx="571500" cy="571500"/>
        </a:xfrm>
        <a:prstGeom prst="rect">
          <a:avLst/>
        </a:prstGeom>
      </xdr:spPr>
    </xdr:pic>
    <xdr:clientData/>
  </xdr:twoCellAnchor>
  <xdr:twoCellAnchor>
    <xdr:from>
      <xdr:col>0</xdr:col>
      <xdr:colOff>608282</xdr:colOff>
      <xdr:row>28</xdr:row>
      <xdr:rowOff>9173</xdr:rowOff>
    </xdr:from>
    <xdr:to>
      <xdr:col>2</xdr:col>
      <xdr:colOff>200858</xdr:colOff>
      <xdr:row>32</xdr:row>
      <xdr:rowOff>59753</xdr:rowOff>
    </xdr:to>
    <xdr:sp macro="" textlink="">
      <xdr:nvSpPr>
        <xdr:cNvPr id="12" name="CuadroTexto 11">
          <a:extLst>
            <a:ext uri="{FF2B5EF4-FFF2-40B4-BE49-F238E27FC236}">
              <a16:creationId xmlns:a16="http://schemas.microsoft.com/office/drawing/2014/main" id="{E5961F7F-92BF-4F13-88EC-FB6EE0AF984A}"/>
            </a:ext>
          </a:extLst>
        </xdr:cNvPr>
        <xdr:cNvSpPr txBox="1"/>
      </xdr:nvSpPr>
      <xdr:spPr>
        <a:xfrm rot="19118969">
          <a:off x="608282" y="5129813"/>
          <a:ext cx="1177536" cy="78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C00000"/>
              </a:solidFill>
              <a:latin typeface="Bradley Hand ITC" panose="03070402050302030203" pitchFamily="66" charset="0"/>
            </a:rPr>
            <a:t>Se va al balance general</a:t>
          </a:r>
        </a:p>
      </xdr:txBody>
    </xdr:sp>
    <xdr:clientData/>
  </xdr:twoCellAnchor>
  <xdr:twoCellAnchor>
    <xdr:from>
      <xdr:col>1</xdr:col>
      <xdr:colOff>160020</xdr:colOff>
      <xdr:row>40</xdr:row>
      <xdr:rowOff>15240</xdr:rowOff>
    </xdr:from>
    <xdr:to>
      <xdr:col>7</xdr:col>
      <xdr:colOff>304800</xdr:colOff>
      <xdr:row>46</xdr:row>
      <xdr:rowOff>76200</xdr:rowOff>
    </xdr:to>
    <xdr:sp macro="" textlink="">
      <xdr:nvSpPr>
        <xdr:cNvPr id="13" name="CuadroTexto 12">
          <a:extLst>
            <a:ext uri="{FF2B5EF4-FFF2-40B4-BE49-F238E27FC236}">
              <a16:creationId xmlns:a16="http://schemas.microsoft.com/office/drawing/2014/main" id="{FA59B43A-BFE1-4976-B7B0-8F8CDEE71BB8}"/>
            </a:ext>
          </a:extLst>
        </xdr:cNvPr>
        <xdr:cNvSpPr txBox="1"/>
      </xdr:nvSpPr>
      <xdr:spPr>
        <a:xfrm>
          <a:off x="952500" y="7330440"/>
          <a:ext cx="4899660" cy="11582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Caso de Estudio</a:t>
          </a:r>
        </a:p>
      </xdr:txBody>
    </xdr:sp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304800</xdr:colOff>
      <xdr:row>56</xdr:row>
      <xdr:rowOff>121920</xdr:rowOff>
    </xdr:to>
    <xdr:sp macro="" textlink="">
      <xdr:nvSpPr>
        <xdr:cNvPr id="9217" name="AutoShape 1" descr="https://web.whatsapp.com/pp?e=https%3A%2F%2Fpps.whatsapp.net%2Fv%2Ft61.24694-24%2F69369320_523622891831611_1063627154274517572_n.jpg%3Foe%3D5E20F9EC%26oh%3D46111637e9f05fac96feb9899f3d1547&amp;t=l&amp;u=5213313245217%40c.us&amp;i=1577647482">
          <a:extLst>
            <a:ext uri="{FF2B5EF4-FFF2-40B4-BE49-F238E27FC236}">
              <a16:creationId xmlns:a16="http://schemas.microsoft.com/office/drawing/2014/main" id="{430A8BE7-26CB-4AB5-82F6-6FA9D39DD9A7}"/>
            </a:ext>
          </a:extLst>
        </xdr:cNvPr>
        <xdr:cNvSpPr>
          <a:spLocks noChangeAspect="1" noChangeArrowheads="1"/>
        </xdr:cNvSpPr>
      </xdr:nvSpPr>
      <xdr:spPr bwMode="auto">
        <a:xfrm>
          <a:off x="3169920" y="10058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472440</xdr:colOff>
      <xdr:row>45</xdr:row>
      <xdr:rowOff>30480</xdr:rowOff>
    </xdr:from>
    <xdr:to>
      <xdr:col>5</xdr:col>
      <xdr:colOff>53340</xdr:colOff>
      <xdr:row>60</xdr:row>
      <xdr:rowOff>38100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E58CCD69-C9D1-4C05-9893-5BA0E57C39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64920" y="8260080"/>
          <a:ext cx="2750820" cy="2750820"/>
        </a:xfrm>
        <a:prstGeom prst="rect">
          <a:avLst/>
        </a:prstGeom>
      </xdr:spPr>
    </xdr:pic>
    <xdr:clientData/>
  </xdr:twoCellAnchor>
  <xdr:twoCellAnchor>
    <xdr:from>
      <xdr:col>5</xdr:col>
      <xdr:colOff>144780</xdr:colOff>
      <xdr:row>45</xdr:row>
      <xdr:rowOff>38100</xdr:rowOff>
    </xdr:from>
    <xdr:to>
      <xdr:col>9</xdr:col>
      <xdr:colOff>53340</xdr:colOff>
      <xdr:row>60</xdr:row>
      <xdr:rowOff>22860</xdr:rowOff>
    </xdr:to>
    <xdr:sp macro="" textlink="">
      <xdr:nvSpPr>
        <xdr:cNvPr id="16" name="Rectángulo 15">
          <a:extLst>
            <a:ext uri="{FF2B5EF4-FFF2-40B4-BE49-F238E27FC236}">
              <a16:creationId xmlns:a16="http://schemas.microsoft.com/office/drawing/2014/main" id="{50E446D5-EE5C-4747-AF84-CFCE7B922DF9}"/>
            </a:ext>
          </a:extLst>
        </xdr:cNvPr>
        <xdr:cNvSpPr/>
      </xdr:nvSpPr>
      <xdr:spPr>
        <a:xfrm>
          <a:off x="4107180" y="8267700"/>
          <a:ext cx="3078480" cy="27279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US" sz="2000">
              <a:latin typeface="Segoe UI Light" panose="020B0502040204020203" pitchFamily="34" charset="0"/>
              <a:cs typeface="Segoe UI Light" panose="020B0502040204020203" pitchFamily="34" charset="0"/>
            </a:rPr>
            <a:t>Después de 13 años de estudio, Abril se recibe como dermatóloga y va a poner</a:t>
          </a:r>
          <a:r>
            <a:rPr lang="en-US" sz="2000" baseline="0">
              <a:latin typeface="Segoe UI Light" panose="020B0502040204020203" pitchFamily="34" charset="0"/>
              <a:cs typeface="Segoe UI Light" panose="020B0502040204020203" pitchFamily="34" charset="0"/>
            </a:rPr>
            <a:t> su consultorio. </a:t>
          </a:r>
        </a:p>
        <a:p>
          <a:pPr algn="l"/>
          <a:endParaRPr lang="en-US" sz="2000" baseline="0">
            <a:latin typeface="Segoe UI Light" panose="020B0502040204020203" pitchFamily="34" charset="0"/>
            <a:cs typeface="Segoe UI Light" panose="020B0502040204020203" pitchFamily="34" charset="0"/>
          </a:endParaRPr>
        </a:p>
        <a:p>
          <a:pPr algn="l"/>
          <a:r>
            <a:rPr lang="en-US" sz="2000" baseline="0">
              <a:latin typeface="Segoe UI Light" panose="020B0502040204020203" pitchFamily="34" charset="0"/>
              <a:cs typeface="Segoe UI Light" panose="020B0502040204020203" pitchFamily="34" charset="0"/>
            </a:rPr>
            <a:t>Vamos a hacer los estados financieros del primer mes. </a:t>
          </a:r>
          <a:endParaRPr lang="en-US" sz="2000">
            <a:latin typeface="Segoe UI Light" panose="020B0502040204020203" pitchFamily="34" charset="0"/>
            <a:cs typeface="Segoe UI Light" panose="020B0502040204020203" pitchFamily="34" charset="0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62865</xdr:colOff>
      <xdr:row>7</xdr:row>
      <xdr:rowOff>61843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20D69E6-B68F-4F52-8B47-2F5D202A5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396865" cy="1395343"/>
        </a:xfrm>
        <a:prstGeom prst="rect">
          <a:avLst/>
        </a:prstGeom>
      </xdr:spPr>
    </xdr:pic>
    <xdr:clientData/>
  </xdr:twoCellAnchor>
  <xdr:twoCellAnchor>
    <xdr:from>
      <xdr:col>2</xdr:col>
      <xdr:colOff>424815</xdr:colOff>
      <xdr:row>16</xdr:row>
      <xdr:rowOff>66674</xdr:rowOff>
    </xdr:from>
    <xdr:to>
      <xdr:col>7</xdr:col>
      <xdr:colOff>508635</xdr:colOff>
      <xdr:row>22</xdr:row>
      <xdr:rowOff>142875</xdr:rowOff>
    </xdr:to>
    <xdr:sp macro="" textlink="">
      <xdr:nvSpPr>
        <xdr:cNvPr id="3" name="Rectángulo 2">
          <a:extLst>
            <a:ext uri="{FF2B5EF4-FFF2-40B4-BE49-F238E27FC236}">
              <a16:creationId xmlns:a16="http://schemas.microsoft.com/office/drawing/2014/main" id="{26CC8D5B-6F31-4A8F-B5DA-00F005A51DBC}"/>
            </a:ext>
          </a:extLst>
        </xdr:cNvPr>
        <xdr:cNvSpPr/>
      </xdr:nvSpPr>
      <xdr:spPr>
        <a:xfrm>
          <a:off x="1948815" y="3114674"/>
          <a:ext cx="3893820" cy="1219201"/>
        </a:xfrm>
        <a:prstGeom prst="rect">
          <a:avLst/>
        </a:prstGeom>
        <a:solidFill>
          <a:schemeClr val="accent6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Flujo de</a:t>
          </a:r>
          <a:r>
            <a:rPr lang="en-US" sz="2800" baseline="0">
              <a:latin typeface="Franklin Gothic Demi Cond" panose="020B0706030402020204" pitchFamily="34" charset="0"/>
            </a:rPr>
            <a:t> Operaciones</a:t>
          </a:r>
          <a:endParaRPr lang="en-US" sz="2800"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2</xdr:col>
      <xdr:colOff>419100</xdr:colOff>
      <xdr:row>26</xdr:row>
      <xdr:rowOff>26670</xdr:rowOff>
    </xdr:from>
    <xdr:to>
      <xdr:col>7</xdr:col>
      <xdr:colOff>502920</xdr:colOff>
      <xdr:row>29</xdr:row>
      <xdr:rowOff>171450</xdr:rowOff>
    </xdr:to>
    <xdr:sp macro="" textlink="">
      <xdr:nvSpPr>
        <xdr:cNvPr id="4" name="Rectángulo 3">
          <a:extLst>
            <a:ext uri="{FF2B5EF4-FFF2-40B4-BE49-F238E27FC236}">
              <a16:creationId xmlns:a16="http://schemas.microsoft.com/office/drawing/2014/main" id="{708E3B34-4137-45CA-A182-41E796C10345}"/>
            </a:ext>
          </a:extLst>
        </xdr:cNvPr>
        <xdr:cNvSpPr/>
      </xdr:nvSpPr>
      <xdr:spPr>
        <a:xfrm>
          <a:off x="1943100" y="4979670"/>
          <a:ext cx="3893820" cy="71628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Flujo de</a:t>
          </a:r>
          <a:r>
            <a:rPr lang="en-US" sz="2800" baseline="0">
              <a:latin typeface="Franklin Gothic Demi Cond" panose="020B0706030402020204" pitchFamily="34" charset="0"/>
            </a:rPr>
            <a:t> Inversión</a:t>
          </a:r>
          <a:endParaRPr lang="en-US" sz="2800">
            <a:latin typeface="Franklin Gothic Demi Cond" panose="020B0706030402020204" pitchFamily="34" charset="0"/>
          </a:endParaRPr>
        </a:p>
      </xdr:txBody>
    </xdr:sp>
    <xdr:clientData/>
  </xdr:twoCellAnchor>
  <xdr:twoCellAnchor>
    <xdr:from>
      <xdr:col>2</xdr:col>
      <xdr:colOff>428625</xdr:colOff>
      <xdr:row>32</xdr:row>
      <xdr:rowOff>184785</xdr:rowOff>
    </xdr:from>
    <xdr:to>
      <xdr:col>7</xdr:col>
      <xdr:colOff>512445</xdr:colOff>
      <xdr:row>37</xdr:row>
      <xdr:rowOff>85725</xdr:rowOff>
    </xdr:to>
    <xdr:sp macro="" textlink="">
      <xdr:nvSpPr>
        <xdr:cNvPr id="5" name="Rectángulo 4">
          <a:extLst>
            <a:ext uri="{FF2B5EF4-FFF2-40B4-BE49-F238E27FC236}">
              <a16:creationId xmlns:a16="http://schemas.microsoft.com/office/drawing/2014/main" id="{386F8BA0-2310-4D25-B6BB-B3D9F93A8A45}"/>
            </a:ext>
          </a:extLst>
        </xdr:cNvPr>
        <xdr:cNvSpPr/>
      </xdr:nvSpPr>
      <xdr:spPr>
        <a:xfrm>
          <a:off x="1952625" y="6280785"/>
          <a:ext cx="3893820" cy="85344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latin typeface="Franklin Gothic Demi Cond" panose="020B0706030402020204" pitchFamily="34" charset="0"/>
            </a:rPr>
            <a:t>Flujo de Financiamiento</a:t>
          </a:r>
        </a:p>
      </xdr:txBody>
    </xdr:sp>
    <xdr:clientData/>
  </xdr:twoCellAnchor>
  <xdr:oneCellAnchor>
    <xdr:from>
      <xdr:col>3</xdr:col>
      <xdr:colOff>123825</xdr:colOff>
      <xdr:row>16</xdr:row>
      <xdr:rowOff>123825</xdr:rowOff>
    </xdr:from>
    <xdr:ext cx="1454437" cy="331116"/>
    <xdr:sp macro="" textlink="">
      <xdr:nvSpPr>
        <xdr:cNvPr id="6" name="CuadroTexto 5">
          <a:extLst>
            <a:ext uri="{FF2B5EF4-FFF2-40B4-BE49-F238E27FC236}">
              <a16:creationId xmlns:a16="http://schemas.microsoft.com/office/drawing/2014/main" id="{BB62E437-C116-4E7D-A2F8-A2AC98D76CBA}"/>
            </a:ext>
          </a:extLst>
        </xdr:cNvPr>
        <xdr:cNvSpPr txBox="1"/>
      </xdr:nvSpPr>
      <xdr:spPr>
        <a:xfrm>
          <a:off x="2409825" y="3171825"/>
          <a:ext cx="1454437" cy="33111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ES" sz="1400">
              <a:solidFill>
                <a:schemeClr val="bg1"/>
              </a:solidFill>
              <a:latin typeface="Segoe UI Light" panose="020B0502040204020203" pitchFamily="34" charset="0"/>
              <a:cs typeface="Segoe UI Light" panose="020B0502040204020203" pitchFamily="34" charset="0"/>
            </a:rPr>
            <a:t>Ganancia Neta +</a:t>
          </a:r>
        </a:p>
      </xdr:txBody>
    </xdr:sp>
    <xdr:clientData/>
  </xdr:oneCellAnchor>
  <xdr:twoCellAnchor>
    <xdr:from>
      <xdr:col>4</xdr:col>
      <xdr:colOff>666750</xdr:colOff>
      <xdr:row>23</xdr:row>
      <xdr:rowOff>85725</xdr:rowOff>
    </xdr:from>
    <xdr:to>
      <xdr:col>5</xdr:col>
      <xdr:colOff>270510</xdr:colOff>
      <xdr:row>25</xdr:row>
      <xdr:rowOff>70485</xdr:rowOff>
    </xdr:to>
    <xdr:sp macro="" textlink="">
      <xdr:nvSpPr>
        <xdr:cNvPr id="7" name="Signo más 6">
          <a:extLst>
            <a:ext uri="{FF2B5EF4-FFF2-40B4-BE49-F238E27FC236}">
              <a16:creationId xmlns:a16="http://schemas.microsoft.com/office/drawing/2014/main" id="{FA12613A-F46E-4880-9313-BB4D9D7D9003}"/>
            </a:ext>
          </a:extLst>
        </xdr:cNvPr>
        <xdr:cNvSpPr/>
      </xdr:nvSpPr>
      <xdr:spPr>
        <a:xfrm>
          <a:off x="3714750" y="4467225"/>
          <a:ext cx="365760" cy="365760"/>
        </a:xfrm>
        <a:prstGeom prst="mathPlus">
          <a:avLst>
            <a:gd name="adj1" fmla="val 16624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4</xdr:col>
      <xdr:colOff>676275</xdr:colOff>
      <xdr:row>30</xdr:row>
      <xdr:rowOff>76200</xdr:rowOff>
    </xdr:from>
    <xdr:to>
      <xdr:col>5</xdr:col>
      <xdr:colOff>280035</xdr:colOff>
      <xdr:row>32</xdr:row>
      <xdr:rowOff>60960</xdr:rowOff>
    </xdr:to>
    <xdr:sp macro="" textlink="">
      <xdr:nvSpPr>
        <xdr:cNvPr id="8" name="Signo más 7">
          <a:extLst>
            <a:ext uri="{FF2B5EF4-FFF2-40B4-BE49-F238E27FC236}">
              <a16:creationId xmlns:a16="http://schemas.microsoft.com/office/drawing/2014/main" id="{ED4CFC98-77AF-4E14-BE2D-C23679B4AC70}"/>
            </a:ext>
          </a:extLst>
        </xdr:cNvPr>
        <xdr:cNvSpPr/>
      </xdr:nvSpPr>
      <xdr:spPr>
        <a:xfrm>
          <a:off x="3724275" y="5791200"/>
          <a:ext cx="365760" cy="365760"/>
        </a:xfrm>
        <a:prstGeom prst="mathPlus">
          <a:avLst>
            <a:gd name="adj1" fmla="val 16624"/>
          </a:avLst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361950</xdr:colOff>
      <xdr:row>38</xdr:row>
      <xdr:rowOff>57150</xdr:rowOff>
    </xdr:from>
    <xdr:to>
      <xdr:col>6</xdr:col>
      <xdr:colOff>727710</xdr:colOff>
      <xdr:row>40</xdr:row>
      <xdr:rowOff>41910</xdr:rowOff>
    </xdr:to>
    <xdr:sp macro="" textlink="">
      <xdr:nvSpPr>
        <xdr:cNvPr id="9" name="Es igual a 8">
          <a:extLst>
            <a:ext uri="{FF2B5EF4-FFF2-40B4-BE49-F238E27FC236}">
              <a16:creationId xmlns:a16="http://schemas.microsoft.com/office/drawing/2014/main" id="{687AA701-FDA3-4E11-BC72-5BE6B2B375F3}"/>
            </a:ext>
          </a:extLst>
        </xdr:cNvPr>
        <xdr:cNvSpPr/>
      </xdr:nvSpPr>
      <xdr:spPr>
        <a:xfrm>
          <a:off x="4933950" y="7296150"/>
          <a:ext cx="365760" cy="365760"/>
        </a:xfrm>
        <a:prstGeom prst="mathEqual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504824</xdr:colOff>
      <xdr:row>40</xdr:row>
      <xdr:rowOff>175260</xdr:rowOff>
    </xdr:from>
    <xdr:to>
      <xdr:col>7</xdr:col>
      <xdr:colOff>464819</xdr:colOff>
      <xdr:row>42</xdr:row>
      <xdr:rowOff>180975</xdr:rowOff>
    </xdr:to>
    <xdr:sp macro="" textlink="">
      <xdr:nvSpPr>
        <xdr:cNvPr id="11" name="Rectángulo 10">
          <a:extLst>
            <a:ext uri="{FF2B5EF4-FFF2-40B4-BE49-F238E27FC236}">
              <a16:creationId xmlns:a16="http://schemas.microsoft.com/office/drawing/2014/main" id="{2CE72FDB-DB96-4939-B9E1-C4061266E8AE}"/>
            </a:ext>
          </a:extLst>
        </xdr:cNvPr>
        <xdr:cNvSpPr/>
      </xdr:nvSpPr>
      <xdr:spPr>
        <a:xfrm>
          <a:off x="3552824" y="7795260"/>
          <a:ext cx="2245995" cy="386715"/>
        </a:xfrm>
        <a:prstGeom prst="rect">
          <a:avLst/>
        </a:prstGeom>
        <a:solidFill>
          <a:schemeClr val="accent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>
              <a:latin typeface="Franklin Gothic Demi Cond" panose="020B0706030402020204" pitchFamily="34" charset="0"/>
            </a:rPr>
            <a:t>Cambio en Efectivo</a:t>
          </a:r>
        </a:p>
      </xdr:txBody>
    </xdr:sp>
    <xdr:clientData/>
  </xdr:twoCellAnchor>
  <xdr:twoCellAnchor editAs="oneCell">
    <xdr:from>
      <xdr:col>7</xdr:col>
      <xdr:colOff>584135</xdr:colOff>
      <xdr:row>32</xdr:row>
      <xdr:rowOff>104775</xdr:rowOff>
    </xdr:from>
    <xdr:to>
      <xdr:col>9</xdr:col>
      <xdr:colOff>320674</xdr:colOff>
      <xdr:row>37</xdr:row>
      <xdr:rowOff>180975</xdr:rowOff>
    </xdr:to>
    <xdr:pic>
      <xdr:nvPicPr>
        <xdr:cNvPr id="13" name="Imagen 12" descr="Image result for bank&quot;">
          <a:extLst>
            <a:ext uri="{FF2B5EF4-FFF2-40B4-BE49-F238E27FC236}">
              <a16:creationId xmlns:a16="http://schemas.microsoft.com/office/drawing/2014/main" id="{9C8F2628-4120-49EE-AAA9-6DDC1D673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18135" y="6200775"/>
          <a:ext cx="1260539" cy="1028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561975</xdr:colOff>
      <xdr:row>24</xdr:row>
      <xdr:rowOff>174405</xdr:rowOff>
    </xdr:from>
    <xdr:to>
      <xdr:col>9</xdr:col>
      <xdr:colOff>695325</xdr:colOff>
      <xdr:row>31</xdr:row>
      <xdr:rowOff>40004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F755AE3F-ED70-4B92-A247-8A6CC521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4746405"/>
          <a:ext cx="1657350" cy="119909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571500</xdr:colOff>
      <xdr:row>15</xdr:row>
      <xdr:rowOff>120650</xdr:rowOff>
    </xdr:from>
    <xdr:to>
      <xdr:col>10</xdr:col>
      <xdr:colOff>590550</xdr:colOff>
      <xdr:row>23</xdr:row>
      <xdr:rowOff>133350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D01CF6A-F57B-471A-9EFD-E663F97B3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0" y="2978150"/>
          <a:ext cx="2305050" cy="1536700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18</xdr:row>
      <xdr:rowOff>989</xdr:rowOff>
    </xdr:from>
    <xdr:to>
      <xdr:col>11</xdr:col>
      <xdr:colOff>733425</xdr:colOff>
      <xdr:row>21</xdr:row>
      <xdr:rowOff>23849</xdr:rowOff>
    </xdr:to>
    <xdr:pic>
      <xdr:nvPicPr>
        <xdr:cNvPr id="17" name="Gráfico 16" descr="Flecha recta">
          <a:extLst>
            <a:ext uri="{FF2B5EF4-FFF2-40B4-BE49-F238E27FC236}">
              <a16:creationId xmlns:a16="http://schemas.microsoft.com/office/drawing/2014/main" id="{2BC942EC-3F4C-4788-BBF4-F65A3F7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8543925" y="3429989"/>
          <a:ext cx="571500" cy="594360"/>
        </a:xfrm>
        <a:prstGeom prst="rect">
          <a:avLst/>
        </a:prstGeom>
      </xdr:spPr>
    </xdr:pic>
    <xdr:clientData/>
  </xdr:twoCellAnchor>
  <xdr:twoCellAnchor>
    <xdr:from>
      <xdr:col>11</xdr:col>
      <xdr:colOff>715947</xdr:colOff>
      <xdr:row>16</xdr:row>
      <xdr:rowOff>142875</xdr:rowOff>
    </xdr:from>
    <xdr:to>
      <xdr:col>13</xdr:col>
      <xdr:colOff>205407</xdr:colOff>
      <xdr:row>20</xdr:row>
      <xdr:rowOff>5731</xdr:rowOff>
    </xdr:to>
    <xdr:sp macro="" textlink="">
      <xdr:nvSpPr>
        <xdr:cNvPr id="18" name="CuadroTexto 17">
          <a:extLst>
            <a:ext uri="{FF2B5EF4-FFF2-40B4-BE49-F238E27FC236}">
              <a16:creationId xmlns:a16="http://schemas.microsoft.com/office/drawing/2014/main" id="{3D41AF93-F2AB-4F4C-B8B5-E93324AE159D}"/>
            </a:ext>
          </a:extLst>
        </xdr:cNvPr>
        <xdr:cNvSpPr txBox="1"/>
      </xdr:nvSpPr>
      <xdr:spPr>
        <a:xfrm rot="19118969">
          <a:off x="9097947" y="3190875"/>
          <a:ext cx="1013460" cy="6248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C00000"/>
              </a:solidFill>
              <a:latin typeface="Bradley Hand ITC" panose="03070402050302030203" pitchFamily="66" charset="0"/>
            </a:rPr>
            <a:t>$$$$ Por operar</a:t>
          </a:r>
        </a:p>
      </xdr:txBody>
    </xdr:sp>
    <xdr:clientData/>
  </xdr:twoCellAnchor>
  <xdr:twoCellAnchor editAs="oneCell">
    <xdr:from>
      <xdr:col>9</xdr:col>
      <xdr:colOff>361950</xdr:colOff>
      <xdr:row>33</xdr:row>
      <xdr:rowOff>181964</xdr:rowOff>
    </xdr:from>
    <xdr:to>
      <xdr:col>10</xdr:col>
      <xdr:colOff>171450</xdr:colOff>
      <xdr:row>37</xdr:row>
      <xdr:rowOff>14324</xdr:rowOff>
    </xdr:to>
    <xdr:pic>
      <xdr:nvPicPr>
        <xdr:cNvPr id="19" name="Gráfico 18" descr="Flecha recta">
          <a:extLst>
            <a:ext uri="{FF2B5EF4-FFF2-40B4-BE49-F238E27FC236}">
              <a16:creationId xmlns:a16="http://schemas.microsoft.com/office/drawing/2014/main" id="{6FE178AA-5CA9-4D35-8504-673AA8039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219950" y="6468464"/>
          <a:ext cx="571500" cy="594360"/>
        </a:xfrm>
        <a:prstGeom prst="rect">
          <a:avLst/>
        </a:prstGeom>
      </xdr:spPr>
    </xdr:pic>
    <xdr:clientData/>
  </xdr:twoCellAnchor>
  <xdr:twoCellAnchor>
    <xdr:from>
      <xdr:col>11</xdr:col>
      <xdr:colOff>271339</xdr:colOff>
      <xdr:row>25</xdr:row>
      <xdr:rowOff>49337</xdr:rowOff>
    </xdr:from>
    <xdr:to>
      <xdr:col>12</xdr:col>
      <xdr:colOff>522799</xdr:colOff>
      <xdr:row>33</xdr:row>
      <xdr:rowOff>53352</xdr:rowOff>
    </xdr:to>
    <xdr:sp macro="" textlink="">
      <xdr:nvSpPr>
        <xdr:cNvPr id="20" name="CuadroTexto 19">
          <a:extLst>
            <a:ext uri="{FF2B5EF4-FFF2-40B4-BE49-F238E27FC236}">
              <a16:creationId xmlns:a16="http://schemas.microsoft.com/office/drawing/2014/main" id="{38FC0B1D-47AF-41FE-A0E0-864F8886666C}"/>
            </a:ext>
          </a:extLst>
        </xdr:cNvPr>
        <xdr:cNvSpPr txBox="1"/>
      </xdr:nvSpPr>
      <xdr:spPr>
        <a:xfrm rot="19118969">
          <a:off x="8653339" y="4811837"/>
          <a:ext cx="1013460" cy="15280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C00000"/>
              </a:solidFill>
              <a:latin typeface="Bradley Hand ITC" panose="03070402050302030203" pitchFamily="66" charset="0"/>
            </a:rPr>
            <a:t>$$$$ por Plantas,</a:t>
          </a:r>
          <a:r>
            <a:rPr lang="en-US" sz="1400" baseline="0">
              <a:solidFill>
                <a:srgbClr val="C00000"/>
              </a:solidFill>
              <a:latin typeface="Bradley Hand ITC" panose="03070402050302030203" pitchFamily="66" charset="0"/>
            </a:rPr>
            <a:t> propiedad, equitpo, etc</a:t>
          </a:r>
          <a:endParaRPr lang="en-US" sz="1400">
            <a:solidFill>
              <a:srgbClr val="C00000"/>
            </a:solidFill>
            <a:latin typeface="Bradley Hand ITC" panose="03070402050302030203" pitchFamily="66" charset="0"/>
          </a:endParaRPr>
        </a:p>
      </xdr:txBody>
    </xdr:sp>
    <xdr:clientData/>
  </xdr:twoCellAnchor>
  <xdr:twoCellAnchor>
    <xdr:from>
      <xdr:col>10</xdr:col>
      <xdr:colOff>315072</xdr:colOff>
      <xdr:row>32</xdr:row>
      <xdr:rowOff>64289</xdr:rowOff>
    </xdr:from>
    <xdr:to>
      <xdr:col>11</xdr:col>
      <xdr:colOff>566532</xdr:colOff>
      <xdr:row>37</xdr:row>
      <xdr:rowOff>137831</xdr:rowOff>
    </xdr:to>
    <xdr:sp macro="" textlink="">
      <xdr:nvSpPr>
        <xdr:cNvPr id="21" name="CuadroTexto 20">
          <a:extLst>
            <a:ext uri="{FF2B5EF4-FFF2-40B4-BE49-F238E27FC236}">
              <a16:creationId xmlns:a16="http://schemas.microsoft.com/office/drawing/2014/main" id="{78805B89-6A0B-4D66-BDF8-326A42A8F12D}"/>
            </a:ext>
          </a:extLst>
        </xdr:cNvPr>
        <xdr:cNvSpPr txBox="1"/>
      </xdr:nvSpPr>
      <xdr:spPr>
        <a:xfrm rot="19118969">
          <a:off x="7935072" y="6160289"/>
          <a:ext cx="1013460" cy="10260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400">
              <a:solidFill>
                <a:srgbClr val="C00000"/>
              </a:solidFill>
              <a:latin typeface="Bradley Hand ITC" panose="03070402050302030203" pitchFamily="66" charset="0"/>
            </a:rPr>
            <a:t>$$$$ por préstamos y capital</a:t>
          </a:r>
        </a:p>
      </xdr:txBody>
    </xdr:sp>
    <xdr:clientData/>
  </xdr:twoCellAnchor>
  <xdr:twoCellAnchor editAs="oneCell">
    <xdr:from>
      <xdr:col>10</xdr:col>
      <xdr:colOff>76200</xdr:colOff>
      <xdr:row>26</xdr:row>
      <xdr:rowOff>67664</xdr:rowOff>
    </xdr:from>
    <xdr:to>
      <xdr:col>10</xdr:col>
      <xdr:colOff>647700</xdr:colOff>
      <xdr:row>29</xdr:row>
      <xdr:rowOff>90524</xdr:rowOff>
    </xdr:to>
    <xdr:pic>
      <xdr:nvPicPr>
        <xdr:cNvPr id="22" name="Gráfico 21" descr="Flecha recta">
          <a:extLst>
            <a:ext uri="{FF2B5EF4-FFF2-40B4-BE49-F238E27FC236}">
              <a16:creationId xmlns:a16="http://schemas.microsoft.com/office/drawing/2014/main" id="{C536DB89-F7A3-489B-9CD2-04235D2792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7696200" y="5020664"/>
          <a:ext cx="571500" cy="5943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695325</xdr:colOff>
      <xdr:row>7</xdr:row>
      <xdr:rowOff>61843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2EFC6F9-CE65-4630-82A2-46591955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1395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4</xdr:col>
      <xdr:colOff>695325</xdr:colOff>
      <xdr:row>17</xdr:row>
      <xdr:rowOff>114300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252B5D4F-CEE5-41C9-A78E-54480EA3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4000"/>
          <a:ext cx="5486400" cy="18288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525780</xdr:colOff>
      <xdr:row>7</xdr:row>
      <xdr:rowOff>61843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EEC68E7-2906-4DC9-B6F1-6EE719EC8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1395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161925</xdr:rowOff>
    </xdr:from>
    <xdr:to>
      <xdr:col>4</xdr:col>
      <xdr:colOff>525780</xdr:colOff>
      <xdr:row>17</xdr:row>
      <xdr:rowOff>83290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4DB26A0-ACD6-4FFE-AF6F-050E2C23E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95425"/>
          <a:ext cx="5486400" cy="182636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782955</xdr:colOff>
      <xdr:row>7</xdr:row>
      <xdr:rowOff>61843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60A90B0-F332-48B5-BC13-0615CE4C4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1395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114300</xdr:rowOff>
    </xdr:from>
    <xdr:to>
      <xdr:col>4</xdr:col>
      <xdr:colOff>782955</xdr:colOff>
      <xdr:row>17</xdr:row>
      <xdr:rowOff>35665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37E07D4-87B5-4761-B64A-06E76F91E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47800"/>
          <a:ext cx="5486400" cy="182636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742950</xdr:colOff>
      <xdr:row>7</xdr:row>
      <xdr:rowOff>61843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2B89E62-E383-4962-8633-F4865DC16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1395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171450</xdr:rowOff>
    </xdr:from>
    <xdr:to>
      <xdr:col>4</xdr:col>
      <xdr:colOff>742950</xdr:colOff>
      <xdr:row>17</xdr:row>
      <xdr:rowOff>92815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7EF17A6-EF14-4A45-A707-E5ED60D74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04950"/>
          <a:ext cx="5486400" cy="182636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742950</xdr:colOff>
      <xdr:row>7</xdr:row>
      <xdr:rowOff>61843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7CC90A9-9C02-4A19-A53D-1A4CCA0F6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1395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85725</xdr:rowOff>
    </xdr:from>
    <xdr:to>
      <xdr:col>4</xdr:col>
      <xdr:colOff>742950</xdr:colOff>
      <xdr:row>17</xdr:row>
      <xdr:rowOff>7090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390ED32-BEDF-46CD-BBDC-65D981EFE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19225"/>
          <a:ext cx="5486400" cy="182636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742950</xdr:colOff>
      <xdr:row>6</xdr:row>
      <xdr:rowOff>252343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0D1203B-95CE-4C73-9C36-B3BD77833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486400" cy="1395343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36F2CA-1CE9-4DC6-B26B-67255DE0FD4E}" name="Table1" displayName="Table1" ref="A6:D23" totalsRowShown="0">
  <autoFilter ref="A6:D23" xr:uid="{DB92F5A0-936B-4C39-95CB-FD8D5A5F82F4}"/>
  <sortState xmlns:xlrd2="http://schemas.microsoft.com/office/spreadsheetml/2017/richdata2" ref="A7:D23">
    <sortCondition ref="C7"/>
  </sortState>
  <tableColumns count="4">
    <tableColumn id="1" xr3:uid="{9C54A49D-C86C-4C47-9463-81F606C3B6B3}" name="Movimiento"/>
    <tableColumn id="2" xr3:uid="{A5CA4B6D-9FB4-4041-B10F-4001A742A117}" name="Monto" dataDxfId="16"/>
    <tableColumn id="3" xr3:uid="{2FE59A52-4979-4D3A-B113-06DB5E9CE9FD}" name="Momento"/>
    <tableColumn id="4" xr3:uid="{455CEAC1-069F-401B-A2D9-8A13AE7239E0}" name="Tab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EDF4-9493-4794-9074-DF9D329F071A}">
  <dimension ref="A1"/>
  <sheetViews>
    <sheetView showGridLines="0" workbookViewId="0">
      <selection activeCell="J44" sqref="J4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05788-BD36-4C4F-B21A-FB39FFEF74FB}">
  <dimension ref="A1"/>
  <sheetViews>
    <sheetView showGridLines="0" topLeftCell="A28" workbookViewId="0">
      <selection activeCell="L26" sqref="L2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F08C14-5178-48E2-BE4A-64594326EB92}">
  <dimension ref="A4:D23"/>
  <sheetViews>
    <sheetView workbookViewId="0">
      <selection activeCell="C7" sqref="C7"/>
    </sheetView>
  </sheetViews>
  <sheetFormatPr baseColWidth="10" defaultColWidth="9.140625" defaultRowHeight="15" x14ac:dyDescent="0.25"/>
  <cols>
    <col min="1" max="1" width="73" bestFit="1" customWidth="1"/>
    <col min="2" max="2" width="11.5703125" bestFit="1" customWidth="1"/>
  </cols>
  <sheetData>
    <row r="4" spans="1:4" x14ac:dyDescent="0.25">
      <c r="A4" t="s">
        <v>2</v>
      </c>
    </row>
    <row r="6" spans="1:4" x14ac:dyDescent="0.25">
      <c r="A6" t="s">
        <v>0</v>
      </c>
      <c r="B6" t="s">
        <v>1</v>
      </c>
      <c r="C6" t="s">
        <v>58</v>
      </c>
      <c r="D6" t="s">
        <v>60</v>
      </c>
    </row>
    <row r="7" spans="1:4" x14ac:dyDescent="0.25">
      <c r="A7" t="s">
        <v>3</v>
      </c>
      <c r="B7" s="1">
        <v>50000</v>
      </c>
      <c r="C7">
        <v>1</v>
      </c>
      <c r="D7">
        <v>1</v>
      </c>
    </row>
    <row r="8" spans="1:4" x14ac:dyDescent="0.25">
      <c r="A8" t="s">
        <v>4</v>
      </c>
      <c r="B8" s="1">
        <v>250000</v>
      </c>
      <c r="C8">
        <v>2</v>
      </c>
      <c r="D8">
        <v>1</v>
      </c>
    </row>
    <row r="9" spans="1:4" x14ac:dyDescent="0.25">
      <c r="A9" t="s">
        <v>53</v>
      </c>
      <c r="B9" s="1">
        <v>100000</v>
      </c>
      <c r="C9">
        <v>3</v>
      </c>
      <c r="D9">
        <v>1</v>
      </c>
    </row>
    <row r="10" spans="1:4" x14ac:dyDescent="0.25">
      <c r="A10" t="s">
        <v>5</v>
      </c>
      <c r="B10" s="1">
        <v>300000</v>
      </c>
      <c r="C10">
        <v>4</v>
      </c>
      <c r="D10">
        <v>2</v>
      </c>
    </row>
    <row r="11" spans="1:4" x14ac:dyDescent="0.25">
      <c r="A11" t="s">
        <v>6</v>
      </c>
      <c r="B11" s="1">
        <v>18000</v>
      </c>
      <c r="C11">
        <v>5</v>
      </c>
      <c r="D11">
        <v>2</v>
      </c>
    </row>
    <row r="12" spans="1:4" x14ac:dyDescent="0.25">
      <c r="A12" t="s">
        <v>61</v>
      </c>
      <c r="B12" s="1">
        <f>12*8000</f>
        <v>96000</v>
      </c>
      <c r="C12">
        <v>6</v>
      </c>
      <c r="D12">
        <v>2</v>
      </c>
    </row>
    <row r="13" spans="1:4" x14ac:dyDescent="0.25">
      <c r="A13" t="s">
        <v>9</v>
      </c>
      <c r="B13" s="1">
        <v>10000</v>
      </c>
      <c r="C13">
        <v>7</v>
      </c>
      <c r="D13">
        <v>3</v>
      </c>
    </row>
    <row r="14" spans="1:4" x14ac:dyDescent="0.25">
      <c r="A14" t="s">
        <v>59</v>
      </c>
      <c r="B14" s="1">
        <v>5000</v>
      </c>
      <c r="C14">
        <v>8</v>
      </c>
      <c r="D14">
        <v>3</v>
      </c>
    </row>
    <row r="15" spans="1:4" x14ac:dyDescent="0.25">
      <c r="A15" t="s">
        <v>7</v>
      </c>
      <c r="B15" s="1">
        <f>150*600</f>
        <v>90000</v>
      </c>
      <c r="C15">
        <v>9</v>
      </c>
      <c r="D15">
        <v>4</v>
      </c>
    </row>
    <row r="16" spans="1:4" x14ac:dyDescent="0.25">
      <c r="A16" t="s">
        <v>8</v>
      </c>
      <c r="B16" s="1">
        <f>20*1200</f>
        <v>24000</v>
      </c>
      <c r="C16">
        <v>10</v>
      </c>
      <c r="D16">
        <v>4</v>
      </c>
    </row>
    <row r="17" spans="1:4" x14ac:dyDescent="0.25">
      <c r="A17" t="s">
        <v>55</v>
      </c>
      <c r="B17" s="1">
        <f>20*400</f>
        <v>8000</v>
      </c>
      <c r="C17">
        <v>11</v>
      </c>
      <c r="D17">
        <v>4</v>
      </c>
    </row>
    <row r="18" spans="1:4" x14ac:dyDescent="0.25">
      <c r="A18" t="s">
        <v>54</v>
      </c>
      <c r="B18" s="1">
        <v>6000</v>
      </c>
      <c r="C18">
        <v>12</v>
      </c>
      <c r="D18">
        <v>4</v>
      </c>
    </row>
    <row r="19" spans="1:4" x14ac:dyDescent="0.25">
      <c r="A19" t="s">
        <v>56</v>
      </c>
      <c r="B19" s="1">
        <f>5*400</f>
        <v>2000</v>
      </c>
      <c r="C19">
        <v>13</v>
      </c>
      <c r="D19">
        <v>4</v>
      </c>
    </row>
    <row r="20" spans="1:4" x14ac:dyDescent="0.25">
      <c r="A20" t="s">
        <v>11</v>
      </c>
      <c r="B20" s="1">
        <v>4000</v>
      </c>
      <c r="C20">
        <v>14</v>
      </c>
      <c r="D20">
        <v>5</v>
      </c>
    </row>
    <row r="21" spans="1:4" x14ac:dyDescent="0.25">
      <c r="A21" t="s">
        <v>26</v>
      </c>
      <c r="B21" s="1">
        <v>1000</v>
      </c>
      <c r="C21">
        <v>15</v>
      </c>
      <c r="D21">
        <v>5</v>
      </c>
    </row>
    <row r="22" spans="1:4" x14ac:dyDescent="0.25">
      <c r="A22" t="s">
        <v>62</v>
      </c>
      <c r="B22" s="1">
        <v>1000</v>
      </c>
      <c r="C22">
        <v>16</v>
      </c>
      <c r="D22">
        <v>5</v>
      </c>
    </row>
    <row r="23" spans="1:4" x14ac:dyDescent="0.25">
      <c r="A23" t="s">
        <v>10</v>
      </c>
      <c r="B23" s="17">
        <v>0.3</v>
      </c>
      <c r="C23">
        <v>17</v>
      </c>
      <c r="D23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7E41E-8CAF-4E64-947D-2B6329A6923E}">
  <dimension ref="A1"/>
  <sheetViews>
    <sheetView showGridLines="0" topLeftCell="A13" workbookViewId="0">
      <selection activeCell="O34" sqref="O34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43FE4-62AE-47CF-822D-57830F12DF5B}">
  <dimension ref="A20:M68"/>
  <sheetViews>
    <sheetView showGridLines="0" topLeftCell="A4" workbookViewId="0">
      <selection activeCell="M28" sqref="M1:M1048576"/>
    </sheetView>
  </sheetViews>
  <sheetFormatPr baseColWidth="10" defaultColWidth="9.140625" defaultRowHeight="15" x14ac:dyDescent="0.25"/>
  <cols>
    <col min="1" max="1" width="41.7109375" bestFit="1" customWidth="1"/>
    <col min="2" max="2" width="11.7109375" bestFit="1" customWidth="1"/>
    <col min="5" max="5" width="32.7109375" bestFit="1" customWidth="1"/>
    <col min="6" max="6" width="17.85546875" bestFit="1" customWidth="1"/>
    <col min="7" max="7" width="2.5703125" customWidth="1"/>
    <col min="8" max="8" width="25.140625" bestFit="1" customWidth="1"/>
    <col min="9" max="9" width="16.5703125" bestFit="1" customWidth="1"/>
    <col min="11" max="11" width="6.5703125" customWidth="1"/>
    <col min="12" max="12" width="53.85546875" bestFit="1" customWidth="1"/>
    <col min="13" max="13" width="16.7109375" customWidth="1"/>
  </cols>
  <sheetData>
    <row r="20" spans="1:13" ht="33" x14ac:dyDescent="0.45">
      <c r="A20" s="14" t="s">
        <v>64</v>
      </c>
      <c r="B20" s="3">
        <v>2019</v>
      </c>
      <c r="E20" s="14" t="s">
        <v>27</v>
      </c>
      <c r="F20" s="3" t="s">
        <v>50</v>
      </c>
      <c r="G20" s="3"/>
    </row>
    <row r="21" spans="1:13" ht="16.5" x14ac:dyDescent="0.3">
      <c r="B21" s="4" t="s">
        <v>22</v>
      </c>
      <c r="E21" s="2"/>
      <c r="F21" s="15"/>
      <c r="G21" s="15"/>
    </row>
    <row r="22" spans="1:13" ht="33" x14ac:dyDescent="0.45">
      <c r="A22" s="5" t="s">
        <v>12</v>
      </c>
      <c r="B22" s="6"/>
      <c r="E22" s="2" t="s">
        <v>51</v>
      </c>
      <c r="F22" s="15"/>
      <c r="G22" s="15"/>
      <c r="K22" s="14" t="s">
        <v>66</v>
      </c>
    </row>
    <row r="23" spans="1:13" ht="19.5" x14ac:dyDescent="0.35">
      <c r="A23" t="s">
        <v>14</v>
      </c>
      <c r="B23" s="6"/>
      <c r="E23" s="2"/>
      <c r="F23" s="15"/>
      <c r="G23" s="15"/>
    </row>
    <row r="24" spans="1:13" ht="27" x14ac:dyDescent="0.45">
      <c r="A24" s="5" t="s">
        <v>25</v>
      </c>
      <c r="B24" s="6"/>
      <c r="E24" s="3" t="s">
        <v>28</v>
      </c>
      <c r="H24" s="3" t="s">
        <v>40</v>
      </c>
      <c r="I24" s="15"/>
      <c r="K24" s="5" t="s">
        <v>67</v>
      </c>
      <c r="L24" s="5"/>
      <c r="M24" s="3" t="s">
        <v>102</v>
      </c>
    </row>
    <row r="25" spans="1:13" ht="19.5" x14ac:dyDescent="0.35">
      <c r="A25" s="4" t="s">
        <v>13</v>
      </c>
      <c r="B25" s="7"/>
      <c r="E25" s="5" t="s">
        <v>29</v>
      </c>
      <c r="F25" s="15"/>
      <c r="G25" s="15"/>
      <c r="H25" s="5" t="s">
        <v>41</v>
      </c>
      <c r="I25" s="15"/>
      <c r="K25" s="4" t="s">
        <v>68</v>
      </c>
      <c r="L25" s="4"/>
      <c r="M25" s="10">
        <f>C40</f>
        <v>0</v>
      </c>
    </row>
    <row r="26" spans="1:13" ht="16.5" x14ac:dyDescent="0.3">
      <c r="A26" t="s">
        <v>23</v>
      </c>
      <c r="B26" s="7"/>
      <c r="E26" s="2" t="s">
        <v>30</v>
      </c>
      <c r="F26" s="15">
        <v>400000</v>
      </c>
      <c r="G26" s="15"/>
      <c r="H26" s="2" t="s">
        <v>42</v>
      </c>
      <c r="I26" s="15"/>
      <c r="M26" s="7"/>
    </row>
    <row r="27" spans="1:13" ht="16.5" x14ac:dyDescent="0.3">
      <c r="A27" t="s">
        <v>24</v>
      </c>
      <c r="B27" s="7"/>
      <c r="E27" s="4" t="s">
        <v>31</v>
      </c>
      <c r="F27" s="11">
        <f>SUM(F26)</f>
        <v>400000</v>
      </c>
      <c r="G27" s="11"/>
      <c r="H27" s="2" t="s">
        <v>57</v>
      </c>
      <c r="I27" s="15"/>
      <c r="L27" t="s">
        <v>69</v>
      </c>
      <c r="M27" s="7"/>
    </row>
    <row r="28" spans="1:13" ht="17.25" thickBot="1" x14ac:dyDescent="0.35">
      <c r="A28" s="8" t="s">
        <v>15</v>
      </c>
      <c r="B28" s="9"/>
      <c r="E28" s="2"/>
      <c r="F28" s="15"/>
      <c r="G28" s="15"/>
      <c r="H28" s="4" t="s">
        <v>43</v>
      </c>
      <c r="I28" s="11">
        <f>SUM(I26:I27)</f>
        <v>0</v>
      </c>
      <c r="L28" t="s">
        <v>70</v>
      </c>
      <c r="M28" s="7"/>
    </row>
    <row r="29" spans="1:13" ht="16.5" x14ac:dyDescent="0.3">
      <c r="A29" s="4" t="s">
        <v>16</v>
      </c>
      <c r="B29" s="10"/>
      <c r="E29" s="2" t="s">
        <v>32</v>
      </c>
      <c r="F29" s="15"/>
      <c r="G29" s="15"/>
      <c r="H29" s="2"/>
      <c r="I29" s="15"/>
      <c r="L29" t="s">
        <v>71</v>
      </c>
      <c r="M29" s="7"/>
    </row>
    <row r="30" spans="1:13" ht="16.5" x14ac:dyDescent="0.3">
      <c r="A30" t="s">
        <v>17</v>
      </c>
      <c r="B30" s="7"/>
      <c r="E30" s="2" t="s">
        <v>33</v>
      </c>
      <c r="F30" s="15"/>
      <c r="G30" s="15"/>
      <c r="H30" s="2" t="s">
        <v>44</v>
      </c>
      <c r="I30" s="15">
        <v>100000</v>
      </c>
      <c r="L30" t="s">
        <v>72</v>
      </c>
      <c r="M30" s="7"/>
    </row>
    <row r="31" spans="1:13" ht="16.5" x14ac:dyDescent="0.3">
      <c r="A31" t="s">
        <v>18</v>
      </c>
      <c r="B31" s="7"/>
      <c r="E31" s="4" t="s">
        <v>34</v>
      </c>
      <c r="F31" s="11">
        <f>SUM(F29:F30)</f>
        <v>0</v>
      </c>
      <c r="G31" s="11"/>
      <c r="H31" s="4" t="s">
        <v>45</v>
      </c>
      <c r="I31" s="11">
        <f>SUM(I30)</f>
        <v>100000</v>
      </c>
      <c r="L31" t="s">
        <v>73</v>
      </c>
      <c r="M31" s="7"/>
    </row>
    <row r="32" spans="1:13" ht="16.5" x14ac:dyDescent="0.3">
      <c r="A32" s="4" t="s">
        <v>19</v>
      </c>
      <c r="B32" s="11"/>
      <c r="E32" s="2"/>
      <c r="F32" s="15"/>
      <c r="G32" s="15"/>
      <c r="H32" s="2"/>
      <c r="I32" s="15"/>
      <c r="L32" t="s">
        <v>74</v>
      </c>
      <c r="M32" s="7"/>
    </row>
    <row r="33" spans="1:13" ht="19.5" x14ac:dyDescent="0.35">
      <c r="A33" t="s">
        <v>20</v>
      </c>
      <c r="B33" s="7"/>
      <c r="E33" s="2" t="s">
        <v>35</v>
      </c>
      <c r="F33" s="15"/>
      <c r="G33" s="15"/>
      <c r="H33" s="5" t="s">
        <v>46</v>
      </c>
      <c r="I33" s="15"/>
      <c r="L33" t="s">
        <v>75</v>
      </c>
      <c r="M33" s="7"/>
    </row>
    <row r="34" spans="1:13" ht="20.25" thickBot="1" x14ac:dyDescent="0.4">
      <c r="A34" s="12" t="s">
        <v>21</v>
      </c>
      <c r="B34" s="13"/>
      <c r="E34" s="2" t="s">
        <v>36</v>
      </c>
      <c r="F34" s="15"/>
      <c r="G34" s="15"/>
      <c r="H34" s="2" t="s">
        <v>47</v>
      </c>
      <c r="I34" s="15">
        <f>50000+250000</f>
        <v>300000</v>
      </c>
      <c r="L34" t="s">
        <v>76</v>
      </c>
      <c r="M34" s="7"/>
    </row>
    <row r="35" spans="1:13" ht="16.5" x14ac:dyDescent="0.3">
      <c r="B35" s="7"/>
      <c r="E35" s="2" t="s">
        <v>37</v>
      </c>
      <c r="F35" s="15"/>
      <c r="G35" s="15"/>
      <c r="H35" s="2" t="s">
        <v>52</v>
      </c>
      <c r="I35" s="15"/>
      <c r="L35" t="s">
        <v>32</v>
      </c>
      <c r="M35" s="7"/>
    </row>
    <row r="36" spans="1:13" ht="16.5" x14ac:dyDescent="0.3">
      <c r="E36" s="4" t="s">
        <v>38</v>
      </c>
      <c r="F36" s="11">
        <f>SUM(F33:F35)</f>
        <v>0</v>
      </c>
      <c r="G36" s="11"/>
      <c r="H36" s="4" t="s">
        <v>48</v>
      </c>
      <c r="I36" s="11">
        <f>SUM(I34:I35)</f>
        <v>300000</v>
      </c>
      <c r="L36" t="s">
        <v>77</v>
      </c>
      <c r="M36" s="7"/>
    </row>
    <row r="37" spans="1:13" ht="19.5" x14ac:dyDescent="0.35">
      <c r="E37" s="5" t="s">
        <v>39</v>
      </c>
      <c r="F37" s="16">
        <f>+F27+F31+F36</f>
        <v>400000</v>
      </c>
      <c r="G37" s="16"/>
      <c r="H37" s="5" t="s">
        <v>49</v>
      </c>
      <c r="I37" s="16">
        <f>+I28+I31+I36</f>
        <v>400000</v>
      </c>
      <c r="L37" t="s">
        <v>78</v>
      </c>
      <c r="M37" s="7"/>
    </row>
    <row r="38" spans="1:13" ht="16.5" x14ac:dyDescent="0.3">
      <c r="E38" s="2"/>
      <c r="F38" s="15"/>
      <c r="G38" s="15"/>
      <c r="L38" t="s">
        <v>79</v>
      </c>
      <c r="M38" s="7"/>
    </row>
    <row r="39" spans="1:13" x14ac:dyDescent="0.25">
      <c r="L39" t="s">
        <v>80</v>
      </c>
      <c r="M39" s="7"/>
    </row>
    <row r="40" spans="1:13" x14ac:dyDescent="0.25">
      <c r="F40" t="s">
        <v>63</v>
      </c>
      <c r="H40" s="1" t="b">
        <f>F37=I37</f>
        <v>1</v>
      </c>
      <c r="M40" s="7"/>
    </row>
    <row r="41" spans="1:13" ht="16.5" x14ac:dyDescent="0.3">
      <c r="K41" s="4" t="s">
        <v>81</v>
      </c>
      <c r="L41" s="4"/>
      <c r="M41" s="10">
        <f>SUM(M25:M39)</f>
        <v>0</v>
      </c>
    </row>
    <row r="42" spans="1:13" x14ac:dyDescent="0.25">
      <c r="M42" s="7"/>
    </row>
    <row r="43" spans="1:13" ht="19.5" x14ac:dyDescent="0.35">
      <c r="K43" s="5" t="s">
        <v>82</v>
      </c>
      <c r="L43" s="5"/>
      <c r="M43" s="6"/>
    </row>
    <row r="44" spans="1:13" x14ac:dyDescent="0.25">
      <c r="L44" t="s">
        <v>83</v>
      </c>
      <c r="M44" s="7"/>
    </row>
    <row r="45" spans="1:13" x14ac:dyDescent="0.25">
      <c r="L45" t="s">
        <v>84</v>
      </c>
      <c r="M45" s="7">
        <v>100000</v>
      </c>
    </row>
    <row r="46" spans="1:13" x14ac:dyDescent="0.25">
      <c r="L46" t="s">
        <v>85</v>
      </c>
      <c r="M46" s="7"/>
    </row>
    <row r="47" spans="1:13" x14ac:dyDescent="0.25">
      <c r="L47" t="s">
        <v>86</v>
      </c>
      <c r="M47" s="7">
        <v>300000</v>
      </c>
    </row>
    <row r="48" spans="1:13" x14ac:dyDescent="0.25">
      <c r="L48" t="s">
        <v>87</v>
      </c>
      <c r="M48" s="7"/>
    </row>
    <row r="49" spans="11:13" x14ac:dyDescent="0.25">
      <c r="L49" t="s">
        <v>88</v>
      </c>
      <c r="M49" s="7"/>
    </row>
    <row r="50" spans="11:13" x14ac:dyDescent="0.25">
      <c r="M50" s="7"/>
    </row>
    <row r="51" spans="11:13" ht="16.5" x14ac:dyDescent="0.3">
      <c r="K51" s="4" t="s">
        <v>89</v>
      </c>
      <c r="L51" s="4"/>
      <c r="M51" s="10">
        <f>SUM(M44:M49)</f>
        <v>400000</v>
      </c>
    </row>
    <row r="52" spans="11:13" x14ac:dyDescent="0.25">
      <c r="M52" s="7"/>
    </row>
    <row r="53" spans="11:13" ht="19.5" x14ac:dyDescent="0.35">
      <c r="K53" s="5" t="s">
        <v>90</v>
      </c>
      <c r="L53" s="5"/>
      <c r="M53" s="6"/>
    </row>
    <row r="54" spans="11:13" x14ac:dyDescent="0.25">
      <c r="L54" t="s">
        <v>91</v>
      </c>
      <c r="M54" s="7"/>
    </row>
    <row r="55" spans="11:13" x14ac:dyDescent="0.25">
      <c r="L55" t="s">
        <v>92</v>
      </c>
      <c r="M55" s="7"/>
    </row>
    <row r="56" spans="11:13" x14ac:dyDescent="0.25">
      <c r="L56" t="s">
        <v>93</v>
      </c>
      <c r="M56" s="7"/>
    </row>
    <row r="57" spans="11:13" x14ac:dyDescent="0.25">
      <c r="L57" t="s">
        <v>94</v>
      </c>
      <c r="M57" s="7"/>
    </row>
    <row r="58" spans="11:13" x14ac:dyDescent="0.25">
      <c r="L58" t="s">
        <v>95</v>
      </c>
      <c r="M58" s="7"/>
    </row>
    <row r="59" spans="11:13" x14ac:dyDescent="0.25">
      <c r="L59" t="s">
        <v>96</v>
      </c>
      <c r="M59" s="7"/>
    </row>
    <row r="60" spans="11:13" x14ac:dyDescent="0.25">
      <c r="M60" s="7"/>
    </row>
    <row r="61" spans="11:13" ht="16.5" x14ac:dyDescent="0.3">
      <c r="K61" s="4" t="s">
        <v>97</v>
      </c>
      <c r="L61" s="4"/>
      <c r="M61" s="10">
        <f>SUM(M54:M59)</f>
        <v>0</v>
      </c>
    </row>
    <row r="62" spans="11:13" x14ac:dyDescent="0.25">
      <c r="M62" s="7"/>
    </row>
    <row r="63" spans="11:13" x14ac:dyDescent="0.25">
      <c r="K63" t="s">
        <v>98</v>
      </c>
      <c r="M63" s="7"/>
    </row>
    <row r="64" spans="11:13" x14ac:dyDescent="0.25">
      <c r="M64" s="7"/>
    </row>
    <row r="65" spans="11:13" ht="16.5" x14ac:dyDescent="0.3">
      <c r="K65" s="4" t="s">
        <v>99</v>
      </c>
      <c r="L65" s="4"/>
      <c r="M65" s="10">
        <f>M41+M51+M61+M63</f>
        <v>400000</v>
      </c>
    </row>
    <row r="66" spans="11:13" ht="16.5" x14ac:dyDescent="0.3">
      <c r="K66" s="4" t="s">
        <v>103</v>
      </c>
      <c r="L66" s="4"/>
      <c r="M66" s="10">
        <v>0</v>
      </c>
    </row>
    <row r="67" spans="11:13" x14ac:dyDescent="0.25">
      <c r="M67" s="7"/>
    </row>
    <row r="68" spans="11:13" ht="19.5" x14ac:dyDescent="0.35">
      <c r="K68" s="5" t="s">
        <v>101</v>
      </c>
      <c r="M68" s="6">
        <f>M65+M66</f>
        <v>400000</v>
      </c>
    </row>
  </sheetData>
  <conditionalFormatting sqref="H40">
    <cfRule type="cellIs" dxfId="15" priority="1" operator="equal">
      <formula>FALSE</formula>
    </cfRule>
    <cfRule type="cellIs" dxfId="14" priority="2" operator="equal">
      <formula>TRUE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B5F6D-33EF-4207-8063-D310FBBBD1F5}">
  <dimension ref="A21:M68"/>
  <sheetViews>
    <sheetView showGridLines="0" topLeftCell="A19" workbookViewId="0">
      <selection activeCell="M19" sqref="M1:M1048576"/>
    </sheetView>
  </sheetViews>
  <sheetFormatPr baseColWidth="10" defaultColWidth="9.140625" defaultRowHeight="15" x14ac:dyDescent="0.25"/>
  <cols>
    <col min="1" max="1" width="42.5703125" customWidth="1"/>
    <col min="2" max="2" width="13.42578125" bestFit="1" customWidth="1"/>
    <col min="5" max="5" width="32.7109375" bestFit="1" customWidth="1"/>
    <col min="6" max="6" width="17.85546875" bestFit="1" customWidth="1"/>
    <col min="7" max="7" width="3.140625" customWidth="1"/>
    <col min="8" max="8" width="25.140625" bestFit="1" customWidth="1"/>
    <col min="9" max="9" width="16.5703125" bestFit="1" customWidth="1"/>
    <col min="11" max="11" width="6.5703125" customWidth="1"/>
    <col min="12" max="12" width="53.85546875" bestFit="1" customWidth="1"/>
    <col min="13" max="13" width="16.7109375" customWidth="1"/>
  </cols>
  <sheetData>
    <row r="21" spans="1:13" ht="33" x14ac:dyDescent="0.45">
      <c r="A21" s="14" t="s">
        <v>64</v>
      </c>
      <c r="B21" s="3">
        <v>2019</v>
      </c>
      <c r="E21" s="14" t="s">
        <v>27</v>
      </c>
      <c r="F21" s="3" t="s">
        <v>50</v>
      </c>
      <c r="G21" s="3"/>
    </row>
    <row r="22" spans="1:13" ht="33" x14ac:dyDescent="0.45">
      <c r="B22" s="4" t="s">
        <v>22</v>
      </c>
      <c r="E22" s="2"/>
      <c r="F22" s="15"/>
      <c r="G22" s="15"/>
      <c r="K22" s="14" t="s">
        <v>66</v>
      </c>
    </row>
    <row r="23" spans="1:13" ht="19.5" x14ac:dyDescent="0.35">
      <c r="A23" s="5" t="s">
        <v>12</v>
      </c>
      <c r="B23" s="6"/>
      <c r="E23" s="2" t="s">
        <v>51</v>
      </c>
      <c r="F23" s="15"/>
      <c r="G23" s="15"/>
    </row>
    <row r="24" spans="1:13" ht="27" x14ac:dyDescent="0.45">
      <c r="A24" t="s">
        <v>14</v>
      </c>
      <c r="B24" s="6"/>
      <c r="E24" s="2"/>
      <c r="F24" s="15"/>
      <c r="G24" s="15"/>
      <c r="K24" s="5" t="s">
        <v>67</v>
      </c>
      <c r="L24" s="5"/>
      <c r="M24" s="3" t="s">
        <v>102</v>
      </c>
    </row>
    <row r="25" spans="1:13" ht="27" x14ac:dyDescent="0.45">
      <c r="A25" s="5" t="s">
        <v>25</v>
      </c>
      <c r="B25" s="6"/>
      <c r="E25" s="3" t="s">
        <v>28</v>
      </c>
      <c r="H25" s="3" t="s">
        <v>40</v>
      </c>
      <c r="I25" s="15"/>
      <c r="K25" s="4" t="s">
        <v>68</v>
      </c>
      <c r="L25" s="4"/>
      <c r="M25" s="10">
        <f>B35</f>
        <v>-8000</v>
      </c>
    </row>
    <row r="26" spans="1:13" ht="19.5" x14ac:dyDescent="0.35">
      <c r="A26" s="4" t="s">
        <v>13</v>
      </c>
      <c r="B26" s="7"/>
      <c r="E26" s="5" t="s">
        <v>29</v>
      </c>
      <c r="F26" s="15"/>
      <c r="G26" s="15"/>
      <c r="H26" s="5" t="s">
        <v>41</v>
      </c>
      <c r="I26" s="15"/>
      <c r="M26" s="7"/>
    </row>
    <row r="27" spans="1:13" ht="16.5" x14ac:dyDescent="0.3">
      <c r="A27" t="s">
        <v>23</v>
      </c>
      <c r="B27" s="7"/>
      <c r="E27" s="2" t="s">
        <v>30</v>
      </c>
      <c r="F27" s="15">
        <f>400000-300000-18000-8000</f>
        <v>74000</v>
      </c>
      <c r="G27" s="15"/>
      <c r="H27" s="2" t="s">
        <v>42</v>
      </c>
      <c r="I27" s="15"/>
      <c r="L27" t="s">
        <v>69</v>
      </c>
      <c r="M27" s="7"/>
    </row>
    <row r="28" spans="1:13" ht="16.5" x14ac:dyDescent="0.3">
      <c r="A28" t="s">
        <v>24</v>
      </c>
      <c r="B28" s="7">
        <v>8000</v>
      </c>
      <c r="E28" s="4" t="s">
        <v>31</v>
      </c>
      <c r="F28" s="11">
        <f>SUM(F27)</f>
        <v>74000</v>
      </c>
      <c r="G28" s="11"/>
      <c r="H28" s="2" t="s">
        <v>57</v>
      </c>
      <c r="I28" s="15"/>
      <c r="L28" t="s">
        <v>70</v>
      </c>
      <c r="M28" s="7"/>
    </row>
    <row r="29" spans="1:13" ht="17.25" thickBot="1" x14ac:dyDescent="0.35">
      <c r="A29" s="8" t="s">
        <v>15</v>
      </c>
      <c r="B29" s="9">
        <f>+SUM(B27:B28)</f>
        <v>8000</v>
      </c>
      <c r="E29" s="2"/>
      <c r="F29" s="15"/>
      <c r="G29" s="15"/>
      <c r="H29" s="4" t="s">
        <v>43</v>
      </c>
      <c r="I29" s="11">
        <f>SUM(I27:I28)</f>
        <v>0</v>
      </c>
      <c r="L29" t="s">
        <v>71</v>
      </c>
      <c r="M29" s="7"/>
    </row>
    <row r="30" spans="1:13" ht="16.5" x14ac:dyDescent="0.3">
      <c r="A30" s="4" t="s">
        <v>16</v>
      </c>
      <c r="B30" s="10"/>
      <c r="E30" s="2" t="s">
        <v>32</v>
      </c>
      <c r="F30" s="15"/>
      <c r="G30" s="15"/>
      <c r="H30" s="2"/>
      <c r="I30" s="15"/>
      <c r="L30" t="s">
        <v>72</v>
      </c>
      <c r="M30" s="7"/>
    </row>
    <row r="31" spans="1:13" ht="16.5" x14ac:dyDescent="0.3">
      <c r="A31" t="s">
        <v>17</v>
      </c>
      <c r="B31" s="7"/>
      <c r="E31" s="2" t="s">
        <v>33</v>
      </c>
      <c r="F31" s="15"/>
      <c r="G31" s="15"/>
      <c r="H31" s="2" t="s">
        <v>44</v>
      </c>
      <c r="I31" s="15">
        <v>100000</v>
      </c>
      <c r="L31" t="s">
        <v>73</v>
      </c>
      <c r="M31" s="7"/>
    </row>
    <row r="32" spans="1:13" ht="16.5" x14ac:dyDescent="0.3">
      <c r="A32" t="s">
        <v>18</v>
      </c>
      <c r="B32" s="7"/>
      <c r="E32" s="4" t="s">
        <v>34</v>
      </c>
      <c r="F32" s="11">
        <f>SUM(F30:F31)</f>
        <v>0</v>
      </c>
      <c r="G32" s="11"/>
      <c r="H32" s="4" t="s">
        <v>45</v>
      </c>
      <c r="I32" s="11">
        <f>SUM(I31)</f>
        <v>100000</v>
      </c>
      <c r="L32" t="s">
        <v>74</v>
      </c>
      <c r="M32" s="7"/>
    </row>
    <row r="33" spans="1:13" ht="16.5" x14ac:dyDescent="0.3">
      <c r="A33" s="4" t="s">
        <v>19</v>
      </c>
      <c r="B33" s="11"/>
      <c r="E33" s="2"/>
      <c r="F33" s="15"/>
      <c r="G33" s="15"/>
      <c r="H33" s="2"/>
      <c r="I33" s="15"/>
      <c r="L33" t="s">
        <v>75</v>
      </c>
      <c r="M33" s="7"/>
    </row>
    <row r="34" spans="1:13" ht="19.5" x14ac:dyDescent="0.35">
      <c r="A34" t="s">
        <v>20</v>
      </c>
      <c r="B34" s="7"/>
      <c r="E34" s="2" t="s">
        <v>35</v>
      </c>
      <c r="F34" s="15">
        <f>300000+18000</f>
        <v>318000</v>
      </c>
      <c r="G34" s="15"/>
      <c r="H34" s="5" t="s">
        <v>46</v>
      </c>
      <c r="I34" s="15"/>
      <c r="L34" t="s">
        <v>76</v>
      </c>
      <c r="M34" s="7"/>
    </row>
    <row r="35" spans="1:13" ht="20.25" thickBot="1" x14ac:dyDescent="0.4">
      <c r="A35" s="12" t="s">
        <v>21</v>
      </c>
      <c r="B35" s="13">
        <f>+B23-B29</f>
        <v>-8000</v>
      </c>
      <c r="E35" s="2" t="s">
        <v>36</v>
      </c>
      <c r="F35" s="15"/>
      <c r="G35" s="15"/>
      <c r="H35" s="2" t="s">
        <v>47</v>
      </c>
      <c r="I35" s="15">
        <f>50000+250000</f>
        <v>300000</v>
      </c>
      <c r="L35" t="s">
        <v>32</v>
      </c>
      <c r="M35" s="7"/>
    </row>
    <row r="36" spans="1:13" ht="16.5" x14ac:dyDescent="0.3">
      <c r="B36" s="7"/>
      <c r="E36" s="2" t="s">
        <v>37</v>
      </c>
      <c r="F36" s="15"/>
      <c r="G36" s="15"/>
      <c r="H36" s="2" t="s">
        <v>52</v>
      </c>
      <c r="I36" s="15">
        <f>+B35</f>
        <v>-8000</v>
      </c>
      <c r="L36" t="s">
        <v>77</v>
      </c>
      <c r="M36" s="7"/>
    </row>
    <row r="37" spans="1:13" ht="16.5" x14ac:dyDescent="0.3">
      <c r="E37" s="4" t="s">
        <v>38</v>
      </c>
      <c r="F37" s="11">
        <f>SUM(F34:F36)</f>
        <v>318000</v>
      </c>
      <c r="G37" s="11"/>
      <c r="H37" s="4" t="s">
        <v>48</v>
      </c>
      <c r="I37" s="11">
        <f>SUM(I35:I36)</f>
        <v>292000</v>
      </c>
      <c r="L37" t="s">
        <v>78</v>
      </c>
      <c r="M37" s="7"/>
    </row>
    <row r="38" spans="1:13" ht="19.5" x14ac:dyDescent="0.35">
      <c r="E38" s="5" t="s">
        <v>39</v>
      </c>
      <c r="F38" s="16">
        <f>+F28+F32+F37</f>
        <v>392000</v>
      </c>
      <c r="G38" s="16"/>
      <c r="H38" s="5" t="s">
        <v>49</v>
      </c>
      <c r="I38" s="16">
        <f>+I29+I32+I37</f>
        <v>392000</v>
      </c>
      <c r="L38" t="s">
        <v>79</v>
      </c>
      <c r="M38" s="7"/>
    </row>
    <row r="39" spans="1:13" ht="16.5" x14ac:dyDescent="0.3">
      <c r="E39" s="2"/>
      <c r="F39" s="15"/>
      <c r="G39" s="15"/>
      <c r="L39" t="s">
        <v>80</v>
      </c>
      <c r="M39" s="7"/>
    </row>
    <row r="40" spans="1:13" x14ac:dyDescent="0.25">
      <c r="M40" s="7"/>
    </row>
    <row r="41" spans="1:13" ht="16.5" x14ac:dyDescent="0.3">
      <c r="F41" t="s">
        <v>63</v>
      </c>
      <c r="H41" t="b">
        <f>F38=I38</f>
        <v>1</v>
      </c>
      <c r="K41" s="4" t="s">
        <v>81</v>
      </c>
      <c r="L41" s="4"/>
      <c r="M41" s="10">
        <f>SUM(M25:M39)</f>
        <v>-8000</v>
      </c>
    </row>
    <row r="42" spans="1:13" x14ac:dyDescent="0.25">
      <c r="M42" s="7"/>
    </row>
    <row r="43" spans="1:13" ht="19.5" x14ac:dyDescent="0.35">
      <c r="K43" s="5" t="s">
        <v>82</v>
      </c>
      <c r="L43" s="5"/>
      <c r="M43" s="6"/>
    </row>
    <row r="44" spans="1:13" x14ac:dyDescent="0.25">
      <c r="L44" t="s">
        <v>83</v>
      </c>
      <c r="M44" s="7"/>
    </row>
    <row r="45" spans="1:13" x14ac:dyDescent="0.25">
      <c r="L45" t="s">
        <v>84</v>
      </c>
      <c r="M45" s="7">
        <v>100000</v>
      </c>
    </row>
    <row r="46" spans="1:13" x14ac:dyDescent="0.25">
      <c r="L46" t="s">
        <v>85</v>
      </c>
      <c r="M46" s="7"/>
    </row>
    <row r="47" spans="1:13" x14ac:dyDescent="0.25">
      <c r="L47" t="s">
        <v>86</v>
      </c>
      <c r="M47" s="7">
        <v>300000</v>
      </c>
    </row>
    <row r="48" spans="1:13" x14ac:dyDescent="0.25">
      <c r="L48" t="s">
        <v>87</v>
      </c>
      <c r="M48" s="7"/>
    </row>
    <row r="49" spans="11:13" x14ac:dyDescent="0.25">
      <c r="L49" t="s">
        <v>88</v>
      </c>
      <c r="M49" s="7"/>
    </row>
    <row r="50" spans="11:13" x14ac:dyDescent="0.25">
      <c r="M50" s="7"/>
    </row>
    <row r="51" spans="11:13" ht="16.5" x14ac:dyDescent="0.3">
      <c r="K51" s="4" t="s">
        <v>89</v>
      </c>
      <c r="L51" s="4"/>
      <c r="M51" s="10">
        <f>SUM(M44:M49)</f>
        <v>400000</v>
      </c>
    </row>
    <row r="52" spans="11:13" x14ac:dyDescent="0.25">
      <c r="M52" s="7"/>
    </row>
    <row r="53" spans="11:13" ht="19.5" x14ac:dyDescent="0.35">
      <c r="K53" s="5" t="s">
        <v>90</v>
      </c>
      <c r="L53" s="5"/>
      <c r="M53" s="6"/>
    </row>
    <row r="54" spans="11:13" x14ac:dyDescent="0.25">
      <c r="L54" t="s">
        <v>91</v>
      </c>
      <c r="M54" s="7">
        <f>-300000-18000</f>
        <v>-318000</v>
      </c>
    </row>
    <row r="55" spans="11:13" x14ac:dyDescent="0.25">
      <c r="L55" t="s">
        <v>92</v>
      </c>
      <c r="M55" s="7"/>
    </row>
    <row r="56" spans="11:13" x14ac:dyDescent="0.25">
      <c r="L56" t="s">
        <v>93</v>
      </c>
      <c r="M56" s="7"/>
    </row>
    <row r="57" spans="11:13" x14ac:dyDescent="0.25">
      <c r="L57" t="s">
        <v>94</v>
      </c>
      <c r="M57" s="7"/>
    </row>
    <row r="58" spans="11:13" x14ac:dyDescent="0.25">
      <c r="L58" t="s">
        <v>95</v>
      </c>
      <c r="M58" s="7"/>
    </row>
    <row r="59" spans="11:13" x14ac:dyDescent="0.25">
      <c r="L59" t="s">
        <v>96</v>
      </c>
      <c r="M59" s="7"/>
    </row>
    <row r="60" spans="11:13" x14ac:dyDescent="0.25">
      <c r="M60" s="7"/>
    </row>
    <row r="61" spans="11:13" ht="16.5" x14ac:dyDescent="0.3">
      <c r="K61" s="4" t="s">
        <v>97</v>
      </c>
      <c r="L61" s="4"/>
      <c r="M61" s="10">
        <f>SUM(M54:M59)</f>
        <v>-318000</v>
      </c>
    </row>
    <row r="62" spans="11:13" x14ac:dyDescent="0.25">
      <c r="M62" s="7"/>
    </row>
    <row r="63" spans="11:13" x14ac:dyDescent="0.25">
      <c r="K63" t="s">
        <v>98</v>
      </c>
      <c r="M63" s="7"/>
    </row>
    <row r="64" spans="11:13" x14ac:dyDescent="0.25">
      <c r="M64" s="7"/>
    </row>
    <row r="65" spans="11:13" ht="16.5" x14ac:dyDescent="0.3">
      <c r="K65" s="4" t="s">
        <v>99</v>
      </c>
      <c r="L65" s="4"/>
      <c r="M65" s="10">
        <f>M41+M51+M61+M63</f>
        <v>74000</v>
      </c>
    </row>
    <row r="66" spans="11:13" ht="16.5" x14ac:dyDescent="0.3">
      <c r="K66" s="4" t="s">
        <v>100</v>
      </c>
      <c r="L66" s="4"/>
      <c r="M66" s="10">
        <v>0</v>
      </c>
    </row>
    <row r="67" spans="11:13" x14ac:dyDescent="0.25">
      <c r="M67" s="7"/>
    </row>
    <row r="68" spans="11:13" ht="19.5" x14ac:dyDescent="0.35">
      <c r="K68" s="5" t="s">
        <v>101</v>
      </c>
      <c r="M68" s="6">
        <f>M65+M66</f>
        <v>74000</v>
      </c>
    </row>
  </sheetData>
  <conditionalFormatting sqref="H41">
    <cfRule type="cellIs" dxfId="13" priority="1" operator="equal">
      <formula>FALSE</formula>
    </cfRule>
    <cfRule type="cellIs" dxfId="12" priority="2" operator="equal">
      <formula>TRUE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43148-4DD0-40A9-BBBA-95DE68C20735}">
  <dimension ref="A20:M68"/>
  <sheetViews>
    <sheetView showGridLines="0" topLeftCell="A14" workbookViewId="0">
      <selection activeCell="M48" sqref="M48"/>
    </sheetView>
  </sheetViews>
  <sheetFormatPr baseColWidth="10" defaultColWidth="9.140625" defaultRowHeight="15" x14ac:dyDescent="0.25"/>
  <cols>
    <col min="1" max="1" width="37.28515625" bestFit="1" customWidth="1"/>
    <col min="2" max="2" width="14.85546875" bestFit="1" customWidth="1"/>
    <col min="5" max="5" width="32.7109375" bestFit="1" customWidth="1"/>
    <col min="6" max="6" width="17.85546875" bestFit="1" customWidth="1"/>
    <col min="7" max="7" width="3.140625" customWidth="1"/>
    <col min="8" max="8" width="25.140625" bestFit="1" customWidth="1"/>
    <col min="9" max="9" width="16.5703125" bestFit="1" customWidth="1"/>
    <col min="11" max="11" width="6.5703125" customWidth="1"/>
    <col min="12" max="12" width="53.85546875" bestFit="1" customWidth="1"/>
    <col min="13" max="13" width="16.7109375" customWidth="1"/>
  </cols>
  <sheetData>
    <row r="20" spans="1:13" ht="33" x14ac:dyDescent="0.45">
      <c r="A20" s="2" t="s">
        <v>65</v>
      </c>
      <c r="B20" s="3">
        <v>2019</v>
      </c>
      <c r="E20" s="14" t="s">
        <v>27</v>
      </c>
      <c r="F20" s="3" t="s">
        <v>50</v>
      </c>
      <c r="G20" s="3"/>
    </row>
    <row r="21" spans="1:13" ht="16.5" x14ac:dyDescent="0.3">
      <c r="B21" s="4" t="s">
        <v>22</v>
      </c>
      <c r="E21" s="2"/>
      <c r="F21" s="15"/>
      <c r="G21" s="15"/>
    </row>
    <row r="22" spans="1:13" ht="33" x14ac:dyDescent="0.45">
      <c r="A22" s="5" t="s">
        <v>12</v>
      </c>
      <c r="B22" s="6"/>
      <c r="E22" s="2" t="s">
        <v>51</v>
      </c>
      <c r="F22" s="15"/>
      <c r="G22" s="15"/>
      <c r="K22" s="14" t="s">
        <v>66</v>
      </c>
    </row>
    <row r="23" spans="1:13" ht="19.5" x14ac:dyDescent="0.35">
      <c r="A23" t="s">
        <v>14</v>
      </c>
      <c r="B23" s="6"/>
      <c r="E23" s="2"/>
      <c r="F23" s="15"/>
      <c r="G23" s="15"/>
    </row>
    <row r="24" spans="1:13" ht="27" x14ac:dyDescent="0.45">
      <c r="A24" s="5" t="s">
        <v>25</v>
      </c>
      <c r="B24" s="6"/>
      <c r="E24" s="3" t="s">
        <v>28</v>
      </c>
      <c r="H24" s="3" t="s">
        <v>40</v>
      </c>
      <c r="I24" s="15"/>
      <c r="K24" s="5" t="s">
        <v>67</v>
      </c>
      <c r="L24" s="5"/>
      <c r="M24" s="3" t="s">
        <v>102</v>
      </c>
    </row>
    <row r="25" spans="1:13" ht="19.5" x14ac:dyDescent="0.35">
      <c r="A25" s="4" t="s">
        <v>13</v>
      </c>
      <c r="B25" s="7"/>
      <c r="E25" s="5" t="s">
        <v>29</v>
      </c>
      <c r="F25" s="15"/>
      <c r="G25" s="15"/>
      <c r="H25" s="5" t="s">
        <v>41</v>
      </c>
      <c r="I25" s="15"/>
      <c r="K25" s="4" t="s">
        <v>68</v>
      </c>
      <c r="L25" s="4"/>
      <c r="M25" s="10">
        <f>B34</f>
        <v>-18000</v>
      </c>
    </row>
    <row r="26" spans="1:13" ht="16.5" x14ac:dyDescent="0.3">
      <c r="A26" t="s">
        <v>23</v>
      </c>
      <c r="B26" s="7">
        <v>10000</v>
      </c>
      <c r="E26" s="2" t="s">
        <v>30</v>
      </c>
      <c r="F26" s="15">
        <f>400000-300000-18000-8000-10000-5000</f>
        <v>59000</v>
      </c>
      <c r="G26" s="15"/>
      <c r="H26" s="2" t="s">
        <v>42</v>
      </c>
      <c r="I26" s="15"/>
      <c r="M26" s="7"/>
    </row>
    <row r="27" spans="1:13" ht="16.5" x14ac:dyDescent="0.3">
      <c r="A27" t="s">
        <v>24</v>
      </c>
      <c r="B27" s="7">
        <v>8000</v>
      </c>
      <c r="E27" s="4" t="s">
        <v>31</v>
      </c>
      <c r="F27" s="11">
        <f>+F26</f>
        <v>59000</v>
      </c>
      <c r="G27" s="11"/>
      <c r="H27" s="2" t="s">
        <v>57</v>
      </c>
      <c r="I27" s="15"/>
      <c r="L27" t="s">
        <v>69</v>
      </c>
      <c r="M27" s="7"/>
    </row>
    <row r="28" spans="1:13" ht="17.25" thickBot="1" x14ac:dyDescent="0.35">
      <c r="A28" s="8" t="s">
        <v>15</v>
      </c>
      <c r="B28" s="9">
        <f>SUM(B26:B27)</f>
        <v>18000</v>
      </c>
      <c r="E28" s="2"/>
      <c r="F28" s="15"/>
      <c r="G28" s="15"/>
      <c r="H28" s="4" t="s">
        <v>43</v>
      </c>
      <c r="I28" s="11">
        <f>+I26+I27</f>
        <v>0</v>
      </c>
      <c r="L28" t="s">
        <v>70</v>
      </c>
      <c r="M28" s="7"/>
    </row>
    <row r="29" spans="1:13" ht="16.5" x14ac:dyDescent="0.3">
      <c r="A29" s="4" t="s">
        <v>16</v>
      </c>
      <c r="B29" s="10">
        <f>B24-B28</f>
        <v>-18000</v>
      </c>
      <c r="E29" s="2" t="s">
        <v>32</v>
      </c>
      <c r="F29" s="15"/>
      <c r="G29" s="15"/>
      <c r="H29" s="2"/>
      <c r="I29" s="15"/>
      <c r="L29" t="s">
        <v>71</v>
      </c>
      <c r="M29" s="7"/>
    </row>
    <row r="30" spans="1:13" ht="16.5" x14ac:dyDescent="0.3">
      <c r="A30" t="s">
        <v>17</v>
      </c>
      <c r="B30" s="7"/>
      <c r="E30" s="2" t="s">
        <v>33</v>
      </c>
      <c r="F30" s="15">
        <v>5000</v>
      </c>
      <c r="G30" s="15"/>
      <c r="H30" s="2" t="s">
        <v>44</v>
      </c>
      <c r="I30" s="15">
        <v>100000</v>
      </c>
      <c r="L30" t="s">
        <v>72</v>
      </c>
      <c r="M30" s="7"/>
    </row>
    <row r="31" spans="1:13" ht="16.5" x14ac:dyDescent="0.3">
      <c r="A31" t="s">
        <v>18</v>
      </c>
      <c r="B31" s="7"/>
      <c r="E31" s="4" t="s">
        <v>34</v>
      </c>
      <c r="F31" s="11">
        <f>+F27+F29+F30</f>
        <v>64000</v>
      </c>
      <c r="G31" s="11"/>
      <c r="H31" s="4" t="s">
        <v>45</v>
      </c>
      <c r="I31" s="11">
        <f>+I30</f>
        <v>100000</v>
      </c>
      <c r="L31" t="s">
        <v>73</v>
      </c>
      <c r="M31" s="7"/>
    </row>
    <row r="32" spans="1:13" ht="16.5" x14ac:dyDescent="0.3">
      <c r="A32" s="4" t="s">
        <v>19</v>
      </c>
      <c r="B32" s="11"/>
      <c r="E32" s="2"/>
      <c r="F32" s="15"/>
      <c r="G32" s="15"/>
      <c r="H32" s="2"/>
      <c r="I32" s="15"/>
      <c r="L32" t="s">
        <v>74</v>
      </c>
      <c r="M32" s="7"/>
    </row>
    <row r="33" spans="1:13" ht="19.5" x14ac:dyDescent="0.35">
      <c r="A33" t="s">
        <v>20</v>
      </c>
      <c r="B33" s="7"/>
      <c r="E33" s="2" t="s">
        <v>35</v>
      </c>
      <c r="F33" s="15">
        <f>300000+18000</f>
        <v>318000</v>
      </c>
      <c r="G33" s="15"/>
      <c r="H33" s="5" t="s">
        <v>46</v>
      </c>
      <c r="I33" s="15"/>
      <c r="L33" t="s">
        <v>75</v>
      </c>
      <c r="M33" s="7"/>
    </row>
    <row r="34" spans="1:13" ht="20.25" thickBot="1" x14ac:dyDescent="0.4">
      <c r="A34" s="12" t="s">
        <v>21</v>
      </c>
      <c r="B34" s="13">
        <f>B29</f>
        <v>-18000</v>
      </c>
      <c r="E34" s="2" t="s">
        <v>36</v>
      </c>
      <c r="F34" s="15"/>
      <c r="G34" s="15"/>
      <c r="H34" s="2" t="s">
        <v>47</v>
      </c>
      <c r="I34" s="15">
        <v>300000</v>
      </c>
      <c r="L34" t="s">
        <v>104</v>
      </c>
      <c r="M34" s="7">
        <v>-5000</v>
      </c>
    </row>
    <row r="35" spans="1:13" ht="16.5" x14ac:dyDescent="0.3">
      <c r="B35" s="7"/>
      <c r="E35" s="2" t="s">
        <v>37</v>
      </c>
      <c r="F35" s="15"/>
      <c r="G35" s="15"/>
      <c r="H35" s="2" t="s">
        <v>52</v>
      </c>
      <c r="I35" s="15">
        <f>+B34</f>
        <v>-18000</v>
      </c>
      <c r="L35" t="s">
        <v>32</v>
      </c>
      <c r="M35" s="7"/>
    </row>
    <row r="36" spans="1:13" ht="16.5" x14ac:dyDescent="0.3">
      <c r="E36" s="4" t="s">
        <v>38</v>
      </c>
      <c r="F36" s="11">
        <f>+F33+F34+F35</f>
        <v>318000</v>
      </c>
      <c r="G36" s="11"/>
      <c r="H36" s="4" t="s">
        <v>48</v>
      </c>
      <c r="I36" s="11">
        <f>+I34+I35</f>
        <v>282000</v>
      </c>
      <c r="L36" t="s">
        <v>77</v>
      </c>
      <c r="M36" s="7"/>
    </row>
    <row r="37" spans="1:13" ht="19.5" x14ac:dyDescent="0.35">
      <c r="E37" s="5" t="s">
        <v>39</v>
      </c>
      <c r="F37" s="16">
        <f>+F31+F36</f>
        <v>382000</v>
      </c>
      <c r="G37" s="16"/>
      <c r="H37" s="5" t="s">
        <v>49</v>
      </c>
      <c r="I37" s="16">
        <f>+I31+I36</f>
        <v>382000</v>
      </c>
      <c r="L37" t="s">
        <v>78</v>
      </c>
      <c r="M37" s="7"/>
    </row>
    <row r="38" spans="1:13" ht="16.5" x14ac:dyDescent="0.3">
      <c r="E38" s="2"/>
      <c r="F38" s="15"/>
      <c r="G38" s="15"/>
      <c r="L38" t="s">
        <v>79</v>
      </c>
      <c r="M38" s="7"/>
    </row>
    <row r="39" spans="1:13" x14ac:dyDescent="0.25">
      <c r="L39" t="s">
        <v>80</v>
      </c>
      <c r="M39" s="7"/>
    </row>
    <row r="40" spans="1:13" x14ac:dyDescent="0.25">
      <c r="F40" t="s">
        <v>63</v>
      </c>
      <c r="H40" t="b">
        <f>F37=I37</f>
        <v>1</v>
      </c>
      <c r="M40" s="7"/>
    </row>
    <row r="41" spans="1:13" ht="16.5" x14ac:dyDescent="0.3">
      <c r="K41" s="4" t="s">
        <v>81</v>
      </c>
      <c r="L41" s="4"/>
      <c r="M41" s="10">
        <f>SUM(M25:M39)</f>
        <v>-23000</v>
      </c>
    </row>
    <row r="42" spans="1:13" x14ac:dyDescent="0.25">
      <c r="M42" s="7"/>
    </row>
    <row r="43" spans="1:13" ht="19.5" x14ac:dyDescent="0.35">
      <c r="K43" s="5" t="s">
        <v>82</v>
      </c>
      <c r="L43" s="5"/>
      <c r="M43" s="6"/>
    </row>
    <row r="44" spans="1:13" x14ac:dyDescent="0.25">
      <c r="L44" t="s">
        <v>83</v>
      </c>
      <c r="M44" s="7"/>
    </row>
    <row r="45" spans="1:13" x14ac:dyDescent="0.25">
      <c r="L45" t="s">
        <v>84</v>
      </c>
      <c r="M45" s="7">
        <v>100000</v>
      </c>
    </row>
    <row r="46" spans="1:13" x14ac:dyDescent="0.25">
      <c r="L46" t="s">
        <v>85</v>
      </c>
      <c r="M46" s="7"/>
    </row>
    <row r="47" spans="1:13" x14ac:dyDescent="0.25">
      <c r="L47" t="s">
        <v>86</v>
      </c>
      <c r="M47" s="7">
        <v>300000</v>
      </c>
    </row>
    <row r="48" spans="1:13" x14ac:dyDescent="0.25">
      <c r="L48" t="s">
        <v>87</v>
      </c>
      <c r="M48" s="7"/>
    </row>
    <row r="49" spans="11:13" x14ac:dyDescent="0.25">
      <c r="L49" t="s">
        <v>88</v>
      </c>
      <c r="M49" s="7"/>
    </row>
    <row r="50" spans="11:13" x14ac:dyDescent="0.25">
      <c r="M50" s="7"/>
    </row>
    <row r="51" spans="11:13" ht="16.5" x14ac:dyDescent="0.3">
      <c r="K51" s="4" t="s">
        <v>89</v>
      </c>
      <c r="L51" s="4"/>
      <c r="M51" s="10">
        <f>SUM(M44:M49)</f>
        <v>400000</v>
      </c>
    </row>
    <row r="52" spans="11:13" x14ac:dyDescent="0.25">
      <c r="M52" s="7"/>
    </row>
    <row r="53" spans="11:13" ht="19.5" x14ac:dyDescent="0.35">
      <c r="K53" s="5" t="s">
        <v>90</v>
      </c>
      <c r="L53" s="5"/>
      <c r="M53" s="6"/>
    </row>
    <row r="54" spans="11:13" x14ac:dyDescent="0.25">
      <c r="L54" t="s">
        <v>91</v>
      </c>
      <c r="M54" s="7">
        <f>-300000-18000</f>
        <v>-318000</v>
      </c>
    </row>
    <row r="55" spans="11:13" x14ac:dyDescent="0.25">
      <c r="L55" t="s">
        <v>92</v>
      </c>
      <c r="M55" s="7"/>
    </row>
    <row r="56" spans="11:13" x14ac:dyDescent="0.25">
      <c r="L56" t="s">
        <v>93</v>
      </c>
      <c r="M56" s="7"/>
    </row>
    <row r="57" spans="11:13" x14ac:dyDescent="0.25">
      <c r="L57" t="s">
        <v>94</v>
      </c>
      <c r="M57" s="7"/>
    </row>
    <row r="58" spans="11:13" x14ac:dyDescent="0.25">
      <c r="L58" t="s">
        <v>95</v>
      </c>
      <c r="M58" s="7"/>
    </row>
    <row r="59" spans="11:13" x14ac:dyDescent="0.25">
      <c r="L59" t="s">
        <v>96</v>
      </c>
      <c r="M59" s="7"/>
    </row>
    <row r="60" spans="11:13" x14ac:dyDescent="0.25">
      <c r="M60" s="7"/>
    </row>
    <row r="61" spans="11:13" ht="16.5" x14ac:dyDescent="0.3">
      <c r="K61" s="4" t="s">
        <v>97</v>
      </c>
      <c r="L61" s="4"/>
      <c r="M61" s="10">
        <f>SUM(M54:M59)</f>
        <v>-318000</v>
      </c>
    </row>
    <row r="62" spans="11:13" x14ac:dyDescent="0.25">
      <c r="M62" s="7"/>
    </row>
    <row r="63" spans="11:13" x14ac:dyDescent="0.25">
      <c r="K63" t="s">
        <v>98</v>
      </c>
      <c r="M63" s="7"/>
    </row>
    <row r="64" spans="11:13" x14ac:dyDescent="0.25">
      <c r="M64" s="7"/>
    </row>
    <row r="65" spans="11:13" ht="16.5" x14ac:dyDescent="0.3">
      <c r="K65" s="4" t="s">
        <v>99</v>
      </c>
      <c r="L65" s="4"/>
      <c r="M65" s="10">
        <f>M41+M51+M61+M63</f>
        <v>59000</v>
      </c>
    </row>
    <row r="66" spans="11:13" ht="16.5" x14ac:dyDescent="0.3">
      <c r="K66" s="4" t="s">
        <v>100</v>
      </c>
      <c r="L66" s="4"/>
      <c r="M66" s="10">
        <v>0</v>
      </c>
    </row>
    <row r="67" spans="11:13" x14ac:dyDescent="0.25">
      <c r="M67" s="7"/>
    </row>
    <row r="68" spans="11:13" ht="19.5" x14ac:dyDescent="0.35">
      <c r="K68" s="5" t="s">
        <v>101</v>
      </c>
      <c r="M68" s="6">
        <f>M65+M66</f>
        <v>59000</v>
      </c>
    </row>
  </sheetData>
  <conditionalFormatting sqref="H40">
    <cfRule type="cellIs" dxfId="11" priority="1" operator="equal">
      <formula>FALSE</formula>
    </cfRule>
    <cfRule type="cellIs" dxfId="10" priority="2" operator="equal">
      <formula>TRUE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EB3211-9F9E-4C61-A813-784E2FF7F59C}">
  <dimension ref="A19:M68"/>
  <sheetViews>
    <sheetView showGridLines="0" topLeftCell="A34" workbookViewId="0">
      <selection activeCell="A19" sqref="A19:M67"/>
    </sheetView>
  </sheetViews>
  <sheetFormatPr baseColWidth="10" defaultColWidth="9.140625" defaultRowHeight="15" x14ac:dyDescent="0.25"/>
  <cols>
    <col min="1" max="1" width="37.28515625" bestFit="1" customWidth="1"/>
    <col min="2" max="2" width="15.5703125" bestFit="1" customWidth="1"/>
    <col min="5" max="5" width="32.7109375" bestFit="1" customWidth="1"/>
    <col min="6" max="6" width="17.85546875" bestFit="1" customWidth="1"/>
    <col min="7" max="7" width="3.140625" customWidth="1"/>
    <col min="8" max="8" width="25.140625" bestFit="1" customWidth="1"/>
    <col min="9" max="9" width="16.5703125" bestFit="1" customWidth="1"/>
    <col min="11" max="11" width="6.5703125" customWidth="1"/>
    <col min="12" max="12" width="53.85546875" bestFit="1" customWidth="1"/>
    <col min="13" max="13" width="16.7109375" customWidth="1"/>
  </cols>
  <sheetData>
    <row r="19" spans="1:13" ht="33" x14ac:dyDescent="0.45">
      <c r="A19" s="2" t="s">
        <v>65</v>
      </c>
      <c r="B19" s="3">
        <v>2019</v>
      </c>
      <c r="E19" s="14" t="s">
        <v>27</v>
      </c>
      <c r="F19" s="3" t="s">
        <v>50</v>
      </c>
      <c r="G19" s="3"/>
    </row>
    <row r="20" spans="1:13" ht="16.5" x14ac:dyDescent="0.3">
      <c r="B20" s="4" t="s">
        <v>22</v>
      </c>
      <c r="E20" s="2"/>
      <c r="F20" s="15"/>
      <c r="G20" s="15"/>
    </row>
    <row r="21" spans="1:13" ht="33" x14ac:dyDescent="0.45">
      <c r="A21" s="5" t="s">
        <v>12</v>
      </c>
      <c r="B21" s="6">
        <f>150*600+20*1200+10*600</f>
        <v>120000</v>
      </c>
      <c r="E21" s="2" t="s">
        <v>51</v>
      </c>
      <c r="F21" s="15"/>
      <c r="G21" s="15"/>
      <c r="K21" s="14" t="s">
        <v>66</v>
      </c>
    </row>
    <row r="22" spans="1:13" ht="19.5" x14ac:dyDescent="0.35">
      <c r="A22" t="s">
        <v>14</v>
      </c>
      <c r="B22" s="6">
        <f>15*400+5*400</f>
        <v>8000</v>
      </c>
      <c r="E22" s="2"/>
      <c r="F22" s="15"/>
      <c r="G22" s="15"/>
    </row>
    <row r="23" spans="1:13" ht="27" x14ac:dyDescent="0.45">
      <c r="A23" s="5" t="s">
        <v>25</v>
      </c>
      <c r="B23" s="6">
        <f>+B21-B22</f>
        <v>112000</v>
      </c>
      <c r="E23" s="3" t="s">
        <v>28</v>
      </c>
      <c r="H23" s="3" t="s">
        <v>40</v>
      </c>
      <c r="I23" s="15"/>
      <c r="K23" s="5" t="s">
        <v>67</v>
      </c>
      <c r="L23" s="5"/>
      <c r="M23" s="3" t="s">
        <v>102</v>
      </c>
    </row>
    <row r="24" spans="1:13" ht="19.5" x14ac:dyDescent="0.35">
      <c r="A24" s="4" t="s">
        <v>13</v>
      </c>
      <c r="B24" s="7"/>
      <c r="E24" s="5" t="s">
        <v>29</v>
      </c>
      <c r="F24" s="15"/>
      <c r="G24" s="15"/>
      <c r="H24" s="5" t="s">
        <v>41</v>
      </c>
      <c r="I24" s="15"/>
      <c r="K24" s="4" t="s">
        <v>68</v>
      </c>
      <c r="L24" s="4"/>
      <c r="M24" s="10">
        <f>B33</f>
        <v>94000</v>
      </c>
    </row>
    <row r="25" spans="1:13" ht="16.5" x14ac:dyDescent="0.3">
      <c r="A25" t="s">
        <v>23</v>
      </c>
      <c r="B25" s="7">
        <v>10000</v>
      </c>
      <c r="E25" s="2" t="s">
        <v>30</v>
      </c>
      <c r="F25" s="15">
        <f>400000-300000-18000-8000-10000-5000+90000+20*1200-1000</f>
        <v>172000</v>
      </c>
      <c r="G25" s="15"/>
      <c r="H25" s="2" t="s">
        <v>42</v>
      </c>
      <c r="I25" s="15">
        <f>5*400</f>
        <v>2000</v>
      </c>
      <c r="M25" s="7"/>
    </row>
    <row r="26" spans="1:13" ht="16.5" x14ac:dyDescent="0.3">
      <c r="A26" t="s">
        <v>24</v>
      </c>
      <c r="B26" s="7">
        <v>8000</v>
      </c>
      <c r="E26" s="4" t="s">
        <v>31</v>
      </c>
      <c r="F26" s="11">
        <f>+F25</f>
        <v>172000</v>
      </c>
      <c r="G26" s="11"/>
      <c r="H26" s="2" t="s">
        <v>57</v>
      </c>
      <c r="I26" s="15"/>
      <c r="L26" t="s">
        <v>69</v>
      </c>
      <c r="M26" s="7"/>
    </row>
    <row r="27" spans="1:13" ht="17.25" thickBot="1" x14ac:dyDescent="0.35">
      <c r="A27" s="8" t="s">
        <v>15</v>
      </c>
      <c r="B27" s="9">
        <f>SUM(B25:B26)</f>
        <v>18000</v>
      </c>
      <c r="E27" s="2"/>
      <c r="F27" s="15"/>
      <c r="G27" s="15"/>
      <c r="H27" s="4" t="s">
        <v>43</v>
      </c>
      <c r="I27" s="11">
        <f>+I25+I26</f>
        <v>2000</v>
      </c>
      <c r="L27" t="s">
        <v>70</v>
      </c>
      <c r="M27" s="7"/>
    </row>
    <row r="28" spans="1:13" ht="16.5" x14ac:dyDescent="0.3">
      <c r="A28" s="4" t="s">
        <v>16</v>
      </c>
      <c r="B28" s="10">
        <f>B23-B27</f>
        <v>94000</v>
      </c>
      <c r="E28" s="2" t="s">
        <v>32</v>
      </c>
      <c r="F28" s="15">
        <f>10*600</f>
        <v>6000</v>
      </c>
      <c r="G28" s="15"/>
      <c r="H28" s="2"/>
      <c r="I28" s="15"/>
      <c r="L28" t="s">
        <v>71</v>
      </c>
      <c r="M28" s="7"/>
    </row>
    <row r="29" spans="1:13" ht="16.5" x14ac:dyDescent="0.3">
      <c r="A29" t="s">
        <v>17</v>
      </c>
      <c r="B29" s="7"/>
      <c r="E29" s="2" t="s">
        <v>33</v>
      </c>
      <c r="F29" s="15"/>
      <c r="G29" s="15"/>
      <c r="H29" s="2" t="s">
        <v>44</v>
      </c>
      <c r="I29" s="15">
        <v>100000</v>
      </c>
      <c r="L29" t="s">
        <v>72</v>
      </c>
      <c r="M29" s="7"/>
    </row>
    <row r="30" spans="1:13" ht="16.5" x14ac:dyDescent="0.3">
      <c r="A30" t="s">
        <v>18</v>
      </c>
      <c r="B30" s="7"/>
      <c r="E30" s="4" t="s">
        <v>34</v>
      </c>
      <c r="F30" s="11">
        <f>+F26+F28+F29</f>
        <v>178000</v>
      </c>
      <c r="G30" s="11"/>
      <c r="H30" s="4" t="s">
        <v>45</v>
      </c>
      <c r="I30" s="11">
        <f>+I29</f>
        <v>100000</v>
      </c>
      <c r="L30" t="s">
        <v>73</v>
      </c>
      <c r="M30" s="7"/>
    </row>
    <row r="31" spans="1:13" ht="16.5" x14ac:dyDescent="0.3">
      <c r="A31" s="4" t="s">
        <v>19</v>
      </c>
      <c r="B31" s="11"/>
      <c r="E31" s="2"/>
      <c r="F31" s="15"/>
      <c r="G31" s="15"/>
      <c r="H31" s="2"/>
      <c r="I31" s="15"/>
      <c r="L31" t="s">
        <v>74</v>
      </c>
      <c r="M31" s="7"/>
    </row>
    <row r="32" spans="1:13" ht="19.5" x14ac:dyDescent="0.35">
      <c r="A32" t="s">
        <v>20</v>
      </c>
      <c r="B32" s="7"/>
      <c r="E32" s="2" t="s">
        <v>35</v>
      </c>
      <c r="F32" s="15">
        <f>300000+18000</f>
        <v>318000</v>
      </c>
      <c r="G32" s="15"/>
      <c r="H32" s="5" t="s">
        <v>46</v>
      </c>
      <c r="I32" s="15"/>
      <c r="L32" t="s">
        <v>75</v>
      </c>
      <c r="M32" s="7"/>
    </row>
    <row r="33" spans="1:13" ht="20.25" thickBot="1" x14ac:dyDescent="0.4">
      <c r="A33" s="12" t="s">
        <v>21</v>
      </c>
      <c r="B33" s="13">
        <f>B28</f>
        <v>94000</v>
      </c>
      <c r="E33" s="2" t="s">
        <v>36</v>
      </c>
      <c r="F33" s="15"/>
      <c r="G33" s="15"/>
      <c r="H33" s="2" t="s">
        <v>47</v>
      </c>
      <c r="I33" s="15">
        <v>300000</v>
      </c>
      <c r="L33" t="s">
        <v>104</v>
      </c>
      <c r="M33" s="7">
        <v>0</v>
      </c>
    </row>
    <row r="34" spans="1:13" ht="16.5" x14ac:dyDescent="0.3">
      <c r="B34" s="7"/>
      <c r="E34" s="2" t="s">
        <v>37</v>
      </c>
      <c r="F34" s="15"/>
      <c r="G34" s="15"/>
      <c r="H34" s="2" t="s">
        <v>52</v>
      </c>
      <c r="I34" s="15">
        <f>+B33</f>
        <v>94000</v>
      </c>
      <c r="L34" t="s">
        <v>32</v>
      </c>
      <c r="M34" s="7">
        <v>-6000</v>
      </c>
    </row>
    <row r="35" spans="1:13" ht="16.5" x14ac:dyDescent="0.3">
      <c r="E35" s="4" t="s">
        <v>38</v>
      </c>
      <c r="F35" s="11">
        <f>+F32+F33+F34</f>
        <v>318000</v>
      </c>
      <c r="G35" s="11"/>
      <c r="H35" s="4" t="s">
        <v>48</v>
      </c>
      <c r="I35" s="11">
        <f>+I33+I34</f>
        <v>394000</v>
      </c>
      <c r="L35" t="s">
        <v>77</v>
      </c>
      <c r="M35" s="7"/>
    </row>
    <row r="36" spans="1:13" ht="19.5" x14ac:dyDescent="0.35">
      <c r="E36" s="5" t="s">
        <v>39</v>
      </c>
      <c r="F36" s="16">
        <f>+F30+F35</f>
        <v>496000</v>
      </c>
      <c r="G36" s="16"/>
      <c r="H36" s="5" t="s">
        <v>49</v>
      </c>
      <c r="I36" s="16">
        <f>+I30+I35+I27</f>
        <v>496000</v>
      </c>
      <c r="L36" t="s">
        <v>78</v>
      </c>
      <c r="M36" s="7"/>
    </row>
    <row r="37" spans="1:13" ht="16.5" x14ac:dyDescent="0.3">
      <c r="E37" s="2"/>
      <c r="F37" s="15"/>
      <c r="G37" s="15"/>
      <c r="L37" t="s">
        <v>79</v>
      </c>
      <c r="M37" s="7">
        <v>2000</v>
      </c>
    </row>
    <row r="38" spans="1:13" x14ac:dyDescent="0.25">
      <c r="L38" t="s">
        <v>80</v>
      </c>
      <c r="M38" s="7"/>
    </row>
    <row r="39" spans="1:13" x14ac:dyDescent="0.25">
      <c r="F39" t="s">
        <v>63</v>
      </c>
      <c r="H39" t="b">
        <f>F36=I36</f>
        <v>1</v>
      </c>
      <c r="M39" s="7"/>
    </row>
    <row r="40" spans="1:13" ht="16.5" x14ac:dyDescent="0.3">
      <c r="K40" s="4" t="s">
        <v>81</v>
      </c>
      <c r="L40" s="4"/>
      <c r="M40" s="10">
        <f>SUM(M24:M38)</f>
        <v>90000</v>
      </c>
    </row>
    <row r="41" spans="1:13" x14ac:dyDescent="0.25">
      <c r="M41" s="7"/>
    </row>
    <row r="42" spans="1:13" ht="19.5" x14ac:dyDescent="0.35">
      <c r="K42" s="5" t="s">
        <v>82</v>
      </c>
      <c r="L42" s="5"/>
      <c r="M42" s="6"/>
    </row>
    <row r="43" spans="1:13" x14ac:dyDescent="0.25">
      <c r="L43" t="s">
        <v>83</v>
      </c>
      <c r="M43" s="7"/>
    </row>
    <row r="44" spans="1:13" x14ac:dyDescent="0.25">
      <c r="L44" t="s">
        <v>84</v>
      </c>
      <c r="M44" s="7">
        <v>100000</v>
      </c>
    </row>
    <row r="45" spans="1:13" x14ac:dyDescent="0.25">
      <c r="L45" t="s">
        <v>85</v>
      </c>
      <c r="M45" s="7"/>
    </row>
    <row r="46" spans="1:13" x14ac:dyDescent="0.25">
      <c r="L46" t="s">
        <v>86</v>
      </c>
      <c r="M46" s="7">
        <v>300000</v>
      </c>
    </row>
    <row r="47" spans="1:13" x14ac:dyDescent="0.25">
      <c r="L47" t="s">
        <v>87</v>
      </c>
      <c r="M47" s="7"/>
    </row>
    <row r="48" spans="1:13" x14ac:dyDescent="0.25">
      <c r="L48" t="s">
        <v>88</v>
      </c>
      <c r="M48" s="7"/>
    </row>
    <row r="49" spans="11:13" x14ac:dyDescent="0.25">
      <c r="M49" s="7"/>
    </row>
    <row r="50" spans="11:13" ht="16.5" x14ac:dyDescent="0.3">
      <c r="K50" s="4" t="s">
        <v>89</v>
      </c>
      <c r="L50" s="4"/>
      <c r="M50" s="10">
        <f>SUM(M43:M48)</f>
        <v>400000</v>
      </c>
    </row>
    <row r="51" spans="11:13" x14ac:dyDescent="0.25">
      <c r="M51" s="7"/>
    </row>
    <row r="52" spans="11:13" ht="19.5" x14ac:dyDescent="0.35">
      <c r="K52" s="5" t="s">
        <v>90</v>
      </c>
      <c r="L52" s="5"/>
      <c r="M52" s="6"/>
    </row>
    <row r="53" spans="11:13" x14ac:dyDescent="0.25">
      <c r="L53" t="s">
        <v>91</v>
      </c>
      <c r="M53" s="7">
        <f>-300000-18000</f>
        <v>-318000</v>
      </c>
    </row>
    <row r="54" spans="11:13" x14ac:dyDescent="0.25">
      <c r="L54" t="s">
        <v>92</v>
      </c>
      <c r="M54" s="7"/>
    </row>
    <row r="55" spans="11:13" x14ac:dyDescent="0.25">
      <c r="L55" t="s">
        <v>93</v>
      </c>
      <c r="M55" s="7"/>
    </row>
    <row r="56" spans="11:13" x14ac:dyDescent="0.25">
      <c r="L56" t="s">
        <v>94</v>
      </c>
      <c r="M56" s="7"/>
    </row>
    <row r="57" spans="11:13" x14ac:dyDescent="0.25">
      <c r="L57" t="s">
        <v>95</v>
      </c>
      <c r="M57" s="7"/>
    </row>
    <row r="58" spans="11:13" x14ac:dyDescent="0.25">
      <c r="L58" t="s">
        <v>96</v>
      </c>
      <c r="M58" s="7"/>
    </row>
    <row r="59" spans="11:13" x14ac:dyDescent="0.25">
      <c r="M59" s="7"/>
    </row>
    <row r="60" spans="11:13" ht="16.5" x14ac:dyDescent="0.3">
      <c r="K60" s="4" t="s">
        <v>97</v>
      </c>
      <c r="L60" s="4"/>
      <c r="M60" s="10">
        <f>SUM(M53:M58)</f>
        <v>-318000</v>
      </c>
    </row>
    <row r="61" spans="11:13" x14ac:dyDescent="0.25">
      <c r="M61" s="7"/>
    </row>
    <row r="62" spans="11:13" x14ac:dyDescent="0.25">
      <c r="K62" t="s">
        <v>98</v>
      </c>
      <c r="M62" s="7"/>
    </row>
    <row r="63" spans="11:13" x14ac:dyDescent="0.25">
      <c r="M63" s="7"/>
    </row>
    <row r="64" spans="11:13" ht="16.5" x14ac:dyDescent="0.3">
      <c r="K64" s="4" t="s">
        <v>99</v>
      </c>
      <c r="L64" s="4"/>
      <c r="M64" s="10">
        <f>M40+M50+M60+M62</f>
        <v>172000</v>
      </c>
    </row>
    <row r="65" spans="11:13" ht="16.5" x14ac:dyDescent="0.3">
      <c r="K65" s="4" t="s">
        <v>100</v>
      </c>
      <c r="L65" s="4"/>
      <c r="M65" s="10">
        <v>0</v>
      </c>
    </row>
    <row r="66" spans="11:13" x14ac:dyDescent="0.25">
      <c r="M66" s="7"/>
    </row>
    <row r="67" spans="11:13" ht="19.5" x14ac:dyDescent="0.35">
      <c r="K67" s="5" t="s">
        <v>101</v>
      </c>
      <c r="M67" s="6">
        <f>M64+M65</f>
        <v>172000</v>
      </c>
    </row>
    <row r="68" spans="11:13" ht="19.5" x14ac:dyDescent="0.35">
      <c r="K68" s="5"/>
      <c r="M68" s="6"/>
    </row>
  </sheetData>
  <conditionalFormatting sqref="H39">
    <cfRule type="cellIs" dxfId="3" priority="1" operator="equal">
      <formula>FALSE</formula>
    </cfRule>
    <cfRule type="cellIs" dxfId="2" priority="2" operator="equal">
      <formula>TRUE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FE728-2B6B-4EEF-B17A-B30D119F261F}">
  <dimension ref="A19:M68"/>
  <sheetViews>
    <sheetView showGridLines="0" tabSelected="1" topLeftCell="A16" workbookViewId="0">
      <selection activeCell="F26" sqref="F26"/>
    </sheetView>
  </sheetViews>
  <sheetFormatPr baseColWidth="10" defaultColWidth="9.140625" defaultRowHeight="15" x14ac:dyDescent="0.25"/>
  <cols>
    <col min="1" max="1" width="37.28515625" bestFit="1" customWidth="1"/>
    <col min="2" max="2" width="15.5703125" bestFit="1" customWidth="1"/>
    <col min="5" max="5" width="32.7109375" bestFit="1" customWidth="1"/>
    <col min="6" max="6" width="17.85546875" bestFit="1" customWidth="1"/>
    <col min="7" max="7" width="3.140625" customWidth="1"/>
    <col min="8" max="8" width="25.140625" bestFit="1" customWidth="1"/>
    <col min="9" max="9" width="16.5703125" bestFit="1" customWidth="1"/>
    <col min="11" max="11" width="6.5703125" customWidth="1"/>
    <col min="12" max="12" width="53.85546875" bestFit="1" customWidth="1"/>
    <col min="13" max="13" width="16.7109375" customWidth="1"/>
  </cols>
  <sheetData>
    <row r="19" spans="1:13" ht="33" x14ac:dyDescent="0.45">
      <c r="A19" s="2" t="s">
        <v>65</v>
      </c>
      <c r="B19" s="3">
        <v>2019</v>
      </c>
      <c r="E19" s="14" t="s">
        <v>27</v>
      </c>
      <c r="F19" s="3" t="s">
        <v>50</v>
      </c>
      <c r="G19" s="3"/>
    </row>
    <row r="20" spans="1:13" ht="16.5" x14ac:dyDescent="0.3">
      <c r="B20" s="4" t="s">
        <v>22</v>
      </c>
      <c r="E20" s="2"/>
      <c r="F20" s="15"/>
      <c r="G20" s="15"/>
    </row>
    <row r="21" spans="1:13" ht="33" x14ac:dyDescent="0.45">
      <c r="A21" s="5" t="s">
        <v>12</v>
      </c>
      <c r="B21" s="6">
        <f>150*600+20*1200+10*600</f>
        <v>120000</v>
      </c>
      <c r="E21" s="2" t="s">
        <v>51</v>
      </c>
      <c r="F21" s="15"/>
      <c r="G21" s="15"/>
      <c r="K21" s="14" t="s">
        <v>66</v>
      </c>
    </row>
    <row r="22" spans="1:13" ht="19.5" x14ac:dyDescent="0.35">
      <c r="A22" t="s">
        <v>14</v>
      </c>
      <c r="B22" s="6">
        <f>15*400+5*400</f>
        <v>8000</v>
      </c>
      <c r="E22" s="2"/>
      <c r="F22" s="15"/>
      <c r="G22" s="15"/>
    </row>
    <row r="23" spans="1:13" ht="27" x14ac:dyDescent="0.45">
      <c r="A23" s="5" t="s">
        <v>25</v>
      </c>
      <c r="B23" s="6">
        <f>+B21-B22</f>
        <v>112000</v>
      </c>
      <c r="E23" s="3" t="s">
        <v>28</v>
      </c>
      <c r="H23" s="3" t="s">
        <v>40</v>
      </c>
      <c r="I23" s="15"/>
      <c r="K23" s="5" t="s">
        <v>67</v>
      </c>
      <c r="L23" s="5"/>
      <c r="M23" s="3" t="s">
        <v>102</v>
      </c>
    </row>
    <row r="24" spans="1:13" ht="19.5" x14ac:dyDescent="0.35">
      <c r="A24" s="4" t="s">
        <v>13</v>
      </c>
      <c r="B24" s="7"/>
      <c r="E24" s="5" t="s">
        <v>29</v>
      </c>
      <c r="F24" s="15"/>
      <c r="G24" s="15"/>
      <c r="H24" s="5" t="s">
        <v>41</v>
      </c>
      <c r="I24" s="15"/>
      <c r="K24" s="4" t="s">
        <v>68</v>
      </c>
      <c r="L24" s="4"/>
      <c r="M24" s="10">
        <f>B33</f>
        <v>61600</v>
      </c>
    </row>
    <row r="25" spans="1:13" ht="16.5" x14ac:dyDescent="0.3">
      <c r="A25" t="s">
        <v>23</v>
      </c>
      <c r="B25" s="7">
        <v>10000</v>
      </c>
      <c r="E25" s="2" t="s">
        <v>30</v>
      </c>
      <c r="F25" s="15">
        <f>400000-300000-18000-8000-10000-5000+90000+20*1200-1000-4000-1000-26400</f>
        <v>140600</v>
      </c>
      <c r="G25" s="15"/>
      <c r="H25" s="2" t="s">
        <v>42</v>
      </c>
      <c r="I25" s="15">
        <f>5*400</f>
        <v>2000</v>
      </c>
      <c r="M25" s="7"/>
    </row>
    <row r="26" spans="1:13" ht="16.5" x14ac:dyDescent="0.3">
      <c r="A26" t="s">
        <v>24</v>
      </c>
      <c r="B26" s="7">
        <f>8000+4000</f>
        <v>12000</v>
      </c>
      <c r="E26" s="4" t="s">
        <v>31</v>
      </c>
      <c r="F26" s="11">
        <f>+F25</f>
        <v>140600</v>
      </c>
      <c r="G26" s="11"/>
      <c r="H26" s="2" t="s">
        <v>57</v>
      </c>
      <c r="I26" s="15"/>
      <c r="L26" t="s">
        <v>69</v>
      </c>
      <c r="M26" s="7">
        <v>1000</v>
      </c>
    </row>
    <row r="27" spans="1:13" ht="17.25" thickBot="1" x14ac:dyDescent="0.35">
      <c r="A27" s="8" t="s">
        <v>15</v>
      </c>
      <c r="B27" s="9">
        <f>SUM(B25:B26)</f>
        <v>22000</v>
      </c>
      <c r="E27" s="2"/>
      <c r="F27" s="15"/>
      <c r="G27" s="15"/>
      <c r="H27" s="4" t="s">
        <v>43</v>
      </c>
      <c r="I27" s="11">
        <f>+I25+I26</f>
        <v>2000</v>
      </c>
      <c r="L27" t="s">
        <v>70</v>
      </c>
      <c r="M27" s="7"/>
    </row>
    <row r="28" spans="1:13" ht="16.5" x14ac:dyDescent="0.3">
      <c r="A28" s="4" t="s">
        <v>16</v>
      </c>
      <c r="B28" s="10">
        <f>B23-B27</f>
        <v>90000</v>
      </c>
      <c r="E28" s="2" t="s">
        <v>32</v>
      </c>
      <c r="F28" s="15">
        <f>10*600</f>
        <v>6000</v>
      </c>
      <c r="G28" s="15"/>
      <c r="H28" s="2"/>
      <c r="I28" s="15"/>
      <c r="L28" t="s">
        <v>71</v>
      </c>
      <c r="M28" s="7"/>
    </row>
    <row r="29" spans="1:13" ht="16.5" x14ac:dyDescent="0.3">
      <c r="A29" t="s">
        <v>17</v>
      </c>
      <c r="B29" s="7">
        <v>-1000</v>
      </c>
      <c r="E29" s="2" t="s">
        <v>33</v>
      </c>
      <c r="F29" s="15"/>
      <c r="G29" s="15"/>
      <c r="H29" s="2" t="s">
        <v>44</v>
      </c>
      <c r="I29" s="15">
        <v>100000</v>
      </c>
      <c r="L29" t="s">
        <v>72</v>
      </c>
      <c r="M29" s="7"/>
    </row>
    <row r="30" spans="1:13" ht="16.5" x14ac:dyDescent="0.3">
      <c r="A30" t="s">
        <v>18</v>
      </c>
      <c r="B30" s="7">
        <v>-1000</v>
      </c>
      <c r="E30" s="4" t="s">
        <v>34</v>
      </c>
      <c r="F30" s="11">
        <f>+F26+F28+F29</f>
        <v>146600</v>
      </c>
      <c r="G30" s="11"/>
      <c r="H30" s="4" t="s">
        <v>45</v>
      </c>
      <c r="I30" s="11">
        <f>+I29</f>
        <v>100000</v>
      </c>
      <c r="L30" t="s">
        <v>73</v>
      </c>
      <c r="M30" s="7"/>
    </row>
    <row r="31" spans="1:13" ht="16.5" x14ac:dyDescent="0.3">
      <c r="A31" s="4" t="s">
        <v>19</v>
      </c>
      <c r="B31" s="11">
        <f>+B28+B29+B30</f>
        <v>88000</v>
      </c>
      <c r="E31" s="2"/>
      <c r="F31" s="15"/>
      <c r="G31" s="15"/>
      <c r="H31" s="2"/>
      <c r="I31" s="15"/>
      <c r="L31" t="s">
        <v>74</v>
      </c>
      <c r="M31" s="7"/>
    </row>
    <row r="32" spans="1:13" ht="19.5" x14ac:dyDescent="0.35">
      <c r="A32" t="s">
        <v>20</v>
      </c>
      <c r="B32" s="7">
        <f>+B31*0.3</f>
        <v>26400</v>
      </c>
      <c r="E32" s="2" t="s">
        <v>35</v>
      </c>
      <c r="F32" s="15">
        <f>300000+18000</f>
        <v>318000</v>
      </c>
      <c r="G32" s="15"/>
      <c r="H32" s="5" t="s">
        <v>46</v>
      </c>
      <c r="I32" s="15"/>
      <c r="L32" t="s">
        <v>75</v>
      </c>
      <c r="M32" s="7"/>
    </row>
    <row r="33" spans="1:13" ht="20.25" thickBot="1" x14ac:dyDescent="0.4">
      <c r="A33" s="12" t="s">
        <v>21</v>
      </c>
      <c r="B33" s="13">
        <f>+B31-B32</f>
        <v>61600</v>
      </c>
      <c r="E33" s="2" t="s">
        <v>36</v>
      </c>
      <c r="F33" s="15">
        <v>-1000</v>
      </c>
      <c r="G33" s="15"/>
      <c r="H33" s="2" t="s">
        <v>47</v>
      </c>
      <c r="I33" s="15">
        <v>300000</v>
      </c>
      <c r="L33" t="s">
        <v>104</v>
      </c>
      <c r="M33" s="7">
        <v>0</v>
      </c>
    </row>
    <row r="34" spans="1:13" ht="16.5" x14ac:dyDescent="0.3">
      <c r="B34" s="7"/>
      <c r="E34" s="2" t="s">
        <v>37</v>
      </c>
      <c r="F34" s="15"/>
      <c r="G34" s="15"/>
      <c r="H34" s="2" t="s">
        <v>52</v>
      </c>
      <c r="I34" s="15">
        <f>+B33</f>
        <v>61600</v>
      </c>
      <c r="L34" t="s">
        <v>32</v>
      </c>
      <c r="M34" s="7">
        <v>-6000</v>
      </c>
    </row>
    <row r="35" spans="1:13" ht="16.5" x14ac:dyDescent="0.3">
      <c r="E35" s="4" t="s">
        <v>38</v>
      </c>
      <c r="F35" s="11">
        <f>+F32+F33+F34</f>
        <v>317000</v>
      </c>
      <c r="G35" s="11"/>
      <c r="H35" s="4" t="s">
        <v>48</v>
      </c>
      <c r="I35" s="11">
        <f>+I33+I34</f>
        <v>361600</v>
      </c>
      <c r="L35" t="s">
        <v>77</v>
      </c>
      <c r="M35" s="7"/>
    </row>
    <row r="36" spans="1:13" ht="19.5" x14ac:dyDescent="0.35">
      <c r="E36" s="5" t="s">
        <v>39</v>
      </c>
      <c r="F36" s="16">
        <f>+F30+F35</f>
        <v>463600</v>
      </c>
      <c r="G36" s="16"/>
      <c r="H36" s="5" t="s">
        <v>49</v>
      </c>
      <c r="I36" s="16">
        <f>+I30+I35+I27</f>
        <v>463600</v>
      </c>
      <c r="L36" t="s">
        <v>78</v>
      </c>
      <c r="M36" s="7"/>
    </row>
    <row r="37" spans="1:13" ht="16.5" x14ac:dyDescent="0.3">
      <c r="E37" s="2"/>
      <c r="F37" s="15"/>
      <c r="G37" s="15"/>
      <c r="L37" t="s">
        <v>79</v>
      </c>
      <c r="M37" s="7">
        <v>2000</v>
      </c>
    </row>
    <row r="38" spans="1:13" x14ac:dyDescent="0.25">
      <c r="L38" t="s">
        <v>80</v>
      </c>
      <c r="M38" s="7"/>
    </row>
    <row r="39" spans="1:13" x14ac:dyDescent="0.25">
      <c r="F39" t="s">
        <v>63</v>
      </c>
      <c r="H39" t="b">
        <f>F36=I36</f>
        <v>1</v>
      </c>
      <c r="M39" s="7"/>
    </row>
    <row r="40" spans="1:13" ht="16.5" x14ac:dyDescent="0.3">
      <c r="K40" s="4" t="s">
        <v>81</v>
      </c>
      <c r="L40" s="4"/>
      <c r="M40" s="10">
        <f>SUM(M24:M38)</f>
        <v>58600</v>
      </c>
    </row>
    <row r="41" spans="1:13" x14ac:dyDescent="0.25">
      <c r="M41" s="7"/>
    </row>
    <row r="42" spans="1:13" ht="19.5" x14ac:dyDescent="0.35">
      <c r="K42" s="5" t="s">
        <v>82</v>
      </c>
      <c r="L42" s="5"/>
      <c r="M42" s="6"/>
    </row>
    <row r="43" spans="1:13" x14ac:dyDescent="0.25">
      <c r="L43" t="s">
        <v>83</v>
      </c>
      <c r="M43" s="7"/>
    </row>
    <row r="44" spans="1:13" x14ac:dyDescent="0.25">
      <c r="L44" t="s">
        <v>84</v>
      </c>
      <c r="M44" s="7">
        <v>100000</v>
      </c>
    </row>
    <row r="45" spans="1:13" x14ac:dyDescent="0.25">
      <c r="L45" t="s">
        <v>85</v>
      </c>
      <c r="M45" s="7"/>
    </row>
    <row r="46" spans="1:13" x14ac:dyDescent="0.25">
      <c r="L46" t="s">
        <v>86</v>
      </c>
      <c r="M46" s="7">
        <v>300000</v>
      </c>
    </row>
    <row r="47" spans="1:13" x14ac:dyDescent="0.25">
      <c r="L47" t="s">
        <v>87</v>
      </c>
      <c r="M47" s="7"/>
    </row>
    <row r="48" spans="1:13" x14ac:dyDescent="0.25">
      <c r="L48" t="s">
        <v>88</v>
      </c>
      <c r="M48" s="7"/>
    </row>
    <row r="49" spans="11:13" x14ac:dyDescent="0.25">
      <c r="M49" s="7"/>
    </row>
    <row r="50" spans="11:13" ht="16.5" x14ac:dyDescent="0.3">
      <c r="K50" s="4" t="s">
        <v>89</v>
      </c>
      <c r="L50" s="4"/>
      <c r="M50" s="10">
        <f>SUM(M43:M48)</f>
        <v>400000</v>
      </c>
    </row>
    <row r="51" spans="11:13" x14ac:dyDescent="0.25">
      <c r="M51" s="7"/>
    </row>
    <row r="52" spans="11:13" ht="19.5" x14ac:dyDescent="0.35">
      <c r="K52" s="5" t="s">
        <v>90</v>
      </c>
      <c r="L52" s="5"/>
      <c r="M52" s="6"/>
    </row>
    <row r="53" spans="11:13" x14ac:dyDescent="0.25">
      <c r="L53" t="s">
        <v>91</v>
      </c>
      <c r="M53" s="7">
        <f>-300000-18000</f>
        <v>-318000</v>
      </c>
    </row>
    <row r="54" spans="11:13" x14ac:dyDescent="0.25">
      <c r="L54" t="s">
        <v>92</v>
      </c>
      <c r="M54" s="7"/>
    </row>
    <row r="55" spans="11:13" x14ac:dyDescent="0.25">
      <c r="L55" t="s">
        <v>93</v>
      </c>
      <c r="M55" s="7"/>
    </row>
    <row r="56" spans="11:13" x14ac:dyDescent="0.25">
      <c r="L56" t="s">
        <v>94</v>
      </c>
      <c r="M56" s="7"/>
    </row>
    <row r="57" spans="11:13" x14ac:dyDescent="0.25">
      <c r="L57" t="s">
        <v>95</v>
      </c>
      <c r="M57" s="7"/>
    </row>
    <row r="58" spans="11:13" x14ac:dyDescent="0.25">
      <c r="L58" t="s">
        <v>96</v>
      </c>
      <c r="M58" s="7"/>
    </row>
    <row r="59" spans="11:13" x14ac:dyDescent="0.25">
      <c r="M59" s="7"/>
    </row>
    <row r="60" spans="11:13" ht="16.5" x14ac:dyDescent="0.3">
      <c r="K60" s="4" t="s">
        <v>97</v>
      </c>
      <c r="L60" s="4"/>
      <c r="M60" s="10">
        <f>SUM(M53:M58)</f>
        <v>-318000</v>
      </c>
    </row>
    <row r="61" spans="11:13" x14ac:dyDescent="0.25">
      <c r="M61" s="7"/>
    </row>
    <row r="62" spans="11:13" x14ac:dyDescent="0.25">
      <c r="K62" t="s">
        <v>98</v>
      </c>
      <c r="M62" s="7"/>
    </row>
    <row r="63" spans="11:13" x14ac:dyDescent="0.25">
      <c r="M63" s="7"/>
    </row>
    <row r="64" spans="11:13" ht="16.5" x14ac:dyDescent="0.3">
      <c r="K64" s="4" t="s">
        <v>99</v>
      </c>
      <c r="L64" s="4"/>
      <c r="M64" s="10">
        <f>M40+M50+M60+M62</f>
        <v>140600</v>
      </c>
    </row>
    <row r="65" spans="11:13" ht="16.5" x14ac:dyDescent="0.3">
      <c r="K65" s="4" t="s">
        <v>100</v>
      </c>
      <c r="L65" s="4"/>
      <c r="M65" s="10">
        <v>0</v>
      </c>
    </row>
    <row r="66" spans="11:13" x14ac:dyDescent="0.25">
      <c r="M66" s="7"/>
    </row>
    <row r="67" spans="11:13" ht="19.5" x14ac:dyDescent="0.35">
      <c r="K67" s="5" t="s">
        <v>101</v>
      </c>
      <c r="M67" s="6">
        <f>M64+M65</f>
        <v>140600</v>
      </c>
    </row>
    <row r="68" spans="11:13" ht="19.5" x14ac:dyDescent="0.35">
      <c r="K68" s="5"/>
      <c r="M68" s="6"/>
    </row>
  </sheetData>
  <conditionalFormatting sqref="H39">
    <cfRule type="cellIs" dxfId="1" priority="1" operator="equal">
      <formula>FALSE</formula>
    </cfRule>
    <cfRule type="cellIs" dxfId="0" priority="2" operator="equal">
      <formula>TRUE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2F627A-58B1-4D75-A358-C08719840B13}">
  <dimension ref="A7:M53"/>
  <sheetViews>
    <sheetView showGridLines="0" workbookViewId="0">
      <selection activeCell="J17" sqref="J17"/>
    </sheetView>
  </sheetViews>
  <sheetFormatPr baseColWidth="10" defaultColWidth="9.140625" defaultRowHeight="15" x14ac:dyDescent="0.25"/>
  <cols>
    <col min="1" max="1" width="37.28515625" bestFit="1" customWidth="1"/>
    <col min="2" max="2" width="15.5703125" bestFit="1" customWidth="1"/>
    <col min="5" max="5" width="32.7109375" bestFit="1" customWidth="1"/>
    <col min="6" max="6" width="17.85546875" bestFit="1" customWidth="1"/>
    <col min="7" max="7" width="3.140625" customWidth="1"/>
    <col min="8" max="8" width="25.140625" bestFit="1" customWidth="1"/>
    <col min="9" max="9" width="16.5703125" bestFit="1" customWidth="1"/>
    <col min="11" max="11" width="6.5703125" customWidth="1"/>
    <col min="12" max="12" width="53.85546875" bestFit="1" customWidth="1"/>
    <col min="13" max="13" width="16.7109375" customWidth="1"/>
  </cols>
  <sheetData>
    <row r="7" spans="1:13" ht="33" x14ac:dyDescent="0.45">
      <c r="K7" s="14" t="s">
        <v>66</v>
      </c>
    </row>
    <row r="9" spans="1:13" ht="27" x14ac:dyDescent="0.45">
      <c r="K9" s="5" t="s">
        <v>67</v>
      </c>
      <c r="L9" s="5"/>
      <c r="M9" s="3" t="s">
        <v>102</v>
      </c>
    </row>
    <row r="10" spans="1:13" ht="16.5" x14ac:dyDescent="0.3">
      <c r="K10" s="4" t="s">
        <v>68</v>
      </c>
      <c r="L10" s="4"/>
      <c r="M10" s="10">
        <f>C40</f>
        <v>0</v>
      </c>
    </row>
    <row r="11" spans="1:13" x14ac:dyDescent="0.25">
      <c r="M11" s="7"/>
    </row>
    <row r="12" spans="1:13" x14ac:dyDescent="0.25">
      <c r="L12" t="s">
        <v>69</v>
      </c>
      <c r="M12" s="7"/>
    </row>
    <row r="13" spans="1:13" ht="33" x14ac:dyDescent="0.45">
      <c r="A13" s="2"/>
      <c r="B13" s="3">
        <v>2019</v>
      </c>
      <c r="E13" s="14" t="s">
        <v>27</v>
      </c>
      <c r="F13" s="3" t="s">
        <v>50</v>
      </c>
      <c r="G13" s="3"/>
      <c r="L13" t="s">
        <v>70</v>
      </c>
      <c r="M13" s="7"/>
    </row>
    <row r="14" spans="1:13" ht="16.5" x14ac:dyDescent="0.3">
      <c r="B14" s="4" t="s">
        <v>22</v>
      </c>
      <c r="E14" s="2"/>
      <c r="F14" s="15"/>
      <c r="G14" s="15"/>
      <c r="L14" t="s">
        <v>71</v>
      </c>
      <c r="M14" s="7"/>
    </row>
    <row r="15" spans="1:13" ht="19.5" x14ac:dyDescent="0.35">
      <c r="A15" s="5" t="s">
        <v>12</v>
      </c>
      <c r="B15" s="6">
        <f>150*600+20*1200+10*600</f>
        <v>120000</v>
      </c>
      <c r="E15" s="2" t="s">
        <v>51</v>
      </c>
      <c r="F15" s="15"/>
      <c r="G15" s="15"/>
      <c r="L15" t="s">
        <v>72</v>
      </c>
      <c r="M15" s="7"/>
    </row>
    <row r="16" spans="1:13" ht="19.5" x14ac:dyDescent="0.35">
      <c r="A16" t="s">
        <v>14</v>
      </c>
      <c r="B16" s="6">
        <f>15*400+5*400</f>
        <v>8000</v>
      </c>
      <c r="E16" s="2"/>
      <c r="F16" s="15"/>
      <c r="G16" s="15"/>
      <c r="L16" t="s">
        <v>73</v>
      </c>
      <c r="M16" s="7"/>
    </row>
    <row r="17" spans="1:13" ht="27" x14ac:dyDescent="0.45">
      <c r="A17" s="5" t="s">
        <v>25</v>
      </c>
      <c r="B17" s="6">
        <f>+B15-B16</f>
        <v>112000</v>
      </c>
      <c r="E17" s="3" t="s">
        <v>28</v>
      </c>
      <c r="H17" s="3" t="s">
        <v>40</v>
      </c>
      <c r="I17" s="15"/>
      <c r="L17" t="s">
        <v>74</v>
      </c>
      <c r="M17" s="7"/>
    </row>
    <row r="18" spans="1:13" ht="19.5" x14ac:dyDescent="0.35">
      <c r="A18" s="4" t="s">
        <v>13</v>
      </c>
      <c r="B18" s="7"/>
      <c r="E18" s="5" t="s">
        <v>29</v>
      </c>
      <c r="F18" s="15"/>
      <c r="G18" s="15"/>
      <c r="H18" s="5" t="s">
        <v>41</v>
      </c>
      <c r="I18" s="15"/>
      <c r="L18" t="s">
        <v>75</v>
      </c>
      <c r="M18" s="7"/>
    </row>
    <row r="19" spans="1:13" ht="16.5" x14ac:dyDescent="0.3">
      <c r="A19" t="s">
        <v>23</v>
      </c>
      <c r="B19" s="7">
        <v>10000</v>
      </c>
      <c r="E19" s="2" t="s">
        <v>30</v>
      </c>
      <c r="F19" s="15">
        <f>100000-18000-8000-10000-5000+90000+20*1200-1000-4000-1000-B26</f>
        <v>140600</v>
      </c>
      <c r="G19" s="15"/>
      <c r="H19" s="2" t="s">
        <v>42</v>
      </c>
      <c r="I19" s="15">
        <v>2000</v>
      </c>
      <c r="L19" t="s">
        <v>76</v>
      </c>
      <c r="M19" s="7"/>
    </row>
    <row r="20" spans="1:13" ht="16.5" x14ac:dyDescent="0.3">
      <c r="A20" t="s">
        <v>24</v>
      </c>
      <c r="B20" s="7">
        <f>8000+4000</f>
        <v>12000</v>
      </c>
      <c r="E20" s="4" t="s">
        <v>31</v>
      </c>
      <c r="F20" s="11">
        <f>+F19</f>
        <v>140600</v>
      </c>
      <c r="G20" s="11"/>
      <c r="H20" s="2" t="s">
        <v>57</v>
      </c>
      <c r="I20" s="15"/>
      <c r="L20" t="s">
        <v>32</v>
      </c>
      <c r="M20" s="7"/>
    </row>
    <row r="21" spans="1:13" ht="17.25" thickBot="1" x14ac:dyDescent="0.35">
      <c r="A21" s="8" t="s">
        <v>15</v>
      </c>
      <c r="B21" s="9">
        <f>+B17-B19-B20</f>
        <v>90000</v>
      </c>
      <c r="E21" s="2"/>
      <c r="F21" s="15"/>
      <c r="G21" s="15"/>
      <c r="H21" s="4" t="s">
        <v>43</v>
      </c>
      <c r="I21" s="11">
        <f>+I19+I20</f>
        <v>2000</v>
      </c>
      <c r="L21" t="s">
        <v>77</v>
      </c>
      <c r="M21" s="7"/>
    </row>
    <row r="22" spans="1:13" ht="16.5" x14ac:dyDescent="0.3">
      <c r="A22" s="4" t="s">
        <v>16</v>
      </c>
      <c r="B22" s="10"/>
      <c r="E22" s="2" t="s">
        <v>32</v>
      </c>
      <c r="F22" s="15">
        <v>6000</v>
      </c>
      <c r="G22" s="15"/>
      <c r="H22" s="2"/>
      <c r="I22" s="15"/>
      <c r="L22" t="s">
        <v>78</v>
      </c>
      <c r="M22" s="7"/>
    </row>
    <row r="23" spans="1:13" ht="16.5" x14ac:dyDescent="0.3">
      <c r="A23" t="s">
        <v>17</v>
      </c>
      <c r="B23" s="7">
        <v>-1000</v>
      </c>
      <c r="E23" s="2" t="s">
        <v>33</v>
      </c>
      <c r="F23" s="15">
        <v>0</v>
      </c>
      <c r="G23" s="15"/>
      <c r="H23" s="2" t="s">
        <v>44</v>
      </c>
      <c r="I23" s="15">
        <v>100000</v>
      </c>
      <c r="L23" t="s">
        <v>79</v>
      </c>
      <c r="M23" s="7"/>
    </row>
    <row r="24" spans="1:13" ht="16.5" x14ac:dyDescent="0.3">
      <c r="A24" t="s">
        <v>18</v>
      </c>
      <c r="B24" s="7">
        <v>-1000</v>
      </c>
      <c r="E24" s="4" t="s">
        <v>34</v>
      </c>
      <c r="F24" s="11">
        <f>+F20+F22+F23</f>
        <v>146600</v>
      </c>
      <c r="G24" s="11"/>
      <c r="H24" s="4" t="s">
        <v>45</v>
      </c>
      <c r="I24" s="11">
        <f>+I23</f>
        <v>100000</v>
      </c>
      <c r="L24" t="s">
        <v>80</v>
      </c>
      <c r="M24" s="7"/>
    </row>
    <row r="25" spans="1:13" ht="16.5" x14ac:dyDescent="0.3">
      <c r="A25" s="4" t="s">
        <v>19</v>
      </c>
      <c r="B25" s="11">
        <f>+B21+B23+B24</f>
        <v>88000</v>
      </c>
      <c r="E25" s="2"/>
      <c r="F25" s="15"/>
      <c r="G25" s="15"/>
      <c r="H25" s="2"/>
      <c r="I25" s="15"/>
      <c r="M25" s="7"/>
    </row>
    <row r="26" spans="1:13" ht="19.5" x14ac:dyDescent="0.35">
      <c r="A26" t="s">
        <v>20</v>
      </c>
      <c r="B26" s="7">
        <f>+B25*0.3</f>
        <v>26400</v>
      </c>
      <c r="E26" s="2" t="s">
        <v>35</v>
      </c>
      <c r="F26" s="15">
        <f>300000+18000</f>
        <v>318000</v>
      </c>
      <c r="G26" s="15"/>
      <c r="H26" s="5" t="s">
        <v>46</v>
      </c>
      <c r="I26" s="15"/>
      <c r="K26" s="4" t="s">
        <v>81</v>
      </c>
      <c r="L26" s="4"/>
      <c r="M26" s="10">
        <f>SUM(M10:M24)</f>
        <v>0</v>
      </c>
    </row>
    <row r="27" spans="1:13" ht="20.25" thickBot="1" x14ac:dyDescent="0.4">
      <c r="A27" s="12" t="s">
        <v>21</v>
      </c>
      <c r="B27" s="13">
        <f>+B25-B26</f>
        <v>61600</v>
      </c>
      <c r="E27" s="2" t="s">
        <v>36</v>
      </c>
      <c r="F27" s="15">
        <v>-1000</v>
      </c>
      <c r="G27" s="15"/>
      <c r="H27" s="2" t="s">
        <v>47</v>
      </c>
      <c r="I27" s="15">
        <v>300000</v>
      </c>
      <c r="M27" s="7"/>
    </row>
    <row r="28" spans="1:13" ht="19.5" x14ac:dyDescent="0.35">
      <c r="B28" s="7"/>
      <c r="E28" s="2" t="s">
        <v>37</v>
      </c>
      <c r="F28" s="15"/>
      <c r="G28" s="15"/>
      <c r="H28" s="2" t="s">
        <v>52</v>
      </c>
      <c r="I28" s="15">
        <f>+B27</f>
        <v>61600</v>
      </c>
      <c r="K28" s="5" t="s">
        <v>82</v>
      </c>
      <c r="L28" s="5"/>
      <c r="M28" s="6"/>
    </row>
    <row r="29" spans="1:13" ht="16.5" x14ac:dyDescent="0.3">
      <c r="E29" s="4" t="s">
        <v>38</v>
      </c>
      <c r="F29" s="11">
        <f>+F26+F27+F28</f>
        <v>317000</v>
      </c>
      <c r="G29" s="11"/>
      <c r="H29" s="4" t="s">
        <v>48</v>
      </c>
      <c r="I29" s="11">
        <f>+I27+I28</f>
        <v>361600</v>
      </c>
      <c r="L29" t="s">
        <v>83</v>
      </c>
      <c r="M29" s="7"/>
    </row>
    <row r="30" spans="1:13" ht="19.5" x14ac:dyDescent="0.35">
      <c r="E30" s="5" t="s">
        <v>39</v>
      </c>
      <c r="F30" s="16">
        <f>+F24+F29</f>
        <v>463600</v>
      </c>
      <c r="G30" s="16"/>
      <c r="H30" s="5" t="s">
        <v>49</v>
      </c>
      <c r="I30" s="16">
        <f>+I24+I29+I21</f>
        <v>463600</v>
      </c>
      <c r="L30" t="s">
        <v>84</v>
      </c>
      <c r="M30" s="7"/>
    </row>
    <row r="31" spans="1:13" ht="16.5" x14ac:dyDescent="0.3">
      <c r="E31" s="2"/>
      <c r="F31" s="15"/>
      <c r="G31" s="15"/>
      <c r="L31" t="s">
        <v>85</v>
      </c>
      <c r="M31" s="7"/>
    </row>
    <row r="32" spans="1:13" x14ac:dyDescent="0.25">
      <c r="L32" t="s">
        <v>86</v>
      </c>
      <c r="M32" s="7"/>
    </row>
    <row r="33" spans="6:13" x14ac:dyDescent="0.25">
      <c r="F33" t="s">
        <v>63</v>
      </c>
      <c r="H33" t="b">
        <f>F30=I30</f>
        <v>1</v>
      </c>
      <c r="L33" t="s">
        <v>87</v>
      </c>
      <c r="M33" s="7"/>
    </row>
    <row r="34" spans="6:13" x14ac:dyDescent="0.25">
      <c r="L34" t="s">
        <v>88</v>
      </c>
      <c r="M34" s="7"/>
    </row>
    <row r="35" spans="6:13" x14ac:dyDescent="0.25">
      <c r="M35" s="7"/>
    </row>
    <row r="36" spans="6:13" ht="16.5" x14ac:dyDescent="0.3">
      <c r="K36" s="4" t="s">
        <v>89</v>
      </c>
      <c r="L36" s="4"/>
      <c r="M36" s="10">
        <f>SUM(M29:M34)</f>
        <v>0</v>
      </c>
    </row>
    <row r="37" spans="6:13" x14ac:dyDescent="0.25">
      <c r="M37" s="7"/>
    </row>
    <row r="38" spans="6:13" ht="19.5" x14ac:dyDescent="0.35">
      <c r="K38" s="5" t="s">
        <v>90</v>
      </c>
      <c r="L38" s="5"/>
      <c r="M38" s="6"/>
    </row>
    <row r="39" spans="6:13" x14ac:dyDescent="0.25">
      <c r="L39" t="s">
        <v>91</v>
      </c>
      <c r="M39" s="7"/>
    </row>
    <row r="40" spans="6:13" x14ac:dyDescent="0.25">
      <c r="L40" t="s">
        <v>92</v>
      </c>
      <c r="M40" s="7"/>
    </row>
    <row r="41" spans="6:13" x14ac:dyDescent="0.25">
      <c r="L41" t="s">
        <v>93</v>
      </c>
      <c r="M41" s="7"/>
    </row>
    <row r="42" spans="6:13" x14ac:dyDescent="0.25">
      <c r="L42" t="s">
        <v>94</v>
      </c>
      <c r="M42" s="7"/>
    </row>
    <row r="43" spans="6:13" x14ac:dyDescent="0.25">
      <c r="L43" t="s">
        <v>95</v>
      </c>
      <c r="M43" s="7"/>
    </row>
    <row r="44" spans="6:13" x14ac:dyDescent="0.25">
      <c r="L44" t="s">
        <v>96</v>
      </c>
      <c r="M44" s="7"/>
    </row>
    <row r="45" spans="6:13" x14ac:dyDescent="0.25">
      <c r="M45" s="7"/>
    </row>
    <row r="46" spans="6:13" ht="16.5" x14ac:dyDescent="0.3">
      <c r="K46" s="4" t="s">
        <v>97</v>
      </c>
      <c r="L46" s="4"/>
      <c r="M46" s="10">
        <f>SUM(M39:M44)</f>
        <v>0</v>
      </c>
    </row>
    <row r="47" spans="6:13" x14ac:dyDescent="0.25">
      <c r="M47" s="7"/>
    </row>
    <row r="48" spans="6:13" x14ac:dyDescent="0.25">
      <c r="K48" t="s">
        <v>98</v>
      </c>
      <c r="M48" s="7"/>
    </row>
    <row r="49" spans="11:13" x14ac:dyDescent="0.25">
      <c r="M49" s="7"/>
    </row>
    <row r="50" spans="11:13" ht="16.5" x14ac:dyDescent="0.3">
      <c r="K50" s="4" t="s">
        <v>99</v>
      </c>
      <c r="L50" s="4"/>
      <c r="M50" s="10">
        <f>M26+M36+M46+M48</f>
        <v>0</v>
      </c>
    </row>
    <row r="51" spans="11:13" ht="16.5" x14ac:dyDescent="0.3">
      <c r="K51" s="4" t="s">
        <v>100</v>
      </c>
      <c r="L51" s="4"/>
      <c r="M51" s="10">
        <f>F26</f>
        <v>318000</v>
      </c>
    </row>
    <row r="52" spans="11:13" x14ac:dyDescent="0.25">
      <c r="M52" s="7"/>
    </row>
    <row r="53" spans="11:13" ht="19.5" x14ac:dyDescent="0.35">
      <c r="K53" s="5" t="s">
        <v>101</v>
      </c>
      <c r="M53" s="6">
        <f>M50+M51</f>
        <v>318000</v>
      </c>
    </row>
  </sheetData>
  <conditionalFormatting sqref="H33">
    <cfRule type="cellIs" dxfId="5" priority="1" operator="equal">
      <formula>FALSE</formula>
    </cfRule>
    <cfRule type="cellIs" dxfId="4" priority="2" operator="equal">
      <formula>TRUE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3242CC833285B46B5C4014115C780B0" ma:contentTypeVersion="8" ma:contentTypeDescription="Crear nuevo documento." ma:contentTypeScope="" ma:versionID="78c120e0aee8328b842403f484163242">
  <xsd:schema xmlns:xsd="http://www.w3.org/2001/XMLSchema" xmlns:xs="http://www.w3.org/2001/XMLSchema" xmlns:p="http://schemas.microsoft.com/office/2006/metadata/properties" xmlns:ns3="8b663a21-878a-481c-9a9b-888d08a293cc" targetNamespace="http://schemas.microsoft.com/office/2006/metadata/properties" ma:root="true" ma:fieldsID="4f62d8d88e635a1f84306ac14e179ef9" ns3:_="">
    <xsd:import namespace="8b663a21-878a-481c-9a9b-888d08a293cc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b663a21-878a-481c-9a9b-888d08a293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OCR" ma:index="12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7518DE9-0015-4325-AF11-8854AA611B2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23DB3BA-DDEE-4E4E-B305-BE685014A92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3B35D3CD-5140-4666-A909-ACB2E2D8393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b663a21-878a-481c-9a9b-888d08a293c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Hoja de Balance</vt:lpstr>
      <vt:lpstr>Estado de Resultados</vt:lpstr>
      <vt:lpstr>Sheet1</vt:lpstr>
      <vt:lpstr>Flujo de Efectivo</vt:lpstr>
      <vt:lpstr>Capital Inicial</vt:lpstr>
      <vt:lpstr>Compras</vt:lpstr>
      <vt:lpstr>Publicidad e Inv.</vt:lpstr>
      <vt:lpstr>Ventas</vt:lpstr>
      <vt:lpstr>Gastos Adicionales</vt:lpstr>
      <vt:lpstr>Final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Contreras</dc:creator>
  <cp:lastModifiedBy>dan@cristigo.onmicrosoft.com</cp:lastModifiedBy>
  <dcterms:created xsi:type="dcterms:W3CDTF">2020-01-01T20:49:20Z</dcterms:created>
  <dcterms:modified xsi:type="dcterms:W3CDTF">2020-01-30T00:06:44Z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0x01010093242CC833285B46B5C4014115C780B0</vt:lpwstr>
  </property>
</Properties>
</file>