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ic/Desktop/EPFL/Spacecraft design/SE/Budget/"/>
    </mc:Choice>
  </mc:AlternateContent>
  <xr:revisionPtr revIDLastSave="0" documentId="13_ncr:1_{CB662ECF-A795-FA42-8101-CF263EAA22D6}" xr6:coauthVersionLast="45" xr6:coauthVersionMax="45" xr10:uidLastSave="{00000000-0000-0000-0000-000000000000}"/>
  <bookViews>
    <workbookView xWindow="0" yWindow="460" windowWidth="25600" windowHeight="15000" xr2:uid="{50EFAC85-95AF-D04E-86C8-ECE44422E7D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" l="1"/>
  <c r="K41" i="1"/>
  <c r="E39" i="1" l="1"/>
  <c r="E16" i="1"/>
  <c r="E17" i="1"/>
  <c r="D28" i="1" l="1"/>
  <c r="D27" i="1"/>
  <c r="L26" i="1" l="1"/>
  <c r="L16" i="1"/>
  <c r="K16" i="1"/>
  <c r="E21" i="1"/>
  <c r="F21" i="1"/>
  <c r="G21" i="1"/>
  <c r="H21" i="1"/>
  <c r="I21" i="1"/>
  <c r="J21" i="1"/>
  <c r="K21" i="1"/>
  <c r="L21" i="1"/>
  <c r="M21" i="1"/>
  <c r="N21" i="1"/>
  <c r="D21" i="1"/>
  <c r="K13" i="1"/>
  <c r="B45" i="1"/>
  <c r="B40" i="1"/>
  <c r="J16" i="1"/>
  <c r="I16" i="1"/>
  <c r="H16" i="1"/>
  <c r="H17" i="1" s="1"/>
  <c r="D41" i="1"/>
  <c r="B39" i="1"/>
  <c r="B46" i="1" s="1"/>
  <c r="B47" i="1" s="1"/>
  <c r="G16" i="1"/>
  <c r="G17" i="1" s="1"/>
  <c r="F16" i="1"/>
  <c r="G22" i="1"/>
  <c r="J22" i="1"/>
  <c r="M22" i="1"/>
  <c r="N22" i="1"/>
  <c r="F17" i="1"/>
  <c r="I17" i="1"/>
  <c r="J17" i="1"/>
  <c r="K17" i="1"/>
  <c r="L17" i="1"/>
  <c r="M17" i="1"/>
  <c r="N17" i="1"/>
  <c r="E15" i="1"/>
  <c r="F15" i="1"/>
  <c r="G15" i="1"/>
  <c r="H15" i="1"/>
  <c r="I15" i="1"/>
  <c r="J15" i="1"/>
  <c r="K15" i="1"/>
  <c r="L15" i="1"/>
  <c r="M15" i="1"/>
  <c r="N15" i="1"/>
  <c r="L10" i="1"/>
  <c r="I10" i="1"/>
  <c r="F10" i="1"/>
  <c r="E11" i="1"/>
  <c r="E12" i="1" s="1"/>
  <c r="F11" i="1"/>
  <c r="G11" i="1"/>
  <c r="G12" i="1" s="1"/>
  <c r="H11" i="1"/>
  <c r="H12" i="1" s="1"/>
  <c r="I11" i="1"/>
  <c r="J11" i="1"/>
  <c r="J12" i="1" s="1"/>
  <c r="K11" i="1"/>
  <c r="K12" i="1" s="1"/>
  <c r="L11" i="1"/>
  <c r="L12" i="1" s="1"/>
  <c r="M11" i="1"/>
  <c r="M12" i="1" s="1"/>
  <c r="N11" i="1"/>
  <c r="N12" i="1" s="1"/>
  <c r="N9" i="1"/>
  <c r="E9" i="1"/>
  <c r="F9" i="1"/>
  <c r="G9" i="1"/>
  <c r="H9" i="1"/>
  <c r="I9" i="1"/>
  <c r="J9" i="1"/>
  <c r="K9" i="1"/>
  <c r="L9" i="1"/>
  <c r="M9" i="1"/>
  <c r="D22" i="1"/>
  <c r="D16" i="1"/>
  <c r="D17" i="1" s="1"/>
  <c r="D15" i="1"/>
  <c r="D9" i="1"/>
  <c r="D11" i="1"/>
  <c r="D12" i="1" s="1"/>
  <c r="I12" i="1" l="1"/>
  <c r="B49" i="1"/>
  <c r="B44" i="1"/>
  <c r="L6" i="1"/>
  <c r="K6" i="1"/>
  <c r="J6" i="1"/>
  <c r="J25" i="1" s="1"/>
  <c r="H6" i="1"/>
  <c r="F12" i="1"/>
  <c r="F6" i="1" s="1"/>
  <c r="N6" i="1"/>
  <c r="N25" i="1" s="1"/>
  <c r="N27" i="1" s="1"/>
  <c r="N28" i="1" s="1"/>
  <c r="E6" i="1"/>
  <c r="D39" i="1" s="1"/>
  <c r="D6" i="1"/>
  <c r="D25" i="1" s="1"/>
  <c r="I6" i="1"/>
  <c r="G6" i="1"/>
  <c r="G25" i="1" s="1"/>
  <c r="G30" i="1" s="1"/>
  <c r="M6" i="1"/>
  <c r="M25" i="1" s="1"/>
  <c r="D50" i="1" l="1"/>
  <c r="D51" i="1" s="1"/>
  <c r="H23" i="1"/>
  <c r="H22" i="1" s="1"/>
  <c r="H25" i="1" s="1"/>
  <c r="L23" i="1"/>
  <c r="L22" i="1" s="1"/>
  <c r="L25" i="1" s="1"/>
  <c r="L27" i="1" s="1"/>
  <c r="M27" i="1" s="1"/>
  <c r="K28" i="1" s="1"/>
  <c r="F23" i="1"/>
  <c r="F22" i="1" s="1"/>
  <c r="F25" i="1" s="1"/>
  <c r="K23" i="1"/>
  <c r="K22" i="1" s="1"/>
  <c r="K25" i="1" s="1"/>
  <c r="I23" i="1"/>
  <c r="I22" i="1" s="1"/>
  <c r="I25" i="1" s="1"/>
  <c r="I27" i="1" s="1"/>
  <c r="J27" i="1" s="1"/>
  <c r="H28" i="1" s="1"/>
  <c r="E23" i="1"/>
  <c r="E22" i="1" s="1"/>
  <c r="E25" i="1" s="1"/>
  <c r="E30" i="1" s="1"/>
  <c r="B54" i="1" l="1"/>
  <c r="F30" i="1"/>
  <c r="F32" i="1" s="1"/>
  <c r="F27" i="1"/>
  <c r="G27" i="1" s="1"/>
  <c r="E28" i="1" s="1"/>
</calcChain>
</file>

<file path=xl/sharedStrings.xml><?xml version="1.0" encoding="utf-8"?>
<sst xmlns="http://schemas.openxmlformats.org/spreadsheetml/2006/main" count="79" uniqueCount="60">
  <si>
    <t>Mission phase</t>
  </si>
  <si>
    <t>sub-phase</t>
  </si>
  <si>
    <t>Spacecraft mode</t>
  </si>
  <si>
    <t>MEO insertion</t>
  </si>
  <si>
    <t>Cruising</t>
  </si>
  <si>
    <t>Station keeping</t>
  </si>
  <si>
    <t>Manifold insertion</t>
  </si>
  <si>
    <t>Coast</t>
  </si>
  <si>
    <t>Thrust</t>
  </si>
  <si>
    <t>Eclipse</t>
  </si>
  <si>
    <t>Charge</t>
  </si>
  <si>
    <t>Full power</t>
  </si>
  <si>
    <t>low power</t>
  </si>
  <si>
    <t>Lunar Eclipse</t>
  </si>
  <si>
    <t>Structure</t>
  </si>
  <si>
    <t>Spacecraft cooling</t>
  </si>
  <si>
    <t xml:space="preserve">Solar panel orientation </t>
  </si>
  <si>
    <t>Gimbals</t>
  </si>
  <si>
    <t>EP engines</t>
  </si>
  <si>
    <t>Propulsion</t>
  </si>
  <si>
    <t>Telecommunication</t>
  </si>
  <si>
    <t>Primary system</t>
  </si>
  <si>
    <t>Secondary system</t>
  </si>
  <si>
    <t>Electrical Power</t>
  </si>
  <si>
    <t>Distribution</t>
  </si>
  <si>
    <t>ADCS</t>
  </si>
  <si>
    <t>Sensors</t>
  </si>
  <si>
    <t>C&amp;DH</t>
  </si>
  <si>
    <t xml:space="preserve">Solar Panel  </t>
  </si>
  <si>
    <t>Power OUT [W]</t>
  </si>
  <si>
    <t>Power IN [W]</t>
  </si>
  <si>
    <t>Total Power [W]</t>
  </si>
  <si>
    <t>Battery level [%]</t>
  </si>
  <si>
    <t>Margin [Wh]</t>
  </si>
  <si>
    <t>Total (20% cont.)</t>
  </si>
  <si>
    <t>Duration [h]</t>
  </si>
  <si>
    <t>Battery</t>
  </si>
  <si>
    <t>Size [Wh]</t>
  </si>
  <si>
    <t>Specific energy [Wh/kg]</t>
  </si>
  <si>
    <t>Total mass [kg]</t>
  </si>
  <si>
    <t>Solar panel</t>
  </si>
  <si>
    <t>Max power [W]</t>
  </si>
  <si>
    <t>total efficiency [%]</t>
  </si>
  <si>
    <t>Solar constant [W/m^2]</t>
  </si>
  <si>
    <t>Surface [m^2]</t>
  </si>
  <si>
    <t>length</t>
  </si>
  <si>
    <t>Relay</t>
  </si>
  <si>
    <t>Specific energy [Wh]</t>
  </si>
  <si>
    <t>cell number</t>
  </si>
  <si>
    <t>cell max voltage</t>
  </si>
  <si>
    <t>cell pack number</t>
  </si>
  <si>
    <t>Energy density [Wh/l]</t>
  </si>
  <si>
    <t>Total volume [l]</t>
  </si>
  <si>
    <t>length [cm]</t>
  </si>
  <si>
    <t>height  [cm]</t>
  </si>
  <si>
    <t>CMG</t>
  </si>
  <si>
    <t>M</t>
  </si>
  <si>
    <t>Radiation dose</t>
  </si>
  <si>
    <t>Orange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</si>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</sst>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0" fillId="0" borderId="3" xfId="0" applyBorder="1"/>
    <xf numFmtId="0" fontId="4" fillId="0" borderId="4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2" fontId="0" fillId="0" borderId="6" xfId="0" applyNumberFormat="1" applyBorder="1"/>
    <xf numFmtId="0" fontId="0" fillId="0" borderId="0" xfId="0" applyFill="1" applyBorder="1"/>
    <xf numFmtId="0" fontId="2" fillId="0" borderId="1" xfId="0" applyFont="1" applyBorder="1" applyAlignment="1">
      <alignment vertical="center"/>
    </xf>
    <xf numFmtId="0" fontId="3" fillId="0" borderId="0" xfId="0" applyFont="1" applyBorder="1"/>
    <xf numFmtId="0" fontId="1" fillId="0" borderId="16" xfId="0" applyFont="1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2" fillId="0" borderId="24" xfId="0" applyFont="1" applyBorder="1" applyAlignment="1">
      <alignment vertical="center"/>
    </xf>
    <xf numFmtId="0" fontId="0" fillId="0" borderId="24" xfId="0" applyBorder="1"/>
    <xf numFmtId="0" fontId="2" fillId="0" borderId="27" xfId="0" applyFont="1" applyBorder="1"/>
    <xf numFmtId="0" fontId="3" fillId="0" borderId="32" xfId="0" applyFont="1" applyBorder="1"/>
    <xf numFmtId="0" fontId="3" fillId="0" borderId="25" xfId="0" applyFont="1" applyBorder="1"/>
    <xf numFmtId="0" fontId="3" fillId="0" borderId="35" xfId="0" applyFont="1" applyBorder="1"/>
    <xf numFmtId="0" fontId="3" fillId="0" borderId="34" xfId="0" applyFont="1" applyBorder="1"/>
    <xf numFmtId="0" fontId="3" fillId="0" borderId="26" xfId="0" applyFont="1" applyBorder="1"/>
    <xf numFmtId="0" fontId="3" fillId="0" borderId="0" xfId="0" applyFont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1" fillId="0" borderId="37" xfId="0" applyFont="1" applyBorder="1"/>
    <xf numFmtId="0" fontId="0" fillId="0" borderId="12" xfId="0" applyBorder="1"/>
    <xf numFmtId="0" fontId="0" fillId="0" borderId="13" xfId="0" applyBorder="1"/>
    <xf numFmtId="2" fontId="0" fillId="0" borderId="11" xfId="0" applyNumberFormat="1" applyBorder="1"/>
    <xf numFmtId="0" fontId="0" fillId="0" borderId="13" xfId="0" applyFill="1" applyBorder="1"/>
    <xf numFmtId="0" fontId="0" fillId="0" borderId="37" xfId="0" applyBorder="1"/>
    <xf numFmtId="0" fontId="0" fillId="0" borderId="38" xfId="0" applyBorder="1"/>
    <xf numFmtId="164" fontId="0" fillId="0" borderId="16" xfId="0" applyNumberFormat="1" applyBorder="1"/>
    <xf numFmtId="164" fontId="0" fillId="0" borderId="25" xfId="0" applyNumberFormat="1" applyBorder="1"/>
    <xf numFmtId="0" fontId="1" fillId="0" borderId="15" xfId="0" applyFont="1" applyBorder="1"/>
    <xf numFmtId="2" fontId="0" fillId="0" borderId="7" xfId="0" applyNumberFormat="1" applyBorder="1"/>
    <xf numFmtId="0" fontId="0" fillId="0" borderId="5" xfId="0" applyFill="1" applyBorder="1"/>
    <xf numFmtId="164" fontId="0" fillId="0" borderId="15" xfId="0" applyNumberFormat="1" applyBorder="1"/>
    <xf numFmtId="164" fontId="0" fillId="0" borderId="34" xfId="0" applyNumberFormat="1" applyBorder="1"/>
    <xf numFmtId="0" fontId="1" fillId="0" borderId="17" xfId="0" applyFont="1" applyBorder="1"/>
    <xf numFmtId="0" fontId="0" fillId="0" borderId="32" xfId="0" applyBorder="1"/>
    <xf numFmtId="2" fontId="0" fillId="0" borderId="22" xfId="0" applyNumberFormat="1" applyBorder="1"/>
    <xf numFmtId="0" fontId="0" fillId="0" borderId="21" xfId="0" applyFill="1" applyBorder="1"/>
    <xf numFmtId="164" fontId="0" fillId="0" borderId="17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21" xfId="0" applyNumberFormat="1" applyBorder="1"/>
    <xf numFmtId="2" fontId="0" fillId="0" borderId="0" xfId="0" applyNumberFormat="1"/>
    <xf numFmtId="164" fontId="0" fillId="0" borderId="0" xfId="0" applyNumberFormat="1"/>
    <xf numFmtId="0" fontId="0" fillId="0" borderId="31" xfId="0" applyBorder="1"/>
    <xf numFmtId="0" fontId="0" fillId="0" borderId="31" xfId="0" applyBorder="1" applyAlignment="1">
      <alignment wrapText="1"/>
    </xf>
    <xf numFmtId="0" fontId="0" fillId="0" borderId="33" xfId="0" applyBorder="1"/>
    <xf numFmtId="2" fontId="0" fillId="0" borderId="26" xfId="0" applyNumberFormat="1" applyBorder="1"/>
    <xf numFmtId="164" fontId="0" fillId="0" borderId="26" xfId="0" applyNumberFormat="1" applyBorder="1"/>
    <xf numFmtId="164" fontId="0" fillId="0" borderId="21" xfId="0" applyNumberFormat="1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7" xfId="0" applyFill="1" applyBorder="1"/>
    <xf numFmtId="0" fontId="1" fillId="0" borderId="39" xfId="0" applyFont="1" applyBorder="1"/>
    <xf numFmtId="164" fontId="1" fillId="0" borderId="39" xfId="0" applyNumberFormat="1" applyFont="1" applyBorder="1"/>
    <xf numFmtId="164" fontId="1" fillId="0" borderId="16" xfId="0" applyNumberFormat="1" applyFont="1" applyBorder="1"/>
    <xf numFmtId="164" fontId="1" fillId="0" borderId="15" xfId="0" applyNumberFormat="1" applyFont="1" applyBorder="1"/>
    <xf numFmtId="164" fontId="1" fillId="0" borderId="17" xfId="0" applyNumberFormat="1" applyFont="1" applyBorder="1"/>
    <xf numFmtId="164" fontId="1" fillId="0" borderId="26" xfId="0" applyNumberFormat="1" applyFont="1" applyBorder="1"/>
    <xf numFmtId="0" fontId="0" fillId="0" borderId="40" xfId="0" applyBorder="1"/>
    <xf numFmtId="164" fontId="1" fillId="0" borderId="35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 vertical="center" textRotation="45"/>
    </xf>
    <xf numFmtId="0" fontId="4" fillId="0" borderId="23" xfId="0" applyFont="1" applyBorder="1" applyAlignment="1">
      <alignment horizontal="center" vertical="center" textRotation="45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 textRotation="45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0" fillId="0" borderId="13" xfId="0" applyNumberFormat="1" applyBorder="1"/>
    <xf numFmtId="2" fontId="1" fillId="0" borderId="3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C388-DDA9-984E-B184-6A4C38ADD546}">
  <dimension ref="A1:N54"/>
  <sheetViews>
    <sheetView tabSelected="1" topLeftCell="A19" zoomScale="59" zoomScaleNormal="75" workbookViewId="0">
      <selection activeCell="J42" sqref="J42"/>
    </sheetView>
  </sheetViews>
  <sheetFormatPr baseColWidth="10" defaultRowHeight="16" x14ac:dyDescent="0.2"/>
  <cols>
    <col min="1" max="1" width="18.33203125" customWidth="1"/>
    <col min="2" max="2" width="24.83203125" customWidth="1"/>
    <col min="3" max="3" width="19.5" customWidth="1"/>
    <col min="4" max="4" width="15.83203125" customWidth="1"/>
    <col min="5" max="5" width="10.83203125" customWidth="1"/>
    <col min="6" max="6" width="13" customWidth="1"/>
    <col min="7" max="7" width="11.6640625" customWidth="1"/>
    <col min="9" max="9" width="12.5" customWidth="1"/>
    <col min="10" max="10" width="11.83203125" customWidth="1"/>
    <col min="12" max="12" width="11.83203125" customWidth="1"/>
    <col min="13" max="13" width="11.5" customWidth="1"/>
    <col min="14" max="14" width="14.33203125" customWidth="1"/>
  </cols>
  <sheetData>
    <row r="1" spans="2:14" ht="17" thickBot="1" x14ac:dyDescent="0.25"/>
    <row r="2" spans="2:14" ht="19" x14ac:dyDescent="0.25">
      <c r="B2" s="105" t="s">
        <v>0</v>
      </c>
      <c r="C2" s="106"/>
      <c r="D2" s="30" t="s">
        <v>3</v>
      </c>
      <c r="E2" s="101" t="s">
        <v>6</v>
      </c>
      <c r="F2" s="102"/>
      <c r="G2" s="103"/>
      <c r="H2" s="101" t="s">
        <v>4</v>
      </c>
      <c r="I2" s="102"/>
      <c r="J2" s="103"/>
      <c r="K2" s="102" t="s">
        <v>5</v>
      </c>
      <c r="L2" s="102"/>
      <c r="M2" s="102"/>
      <c r="N2" s="104"/>
    </row>
    <row r="3" spans="2:14" ht="19" x14ac:dyDescent="0.25">
      <c r="B3" s="94" t="s">
        <v>1</v>
      </c>
      <c r="C3" s="95"/>
      <c r="D3" s="10"/>
      <c r="E3" s="12" t="s">
        <v>7</v>
      </c>
      <c r="F3" s="10" t="s">
        <v>8</v>
      </c>
      <c r="G3" s="11" t="s">
        <v>9</v>
      </c>
      <c r="H3" s="12" t="s">
        <v>7</v>
      </c>
      <c r="I3" s="10" t="s">
        <v>8</v>
      </c>
      <c r="J3" s="11" t="s">
        <v>9</v>
      </c>
      <c r="K3" s="10" t="s">
        <v>7</v>
      </c>
      <c r="L3" s="10" t="s">
        <v>8</v>
      </c>
      <c r="M3" s="10" t="s">
        <v>9</v>
      </c>
      <c r="N3" s="31" t="s">
        <v>13</v>
      </c>
    </row>
    <row r="4" spans="2:14" ht="20" thickBot="1" x14ac:dyDescent="0.3">
      <c r="B4" s="96" t="s">
        <v>2</v>
      </c>
      <c r="C4" s="97"/>
      <c r="D4" s="32" t="s">
        <v>12</v>
      </c>
      <c r="E4" s="33" t="s">
        <v>10</v>
      </c>
      <c r="F4" s="32" t="s">
        <v>11</v>
      </c>
      <c r="G4" s="34" t="s">
        <v>12</v>
      </c>
      <c r="H4" s="33" t="s">
        <v>10</v>
      </c>
      <c r="I4" s="32" t="s">
        <v>11</v>
      </c>
      <c r="J4" s="34" t="s">
        <v>12</v>
      </c>
      <c r="K4" s="32" t="s">
        <v>46</v>
      </c>
      <c r="L4" s="32" t="s">
        <v>11</v>
      </c>
      <c r="M4" s="32" t="s">
        <v>12</v>
      </c>
      <c r="N4" s="35" t="s">
        <v>12</v>
      </c>
    </row>
    <row r="5" spans="2:14" ht="14" customHeight="1" thickBot="1" x14ac:dyDescent="0.3">
      <c r="B5" s="36"/>
      <c r="C5" s="36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2:14" ht="19" x14ac:dyDescent="0.25">
      <c r="B6" s="98" t="s">
        <v>29</v>
      </c>
      <c r="C6" s="99"/>
      <c r="D6" s="40">
        <f xml:space="preserve"> (D9+D12+D15+D17+D21)*1.2</f>
        <v>294.48</v>
      </c>
      <c r="E6" s="24">
        <f t="shared" ref="E6:N6" si="0" xml:space="preserve"> (E9+E12+E15+E17+E21)*1.2</f>
        <v>971.28</v>
      </c>
      <c r="F6" s="24">
        <f xml:space="preserve"> (F9+F12+F15+F17+F21)*1.2</f>
        <v>21534.479999999996</v>
      </c>
      <c r="G6" s="49">
        <f t="shared" si="0"/>
        <v>294.48</v>
      </c>
      <c r="H6" s="24">
        <f t="shared" si="0"/>
        <v>971.28</v>
      </c>
      <c r="I6" s="24">
        <f t="shared" si="0"/>
        <v>21534.479999999996</v>
      </c>
      <c r="J6" s="49">
        <f t="shared" si="0"/>
        <v>294.48</v>
      </c>
      <c r="K6" s="24">
        <f t="shared" si="0"/>
        <v>9611.2799999999988</v>
      </c>
      <c r="L6" s="24">
        <f t="shared" si="0"/>
        <v>21534.479999999996</v>
      </c>
      <c r="M6" s="49">
        <f t="shared" si="0"/>
        <v>280.08</v>
      </c>
      <c r="N6" s="54">
        <f t="shared" si="0"/>
        <v>4600.08</v>
      </c>
    </row>
    <row r="7" spans="2:14" ht="52" customHeight="1" x14ac:dyDescent="0.2">
      <c r="B7" s="100" t="s">
        <v>14</v>
      </c>
      <c r="C7" s="15" t="s">
        <v>15</v>
      </c>
      <c r="D7" s="41">
        <v>100</v>
      </c>
      <c r="E7" s="1">
        <v>100</v>
      </c>
      <c r="F7" s="1">
        <v>200</v>
      </c>
      <c r="G7" s="13">
        <v>100</v>
      </c>
      <c r="H7" s="1">
        <v>100</v>
      </c>
      <c r="I7" s="1">
        <v>200</v>
      </c>
      <c r="J7" s="13">
        <v>100</v>
      </c>
      <c r="K7" s="1">
        <v>100</v>
      </c>
      <c r="L7" s="1">
        <v>200</v>
      </c>
      <c r="M7" s="13">
        <v>100</v>
      </c>
      <c r="N7" s="25">
        <v>100</v>
      </c>
    </row>
    <row r="8" spans="2:14" ht="34" x14ac:dyDescent="0.2">
      <c r="B8" s="84"/>
      <c r="C8" s="16" t="s">
        <v>16</v>
      </c>
      <c r="D8" s="42">
        <v>7</v>
      </c>
      <c r="E8" s="3">
        <v>7</v>
      </c>
      <c r="F8" s="3">
        <v>7</v>
      </c>
      <c r="G8" s="4">
        <v>7</v>
      </c>
      <c r="H8" s="3">
        <v>7</v>
      </c>
      <c r="I8" s="3">
        <v>7</v>
      </c>
      <c r="J8" s="4">
        <v>7</v>
      </c>
      <c r="K8" s="3">
        <v>7</v>
      </c>
      <c r="L8" s="3">
        <v>7</v>
      </c>
      <c r="M8" s="4">
        <v>7</v>
      </c>
      <c r="N8" s="26">
        <v>7</v>
      </c>
    </row>
    <row r="9" spans="2:14" ht="19" x14ac:dyDescent="0.2">
      <c r="B9" s="84"/>
      <c r="C9" s="22" t="s">
        <v>34</v>
      </c>
      <c r="D9" s="8">
        <f xml:space="preserve"> (D7+D8)*1.2</f>
        <v>128.4</v>
      </c>
      <c r="E9" s="7">
        <f t="shared" ref="E9:M9" si="1" xml:space="preserve"> (E7+E8)*1.2</f>
        <v>128.4</v>
      </c>
      <c r="F9" s="7">
        <f t="shared" si="1"/>
        <v>248.39999999999998</v>
      </c>
      <c r="G9" s="7">
        <f t="shared" si="1"/>
        <v>128.4</v>
      </c>
      <c r="H9" s="7">
        <f t="shared" si="1"/>
        <v>128.4</v>
      </c>
      <c r="I9" s="7">
        <f t="shared" si="1"/>
        <v>248.39999999999998</v>
      </c>
      <c r="J9" s="7">
        <f t="shared" si="1"/>
        <v>128.4</v>
      </c>
      <c r="K9" s="7">
        <f t="shared" si="1"/>
        <v>128.4</v>
      </c>
      <c r="L9" s="7">
        <f t="shared" si="1"/>
        <v>248.39999999999998</v>
      </c>
      <c r="M9" s="7">
        <f t="shared" si="1"/>
        <v>128.4</v>
      </c>
      <c r="N9" s="55">
        <f xml:space="preserve"> (N7+N8)*1.2</f>
        <v>128.4</v>
      </c>
    </row>
    <row r="10" spans="2:14" ht="46" customHeight="1" x14ac:dyDescent="0.2">
      <c r="B10" s="84" t="s">
        <v>19</v>
      </c>
      <c r="C10" s="19" t="s">
        <v>18</v>
      </c>
      <c r="D10" s="42">
        <v>0</v>
      </c>
      <c r="E10" s="1">
        <v>0</v>
      </c>
      <c r="F10" s="1">
        <f xml:space="preserve"> 6900*2</f>
        <v>13800</v>
      </c>
      <c r="G10" s="13">
        <v>0</v>
      </c>
      <c r="H10" s="1">
        <v>0</v>
      </c>
      <c r="I10" s="1">
        <f xml:space="preserve"> 6900*2</f>
        <v>13800</v>
      </c>
      <c r="J10" s="13">
        <v>0</v>
      </c>
      <c r="K10" s="1">
        <v>0</v>
      </c>
      <c r="L10" s="1">
        <f xml:space="preserve"> 6900*2</f>
        <v>13800</v>
      </c>
      <c r="M10" s="13">
        <v>0</v>
      </c>
      <c r="N10" s="25">
        <v>0</v>
      </c>
    </row>
    <row r="11" spans="2:14" ht="51" customHeight="1" x14ac:dyDescent="0.2">
      <c r="B11" s="84"/>
      <c r="C11" s="18" t="s">
        <v>17</v>
      </c>
      <c r="D11" s="43">
        <f>6.5*3</f>
        <v>19.5</v>
      </c>
      <c r="E11" s="20">
        <f t="shared" ref="E11:N11" si="2">6.5*3</f>
        <v>19.5</v>
      </c>
      <c r="F11" s="20">
        <f t="shared" si="2"/>
        <v>19.5</v>
      </c>
      <c r="G11" s="50">
        <f t="shared" si="2"/>
        <v>19.5</v>
      </c>
      <c r="H11" s="20">
        <f t="shared" si="2"/>
        <v>19.5</v>
      </c>
      <c r="I11" s="20">
        <f t="shared" si="2"/>
        <v>19.5</v>
      </c>
      <c r="J11" s="50">
        <f t="shared" si="2"/>
        <v>19.5</v>
      </c>
      <c r="K11" s="20">
        <f t="shared" si="2"/>
        <v>19.5</v>
      </c>
      <c r="L11" s="20">
        <f t="shared" si="2"/>
        <v>19.5</v>
      </c>
      <c r="M11" s="50">
        <f t="shared" si="2"/>
        <v>19.5</v>
      </c>
      <c r="N11" s="56">
        <f t="shared" si="2"/>
        <v>19.5</v>
      </c>
    </row>
    <row r="12" spans="2:14" ht="21" customHeight="1" x14ac:dyDescent="0.2">
      <c r="B12" s="84"/>
      <c r="C12" s="22" t="s">
        <v>34</v>
      </c>
      <c r="D12" s="8">
        <f xml:space="preserve"> (D10+D11)*1.2</f>
        <v>23.4</v>
      </c>
      <c r="E12" s="7">
        <f t="shared" ref="E12:N12" si="3" xml:space="preserve"> (E10+E11)*1.2</f>
        <v>23.4</v>
      </c>
      <c r="F12" s="8">
        <f t="shared" si="3"/>
        <v>16583.399999999998</v>
      </c>
      <c r="G12" s="8">
        <f t="shared" si="3"/>
        <v>23.4</v>
      </c>
      <c r="H12" s="7">
        <f t="shared" si="3"/>
        <v>23.4</v>
      </c>
      <c r="I12" s="8">
        <f t="shared" si="3"/>
        <v>16583.399999999998</v>
      </c>
      <c r="J12" s="8">
        <f t="shared" si="3"/>
        <v>23.4</v>
      </c>
      <c r="K12" s="7">
        <f t="shared" si="3"/>
        <v>23.4</v>
      </c>
      <c r="L12" s="8">
        <f t="shared" si="3"/>
        <v>16583.399999999998</v>
      </c>
      <c r="M12" s="8">
        <f t="shared" si="3"/>
        <v>23.4</v>
      </c>
      <c r="N12" s="55">
        <f t="shared" si="3"/>
        <v>23.4</v>
      </c>
    </row>
    <row r="13" spans="2:14" ht="46" customHeight="1" x14ac:dyDescent="0.2">
      <c r="B13" s="84" t="s">
        <v>20</v>
      </c>
      <c r="C13" s="17" t="s">
        <v>21</v>
      </c>
      <c r="D13" s="41">
        <v>0</v>
      </c>
      <c r="E13" s="1">
        <v>0</v>
      </c>
      <c r="F13" s="1">
        <v>0</v>
      </c>
      <c r="G13" s="13">
        <v>0</v>
      </c>
      <c r="H13" s="1">
        <v>0</v>
      </c>
      <c r="I13" s="1">
        <v>0</v>
      </c>
      <c r="J13" s="13">
        <v>0</v>
      </c>
      <c r="K13" s="1">
        <f xml:space="preserve"> 3000*2</f>
        <v>6000</v>
      </c>
      <c r="L13" s="1">
        <v>0</v>
      </c>
      <c r="M13" s="13">
        <v>0</v>
      </c>
      <c r="N13" s="25">
        <v>3000</v>
      </c>
    </row>
    <row r="14" spans="2:14" ht="75" customHeight="1" x14ac:dyDescent="0.2">
      <c r="B14" s="84"/>
      <c r="C14" s="19" t="s">
        <v>22</v>
      </c>
      <c r="D14" s="72">
        <v>18</v>
      </c>
      <c r="E14" s="71">
        <v>18</v>
      </c>
      <c r="F14" s="71">
        <v>18</v>
      </c>
      <c r="G14" s="73">
        <v>18</v>
      </c>
      <c r="H14" s="71">
        <v>18</v>
      </c>
      <c r="I14" s="71">
        <v>18</v>
      </c>
      <c r="J14" s="73">
        <v>18</v>
      </c>
      <c r="K14" s="71">
        <v>18</v>
      </c>
      <c r="L14" s="71">
        <v>18</v>
      </c>
      <c r="M14" s="73">
        <v>18</v>
      </c>
      <c r="N14" s="57">
        <v>18</v>
      </c>
    </row>
    <row r="15" spans="2:14" ht="21" customHeight="1" x14ac:dyDescent="0.2">
      <c r="B15" s="84"/>
      <c r="C15" s="22" t="s">
        <v>34</v>
      </c>
      <c r="D15" s="8">
        <f xml:space="preserve"> (D13+D14)*1.2</f>
        <v>21.599999999999998</v>
      </c>
      <c r="E15" s="6">
        <f t="shared" ref="E15:N15" si="4" xml:space="preserve"> (E13+E14)*1.2</f>
        <v>21.599999999999998</v>
      </c>
      <c r="F15" s="9">
        <f t="shared" si="4"/>
        <v>21.599999999999998</v>
      </c>
      <c r="G15" s="9">
        <f t="shared" si="4"/>
        <v>21.599999999999998</v>
      </c>
      <c r="H15" s="6">
        <f t="shared" si="4"/>
        <v>21.599999999999998</v>
      </c>
      <c r="I15" s="9">
        <f t="shared" si="4"/>
        <v>21.599999999999998</v>
      </c>
      <c r="J15" s="9">
        <f t="shared" si="4"/>
        <v>21.599999999999998</v>
      </c>
      <c r="K15" s="6">
        <f t="shared" si="4"/>
        <v>7221.5999999999995</v>
      </c>
      <c r="L15" s="9">
        <f t="shared" si="4"/>
        <v>21.599999999999998</v>
      </c>
      <c r="M15" s="9">
        <f t="shared" si="4"/>
        <v>21.599999999999998</v>
      </c>
      <c r="N15" s="55">
        <f t="shared" si="4"/>
        <v>3621.6</v>
      </c>
    </row>
    <row r="16" spans="2:14" ht="78" customHeight="1" x14ac:dyDescent="0.2">
      <c r="B16" s="84" t="s">
        <v>23</v>
      </c>
      <c r="C16" s="19" t="s">
        <v>24</v>
      </c>
      <c r="D16" s="44">
        <f xml:space="preserve"> 0.04*250</f>
        <v>10</v>
      </c>
      <c r="E16" s="3">
        <f>0.04*12000</f>
        <v>480</v>
      </c>
      <c r="F16" s="3">
        <f>0.04*21500</f>
        <v>860</v>
      </c>
      <c r="G16" s="4">
        <f xml:space="preserve"> 0.04*250</f>
        <v>10</v>
      </c>
      <c r="H16" s="3">
        <f>0.04*12000</f>
        <v>480</v>
      </c>
      <c r="I16" s="3">
        <f>0.04*21500</f>
        <v>860</v>
      </c>
      <c r="J16" s="4">
        <f xml:space="preserve"> 0.04*250</f>
        <v>10</v>
      </c>
      <c r="K16" s="3">
        <f>0.04*12000</f>
        <v>480</v>
      </c>
      <c r="L16" s="3">
        <f>0.04*21500</f>
        <v>860</v>
      </c>
      <c r="M16" s="4"/>
      <c r="N16" s="26"/>
    </row>
    <row r="17" spans="2:14" ht="38" customHeight="1" x14ac:dyDescent="0.2">
      <c r="B17" s="84"/>
      <c r="C17" s="22" t="s">
        <v>34</v>
      </c>
      <c r="D17" s="8">
        <f xml:space="preserve"> (D16)*1.2</f>
        <v>12</v>
      </c>
      <c r="E17" s="7">
        <f xml:space="preserve"> (E16)*1.2</f>
        <v>576</v>
      </c>
      <c r="F17" s="8">
        <f t="shared" ref="E17:N17" si="5" xml:space="preserve"> (F16)*1.2</f>
        <v>1032</v>
      </c>
      <c r="G17" s="8">
        <f t="shared" si="5"/>
        <v>12</v>
      </c>
      <c r="H17" s="7">
        <f t="shared" si="5"/>
        <v>576</v>
      </c>
      <c r="I17" s="8">
        <f t="shared" si="5"/>
        <v>1032</v>
      </c>
      <c r="J17" s="8">
        <f t="shared" si="5"/>
        <v>12</v>
      </c>
      <c r="K17" s="7">
        <f t="shared" si="5"/>
        <v>576</v>
      </c>
      <c r="L17" s="8">
        <f t="shared" si="5"/>
        <v>1032</v>
      </c>
      <c r="M17" s="8">
        <f t="shared" si="5"/>
        <v>0</v>
      </c>
      <c r="N17" s="55">
        <f t="shared" si="5"/>
        <v>0</v>
      </c>
    </row>
    <row r="18" spans="2:14" ht="31" customHeight="1" x14ac:dyDescent="0.2">
      <c r="B18" s="84" t="s">
        <v>25</v>
      </c>
      <c r="C18" s="17" t="s">
        <v>26</v>
      </c>
      <c r="D18" s="41">
        <v>20</v>
      </c>
      <c r="E18" s="1">
        <v>20</v>
      </c>
      <c r="F18" s="1">
        <v>20</v>
      </c>
      <c r="G18" s="13">
        <v>20</v>
      </c>
      <c r="H18" s="1">
        <v>20</v>
      </c>
      <c r="I18" s="1">
        <v>20</v>
      </c>
      <c r="J18" s="13">
        <v>20</v>
      </c>
      <c r="K18" s="1">
        <v>20</v>
      </c>
      <c r="L18" s="1">
        <v>20</v>
      </c>
      <c r="M18" s="13">
        <v>20</v>
      </c>
      <c r="N18" s="25">
        <v>20</v>
      </c>
    </row>
    <row r="19" spans="2:14" ht="31" customHeight="1" x14ac:dyDescent="0.2">
      <c r="B19" s="84"/>
      <c r="C19" s="19" t="s">
        <v>55</v>
      </c>
      <c r="D19" s="42">
        <v>25</v>
      </c>
      <c r="E19" s="3">
        <v>25</v>
      </c>
      <c r="F19" s="3">
        <v>25</v>
      </c>
      <c r="G19" s="4">
        <v>25</v>
      </c>
      <c r="H19" s="21">
        <v>25</v>
      </c>
      <c r="I19" s="21">
        <v>25</v>
      </c>
      <c r="J19" s="4">
        <v>25</v>
      </c>
      <c r="K19" s="21">
        <v>25</v>
      </c>
      <c r="L19" s="21">
        <v>25</v>
      </c>
      <c r="M19" s="51">
        <v>25</v>
      </c>
      <c r="N19" s="26">
        <v>25</v>
      </c>
    </row>
    <row r="20" spans="2:14" ht="35" customHeight="1" x14ac:dyDescent="0.2">
      <c r="B20" s="84"/>
      <c r="C20" s="18" t="s">
        <v>27</v>
      </c>
      <c r="D20" s="9">
        <v>5</v>
      </c>
      <c r="E20" s="5">
        <v>5</v>
      </c>
      <c r="F20" s="5">
        <v>5</v>
      </c>
      <c r="G20" s="6">
        <v>5</v>
      </c>
      <c r="H20" s="5">
        <v>5</v>
      </c>
      <c r="I20" s="5">
        <v>5</v>
      </c>
      <c r="J20" s="6">
        <v>5</v>
      </c>
      <c r="K20" s="5">
        <v>5</v>
      </c>
      <c r="L20" s="5">
        <v>5</v>
      </c>
      <c r="M20" s="6">
        <v>5</v>
      </c>
      <c r="N20" s="27">
        <v>5</v>
      </c>
    </row>
    <row r="21" spans="2:14" ht="35" customHeight="1" thickBot="1" x14ac:dyDescent="0.25">
      <c r="B21" s="85"/>
      <c r="C21" s="28" t="s">
        <v>34</v>
      </c>
      <c r="D21" s="29">
        <f xml:space="preserve"> SUM(D18:D20)*1.2</f>
        <v>60</v>
      </c>
      <c r="E21" s="29">
        <f t="shared" ref="E21:N21" si="6" xml:space="preserve"> SUM(E18:E20)*1.2</f>
        <v>60</v>
      </c>
      <c r="F21" s="29">
        <f t="shared" si="6"/>
        <v>60</v>
      </c>
      <c r="G21" s="29">
        <f t="shared" si="6"/>
        <v>60</v>
      </c>
      <c r="H21" s="29">
        <f t="shared" si="6"/>
        <v>60</v>
      </c>
      <c r="I21" s="29">
        <f t="shared" si="6"/>
        <v>60</v>
      </c>
      <c r="J21" s="29">
        <f t="shared" si="6"/>
        <v>60</v>
      </c>
      <c r="K21" s="29">
        <f t="shared" si="6"/>
        <v>60</v>
      </c>
      <c r="L21" s="29">
        <f t="shared" si="6"/>
        <v>60</v>
      </c>
      <c r="M21" s="29">
        <f t="shared" si="6"/>
        <v>60</v>
      </c>
      <c r="N21" s="80">
        <f t="shared" si="6"/>
        <v>60</v>
      </c>
    </row>
    <row r="22" spans="2:14" ht="19" x14ac:dyDescent="0.25">
      <c r="B22" s="90" t="s">
        <v>30</v>
      </c>
      <c r="C22" s="91"/>
      <c r="D22" s="45">
        <f xml:space="preserve"> D23</f>
        <v>0</v>
      </c>
      <c r="E22" s="47">
        <f t="shared" ref="E22:N22" si="7" xml:space="preserve"> E23</f>
        <v>13519.106086956523</v>
      </c>
      <c r="F22" s="47">
        <f t="shared" si="7"/>
        <v>13519.106086956523</v>
      </c>
      <c r="G22" s="52">
        <f t="shared" si="7"/>
        <v>0</v>
      </c>
      <c r="H22" s="47">
        <f t="shared" si="7"/>
        <v>13519.106086956523</v>
      </c>
      <c r="I22" s="47">
        <f t="shared" si="7"/>
        <v>13519.106086956523</v>
      </c>
      <c r="J22" s="52">
        <f t="shared" si="7"/>
        <v>0</v>
      </c>
      <c r="K22" s="47">
        <f t="shared" si="7"/>
        <v>13519.106086956523</v>
      </c>
      <c r="L22" s="47">
        <f t="shared" si="7"/>
        <v>13519.106086956523</v>
      </c>
      <c r="M22" s="52">
        <f t="shared" si="7"/>
        <v>0</v>
      </c>
      <c r="N22" s="58">
        <f t="shared" si="7"/>
        <v>0</v>
      </c>
    </row>
    <row r="23" spans="2:14" ht="25" thickBot="1" x14ac:dyDescent="0.25">
      <c r="B23" s="38" t="s">
        <v>23</v>
      </c>
      <c r="C23" s="39" t="s">
        <v>28</v>
      </c>
      <c r="D23" s="46">
        <v>0</v>
      </c>
      <c r="E23" s="48">
        <f>D39</f>
        <v>13519.106086956523</v>
      </c>
      <c r="F23" s="48">
        <f>D39</f>
        <v>13519.106086956523</v>
      </c>
      <c r="G23" s="53">
        <v>0</v>
      </c>
      <c r="H23" s="48">
        <f>D39</f>
        <v>13519.106086956523</v>
      </c>
      <c r="I23" s="48">
        <f xml:space="preserve"> D39</f>
        <v>13519.106086956523</v>
      </c>
      <c r="J23" s="53">
        <v>0</v>
      </c>
      <c r="K23" s="48">
        <f>D39</f>
        <v>13519.106086956523</v>
      </c>
      <c r="L23" s="48">
        <f xml:space="preserve"> D39</f>
        <v>13519.106086956523</v>
      </c>
      <c r="M23" s="53">
        <v>0</v>
      </c>
      <c r="N23" s="69">
        <v>0</v>
      </c>
    </row>
    <row r="24" spans="2:14" ht="13" customHeight="1" thickBot="1" x14ac:dyDescent="0.25">
      <c r="B24" s="14"/>
      <c r="C24" s="37"/>
      <c r="M24" s="4"/>
    </row>
    <row r="25" spans="2:14" ht="19" x14ac:dyDescent="0.25">
      <c r="B25" s="92" t="s">
        <v>31</v>
      </c>
      <c r="C25" s="93"/>
      <c r="D25" s="74">
        <f xml:space="preserve"> D22-D6</f>
        <v>-294.48</v>
      </c>
      <c r="E25" s="75">
        <f t="shared" ref="E25:N25" si="8" xml:space="preserve"> E22-E6</f>
        <v>12547.826086956522</v>
      </c>
      <c r="F25" s="76">
        <f xml:space="preserve"> F22-F6</f>
        <v>-8015.3739130434733</v>
      </c>
      <c r="G25" s="77">
        <f t="shared" si="8"/>
        <v>-294.48</v>
      </c>
      <c r="H25" s="75">
        <f t="shared" si="8"/>
        <v>12547.826086956522</v>
      </c>
      <c r="I25" s="76">
        <f t="shared" si="8"/>
        <v>-8015.3739130434733</v>
      </c>
      <c r="J25" s="77">
        <f t="shared" si="8"/>
        <v>-294.48</v>
      </c>
      <c r="K25" s="76">
        <f t="shared" si="8"/>
        <v>3907.8260869565238</v>
      </c>
      <c r="L25" s="76">
        <f t="shared" si="8"/>
        <v>-8015.3739130434733</v>
      </c>
      <c r="M25" s="77">
        <f t="shared" si="8"/>
        <v>-280.08</v>
      </c>
      <c r="N25" s="78">
        <f t="shared" si="8"/>
        <v>-4600.08</v>
      </c>
    </row>
    <row r="26" spans="2:14" ht="19" x14ac:dyDescent="0.25">
      <c r="B26" s="94" t="s">
        <v>35</v>
      </c>
      <c r="C26" s="95"/>
      <c r="D26" s="2">
        <v>3.83</v>
      </c>
      <c r="E26" s="59">
        <v>3.45</v>
      </c>
      <c r="F26" s="60">
        <v>4.3099999999999996</v>
      </c>
      <c r="G26" s="61">
        <v>0.85</v>
      </c>
      <c r="H26" s="59">
        <v>233.6</v>
      </c>
      <c r="I26" s="60">
        <v>1</v>
      </c>
      <c r="J26" s="61">
        <v>2.4</v>
      </c>
      <c r="K26" s="60">
        <v>350.4</v>
      </c>
      <c r="L26" s="60">
        <f xml:space="preserve"> 0.00008</f>
        <v>8.0000000000000007E-5</v>
      </c>
      <c r="M26" s="61">
        <v>55.3</v>
      </c>
      <c r="N26" s="70">
        <v>6</v>
      </c>
    </row>
    <row r="27" spans="2:14" ht="19" x14ac:dyDescent="0.25">
      <c r="B27" s="94" t="s">
        <v>32</v>
      </c>
      <c r="C27" s="95"/>
      <c r="D27" s="107">
        <f xml:space="preserve"> (B39+D25*D26)*100/B39</f>
        <v>97.394644490644495</v>
      </c>
      <c r="E27" s="59">
        <v>100</v>
      </c>
      <c r="F27" s="60">
        <f xml:space="preserve"> 100*(B39+F25*F26)/B39</f>
        <v>20.198055982403858</v>
      </c>
      <c r="G27" s="61">
        <f xml:space="preserve"> (F27*B39/100 +G25*G26)*100/B39</f>
        <v>19.619843924191798</v>
      </c>
      <c r="H27" s="59">
        <v>100</v>
      </c>
      <c r="I27" s="60">
        <f xml:space="preserve"> 100*(B39+I25*I26)/B39</f>
        <v>81.484467745337341</v>
      </c>
      <c r="J27" s="61">
        <f xml:space="preserve"> (I27*B39/100 +J25*J26)*100/B39</f>
        <v>79.851868992738574</v>
      </c>
      <c r="K27" s="60">
        <v>100</v>
      </c>
      <c r="L27" s="60">
        <f xml:space="preserve"> 100*(B39+L25*L26)/B39</f>
        <v>99.998518757419617</v>
      </c>
      <c r="M27" s="61">
        <f xml:space="preserve"> (L27*B39/100 +M25*M26)*100/B39</f>
        <v>64.220223539124405</v>
      </c>
      <c r="N27" s="62">
        <f xml:space="preserve"> 100*(B39+N25*N26)/B39</f>
        <v>36.242827442827441</v>
      </c>
    </row>
    <row r="28" spans="2:14" ht="20" thickBot="1" x14ac:dyDescent="0.3">
      <c r="B28" s="96" t="s">
        <v>33</v>
      </c>
      <c r="C28" s="97"/>
      <c r="D28" s="108">
        <f xml:space="preserve"> D27*B39/100</f>
        <v>42162.141600000003</v>
      </c>
      <c r="E28" s="81">
        <f xml:space="preserve"> G27*B39/100</f>
        <v>8493.4304347826292</v>
      </c>
      <c r="F28" s="82"/>
      <c r="G28" s="83"/>
      <c r="H28" s="81">
        <f xml:space="preserve"> J27*B39/100</f>
        <v>34567.87408695653</v>
      </c>
      <c r="I28" s="82"/>
      <c r="J28" s="83"/>
      <c r="K28" s="81">
        <f xml:space="preserve"> M27*B39/100</f>
        <v>27800.934770086951</v>
      </c>
      <c r="L28" s="82"/>
      <c r="M28" s="83"/>
      <c r="N28" s="79">
        <f xml:space="preserve"> N27*B39/100</f>
        <v>15689.52</v>
      </c>
    </row>
    <row r="30" spans="2:14" x14ac:dyDescent="0.2">
      <c r="E30" s="63">
        <f xml:space="preserve"> E25*E26</f>
        <v>43290</v>
      </c>
      <c r="F30" s="63">
        <f xml:space="preserve"> F25*F26</f>
        <v>-34546.26156521737</v>
      </c>
      <c r="G30" s="63">
        <f xml:space="preserve"> G25*G26</f>
        <v>-250.30800000000002</v>
      </c>
    </row>
    <row r="32" spans="2:14" x14ac:dyDescent="0.2">
      <c r="D32" t="s">
        <v>56</v>
      </c>
      <c r="F32" s="63">
        <f>E30+F30+G30</f>
        <v>8493.4304347826292</v>
      </c>
    </row>
    <row r="37" spans="1:11" ht="17" thickBot="1" x14ac:dyDescent="0.25"/>
    <row r="38" spans="1:11" x14ac:dyDescent="0.2">
      <c r="A38" s="86" t="s">
        <v>36</v>
      </c>
      <c r="B38" s="87"/>
      <c r="C38" s="88" t="s">
        <v>40</v>
      </c>
      <c r="D38" s="89"/>
    </row>
    <row r="39" spans="1:11" x14ac:dyDescent="0.2">
      <c r="A39" s="65" t="s">
        <v>37</v>
      </c>
      <c r="B39" s="62">
        <f>43290</f>
        <v>43290</v>
      </c>
      <c r="C39" t="s">
        <v>41</v>
      </c>
      <c r="D39" s="64">
        <f xml:space="preserve"> (B39)/E26 +E6</f>
        <v>13519.106086956523</v>
      </c>
      <c r="E39">
        <f xml:space="preserve"> D39/2</f>
        <v>6759.5530434782613</v>
      </c>
    </row>
    <row r="40" spans="1:11" x14ac:dyDescent="0.2">
      <c r="A40" s="65" t="s">
        <v>47</v>
      </c>
      <c r="B40" s="62">
        <f xml:space="preserve"> 3.7*75</f>
        <v>277.5</v>
      </c>
      <c r="D40" s="64"/>
      <c r="J40" t="s">
        <v>58</v>
      </c>
      <c r="K40" t="s">
        <v>59</v>
      </c>
    </row>
    <row r="41" spans="1:11" ht="34" x14ac:dyDescent="0.2">
      <c r="A41" s="66" t="s">
        <v>38</v>
      </c>
      <c r="B41" s="26">
        <v>101</v>
      </c>
      <c r="C41" t="s">
        <v>42</v>
      </c>
      <c r="D41" s="64">
        <f xml:space="preserve"> 0.258*0.94</f>
        <v>0.24251999999999999</v>
      </c>
      <c r="I41" t="s">
        <v>57</v>
      </c>
      <c r="J41">
        <f xml:space="preserve"> 0.01*(63*0.5+1460*0.1)*24*3600</f>
        <v>153360</v>
      </c>
      <c r="K41">
        <f xml:space="preserve"> 0.001*53*3600*24/2</f>
        <v>2289.6</v>
      </c>
    </row>
    <row r="42" spans="1:11" ht="34" x14ac:dyDescent="0.2">
      <c r="A42" s="66" t="s">
        <v>51</v>
      </c>
      <c r="B42" s="26">
        <v>232</v>
      </c>
      <c r="D42" s="64"/>
    </row>
    <row r="43" spans="1:11" ht="17" x14ac:dyDescent="0.2">
      <c r="A43" s="66" t="s">
        <v>49</v>
      </c>
      <c r="B43" s="26">
        <v>4.2</v>
      </c>
      <c r="D43" s="64"/>
    </row>
    <row r="44" spans="1:11" ht="17" x14ac:dyDescent="0.2">
      <c r="A44" s="66" t="s">
        <v>48</v>
      </c>
      <c r="B44" s="26">
        <f xml:space="preserve"> B39/(B40*0.8)</f>
        <v>195</v>
      </c>
      <c r="D44" s="64"/>
    </row>
    <row r="45" spans="1:11" ht="17" x14ac:dyDescent="0.2">
      <c r="A45" s="66" t="s">
        <v>50</v>
      </c>
      <c r="B45" s="26">
        <f xml:space="preserve"> TRUNC( 98.5/B43)</f>
        <v>23</v>
      </c>
      <c r="D45" s="64"/>
    </row>
    <row r="46" spans="1:11" ht="17" x14ac:dyDescent="0.2">
      <c r="A46" s="66" t="s">
        <v>52</v>
      </c>
      <c r="B46" s="26">
        <f xml:space="preserve"> B39/(0.8*B42)</f>
        <v>233.24353448275861</v>
      </c>
      <c r="D46" s="64"/>
    </row>
    <row r="47" spans="1:11" ht="17" x14ac:dyDescent="0.2">
      <c r="A47" s="66" t="s">
        <v>53</v>
      </c>
      <c r="B47" s="26">
        <f xml:space="preserve"> SQRT(B46*1000/22)</f>
        <v>102.96591105858964</v>
      </c>
      <c r="D47" s="64"/>
    </row>
    <row r="48" spans="1:11" ht="17" x14ac:dyDescent="0.2">
      <c r="A48" s="66" t="s">
        <v>54</v>
      </c>
      <c r="B48" s="26">
        <v>22</v>
      </c>
      <c r="D48" s="64"/>
    </row>
    <row r="49" spans="1:6" ht="17" thickBot="1" x14ac:dyDescent="0.25">
      <c r="A49" s="67" t="s">
        <v>39</v>
      </c>
      <c r="B49" s="68">
        <f xml:space="preserve"> B39/(0.8*B41)</f>
        <v>535.76732673267315</v>
      </c>
      <c r="C49" t="s">
        <v>43</v>
      </c>
      <c r="D49" s="64">
        <v>1360</v>
      </c>
      <c r="F49">
        <v>366</v>
      </c>
    </row>
    <row r="50" spans="1:6" x14ac:dyDescent="0.2">
      <c r="C50" t="s">
        <v>44</v>
      </c>
      <c r="D50" s="64">
        <f xml:space="preserve"> D39/F49</f>
        <v>36.937448325017819</v>
      </c>
    </row>
    <row r="51" spans="1:6" x14ac:dyDescent="0.2">
      <c r="C51" t="s">
        <v>45</v>
      </c>
      <c r="D51" s="64">
        <f>D50/(2.9*2)</f>
        <v>6.3685255732789345</v>
      </c>
    </row>
    <row r="53" spans="1:6" x14ac:dyDescent="0.2">
      <c r="A53" t="s">
        <v>50</v>
      </c>
    </row>
    <row r="54" spans="1:6" x14ac:dyDescent="0.2">
      <c r="B54">
        <f xml:space="preserve"> (-F25*F26 - G25*G26)*1.2</f>
        <v>41755.883478260839</v>
      </c>
    </row>
  </sheetData>
  <mergeCells count="22">
    <mergeCell ref="E2:G2"/>
    <mergeCell ref="H2:J2"/>
    <mergeCell ref="K2:N2"/>
    <mergeCell ref="B2:C2"/>
    <mergeCell ref="B3:C3"/>
    <mergeCell ref="B4:C4"/>
    <mergeCell ref="B6:C6"/>
    <mergeCell ref="B7:B9"/>
    <mergeCell ref="B10:B12"/>
    <mergeCell ref="A38:B38"/>
    <mergeCell ref="C38:D38"/>
    <mergeCell ref="B22:C22"/>
    <mergeCell ref="B25:C25"/>
    <mergeCell ref="B26:C26"/>
    <mergeCell ref="B27:C27"/>
    <mergeCell ref="B28:C28"/>
    <mergeCell ref="H28:J28"/>
    <mergeCell ref="K28:M28"/>
    <mergeCell ref="B13:B15"/>
    <mergeCell ref="B16:B17"/>
    <mergeCell ref="B18:B21"/>
    <mergeCell ref="E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2020-01-02T14:57:59Z</dcterms:created>
  <dcterms:modified xsi:type="dcterms:W3CDTF">2020-01-13T13:16:50Z</dcterms:modified>
</cp:coreProperties>
</file>