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https://cyclonetool-my.sharepoint.com/personal/jhynes_amesau_com/Documents/Temp/"/>
    </mc:Choice>
  </mc:AlternateContent>
  <xr:revisionPtr revIDLastSave="14" documentId="8_{3ED112BE-9D5D-4BDC-B4F5-9220E3822294}" xr6:coauthVersionLast="47" xr6:coauthVersionMax="47" xr10:uidLastSave="{4582BE04-447D-415E-A928-19A7A3203303}"/>
  <bookViews>
    <workbookView xWindow="-120" yWindow="-120" windowWidth="29040" windowHeight="15840" tabRatio="680" xr2:uid="{00000000-000D-0000-FFFF-FFFF00000000}"/>
  </bookViews>
  <sheets>
    <sheet name="Detailed assessment" sheetId="7" r:id="rId1"/>
    <sheet name="Detailed Assessment Notes" sheetId="16" r:id="rId2"/>
    <sheet name="Service Level vs Safety Stock" sheetId="17" r:id="rId3"/>
  </sheets>
  <definedNames>
    <definedName name="_xlnm._FilterDatabase" localSheetId="0" hidden="1">'Detailed assessment'!$A$10:$AG$13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1" i="7" l="1"/>
  <c r="S11" i="7"/>
  <c r="R11" i="7"/>
  <c r="T11" i="7" s="1"/>
  <c r="W11" i="7" s="1"/>
  <c r="P11" i="7"/>
  <c r="AO13" i="7" l="1"/>
  <c r="AO12" i="7"/>
  <c r="AO11" i="7"/>
  <c r="S12" i="7" l="1"/>
  <c r="R12" i="7"/>
  <c r="T12" i="7" s="1"/>
  <c r="W12" i="7" s="1"/>
  <c r="Q12" i="7"/>
  <c r="P12" i="7"/>
  <c r="AS13" i="7"/>
  <c r="AS12" i="7"/>
  <c r="AS11" i="7"/>
  <c r="S13" i="7"/>
  <c r="R13" i="7"/>
  <c r="Q13" i="7"/>
  <c r="V13" i="7" s="1"/>
  <c r="Q11" i="7"/>
  <c r="P13" i="7"/>
  <c r="AU6" i="7" l="1"/>
  <c r="V12" i="7"/>
  <c r="AI13" i="7" l="1"/>
  <c r="AI12" i="7"/>
  <c r="AI11" i="7"/>
  <c r="AF13" i="7" l="1"/>
  <c r="T13" i="7"/>
  <c r="AF12" i="7"/>
  <c r="AF11" i="7"/>
  <c r="V11" i="7"/>
  <c r="AB13" i="7" l="1"/>
  <c r="Y13" i="7"/>
  <c r="AA13" i="7"/>
  <c r="AB11" i="7"/>
  <c r="Y11" i="7"/>
  <c r="AB12" i="7"/>
  <c r="Y12" i="7"/>
  <c r="AA12" i="7" l="1"/>
  <c r="AC11" i="7" l="1"/>
  <c r="AD11" i="7" s="1"/>
  <c r="AJ11" i="7" s="1"/>
  <c r="AC12" i="7"/>
  <c r="AD12" i="7" s="1"/>
  <c r="AJ12" i="7" s="1"/>
  <c r="W13" i="7"/>
  <c r="AC13" i="7" s="1"/>
  <c r="AD13" i="7" s="1"/>
  <c r="AJ13" i="7" s="1"/>
  <c r="AN13" i="7" s="1"/>
  <c r="AP13" i="7" s="1"/>
  <c r="AM12" i="7" l="1"/>
  <c r="AN12" i="7"/>
  <c r="AP12" i="7" s="1"/>
  <c r="AM11" i="7"/>
  <c r="AN11" i="7"/>
  <c r="AP11" i="7" s="1"/>
  <c r="AQ13" i="7"/>
  <c r="AQ12" i="7"/>
  <c r="AQ11" i="7" l="1"/>
  <c r="AT13" i="7" l="1"/>
  <c r="AV13" i="7" s="1"/>
  <c r="AR13" i="7"/>
  <c r="AT12" i="7"/>
  <c r="AV12" i="7" s="1"/>
  <c r="AR12" i="7"/>
  <c r="AT11" i="7"/>
  <c r="AV11" i="7" s="1"/>
  <c r="AR11" i="7"/>
  <c r="AT6" i="7" l="1"/>
  <c r="AV6" i="7" s="1"/>
</calcChain>
</file>

<file path=xl/sharedStrings.xml><?xml version="1.0" encoding="utf-8"?>
<sst xmlns="http://schemas.openxmlformats.org/spreadsheetml/2006/main" count="141" uniqueCount="137">
  <si>
    <t>Article</t>
  </si>
  <si>
    <t>Description</t>
  </si>
  <si>
    <t>Analysis</t>
  </si>
  <si>
    <t>Mean Monthly Demand</t>
  </si>
  <si>
    <t>CoV</t>
  </si>
  <si>
    <t>S.D</t>
  </si>
  <si>
    <t>Safety Stock Determination</t>
  </si>
  <si>
    <t>Use Statistical Safety Stock ?</t>
  </si>
  <si>
    <t>Target Service Level?</t>
  </si>
  <si>
    <t>Demand During Lead Time</t>
  </si>
  <si>
    <t>Lead Time Correction</t>
  </si>
  <si>
    <t>Safety Factor</t>
  </si>
  <si>
    <t>Statistical Safety Stock</t>
  </si>
  <si>
    <t>TIQ</t>
  </si>
  <si>
    <t>Days of Supply</t>
  </si>
  <si>
    <t>XYZ</t>
  </si>
  <si>
    <t>Months with zero demand</t>
  </si>
  <si>
    <t>Material Type</t>
  </si>
  <si>
    <t>merchandise</t>
  </si>
  <si>
    <t>own manufactured product</t>
  </si>
  <si>
    <t>Target Stock Calculation</t>
  </si>
  <si>
    <t>Order Qty (kg)</t>
  </si>
  <si>
    <t>Cycle Stock (kg)</t>
  </si>
  <si>
    <t>Safety Stock (kg)</t>
  </si>
  <si>
    <t>Working Stock (kg)</t>
  </si>
  <si>
    <t>Unit Value / €/kg</t>
  </si>
  <si>
    <t>days</t>
  </si>
  <si>
    <t>Safety Stock Days of Supply</t>
  </si>
  <si>
    <t>Reorder Point /kg</t>
  </si>
  <si>
    <t>Working Stock / DoS</t>
  </si>
  <si>
    <t>Transit Stock (kg)</t>
  </si>
  <si>
    <t>Working Stock / Euro</t>
  </si>
  <si>
    <t>Consolidate all different movement types for each article (eg sales / tranfers / consumptions) into one single entry per article</t>
  </si>
  <si>
    <t>Movements Out Quantity (sales / transfers / consumption) - last 12 mths</t>
  </si>
  <si>
    <t>M-1</t>
  </si>
  <si>
    <t>M-2</t>
  </si>
  <si>
    <t>M-3</t>
  </si>
  <si>
    <t>M-4</t>
  </si>
  <si>
    <t>M-5</t>
  </si>
  <si>
    <t>M-6</t>
  </si>
  <si>
    <t>M-7</t>
  </si>
  <si>
    <t>M-8</t>
  </si>
  <si>
    <t>M-9</t>
  </si>
  <si>
    <t>M-10</t>
  </si>
  <si>
    <t>M-11</t>
  </si>
  <si>
    <t>M-12</t>
  </si>
  <si>
    <t>Paste this data into columns D to O</t>
  </si>
  <si>
    <t>5xxxxxxx</t>
  </si>
  <si>
    <t>Column P automatically calculates the total MOQ across the 12 mths history</t>
  </si>
  <si>
    <t>Column Q determines how many months had zero movement</t>
  </si>
  <si>
    <t>Column R calculates the monthly average demand based on 12 mths history</t>
  </si>
  <si>
    <t>Column S calculates the standard deviation of the 12 mth history</t>
  </si>
  <si>
    <t>Column T calculates the coefficient of variability for the history data (= standard deviation / average demand)</t>
  </si>
  <si>
    <t>X articles have demand coefficent variability &lt; 0.5</t>
  </si>
  <si>
    <t>Y articles have demand coefficent variability between 0.5 and 1.0</t>
  </si>
  <si>
    <t>Z articles have demand coefficient variabilty &gt; 1.0</t>
  </si>
  <si>
    <t>Z2 articles are those Z articles with 6 months or more with zero demand history</t>
  </si>
  <si>
    <t>Note:  Statistical safety stocks can only be used reliably where the demand volatility is low (ie X or Y articles)</t>
  </si>
  <si>
    <t>Statistical safety stocks should not be used for Z / Z2 articles</t>
  </si>
  <si>
    <t>Instructions For Use / Explanation</t>
  </si>
  <si>
    <t>For manufactured goods this should take into consideration production sequencing and campaign lengths</t>
  </si>
  <si>
    <t>For Manutfactured goods this is the number of days from release of planned process order to goods being available for supply to customers.</t>
  </si>
  <si>
    <t>For merchandised goods this is the number of days taken from release of purchase order to goods being receipted and available for supply to customers</t>
  </si>
  <si>
    <t>This figure should be maintained in SAP as the target safety stock level</t>
  </si>
  <si>
    <t>Note:  Safety stock should be used to compensate for variability in demand or supply during replenishment lead time</t>
  </si>
  <si>
    <t>Safety stock is not a guaranteed minimum volume</t>
  </si>
  <si>
    <t>Safety stock should be actively consumed</t>
  </si>
  <si>
    <t>Actual Stock / current month</t>
  </si>
  <si>
    <t>Actual OIV</t>
  </si>
  <si>
    <t>For merchandised goods this may be determined based on business rules / lot size rules / Minimum order quantities etc</t>
  </si>
  <si>
    <t>For manufactured goods this may be defined by minimum production batch size or mimimum campaign size</t>
  </si>
  <si>
    <t>For manufactured goods this field can be left blank</t>
  </si>
  <si>
    <t>In reorder point planning the reorder point is the point at which replenishment orders should be placed onto supply point</t>
  </si>
  <si>
    <t>If orders are placed earlier than this then excess stock will be generated</t>
  </si>
  <si>
    <t>If orders are placed later than this then the risk of stockout is higher</t>
  </si>
  <si>
    <t>Can I reduce service level on selected articles and therefore reduce safety stock requirements</t>
  </si>
  <si>
    <t>Can I reduce replenishment lead time</t>
  </si>
  <si>
    <t>Can I change order quantity / order frequency to reduce cycle stock levels</t>
  </si>
  <si>
    <t>Overall Target DIV(PIT)</t>
  </si>
  <si>
    <t>Target DIV (PIT) / days</t>
  </si>
  <si>
    <t>Movements Out / MOV(PIT) / euros</t>
  </si>
  <si>
    <t>EXAMPLE 1</t>
  </si>
  <si>
    <t xml:space="preserve">EXAMPLE 2 </t>
  </si>
  <si>
    <t>EXAMPLE 3</t>
  </si>
  <si>
    <t>By definition these articles have highly variable demand and are difficult to predict and manage</t>
  </si>
  <si>
    <t>Inventory holding of these articles should be avoided wherever possible since they pose a significnat aged stock / disposal risk</t>
  </si>
  <si>
    <t>To avoid holding inventory several alternate strategies should be explored</t>
  </si>
  <si>
    <t>can we withdraw the article from the range ?  Is it important ?  Will it have a big business impact if we no longer stock / sell this article ?</t>
  </si>
  <si>
    <t>can we adopt a true make-to-order policy ?  Can we extend customer lead-time and only make / purchase the article when the order arrives ?</t>
  </si>
  <si>
    <t>can we adopt a postponement strategy ?  Can we hold inventory in a more predictable bulk or semi-bulk state and pack to order when customer order is received?</t>
  </si>
  <si>
    <t>Z and Z2 articles must be handled differently (these can be filtered in column U)</t>
  </si>
  <si>
    <t>If we must hold stock of Z and Z2 articles then a business decision is needed on the target inventory volume</t>
  </si>
  <si>
    <t>what is minimum customer order quantity ?  Hold this as target inventory ?</t>
  </si>
  <si>
    <t>what is mimimum production quantity ?</t>
  </si>
  <si>
    <t>for these articles manually enter a target working stock quantity in column AK</t>
  </si>
  <si>
    <t>To modify the overall DIV target generated in this model consider the following</t>
  </si>
  <si>
    <t>Can I reduce inventory investment in Z and Z2 articles</t>
  </si>
  <si>
    <t>Consignement Stock (kg)</t>
  </si>
  <si>
    <t>Can I eliminate consignment stock activities</t>
  </si>
  <si>
    <t>Total Demand (12 mths)</t>
  </si>
  <si>
    <t>Actual Stock (kg)</t>
  </si>
  <si>
    <t>Excess Stock (kg)</t>
  </si>
  <si>
    <t>This indicates where possible excess stocks may be (remember cycle stock = order quantity /2, so it is possible for actual stock to be greater than working stock)</t>
  </si>
  <si>
    <t>ABC</t>
  </si>
  <si>
    <t>A</t>
  </si>
  <si>
    <t>C</t>
  </si>
  <si>
    <t>Manually enter a ABC designation into column U (ABC importance can be based on volume sales , value sales, CM1 generation, cCM1 generation etc)</t>
  </si>
  <si>
    <t>Column V assigns an X, Y, Z classification:</t>
  </si>
  <si>
    <t>Column W determines if a statistical safety stock can be used or not</t>
  </si>
  <si>
    <t>Enter a target customer service level into column X by selecting from the drop-down list.  A target of 95% is usually adequate for finished goods</t>
  </si>
  <si>
    <t>Column Y determines the statistical safety factor that is associated with the desired service level</t>
  </si>
  <si>
    <t>Enter the replenishment lead time for the article in days in column Z</t>
  </si>
  <si>
    <t>Column AA calculates the average demand during the replenishment lead time</t>
  </si>
  <si>
    <t>Column AB determines a statistical correction factor to allow for differences between the monthly demand buckets and daily lead time</t>
  </si>
  <si>
    <t>Column AC calculates the statistical safety stock level based on standard deviation of demand x leadtime correction factor x service level safety factor</t>
  </si>
  <si>
    <t>Column AD converts this safety stock volume into number of days of supply.  This is an indication of how many days the safety stock will cover based on average historical demand</t>
  </si>
  <si>
    <t>Column AF will convert this current stock volume into days of supply.  This is an indication of how many days worth of inventory volume there is based on average historical demand</t>
  </si>
  <si>
    <t>Enter the typical replenishnment order quantity into column AH</t>
  </si>
  <si>
    <t>Column AI calculates the cycle stock - this is the average stock level arising from ordering activities</t>
  </si>
  <si>
    <t>Column AJ is a copy of the previously calculated safety stock where appropriate</t>
  </si>
  <si>
    <t xml:space="preserve">For merchandised goods enter the quantity of goods in-transit from supply point in column AK. This is the typical pipeline volume for replenishment.  </t>
  </si>
  <si>
    <t>If there is consignment stock for any particular article held at customer location then enter the typical consignment stock quantity in column AL</t>
  </si>
  <si>
    <t>Column AM calculates the working stock volume for each article.  Working stock is defined as cycle stock + safety stock + goods in transit + consignment stock</t>
  </si>
  <si>
    <t>Replenishment Lead Time / days</t>
  </si>
  <si>
    <t>Maximum Stock (kg)</t>
  </si>
  <si>
    <t>Column AO is a copy of column AE and gives the current actual inventory quantity</t>
  </si>
  <si>
    <t>Column AP indicates if current stock is higher than the target working stock.</t>
  </si>
  <si>
    <t xml:space="preserve">Column AQ calcualtes the reorder point for each article.  Reorder point is defined as safety stock + demand during lead time. </t>
  </si>
  <si>
    <t>Column AR converts the working stock volume into days of supply.  This is an indication of how many days worth of cover the working stock provides</t>
  </si>
  <si>
    <t>Column AS calculates the unit cost of each article (where possible) based on the actual OIV and actual TIQ.  Ideally this figure should be replaced with current standard cost from SAP (converted to Euro)</t>
  </si>
  <si>
    <t>Column AT calculates the value of the working stock based on working stock volume and unit cost</t>
  </si>
  <si>
    <t>Column AV converts this MOV(PIT) data into a target DIV(PIT) per article based on the target calculated working stock</t>
  </si>
  <si>
    <t>Column AN calculates the maximum stock that should ever be held (based on safety stock + goods in transit + consignment stock + full order quantity)</t>
  </si>
  <si>
    <t>Extract MOQ data from database at article / plant or article / company level for the last 12 months</t>
  </si>
  <si>
    <t>Enter the current actual TIQ (from database) into column AE</t>
  </si>
  <si>
    <t>Enter the current actual OIV (from database) onto column AG</t>
  </si>
  <si>
    <t>Enter the current MOV(PIT) data per article (in Euro) from database in column 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</si>
</sst>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
    <numFmt numFmtId="165" formatCode="_-* #,##0_-;\-* #,##0_-;_-* &quot;-&quot;??_-;_-@_-"/>
  </numFmts>
  <fonts count="12" x14ac:knownFonts="1">
    <font>
      <sz val="10"/>
      <color theme="1"/>
      <name val="Arial"/>
      <family val="2"/>
    </font>
    <font>
      <sz val="10"/>
      <color theme="1"/>
      <name val="Arial"/>
      <family val="2"/>
    </font>
    <font>
      <b/>
      <sz val="10"/>
      <color theme="1"/>
      <name val="Arial"/>
      <family val="2"/>
    </font>
    <font>
      <b/>
      <sz val="10"/>
      <color theme="0"/>
      <name val="Arial"/>
      <family val="2"/>
    </font>
    <font>
      <sz val="10"/>
      <color theme="0"/>
      <name val="Arial"/>
      <family val="2"/>
    </font>
    <font>
      <b/>
      <sz val="8"/>
      <color rgb="FF000000"/>
      <name val="Verdana"/>
      <family val="2"/>
    </font>
    <font>
      <sz val="8"/>
      <color rgb="FF000000"/>
      <name val="Verdana"/>
      <family val="2"/>
    </font>
    <font>
      <i/>
      <sz val="8"/>
      <color rgb="FF000000"/>
      <name val="Verdana"/>
      <family val="2"/>
    </font>
    <font>
      <b/>
      <sz val="8"/>
      <color rgb="FF00CC00"/>
      <name val="Verdana"/>
      <family val="2"/>
    </font>
    <font>
      <b/>
      <sz val="8"/>
      <color rgb="FFFF9900"/>
      <name val="Verdana"/>
      <family val="2"/>
    </font>
    <font>
      <b/>
      <sz val="8"/>
      <color rgb="FFFF0000"/>
      <name val="Verdana"/>
      <family val="2"/>
    </font>
    <font>
      <sz val="8"/>
      <color rgb="FF000000"/>
      <name val="Arial"/>
      <family val="2"/>
    </font>
  </fonts>
  <fills count="28">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0000"/>
        <bgColor indexed="64"/>
      </patternFill>
    </fill>
    <fill>
      <patternFill patternType="solid">
        <fgColor theme="5" tint="0.39997558519241921"/>
        <bgColor indexed="64"/>
      </patternFill>
    </fill>
    <fill>
      <gradientFill degree="90">
        <stop position="0">
          <color rgb="FFDDE2E7"/>
        </stop>
        <stop position="1">
          <color rgb="FFCED3D8"/>
        </stop>
      </gradientFill>
    </fill>
    <fill>
      <patternFill patternType="solid">
        <fgColor rgb="FFFFFDBF"/>
        <bgColor rgb="FFFFFFFF"/>
      </patternFill>
    </fill>
    <fill>
      <patternFill patternType="solid">
        <fgColor rgb="FFFFFFFF"/>
        <bgColor rgb="FF000000"/>
      </patternFill>
    </fill>
    <fill>
      <patternFill patternType="solid">
        <fgColor rgb="FFF1F5FB"/>
        <bgColor rgb="FF000000"/>
      </patternFill>
    </fill>
    <fill>
      <patternFill patternType="solid">
        <fgColor rgb="FFE9EFF7"/>
        <bgColor rgb="FF000000"/>
      </patternFill>
    </fill>
    <fill>
      <patternFill patternType="solid">
        <fgColor rgb="FF94D88F"/>
        <bgColor rgb="FF000000"/>
      </patternFill>
    </fill>
    <fill>
      <patternFill patternType="solid">
        <fgColor rgb="FFABEDA5"/>
        <bgColor rgb="FF000000"/>
      </patternFill>
    </fill>
    <fill>
      <patternFill patternType="solid">
        <fgColor rgb="FFC6F9C1"/>
        <bgColor rgb="FF000000"/>
      </patternFill>
    </fill>
    <fill>
      <patternFill patternType="solid">
        <fgColor rgb="FFFDE9D9"/>
        <bgColor rgb="FF000000"/>
      </patternFill>
    </fill>
    <fill>
      <patternFill patternType="solid">
        <fgColor rgb="FFFCD5B4"/>
        <bgColor rgb="FF000000"/>
      </patternFill>
    </fill>
    <fill>
      <patternFill patternType="solid">
        <fgColor rgb="FFFAC090"/>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FFFDBF"/>
        <bgColor rgb="FF000000"/>
      </patternFill>
    </fill>
    <fill>
      <gradientFill degree="90">
        <stop position="0">
          <color rgb="FFF7F7F7"/>
        </stop>
        <stop position="1">
          <color rgb="FFFCFCFC"/>
        </stop>
      </gradientFill>
    </fill>
    <fill>
      <patternFill patternType="solid">
        <fgColor rgb="FFB7CFE8"/>
        <bgColor rgb="FF000000"/>
      </patternFill>
    </fill>
    <fill>
      <patternFill patternType="solid">
        <fgColor rgb="FFC3D6EB"/>
        <bgColor rgb="FF000000"/>
      </patternFill>
    </fill>
    <fill>
      <patternFill patternType="solid">
        <fgColor rgb="FFD5E3F2"/>
        <bgColor rgb="FF000000"/>
      </patternFill>
    </fill>
    <fill>
      <patternFill patternType="solid">
        <fgColor rgb="FFE1E7F5"/>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style="thin">
        <color rgb="FF808080"/>
      </bottom>
      <diagonal/>
    </border>
    <border>
      <left style="hair">
        <color rgb="FFC0C0C0"/>
      </left>
      <right style="hair">
        <color rgb="FFC0C0C0"/>
      </right>
      <top style="hair">
        <color rgb="FFC0C0C0"/>
      </top>
      <bottom style="hair">
        <color rgb="FFC0C0C0"/>
      </bottom>
      <diagonal/>
    </border>
    <border>
      <left style="hair">
        <color rgb="FF808080"/>
      </left>
      <right style="hair">
        <color rgb="FF808080"/>
      </right>
      <top style="hair">
        <color rgb="FF808080"/>
      </top>
      <bottom style="hair">
        <color rgb="FF808080"/>
      </bottom>
      <diagonal/>
    </border>
    <border>
      <left style="thin">
        <color rgb="FF000000"/>
      </left>
      <right style="thin">
        <color rgb="FF000000"/>
      </right>
      <top style="thin">
        <color rgb="FF000000"/>
      </top>
      <bottom style="thin">
        <color rgb="FF000000"/>
      </bottom>
      <diagonal/>
    </border>
    <border>
      <left style="hair">
        <color rgb="FFC0C0C0"/>
      </left>
      <right style="hair">
        <color rgb="FFC0C0C0"/>
      </right>
      <top style="thin">
        <color rgb="FF808080"/>
      </top>
      <bottom style="thin">
        <color rgb="FF808080"/>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s>
  <cellStyleXfs count="32">
    <xf numFmtId="0" fontId="0" fillId="0" borderId="0"/>
    <xf numFmtId="9" fontId="1" fillId="0" borderId="0" applyFont="0" applyFill="0" applyBorder="0" applyAlignment="0" applyProtection="0"/>
    <xf numFmtId="0" fontId="5" fillId="8" borderId="10" applyNumberFormat="0" applyAlignment="0" applyProtection="0">
      <alignment horizontal="left" vertical="center" indent="1"/>
    </xf>
    <xf numFmtId="164" fontId="6" fillId="0" borderId="11" applyNumberFormat="0" applyAlignment="0" applyProtection="0">
      <alignment horizontal="right" vertical="center" indent="1"/>
    </xf>
    <xf numFmtId="164" fontId="5" fillId="9" borderId="12" applyNumberFormat="0" applyAlignment="0" applyProtection="0">
      <alignment horizontal="right" vertical="center" indent="1"/>
    </xf>
    <xf numFmtId="0" fontId="7" fillId="0" borderId="13" applyNumberFormat="0" applyFill="0" applyBorder="0" applyAlignment="0" applyProtection="0"/>
    <xf numFmtId="164" fontId="6" fillId="10" borderId="10" applyNumberFormat="0" applyAlignment="0" applyProtection="0">
      <alignment horizontal="left" vertical="center" indent="1"/>
    </xf>
    <xf numFmtId="0" fontId="6" fillId="11" borderId="10" applyNumberFormat="0" applyAlignment="0" applyProtection="0">
      <alignment horizontal="left" vertical="center" indent="1"/>
    </xf>
    <xf numFmtId="164" fontId="6" fillId="12" borderId="11" applyNumberFormat="0" applyBorder="0" applyAlignment="0" applyProtection="0">
      <alignment horizontal="right" vertical="center" indent="1"/>
    </xf>
    <xf numFmtId="0" fontId="6" fillId="10" borderId="10" applyNumberFormat="0" applyAlignment="0" applyProtection="0">
      <alignment horizontal="left" vertical="center" indent="1"/>
    </xf>
    <xf numFmtId="164" fontId="5" fillId="9" borderId="12" applyNumberFormat="0" applyAlignment="0" applyProtection="0">
      <alignment horizontal="right" vertical="center" indent="1"/>
    </xf>
    <xf numFmtId="164" fontId="5" fillId="12" borderId="12" applyNumberFormat="0" applyAlignment="0" applyProtection="0">
      <alignment horizontal="right" vertical="center" indent="1"/>
    </xf>
    <xf numFmtId="164" fontId="8" fillId="13" borderId="14" applyNumberFormat="0" applyBorder="0" applyAlignment="0" applyProtection="0">
      <alignment horizontal="right" vertical="center" indent="1"/>
    </xf>
    <xf numFmtId="164" fontId="8" fillId="14" borderId="14" applyNumberFormat="0" applyBorder="0" applyAlignment="0" applyProtection="0">
      <alignment horizontal="right" vertical="center" indent="1"/>
    </xf>
    <xf numFmtId="164" fontId="8" fillId="15" borderId="14" applyNumberFormat="0" applyBorder="0" applyAlignment="0" applyProtection="0">
      <alignment horizontal="right" vertical="center" indent="1"/>
    </xf>
    <xf numFmtId="164" fontId="9" fillId="16" borderId="14" applyNumberFormat="0" applyBorder="0" applyAlignment="0" applyProtection="0">
      <alignment horizontal="right" vertical="center" indent="1"/>
    </xf>
    <xf numFmtId="164" fontId="9" fillId="17" borderId="14" applyNumberFormat="0" applyBorder="0" applyAlignment="0" applyProtection="0">
      <alignment horizontal="right" vertical="center" indent="1"/>
    </xf>
    <xf numFmtId="164" fontId="9" fillId="18" borderId="14" applyNumberFormat="0" applyBorder="0" applyAlignment="0" applyProtection="0">
      <alignment horizontal="right" vertical="center" indent="1"/>
    </xf>
    <xf numFmtId="164" fontId="10" fillId="19" borderId="14" applyNumberFormat="0" applyBorder="0" applyAlignment="0" applyProtection="0">
      <alignment horizontal="right" vertical="center" indent="1"/>
    </xf>
    <xf numFmtId="164" fontId="10" fillId="20" borderId="14" applyNumberFormat="0" applyBorder="0" applyAlignment="0" applyProtection="0">
      <alignment horizontal="right" vertical="center" indent="1"/>
    </xf>
    <xf numFmtId="164" fontId="10" fillId="21" borderId="14" applyNumberFormat="0" applyBorder="0" applyAlignment="0" applyProtection="0">
      <alignment horizontal="right" vertical="center" indent="1"/>
    </xf>
    <xf numFmtId="0" fontId="11" fillId="0" borderId="15" applyNumberFormat="0" applyFont="0" applyFill="0" applyAlignment="0" applyProtection="0"/>
    <xf numFmtId="164" fontId="6" fillId="8" borderId="15" applyNumberFormat="0" applyAlignment="0" applyProtection="0">
      <alignment horizontal="left" vertical="center" indent="1"/>
    </xf>
    <xf numFmtId="0" fontId="5" fillId="22" borderId="10" applyNumberFormat="0" applyAlignment="0" applyProtection="0">
      <alignment horizontal="left" vertical="center" indent="1"/>
    </xf>
    <xf numFmtId="0" fontId="6" fillId="8" borderId="12" applyNumberFormat="0" applyAlignment="0" applyProtection="0">
      <alignment horizontal="left" vertical="center" indent="1"/>
    </xf>
    <xf numFmtId="0" fontId="6" fillId="23" borderId="12" applyNumberFormat="0" applyAlignment="0" applyProtection="0">
      <alignment horizontal="left" vertical="center" indent="1"/>
    </xf>
    <xf numFmtId="0" fontId="6" fillId="24" borderId="10" applyNumberFormat="0" applyAlignment="0" applyProtection="0">
      <alignment horizontal="left" vertical="center" indent="1"/>
    </xf>
    <xf numFmtId="0" fontId="6" fillId="25" borderId="10" applyNumberFormat="0" applyAlignment="0" applyProtection="0">
      <alignment horizontal="left" vertical="center" indent="1"/>
    </xf>
    <xf numFmtId="0" fontId="6" fillId="26" borderId="10" applyNumberFormat="0" applyAlignment="0" applyProtection="0">
      <alignment horizontal="left" vertical="center" indent="1"/>
    </xf>
    <xf numFmtId="0" fontId="6" fillId="27" borderId="10" applyNumberFormat="0" applyAlignment="0" applyProtection="0">
      <alignment horizontal="left" vertical="center" indent="1"/>
    </xf>
    <xf numFmtId="0" fontId="6" fillId="11" borderId="10" applyNumberFormat="0" applyAlignment="0" applyProtection="0">
      <alignment horizontal="left" vertical="center" indent="1"/>
    </xf>
    <xf numFmtId="43" fontId="1" fillId="0" borderId="0" applyFont="0" applyFill="0" applyBorder="0" applyAlignment="0" applyProtection="0"/>
  </cellStyleXfs>
  <cellXfs count="50">
    <xf numFmtId="0" fontId="0" fillId="0" borderId="0" xfId="0"/>
    <xf numFmtId="0" fontId="2" fillId="0" borderId="0" xfId="0" applyFont="1"/>
    <xf numFmtId="0" fontId="2" fillId="0" borderId="0" xfId="0" applyFont="1" applyAlignment="1">
      <alignment horizontal="center" vertical="top"/>
    </xf>
    <xf numFmtId="0" fontId="4" fillId="6" borderId="0" xfId="0" applyFont="1" applyFill="1" applyAlignment="1">
      <alignment vertical="top"/>
    </xf>
    <xf numFmtId="1" fontId="4" fillId="6" borderId="0" xfId="0" applyNumberFormat="1" applyFont="1" applyFill="1" applyAlignment="1">
      <alignment vertical="top"/>
    </xf>
    <xf numFmtId="2" fontId="3" fillId="6" borderId="9" xfId="0" applyNumberFormat="1" applyFont="1" applyFill="1" applyBorder="1" applyAlignment="1">
      <alignment horizontal="center" vertical="top"/>
    </xf>
    <xf numFmtId="0" fontId="3" fillId="6" borderId="0" xfId="0" applyFont="1" applyFill="1" applyAlignment="1">
      <alignment vertical="top"/>
    </xf>
    <xf numFmtId="0" fontId="2" fillId="2" borderId="1" xfId="0" applyFont="1" applyFill="1" applyBorder="1" applyAlignment="1">
      <alignment horizontal="center" vertical="top" wrapText="1"/>
    </xf>
    <xf numFmtId="43" fontId="0" fillId="0" borderId="1" xfId="31" applyFont="1" applyBorder="1" applyAlignment="1">
      <alignment horizontal="center" vertical="top"/>
    </xf>
    <xf numFmtId="165" fontId="0" fillId="5" borderId="1" xfId="31" applyNumberFormat="1" applyFont="1" applyFill="1" applyBorder="1" applyAlignment="1">
      <alignment vertical="top"/>
    </xf>
    <xf numFmtId="165" fontId="0" fillId="0" borderId="1" xfId="31" applyNumberFormat="1" applyFont="1" applyBorder="1" applyAlignment="1">
      <alignment vertical="top"/>
    </xf>
    <xf numFmtId="165" fontId="0" fillId="0" borderId="1" xfId="31" applyNumberFormat="1" applyFont="1" applyBorder="1" applyAlignment="1">
      <alignment horizontal="center" vertical="top"/>
    </xf>
    <xf numFmtId="9" fontId="0" fillId="0" borderId="0" xfId="0" applyNumberFormat="1" applyAlignment="1">
      <alignment vertical="top"/>
    </xf>
    <xf numFmtId="0" fontId="0" fillId="0" borderId="0" xfId="0" applyAlignment="1">
      <alignment vertical="top"/>
    </xf>
    <xf numFmtId="0" fontId="0" fillId="0" borderId="0" xfId="0" applyAlignment="1">
      <alignment horizontal="center" vertical="top"/>
    </xf>
    <xf numFmtId="0" fontId="0" fillId="4" borderId="1" xfId="0" applyFill="1" applyBorder="1" applyAlignment="1">
      <alignment vertical="top"/>
    </xf>
    <xf numFmtId="0" fontId="0" fillId="0" borderId="1" xfId="0" applyBorder="1" applyAlignment="1">
      <alignment vertical="top"/>
    </xf>
    <xf numFmtId="2" fontId="0" fillId="0" borderId="1" xfId="0" applyNumberFormat="1" applyBorder="1" applyAlignment="1">
      <alignment horizontal="center" vertical="top"/>
    </xf>
    <xf numFmtId="2" fontId="0" fillId="5" borderId="9" xfId="0" applyNumberFormat="1" applyFill="1" applyBorder="1" applyAlignment="1">
      <alignment horizontal="center" vertical="top"/>
    </xf>
    <xf numFmtId="0" fontId="0" fillId="0" borderId="1" xfId="0" applyBorder="1" applyAlignment="1">
      <alignment horizontal="center" vertical="top"/>
    </xf>
    <xf numFmtId="9" fontId="0" fillId="5" borderId="1" xfId="0" applyNumberFormat="1" applyFill="1" applyBorder="1" applyAlignment="1">
      <alignment horizontal="center" vertical="top"/>
    </xf>
    <xf numFmtId="2" fontId="0" fillId="0" borderId="1" xfId="1" applyNumberFormat="1" applyFont="1" applyBorder="1" applyAlignment="1">
      <alignment horizontal="center" vertical="top"/>
    </xf>
    <xf numFmtId="0" fontId="0" fillId="5" borderId="1" xfId="0" applyFill="1" applyBorder="1" applyAlignment="1">
      <alignment horizontal="center" vertical="top"/>
    </xf>
    <xf numFmtId="1" fontId="0" fillId="0" borderId="1" xfId="0" applyNumberFormat="1" applyBorder="1" applyAlignment="1">
      <alignment horizontal="center" vertical="top"/>
    </xf>
    <xf numFmtId="1" fontId="0" fillId="5" borderId="1" xfId="0" applyNumberFormat="1" applyFill="1" applyBorder="1" applyAlignment="1">
      <alignment horizontal="center" vertical="top"/>
    </xf>
    <xf numFmtId="0" fontId="0" fillId="5" borderId="9" xfId="0" applyFill="1" applyBorder="1" applyAlignment="1">
      <alignment vertical="top"/>
    </xf>
    <xf numFmtId="0" fontId="0" fillId="0" borderId="9" xfId="0" applyBorder="1" applyAlignment="1">
      <alignment vertical="top"/>
    </xf>
    <xf numFmtId="1" fontId="0" fillId="0" borderId="9" xfId="0" applyNumberFormat="1" applyBorder="1" applyAlignment="1">
      <alignment vertical="top"/>
    </xf>
    <xf numFmtId="1" fontId="0" fillId="0" borderId="9" xfId="0" applyNumberFormat="1" applyBorder="1" applyAlignment="1">
      <alignment horizontal="center" vertical="top"/>
    </xf>
    <xf numFmtId="2" fontId="0" fillId="5" borderId="9" xfId="0" applyNumberFormat="1" applyFill="1" applyBorder="1" applyAlignment="1">
      <alignment vertical="top"/>
    </xf>
    <xf numFmtId="1" fontId="0" fillId="7" borderId="9" xfId="0" applyNumberFormat="1" applyFill="1" applyBorder="1" applyAlignment="1">
      <alignment vertical="top"/>
    </xf>
    <xf numFmtId="0" fontId="2" fillId="3" borderId="9" xfId="0" applyFont="1" applyFill="1" applyBorder="1" applyAlignment="1">
      <alignment horizontal="center" vertical="top" wrapText="1"/>
    </xf>
    <xf numFmtId="0" fontId="2" fillId="2" borderId="9" xfId="0" applyFont="1" applyFill="1" applyBorder="1" applyAlignment="1">
      <alignment horizontal="center" vertical="top" wrapText="1"/>
    </xf>
    <xf numFmtId="0" fontId="0" fillId="0" borderId="0" xfId="0" applyAlignment="1">
      <alignment vertical="top" wrapText="1"/>
    </xf>
    <xf numFmtId="165" fontId="0" fillId="0" borderId="0" xfId="0" applyNumberFormat="1" applyAlignment="1">
      <alignment vertical="top"/>
    </xf>
    <xf numFmtId="43" fontId="0" fillId="5" borderId="1" xfId="31" applyFont="1" applyFill="1" applyBorder="1" applyAlignment="1">
      <alignment horizontal="center" vertical="top"/>
    </xf>
    <xf numFmtId="0" fontId="2" fillId="0" borderId="0" xfId="0" applyFont="1" applyAlignment="1">
      <alignment horizontal="center" vertical="top"/>
    </xf>
    <xf numFmtId="0" fontId="2" fillId="2" borderId="1" xfId="0" applyFont="1" applyFill="1" applyBorder="1" applyAlignment="1">
      <alignment horizontal="center" vertical="top" wrapText="1"/>
    </xf>
    <xf numFmtId="0" fontId="2" fillId="2" borderId="1" xfId="0" applyFont="1" applyFill="1" applyBorder="1" applyAlignment="1">
      <alignment horizontal="center" vertical="top"/>
    </xf>
    <xf numFmtId="0" fontId="2" fillId="3" borderId="3" xfId="0" applyFont="1" applyFill="1" applyBorder="1" applyAlignment="1">
      <alignment horizontal="center" vertical="top"/>
    </xf>
    <xf numFmtId="0" fontId="2" fillId="3" borderId="4" xfId="0" applyFont="1" applyFill="1" applyBorder="1" applyAlignment="1">
      <alignment horizontal="center" vertical="top"/>
    </xf>
    <xf numFmtId="0" fontId="2" fillId="3" borderId="5" xfId="0" applyFont="1" applyFill="1" applyBorder="1" applyAlignment="1">
      <alignment horizontal="center" vertical="top"/>
    </xf>
    <xf numFmtId="0" fontId="2" fillId="3" borderId="6" xfId="0" applyFont="1" applyFill="1" applyBorder="1" applyAlignment="1">
      <alignment horizontal="center" vertical="top"/>
    </xf>
    <xf numFmtId="0" fontId="2" fillId="3" borderId="7" xfId="0" applyFont="1" applyFill="1" applyBorder="1" applyAlignment="1">
      <alignment horizontal="center" vertical="top"/>
    </xf>
    <xf numFmtId="0" fontId="2" fillId="3" borderId="8" xfId="0" applyFont="1" applyFill="1" applyBorder="1" applyAlignment="1">
      <alignment horizontal="center" vertical="top"/>
    </xf>
    <xf numFmtId="0" fontId="2" fillId="3" borderId="1" xfId="0" applyFont="1" applyFill="1" applyBorder="1" applyAlignment="1">
      <alignment horizontal="center" vertical="top"/>
    </xf>
    <xf numFmtId="0" fontId="2" fillId="3" borderId="9" xfId="0" applyFont="1" applyFill="1" applyBorder="1" applyAlignment="1">
      <alignment horizontal="center" vertical="top"/>
    </xf>
    <xf numFmtId="0" fontId="2" fillId="3" borderId="1" xfId="0" applyFont="1" applyFill="1" applyBorder="1" applyAlignment="1">
      <alignment horizontal="center" vertical="top" wrapText="1"/>
    </xf>
    <xf numFmtId="1" fontId="2" fillId="3" borderId="1" xfId="0" applyNumberFormat="1" applyFont="1" applyFill="1" applyBorder="1" applyAlignment="1">
      <alignment horizontal="center" vertical="top" wrapText="1"/>
    </xf>
    <xf numFmtId="0" fontId="2" fillId="3" borderId="2" xfId="0" applyFont="1" applyFill="1" applyBorder="1" applyAlignment="1">
      <alignment horizontal="center" vertical="top" wrapText="1"/>
    </xf>
  </cellXfs>
  <cellStyles count="32">
    <cellStyle name="Comma" xfId="31" builtinId="3"/>
    <cellStyle name="Normal" xfId="0" builtinId="0"/>
    <cellStyle name="Percent" xfId="1" builtinId="5"/>
    <cellStyle name="SAPBorder" xfId="21" xr:uid="{00000000-0005-0000-0000-000003000000}"/>
    <cellStyle name="SAPDataCell" xfId="3" xr:uid="{00000000-0005-0000-0000-000004000000}"/>
    <cellStyle name="SAPDataTotalCell" xfId="4" xr:uid="{00000000-0005-0000-0000-000005000000}"/>
    <cellStyle name="SAPDimensionCell" xfId="2" xr:uid="{00000000-0005-0000-0000-000006000000}"/>
    <cellStyle name="SAPEditableDataCell" xfId="6" xr:uid="{00000000-0005-0000-0000-000007000000}"/>
    <cellStyle name="SAPEditableDataTotalCell" xfId="9" xr:uid="{00000000-0005-0000-0000-000008000000}"/>
    <cellStyle name="SAPEmphasized" xfId="5" xr:uid="{00000000-0005-0000-0000-000009000000}"/>
    <cellStyle name="SAPExceptionLevel1" xfId="12" xr:uid="{00000000-0005-0000-0000-00000A000000}"/>
    <cellStyle name="SAPExceptionLevel2" xfId="13" xr:uid="{00000000-0005-0000-0000-00000B000000}"/>
    <cellStyle name="SAPExceptionLevel3" xfId="14" xr:uid="{00000000-0005-0000-0000-00000C000000}"/>
    <cellStyle name="SAPExceptionLevel4" xfId="15" xr:uid="{00000000-0005-0000-0000-00000D000000}"/>
    <cellStyle name="SAPExceptionLevel5" xfId="16" xr:uid="{00000000-0005-0000-0000-00000E000000}"/>
    <cellStyle name="SAPExceptionLevel6" xfId="17" xr:uid="{00000000-0005-0000-0000-00000F000000}"/>
    <cellStyle name="SAPExceptionLevel7" xfId="18" xr:uid="{00000000-0005-0000-0000-000010000000}"/>
    <cellStyle name="SAPExceptionLevel8" xfId="19" xr:uid="{00000000-0005-0000-0000-000011000000}"/>
    <cellStyle name="SAPExceptionLevel9" xfId="20" xr:uid="{00000000-0005-0000-0000-000012000000}"/>
    <cellStyle name="SAPHierarchyCell" xfId="24" xr:uid="{00000000-0005-0000-0000-000013000000}"/>
    <cellStyle name="SAPHierarchyCell0" xfId="26" xr:uid="{00000000-0005-0000-0000-000014000000}"/>
    <cellStyle name="SAPHierarchyCell1" xfId="27" xr:uid="{00000000-0005-0000-0000-000015000000}"/>
    <cellStyle name="SAPHierarchyCell2" xfId="28" xr:uid="{00000000-0005-0000-0000-000016000000}"/>
    <cellStyle name="SAPHierarchyCell3" xfId="29" xr:uid="{00000000-0005-0000-0000-000017000000}"/>
    <cellStyle name="SAPHierarchyCell4" xfId="30" xr:uid="{00000000-0005-0000-0000-000018000000}"/>
    <cellStyle name="SAPHierarchyOddCell" xfId="25" xr:uid="{00000000-0005-0000-0000-000019000000}"/>
    <cellStyle name="SAPLockedDataCell" xfId="8" xr:uid="{00000000-0005-0000-0000-00001A000000}"/>
    <cellStyle name="SAPLockedDataTotalCell" xfId="11" xr:uid="{00000000-0005-0000-0000-00001B000000}"/>
    <cellStyle name="SAPMemberCell" xfId="22" xr:uid="{00000000-0005-0000-0000-00001C000000}"/>
    <cellStyle name="SAPMemberTotalCell" xfId="23" xr:uid="{00000000-0005-0000-0000-00001D000000}"/>
    <cellStyle name="SAPReadonlyDataCell" xfId="7" xr:uid="{00000000-0005-0000-0000-00001E000000}"/>
    <cellStyle name="SAPReadonlyDataTotalCell" xfId="10" xr:uid="{00000000-0005-0000-0000-00001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438150</xdr:colOff>
      <xdr:row>26</xdr:row>
      <xdr:rowOff>37569</xdr:rowOff>
    </xdr:to>
    <xdr:grpSp>
      <xdr:nvGrpSpPr>
        <xdr:cNvPr id="7" name="Group 6">
          <a:extLst>
            <a:ext uri="{FF2B5EF4-FFF2-40B4-BE49-F238E27FC236}">
              <a16:creationId xmlns:a16="http://schemas.microsoft.com/office/drawing/2014/main" id="{0EF09109-76BB-FDDE-9691-3ADEAD02C8CD}"/>
            </a:ext>
          </a:extLst>
        </xdr:cNvPr>
        <xdr:cNvGrpSpPr/>
      </xdr:nvGrpSpPr>
      <xdr:grpSpPr>
        <a:xfrm>
          <a:off x="0" y="0"/>
          <a:ext cx="11410950" cy="4247619"/>
          <a:chOff x="0" y="0"/>
          <a:chExt cx="11410950" cy="4247619"/>
        </a:xfrm>
      </xdr:grpSpPr>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5561905" cy="4247619"/>
          </a:xfrm>
          <a:prstGeom prst="rect">
            <a:avLst/>
          </a:prstGeom>
        </xdr:spPr>
      </xdr:pic>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5829300" y="0"/>
            <a:ext cx="5542858" cy="4190476"/>
          </a:xfrm>
          <a:prstGeom prst="rect">
            <a:avLst/>
          </a:prstGeom>
        </xdr:spPr>
      </xdr:pic>
      <xdr:sp macro="" textlink="">
        <xdr:nvSpPr>
          <xdr:cNvPr id="4" name="Rectangle 3">
            <a:extLst>
              <a:ext uri="{FF2B5EF4-FFF2-40B4-BE49-F238E27FC236}">
                <a16:creationId xmlns:a16="http://schemas.microsoft.com/office/drawing/2014/main" id="{3763F00C-6495-C68F-5035-E45E972F5479}"/>
              </a:ext>
            </a:extLst>
          </xdr:cNvPr>
          <xdr:cNvSpPr/>
        </xdr:nvSpPr>
        <xdr:spPr>
          <a:xfrm>
            <a:off x="4514850" y="85726"/>
            <a:ext cx="1076325" cy="8763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5" name="Rectangle 4">
            <a:extLst>
              <a:ext uri="{FF2B5EF4-FFF2-40B4-BE49-F238E27FC236}">
                <a16:creationId xmlns:a16="http://schemas.microsoft.com/office/drawing/2014/main" id="{0A16CBAB-2659-4B1F-924E-1DFA95BE91FE}"/>
              </a:ext>
            </a:extLst>
          </xdr:cNvPr>
          <xdr:cNvSpPr/>
        </xdr:nvSpPr>
        <xdr:spPr>
          <a:xfrm>
            <a:off x="10334625" y="123825"/>
            <a:ext cx="1076325" cy="87630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34"/>
  <sheetViews>
    <sheetView tabSelected="1" zoomScale="80" zoomScaleNormal="80" workbookViewId="0">
      <selection activeCell="AX6" sqref="AX6"/>
    </sheetView>
  </sheetViews>
  <sheetFormatPr defaultColWidth="9.140625" defaultRowHeight="12.75" x14ac:dyDescent="0.2"/>
  <cols>
    <col min="1" max="1" width="9.85546875" style="13" bestFit="1" customWidth="1"/>
    <col min="2" max="2" width="12.42578125" style="13" bestFit="1" customWidth="1"/>
    <col min="3" max="3" width="25.28515625" style="13" bestFit="1" customWidth="1"/>
    <col min="4" max="6" width="11.5703125" style="13" bestFit="1" customWidth="1"/>
    <col min="7" max="15" width="10.5703125" style="13" bestFit="1" customWidth="1"/>
    <col min="16" max="16" width="16.28515625" style="13" bestFit="1" customWidth="1"/>
    <col min="17" max="17" width="16" style="13" bestFit="1" customWidth="1"/>
    <col min="18" max="18" width="18.42578125" style="14" customWidth="1"/>
    <col min="19" max="19" width="11.28515625" style="14" bestFit="1" customWidth="1"/>
    <col min="20" max="20" width="11.140625" style="14" bestFit="1" customWidth="1"/>
    <col min="21" max="21" width="11" style="14" bestFit="1" customWidth="1"/>
    <col min="22" max="22" width="10.7109375" style="14" bestFit="1" customWidth="1"/>
    <col min="23" max="23" width="18.140625" style="14" customWidth="1"/>
    <col min="24" max="24" width="21.5703125" style="14" bestFit="1" customWidth="1"/>
    <col min="25" max="25" width="13.85546875" style="14" bestFit="1" customWidth="1"/>
    <col min="26" max="26" width="31.42578125" style="14" bestFit="1" customWidth="1"/>
    <col min="27" max="27" width="25.7109375" style="14" bestFit="1" customWidth="1"/>
    <col min="28" max="28" width="21.5703125" style="14" bestFit="1" customWidth="1"/>
    <col min="29" max="29" width="23.5703125" style="14" bestFit="1" customWidth="1"/>
    <col min="30" max="30" width="27.85546875" style="14" bestFit="1" customWidth="1"/>
    <col min="31" max="31" width="6.5703125" style="13" bestFit="1" customWidth="1"/>
    <col min="32" max="32" width="15.140625" style="13" bestFit="1" customWidth="1"/>
    <col min="33" max="33" width="11.28515625" style="13" bestFit="1" customWidth="1"/>
    <col min="34" max="34" width="8.7109375" style="13" bestFit="1" customWidth="1"/>
    <col min="35" max="37" width="9" style="13" bestFit="1" customWidth="1"/>
    <col min="38" max="38" width="14.85546875" style="13" bestFit="1" customWidth="1"/>
    <col min="39" max="39" width="12.42578125" style="13" bestFit="1" customWidth="1"/>
    <col min="40" max="40" width="13.7109375" style="13" bestFit="1" customWidth="1"/>
    <col min="41" max="41" width="14.42578125" style="13" bestFit="1" customWidth="1"/>
    <col min="42" max="42" width="9" style="13" bestFit="1" customWidth="1"/>
    <col min="43" max="43" width="21.28515625" style="13" bestFit="1" customWidth="1"/>
    <col min="44" max="46" width="8.85546875" style="13" bestFit="1" customWidth="1"/>
    <col min="47" max="47" width="12" style="13" customWidth="1"/>
    <col min="48" max="48" width="9.140625" style="13"/>
    <col min="49" max="49" width="5.85546875" style="13" bestFit="1" customWidth="1"/>
    <col min="50" max="16384" width="9.140625" style="13"/>
  </cols>
  <sheetData>
    <row r="1" spans="1:49" x14ac:dyDescent="0.2">
      <c r="A1" s="12">
        <v>0.9</v>
      </c>
      <c r="B1" s="13">
        <v>1.28</v>
      </c>
    </row>
    <row r="2" spans="1:49" x14ac:dyDescent="0.2">
      <c r="A2" s="12">
        <v>0.94</v>
      </c>
      <c r="B2" s="13">
        <v>1.56</v>
      </c>
      <c r="W2" s="36"/>
      <c r="X2" s="36"/>
      <c r="Y2" s="36"/>
      <c r="Z2" s="36"/>
      <c r="AA2" s="36"/>
    </row>
    <row r="3" spans="1:49" x14ac:dyDescent="0.2">
      <c r="A3" s="12">
        <v>0.95</v>
      </c>
      <c r="B3" s="13">
        <v>1.65</v>
      </c>
      <c r="W3" s="2"/>
      <c r="X3" s="2"/>
      <c r="Y3" s="2"/>
      <c r="Z3" s="2"/>
      <c r="AA3" s="2"/>
    </row>
    <row r="4" spans="1:49" x14ac:dyDescent="0.2">
      <c r="A4" s="12">
        <v>0.98</v>
      </c>
      <c r="B4" s="13">
        <v>2.0499999999999998</v>
      </c>
      <c r="W4" s="2"/>
      <c r="X4" s="2"/>
      <c r="Y4" s="2"/>
      <c r="Z4" s="2"/>
      <c r="AA4" s="2"/>
    </row>
    <row r="5" spans="1:49" x14ac:dyDescent="0.2">
      <c r="A5" s="12">
        <v>0.99</v>
      </c>
      <c r="B5" s="13">
        <v>2.33</v>
      </c>
      <c r="W5" s="2"/>
      <c r="X5" s="2"/>
      <c r="Y5" s="2"/>
      <c r="Z5" s="2"/>
      <c r="AA5" s="2"/>
    </row>
    <row r="6" spans="1:49" x14ac:dyDescent="0.2">
      <c r="AQ6" s="3" t="s">
        <v>78</v>
      </c>
      <c r="AR6" s="3"/>
      <c r="AS6" s="3"/>
      <c r="AT6" s="4">
        <f>SUM(AT11:AT1047953)</f>
        <v>609867.46260962309</v>
      </c>
      <c r="AU6" s="3">
        <f>SUM(AU11:AU1047953)</f>
        <v>11842</v>
      </c>
      <c r="AV6" s="5">
        <f>AT6/(AU6)</f>
        <v>51.500376845940139</v>
      </c>
      <c r="AW6" s="6" t="s">
        <v>26</v>
      </c>
    </row>
    <row r="8" spans="1:49" x14ac:dyDescent="0.2">
      <c r="A8" s="37" t="s">
        <v>0</v>
      </c>
      <c r="B8" s="38" t="s">
        <v>1</v>
      </c>
      <c r="C8" s="37" t="s">
        <v>17</v>
      </c>
      <c r="D8" s="39" t="s">
        <v>33</v>
      </c>
      <c r="E8" s="40"/>
      <c r="F8" s="40"/>
      <c r="G8" s="40"/>
      <c r="H8" s="40"/>
      <c r="I8" s="40"/>
      <c r="J8" s="40"/>
      <c r="K8" s="40"/>
      <c r="L8" s="40"/>
      <c r="M8" s="40"/>
      <c r="N8" s="40"/>
      <c r="O8" s="41"/>
      <c r="P8" s="39" t="s">
        <v>2</v>
      </c>
      <c r="Q8" s="40"/>
      <c r="R8" s="40"/>
      <c r="S8" s="40"/>
      <c r="T8" s="40"/>
      <c r="U8" s="40"/>
      <c r="V8" s="41"/>
      <c r="W8" s="45" t="s">
        <v>6</v>
      </c>
      <c r="X8" s="45"/>
      <c r="Y8" s="45"/>
      <c r="Z8" s="45"/>
      <c r="AA8" s="45"/>
      <c r="AB8" s="45"/>
      <c r="AC8" s="46"/>
      <c r="AD8" s="45"/>
      <c r="AE8" s="45" t="s">
        <v>67</v>
      </c>
      <c r="AF8" s="45"/>
      <c r="AG8" s="45"/>
      <c r="AH8" s="46" t="s">
        <v>20</v>
      </c>
      <c r="AI8" s="46"/>
      <c r="AJ8" s="46"/>
      <c r="AK8" s="46"/>
      <c r="AL8" s="46"/>
      <c r="AM8" s="46"/>
      <c r="AN8" s="46"/>
      <c r="AO8" s="46"/>
      <c r="AP8" s="46"/>
      <c r="AQ8" s="46"/>
      <c r="AR8" s="46"/>
      <c r="AS8" s="46"/>
      <c r="AT8" s="46"/>
      <c r="AU8" s="46"/>
      <c r="AV8" s="46"/>
    </row>
    <row r="9" spans="1:49" x14ac:dyDescent="0.2">
      <c r="A9" s="37"/>
      <c r="B9" s="38"/>
      <c r="C9" s="37"/>
      <c r="D9" s="42"/>
      <c r="E9" s="43"/>
      <c r="F9" s="43"/>
      <c r="G9" s="43"/>
      <c r="H9" s="43"/>
      <c r="I9" s="43"/>
      <c r="J9" s="43"/>
      <c r="K9" s="43"/>
      <c r="L9" s="43"/>
      <c r="M9" s="43"/>
      <c r="N9" s="43"/>
      <c r="O9" s="44"/>
      <c r="P9" s="42"/>
      <c r="Q9" s="43"/>
      <c r="R9" s="43"/>
      <c r="S9" s="43"/>
      <c r="T9" s="43"/>
      <c r="U9" s="43"/>
      <c r="V9" s="44"/>
      <c r="W9" s="47" t="s">
        <v>7</v>
      </c>
      <c r="X9" s="47" t="s">
        <v>8</v>
      </c>
      <c r="Y9" s="47" t="s">
        <v>11</v>
      </c>
      <c r="Z9" s="47" t="s">
        <v>123</v>
      </c>
      <c r="AA9" s="47" t="s">
        <v>9</v>
      </c>
      <c r="AB9" s="47" t="s">
        <v>10</v>
      </c>
      <c r="AC9" s="48" t="s">
        <v>12</v>
      </c>
      <c r="AD9" s="48" t="s">
        <v>27</v>
      </c>
      <c r="AE9" s="47" t="s">
        <v>13</v>
      </c>
      <c r="AF9" s="47" t="s">
        <v>14</v>
      </c>
      <c r="AG9" s="47" t="s">
        <v>68</v>
      </c>
      <c r="AH9" s="46"/>
      <c r="AI9" s="46"/>
      <c r="AJ9" s="46"/>
      <c r="AK9" s="46"/>
      <c r="AL9" s="46"/>
      <c r="AM9" s="46"/>
      <c r="AN9" s="46"/>
      <c r="AO9" s="46"/>
      <c r="AP9" s="46"/>
      <c r="AQ9" s="46"/>
      <c r="AR9" s="46"/>
      <c r="AS9" s="46"/>
      <c r="AT9" s="46"/>
      <c r="AU9" s="46"/>
      <c r="AV9" s="46"/>
    </row>
    <row r="10" spans="1:49" s="33" customFormat="1" ht="51" x14ac:dyDescent="0.2">
      <c r="A10" s="37"/>
      <c r="B10" s="38"/>
      <c r="C10" s="37"/>
      <c r="D10" s="7" t="s">
        <v>45</v>
      </c>
      <c r="E10" s="7" t="s">
        <v>44</v>
      </c>
      <c r="F10" s="7" t="s">
        <v>43</v>
      </c>
      <c r="G10" s="7" t="s">
        <v>42</v>
      </c>
      <c r="H10" s="7" t="s">
        <v>41</v>
      </c>
      <c r="I10" s="7" t="s">
        <v>40</v>
      </c>
      <c r="J10" s="7" t="s">
        <v>39</v>
      </c>
      <c r="K10" s="7" t="s">
        <v>38</v>
      </c>
      <c r="L10" s="7" t="s">
        <v>37</v>
      </c>
      <c r="M10" s="7" t="s">
        <v>36</v>
      </c>
      <c r="N10" s="7" t="s">
        <v>35</v>
      </c>
      <c r="O10" s="7" t="s">
        <v>34</v>
      </c>
      <c r="P10" s="7" t="s">
        <v>99</v>
      </c>
      <c r="Q10" s="7" t="s">
        <v>16</v>
      </c>
      <c r="R10" s="7" t="s">
        <v>3</v>
      </c>
      <c r="S10" s="7" t="s">
        <v>5</v>
      </c>
      <c r="T10" s="7" t="s">
        <v>4</v>
      </c>
      <c r="U10" s="32" t="s">
        <v>103</v>
      </c>
      <c r="V10" s="7" t="s">
        <v>15</v>
      </c>
      <c r="W10" s="49"/>
      <c r="X10" s="47"/>
      <c r="Y10" s="47"/>
      <c r="Z10" s="47"/>
      <c r="AA10" s="47"/>
      <c r="AB10" s="47"/>
      <c r="AC10" s="48"/>
      <c r="AD10" s="48"/>
      <c r="AE10" s="47"/>
      <c r="AF10" s="47"/>
      <c r="AG10" s="47"/>
      <c r="AH10" s="31" t="s">
        <v>21</v>
      </c>
      <c r="AI10" s="31" t="s">
        <v>22</v>
      </c>
      <c r="AJ10" s="31" t="s">
        <v>23</v>
      </c>
      <c r="AK10" s="31" t="s">
        <v>30</v>
      </c>
      <c r="AL10" s="31" t="s">
        <v>97</v>
      </c>
      <c r="AM10" s="31" t="s">
        <v>24</v>
      </c>
      <c r="AN10" s="31" t="s">
        <v>124</v>
      </c>
      <c r="AO10" s="31" t="s">
        <v>100</v>
      </c>
      <c r="AP10" s="31" t="s">
        <v>101</v>
      </c>
      <c r="AQ10" s="31" t="s">
        <v>28</v>
      </c>
      <c r="AR10" s="31" t="s">
        <v>29</v>
      </c>
      <c r="AS10" s="31" t="s">
        <v>25</v>
      </c>
      <c r="AT10" s="31" t="s">
        <v>31</v>
      </c>
      <c r="AU10" s="31" t="s">
        <v>80</v>
      </c>
      <c r="AV10" s="31" t="s">
        <v>79</v>
      </c>
    </row>
    <row r="11" spans="1:49" ht="18.75" customHeight="1" x14ac:dyDescent="0.2">
      <c r="A11" s="15" t="s">
        <v>47</v>
      </c>
      <c r="B11" s="15" t="s">
        <v>81</v>
      </c>
      <c r="C11" s="16" t="s">
        <v>19</v>
      </c>
      <c r="D11" s="9">
        <v>8255</v>
      </c>
      <c r="E11" s="9">
        <v>17025</v>
      </c>
      <c r="F11" s="9">
        <v>17134</v>
      </c>
      <c r="G11" s="9">
        <v>37362</v>
      </c>
      <c r="H11" s="9">
        <v>38348</v>
      </c>
      <c r="I11" s="9">
        <v>30160</v>
      </c>
      <c r="J11" s="9">
        <v>28351</v>
      </c>
      <c r="K11" s="9">
        <v>40737</v>
      </c>
      <c r="L11" s="9">
        <v>40129</v>
      </c>
      <c r="M11" s="9">
        <v>36282</v>
      </c>
      <c r="N11" s="9">
        <v>26090</v>
      </c>
      <c r="O11" s="9">
        <v>16039</v>
      </c>
      <c r="P11" s="10">
        <f>SUM(D11:O11)</f>
        <v>335912</v>
      </c>
      <c r="Q11" s="10">
        <f>COUNTIF(D11:O11,0)</f>
        <v>0</v>
      </c>
      <c r="R11" s="11">
        <f>AVERAGE(D11:O11)</f>
        <v>27992.666666666668</v>
      </c>
      <c r="S11" s="8">
        <f>STDEV(D11:O11)</f>
        <v>11088.695573202082</v>
      </c>
      <c r="T11" s="8">
        <f>IF(R11=0,9999,S11/R11)</f>
        <v>0.39612858986408633</v>
      </c>
      <c r="U11" s="18" t="s">
        <v>104</v>
      </c>
      <c r="V11" s="17" t="str">
        <f>IF(Q11&gt;=6,"Z2",IF(T11&lt;=0.5,"X",IF(T11&lt;1,"Y","Z")))</f>
        <v>X</v>
      </c>
      <c r="W11" s="19" t="str">
        <f>IF(T11&gt;1,"No","Yes")</f>
        <v>Yes</v>
      </c>
      <c r="X11" s="20">
        <v>0.95</v>
      </c>
      <c r="Y11" s="21">
        <f>VLOOKUP(X11,$A$1:$B$5,2,FALSE)</f>
        <v>1.65</v>
      </c>
      <c r="Z11" s="35">
        <v>10</v>
      </c>
      <c r="AA11" s="8">
        <f>R11/30*Z11</f>
        <v>9330.8888888888905</v>
      </c>
      <c r="AB11" s="8">
        <f t="shared" ref="AB11:AB13" si="0">SQRT(Z11/30)</f>
        <v>0.57735026918962573</v>
      </c>
      <c r="AC11" s="23">
        <f t="shared" ref="AC11:AC13" si="1">IF(W11="No","No SS",S11*AB11*Y11)</f>
        <v>10563.401267347554</v>
      </c>
      <c r="AD11" s="23">
        <f t="shared" ref="AD11:AD13" si="2">IF(AC11="No SS",AC11,(AC11/(R11/30)))</f>
        <v>11.320894925590984</v>
      </c>
      <c r="AE11" s="22">
        <v>51534</v>
      </c>
      <c r="AF11" s="23">
        <f t="shared" ref="AF11:AF13" si="3">IF(R11=0,"infinite",AE11/R11*30)</f>
        <v>55.229464859844242</v>
      </c>
      <c r="AG11" s="24">
        <v>451192.7</v>
      </c>
      <c r="AH11" s="25">
        <v>8000</v>
      </c>
      <c r="AI11" s="26">
        <f>AH11/2</f>
        <v>4000</v>
      </c>
      <c r="AJ11" s="27">
        <f>IF(AD11="No SS",0,AC11)</f>
        <v>10563.401267347554</v>
      </c>
      <c r="AK11" s="25"/>
      <c r="AL11" s="25">
        <v>28000</v>
      </c>
      <c r="AM11" s="27">
        <f>AI11+AJ11+AK11+AL11</f>
        <v>42563.401267347552</v>
      </c>
      <c r="AN11" s="27">
        <f>AH11+AJ11+AK11+AL11</f>
        <v>46563.401267347552</v>
      </c>
      <c r="AO11" s="28">
        <f>AE11</f>
        <v>51534</v>
      </c>
      <c r="AP11" s="28">
        <f>IF((AO11-AN11)&lt;0,0,AO11-AN11)</f>
        <v>4970.5987326524482</v>
      </c>
      <c r="AQ11" s="27">
        <f>AA11+AJ11</f>
        <v>19894.290156236442</v>
      </c>
      <c r="AR11" s="28">
        <f>IF(R11=0,"infinite",AM11/R11*30)</f>
        <v>45.615591155555975</v>
      </c>
      <c r="AS11" s="29">
        <f>AG11/AE11</f>
        <v>8.7552431404509647</v>
      </c>
      <c r="AT11" s="27">
        <f>AM11*AS11</f>
        <v>372652.92698020657</v>
      </c>
      <c r="AU11" s="25">
        <v>6865</v>
      </c>
      <c r="AV11" s="28">
        <f>AT11/(AU11)</f>
        <v>54.283019225084715</v>
      </c>
    </row>
    <row r="12" spans="1:49" ht="18.75" customHeight="1" x14ac:dyDescent="0.2">
      <c r="A12" s="15" t="s">
        <v>47</v>
      </c>
      <c r="B12" s="15" t="s">
        <v>82</v>
      </c>
      <c r="C12" s="16" t="s">
        <v>18</v>
      </c>
      <c r="D12" s="9">
        <v>4959</v>
      </c>
      <c r="E12" s="9">
        <v>3000</v>
      </c>
      <c r="F12" s="9">
        <v>655</v>
      </c>
      <c r="G12" s="9">
        <v>7070</v>
      </c>
      <c r="H12" s="9">
        <v>5071</v>
      </c>
      <c r="I12" s="9">
        <v>3000</v>
      </c>
      <c r="J12" s="9">
        <v>1500</v>
      </c>
      <c r="K12" s="9">
        <v>0</v>
      </c>
      <c r="L12" s="9">
        <v>0</v>
      </c>
      <c r="M12" s="9">
        <v>2196</v>
      </c>
      <c r="N12" s="9">
        <v>0</v>
      </c>
      <c r="O12" s="9">
        <v>1500</v>
      </c>
      <c r="P12" s="10">
        <f>SUM(D12:O12)</f>
        <v>28951</v>
      </c>
      <c r="Q12" s="10">
        <f>COUNTIF(D12:O12,0)</f>
        <v>3</v>
      </c>
      <c r="R12" s="11">
        <f>AVERAGE(D12:O12)</f>
        <v>2412.5833333333335</v>
      </c>
      <c r="S12" s="8">
        <f>STDEV(D12:O12)</f>
        <v>2300.1257459038402</v>
      </c>
      <c r="T12" s="8">
        <f t="shared" ref="T12" si="4">IF(R12=0,9999,S12/R12)</f>
        <v>0.95338706610638946</v>
      </c>
      <c r="U12" s="18" t="s">
        <v>104</v>
      </c>
      <c r="V12" s="17" t="str">
        <f>IF(Q12&gt;=6,"Z2",IF(T12&lt;=0.5,"X",IF(T12&lt;1,"Y","Z")))</f>
        <v>Y</v>
      </c>
      <c r="W12" s="19" t="str">
        <f t="shared" ref="W12" si="5">IF(T12&gt;1,"No","Yes")</f>
        <v>Yes</v>
      </c>
      <c r="X12" s="20">
        <v>0.95</v>
      </c>
      <c r="Y12" s="21">
        <f>VLOOKUP(X12,$A$1:$B$5,2,FALSE)</f>
        <v>1.65</v>
      </c>
      <c r="Z12" s="35">
        <v>45</v>
      </c>
      <c r="AA12" s="8">
        <f t="shared" ref="AA12:AA13" si="6">R12/30*Z12</f>
        <v>3618.8750000000005</v>
      </c>
      <c r="AB12" s="8">
        <f t="shared" si="0"/>
        <v>1.2247448713915889</v>
      </c>
      <c r="AC12" s="23">
        <f t="shared" si="1"/>
        <v>4648.1608979049442</v>
      </c>
      <c r="AD12" s="23">
        <f t="shared" si="2"/>
        <v>57.798968023411277</v>
      </c>
      <c r="AE12" s="22">
        <v>10283</v>
      </c>
      <c r="AF12" s="23">
        <f t="shared" si="3"/>
        <v>127.86708576560393</v>
      </c>
      <c r="AG12" s="24">
        <v>115261.8</v>
      </c>
      <c r="AH12" s="25">
        <v>5000</v>
      </c>
      <c r="AI12" s="26">
        <f t="shared" ref="AI12:AI13" si="7">AH12/2</f>
        <v>2500</v>
      </c>
      <c r="AJ12" s="27">
        <f>IF(AD12="No SS",0,AC12)</f>
        <v>4648.1608979049442</v>
      </c>
      <c r="AK12" s="25">
        <v>6000</v>
      </c>
      <c r="AL12" s="25"/>
      <c r="AM12" s="27">
        <f>AI12+AJ12+AK12+AL12</f>
        <v>13148.160897904945</v>
      </c>
      <c r="AN12" s="27">
        <f>AH12+AJ12+AK12+AL12</f>
        <v>15648.160897904945</v>
      </c>
      <c r="AO12" s="28">
        <f>AE12</f>
        <v>10283</v>
      </c>
      <c r="AP12" s="28">
        <f>IF((AO12-AN12)&lt;0,0,AO12-AN12)</f>
        <v>0</v>
      </c>
      <c r="AQ12" s="27">
        <f>AA12+AJ12</f>
        <v>8267.0358979049452</v>
      </c>
      <c r="AR12" s="23">
        <f>IF(R12=0,"infinite",AM12/R12*30)</f>
        <v>163.49479891008187</v>
      </c>
      <c r="AS12" s="29">
        <f>AG12/AE12</f>
        <v>11.208966254983954</v>
      </c>
      <c r="AT12" s="27">
        <f>AM12*AS12</f>
        <v>147377.29181971605</v>
      </c>
      <c r="AU12" s="25">
        <v>1700</v>
      </c>
      <c r="AV12" s="28">
        <f>AT12/(AU12)</f>
        <v>86.692524599832964</v>
      </c>
    </row>
    <row r="13" spans="1:49" ht="18.75" customHeight="1" x14ac:dyDescent="0.2">
      <c r="A13" s="15" t="s">
        <v>47</v>
      </c>
      <c r="B13" s="15" t="s">
        <v>83</v>
      </c>
      <c r="C13" s="16" t="s">
        <v>18</v>
      </c>
      <c r="D13" s="9">
        <v>10500</v>
      </c>
      <c r="E13" s="9">
        <v>18543</v>
      </c>
      <c r="F13" s="9">
        <v>0</v>
      </c>
      <c r="G13" s="9">
        <v>0</v>
      </c>
      <c r="H13" s="9">
        <v>10</v>
      </c>
      <c r="I13" s="9">
        <v>0</v>
      </c>
      <c r="J13" s="9">
        <v>0</v>
      </c>
      <c r="K13" s="9">
        <v>0</v>
      </c>
      <c r="L13" s="9">
        <v>8300</v>
      </c>
      <c r="M13" s="9">
        <v>0</v>
      </c>
      <c r="N13" s="9">
        <v>26479</v>
      </c>
      <c r="O13" s="9">
        <v>10004</v>
      </c>
      <c r="P13" s="10">
        <f t="shared" ref="P13" si="8">SUM(D13:O13)</f>
        <v>73836</v>
      </c>
      <c r="Q13" s="10">
        <f t="shared" ref="Q13" si="9">COUNTIF(D13:O13,0)</f>
        <v>6</v>
      </c>
      <c r="R13" s="11">
        <f t="shared" ref="R13" si="10">AVERAGE(D13:O13)</f>
        <v>6153</v>
      </c>
      <c r="S13" s="8">
        <f t="shared" ref="S13" si="11">STDEV(D13:O13)</f>
        <v>8892.7319557244973</v>
      </c>
      <c r="T13" s="8">
        <f t="shared" ref="T13" si="12">IF(R13=0,9999,S13/R13)</f>
        <v>1.4452676671094584</v>
      </c>
      <c r="U13" s="18" t="s">
        <v>105</v>
      </c>
      <c r="V13" s="17" t="str">
        <f t="shared" ref="V13" si="13">IF(Q13&gt;=6,"Z2",IF(T13&lt;=0.5,"X",IF(T13&lt;1,"Y","Z")))</f>
        <v>Z2</v>
      </c>
      <c r="W13" s="19" t="str">
        <f t="shared" ref="W13" si="14">IF(T13&gt;1,"No","Yes")</f>
        <v>No</v>
      </c>
      <c r="X13" s="20">
        <v>0.95</v>
      </c>
      <c r="Y13" s="21">
        <f>VLOOKUP(X13,$A$1:$B$5,2,FALSE)</f>
        <v>1.65</v>
      </c>
      <c r="Z13" s="35">
        <v>45</v>
      </c>
      <c r="AA13" s="8">
        <f t="shared" si="6"/>
        <v>9229.5</v>
      </c>
      <c r="AB13" s="8">
        <f t="shared" si="0"/>
        <v>1.2247448713915889</v>
      </c>
      <c r="AC13" s="23" t="str">
        <f t="shared" si="1"/>
        <v>No SS</v>
      </c>
      <c r="AD13" s="23" t="str">
        <f t="shared" si="2"/>
        <v>No SS</v>
      </c>
      <c r="AE13" s="22">
        <v>10783</v>
      </c>
      <c r="AF13" s="23">
        <f t="shared" si="3"/>
        <v>52.574353973671379</v>
      </c>
      <c r="AG13" s="24">
        <v>96871.5</v>
      </c>
      <c r="AH13" s="25"/>
      <c r="AI13" s="26">
        <f t="shared" si="7"/>
        <v>0</v>
      </c>
      <c r="AJ13" s="27">
        <f>IF(AD13="No SS",0,AC13)</f>
        <v>0</v>
      </c>
      <c r="AK13" s="25"/>
      <c r="AL13" s="25"/>
      <c r="AM13" s="30">
        <v>10000</v>
      </c>
      <c r="AN13" s="27">
        <f>AH13+AJ13+AK13+AL13</f>
        <v>0</v>
      </c>
      <c r="AO13" s="28">
        <f>AE13</f>
        <v>10783</v>
      </c>
      <c r="AP13" s="28">
        <f>IF((AO13-AN13)&lt;0,0,AO13-AN13)</f>
        <v>10783</v>
      </c>
      <c r="AQ13" s="27">
        <f>AA13+AJ13</f>
        <v>9229.5</v>
      </c>
      <c r="AR13" s="23">
        <f>IF(R13=0,"infinite",AM13/R13*30)</f>
        <v>48.756704046806433</v>
      </c>
      <c r="AS13" s="29">
        <f>AG13/AE13</f>
        <v>8.9837243809700453</v>
      </c>
      <c r="AT13" s="27">
        <f>AM13*AS13</f>
        <v>89837.243809700449</v>
      </c>
      <c r="AU13" s="25">
        <v>3277</v>
      </c>
      <c r="AV13" s="28">
        <f>AT13/(AU13)</f>
        <v>27.414477818034925</v>
      </c>
    </row>
    <row r="18" spans="4:15" x14ac:dyDescent="0.2">
      <c r="D18" s="34"/>
      <c r="E18" s="34"/>
      <c r="F18" s="34"/>
      <c r="G18" s="34"/>
      <c r="H18" s="34"/>
      <c r="I18" s="34"/>
      <c r="J18" s="34"/>
      <c r="K18" s="34"/>
      <c r="L18" s="34"/>
      <c r="M18" s="34"/>
      <c r="N18" s="34"/>
      <c r="O18" s="34"/>
    </row>
    <row r="24" spans="4:15" s="13" customFormat="1" x14ac:dyDescent="0.2"/>
    <row r="25" spans="4:15" s="13" customFormat="1" x14ac:dyDescent="0.2"/>
    <row r="26" spans="4:15" s="13" customFormat="1" x14ac:dyDescent="0.2"/>
    <row r="27" spans="4:15" s="13" customFormat="1" x14ac:dyDescent="0.2"/>
    <row r="28" spans="4:15" s="13" customFormat="1" x14ac:dyDescent="0.2"/>
    <row r="29" spans="4:15" s="13" customFormat="1" x14ac:dyDescent="0.2"/>
    <row r="30" spans="4:15" s="13" customFormat="1" x14ac:dyDescent="0.2"/>
    <row r="31" spans="4:15" s="13" customFormat="1" x14ac:dyDescent="0.2"/>
    <row r="32" spans="4:15" s="13" customFormat="1" x14ac:dyDescent="0.2"/>
    <row r="33" s="13" customFormat="1" x14ac:dyDescent="0.2"/>
    <row r="34" s="13" customFormat="1" x14ac:dyDescent="0.2"/>
  </sheetData>
  <autoFilter ref="A10:AG13" xr:uid="{00000000-0009-0000-0000-000002000000}"/>
  <sortState xmlns:xlrd2="http://schemas.microsoft.com/office/spreadsheetml/2017/richdata2" ref="A10:BF627">
    <sortCondition descending="1" ref="AF8:AF627"/>
  </sortState>
  <mergeCells count="20">
    <mergeCell ref="AH8:AV9"/>
    <mergeCell ref="Z9:Z10"/>
    <mergeCell ref="AE9:AE10"/>
    <mergeCell ref="AF9:AF10"/>
    <mergeCell ref="AG9:AG10"/>
    <mergeCell ref="AE8:AG8"/>
    <mergeCell ref="W2:AA2"/>
    <mergeCell ref="A8:A10"/>
    <mergeCell ref="B8:B10"/>
    <mergeCell ref="C8:C10"/>
    <mergeCell ref="P8:V9"/>
    <mergeCell ref="W8:AD8"/>
    <mergeCell ref="AA9:AA10"/>
    <mergeCell ref="AB9:AB10"/>
    <mergeCell ref="AD9:AD10"/>
    <mergeCell ref="AC9:AC10"/>
    <mergeCell ref="W9:W10"/>
    <mergeCell ref="X9:X10"/>
    <mergeCell ref="Y9:Y10"/>
    <mergeCell ref="D8:O9"/>
  </mergeCells>
  <dataValidations count="1">
    <dataValidation type="list" allowBlank="1" showInputMessage="1" showErrorMessage="1" sqref="X11:X12" xr:uid="{00000000-0002-0000-0200-000000000000}">
      <formula1>$A$1:$A$5</formula1>
    </dataValidation>
  </dataValidations>
  <pageMargins left="0.7" right="0.7" top="0.75" bottom="0.75" header="0.3" footer="0.3"/>
  <pageSetup orientation="portrait" r:id="rId1"/>
  <customProperties>
    <customPr name="_pios_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9"/>
  <sheetViews>
    <sheetView showGridLines="0" topLeftCell="A40" workbookViewId="0">
      <selection activeCell="C85" sqref="C85"/>
    </sheetView>
  </sheetViews>
  <sheetFormatPr defaultRowHeight="12.75" x14ac:dyDescent="0.2"/>
  <sheetData>
    <row r="1" spans="1:3" x14ac:dyDescent="0.2">
      <c r="A1" s="1" t="s">
        <v>59</v>
      </c>
    </row>
    <row r="3" spans="1:3" x14ac:dyDescent="0.2">
      <c r="A3">
        <v>1</v>
      </c>
      <c r="B3" t="s">
        <v>133</v>
      </c>
    </row>
    <row r="4" spans="1:3" x14ac:dyDescent="0.2">
      <c r="A4">
        <v>2</v>
      </c>
      <c r="B4" t="s">
        <v>32</v>
      </c>
    </row>
    <row r="5" spans="1:3" x14ac:dyDescent="0.2">
      <c r="A5">
        <v>3</v>
      </c>
      <c r="B5" t="s">
        <v>46</v>
      </c>
    </row>
    <row r="6" spans="1:3" x14ac:dyDescent="0.2">
      <c r="A6">
        <v>4</v>
      </c>
      <c r="B6" t="s">
        <v>48</v>
      </c>
    </row>
    <row r="7" spans="1:3" x14ac:dyDescent="0.2">
      <c r="A7">
        <v>5</v>
      </c>
      <c r="B7" t="s">
        <v>49</v>
      </c>
    </row>
    <row r="8" spans="1:3" x14ac:dyDescent="0.2">
      <c r="A8">
        <v>6</v>
      </c>
      <c r="B8" t="s">
        <v>50</v>
      </c>
    </row>
    <row r="9" spans="1:3" x14ac:dyDescent="0.2">
      <c r="A9">
        <v>7</v>
      </c>
      <c r="B9" t="s">
        <v>51</v>
      </c>
    </row>
    <row r="10" spans="1:3" x14ac:dyDescent="0.2">
      <c r="A10">
        <v>8</v>
      </c>
      <c r="B10" t="s">
        <v>52</v>
      </c>
    </row>
    <row r="11" spans="1:3" x14ac:dyDescent="0.2">
      <c r="A11">
        <v>9</v>
      </c>
      <c r="B11" t="s">
        <v>106</v>
      </c>
    </row>
    <row r="12" spans="1:3" x14ac:dyDescent="0.2">
      <c r="A12">
        <v>10</v>
      </c>
      <c r="B12" t="s">
        <v>107</v>
      </c>
    </row>
    <row r="14" spans="1:3" x14ac:dyDescent="0.2">
      <c r="C14" t="s">
        <v>53</v>
      </c>
    </row>
    <row r="15" spans="1:3" x14ac:dyDescent="0.2">
      <c r="C15" t="s">
        <v>54</v>
      </c>
    </row>
    <row r="16" spans="1:3" x14ac:dyDescent="0.2">
      <c r="C16" t="s">
        <v>55</v>
      </c>
    </row>
    <row r="17" spans="1:3" x14ac:dyDescent="0.2">
      <c r="C17" t="s">
        <v>56</v>
      </c>
    </row>
    <row r="19" spans="1:3" x14ac:dyDescent="0.2">
      <c r="A19">
        <v>11</v>
      </c>
      <c r="B19" t="s">
        <v>108</v>
      </c>
    </row>
    <row r="20" spans="1:3" x14ac:dyDescent="0.2">
      <c r="C20" t="s">
        <v>57</v>
      </c>
    </row>
    <row r="21" spans="1:3" x14ac:dyDescent="0.2">
      <c r="C21" t="s">
        <v>58</v>
      </c>
    </row>
    <row r="22" spans="1:3" x14ac:dyDescent="0.2">
      <c r="A22">
        <v>12</v>
      </c>
      <c r="B22" t="s">
        <v>109</v>
      </c>
    </row>
    <row r="23" spans="1:3" x14ac:dyDescent="0.2">
      <c r="A23">
        <v>13</v>
      </c>
      <c r="B23" t="s">
        <v>110</v>
      </c>
    </row>
    <row r="24" spans="1:3" x14ac:dyDescent="0.2">
      <c r="A24">
        <v>14</v>
      </c>
      <c r="B24" t="s">
        <v>111</v>
      </c>
    </row>
    <row r="25" spans="1:3" x14ac:dyDescent="0.2">
      <c r="C25" t="s">
        <v>61</v>
      </c>
    </row>
    <row r="26" spans="1:3" x14ac:dyDescent="0.2">
      <c r="C26" t="s">
        <v>60</v>
      </c>
    </row>
    <row r="27" spans="1:3" x14ac:dyDescent="0.2">
      <c r="C27" t="s">
        <v>62</v>
      </c>
    </row>
    <row r="28" spans="1:3" x14ac:dyDescent="0.2">
      <c r="A28">
        <v>15</v>
      </c>
      <c r="B28" t="s">
        <v>112</v>
      </c>
    </row>
    <row r="29" spans="1:3" x14ac:dyDescent="0.2">
      <c r="A29">
        <v>16</v>
      </c>
      <c r="B29" t="s">
        <v>113</v>
      </c>
    </row>
    <row r="30" spans="1:3" x14ac:dyDescent="0.2">
      <c r="A30">
        <v>17</v>
      </c>
      <c r="B30" t="s">
        <v>114</v>
      </c>
    </row>
    <row r="31" spans="1:3" x14ac:dyDescent="0.2">
      <c r="C31" t="s">
        <v>63</v>
      </c>
    </row>
    <row r="32" spans="1:3" x14ac:dyDescent="0.2">
      <c r="C32" t="s">
        <v>64</v>
      </c>
    </row>
    <row r="33" spans="1:3" x14ac:dyDescent="0.2">
      <c r="C33" t="s">
        <v>65</v>
      </c>
    </row>
    <row r="34" spans="1:3" x14ac:dyDescent="0.2">
      <c r="C34" t="s">
        <v>66</v>
      </c>
    </row>
    <row r="35" spans="1:3" x14ac:dyDescent="0.2">
      <c r="A35">
        <v>18</v>
      </c>
      <c r="B35" t="s">
        <v>115</v>
      </c>
    </row>
    <row r="36" spans="1:3" x14ac:dyDescent="0.2">
      <c r="A36">
        <v>19</v>
      </c>
      <c r="B36" t="s">
        <v>134</v>
      </c>
    </row>
    <row r="37" spans="1:3" x14ac:dyDescent="0.2">
      <c r="A37">
        <v>20</v>
      </c>
      <c r="B37" t="s">
        <v>116</v>
      </c>
    </row>
    <row r="38" spans="1:3" x14ac:dyDescent="0.2">
      <c r="A38">
        <v>21</v>
      </c>
      <c r="B38" t="s">
        <v>135</v>
      </c>
    </row>
    <row r="39" spans="1:3" x14ac:dyDescent="0.2">
      <c r="A39">
        <v>22</v>
      </c>
      <c r="B39" t="s">
        <v>117</v>
      </c>
    </row>
    <row r="40" spans="1:3" x14ac:dyDescent="0.2">
      <c r="C40" t="s">
        <v>69</v>
      </c>
    </row>
    <row r="41" spans="1:3" x14ac:dyDescent="0.2">
      <c r="C41" t="s">
        <v>70</v>
      </c>
    </row>
    <row r="42" spans="1:3" x14ac:dyDescent="0.2">
      <c r="A42">
        <v>23</v>
      </c>
      <c r="B42" t="s">
        <v>118</v>
      </c>
    </row>
    <row r="43" spans="1:3" x14ac:dyDescent="0.2">
      <c r="A43">
        <v>24</v>
      </c>
      <c r="B43" t="s">
        <v>119</v>
      </c>
    </row>
    <row r="44" spans="1:3" x14ac:dyDescent="0.2">
      <c r="A44">
        <v>25</v>
      </c>
      <c r="B44" t="s">
        <v>120</v>
      </c>
    </row>
    <row r="45" spans="1:3" x14ac:dyDescent="0.2">
      <c r="C45" t="s">
        <v>71</v>
      </c>
    </row>
    <row r="46" spans="1:3" x14ac:dyDescent="0.2">
      <c r="A46">
        <v>26</v>
      </c>
      <c r="B46" t="s">
        <v>121</v>
      </c>
    </row>
    <row r="47" spans="1:3" x14ac:dyDescent="0.2">
      <c r="A47">
        <v>27</v>
      </c>
      <c r="B47" t="s">
        <v>122</v>
      </c>
    </row>
    <row r="48" spans="1:3" x14ac:dyDescent="0.2">
      <c r="A48">
        <v>28</v>
      </c>
      <c r="B48" t="s">
        <v>132</v>
      </c>
    </row>
    <row r="49" spans="1:3" x14ac:dyDescent="0.2">
      <c r="A49">
        <v>29</v>
      </c>
      <c r="B49" t="s">
        <v>125</v>
      </c>
    </row>
    <row r="50" spans="1:3" x14ac:dyDescent="0.2">
      <c r="A50">
        <v>30</v>
      </c>
      <c r="B50" t="s">
        <v>126</v>
      </c>
    </row>
    <row r="51" spans="1:3" x14ac:dyDescent="0.2">
      <c r="C51" t="s">
        <v>102</v>
      </c>
    </row>
    <row r="52" spans="1:3" x14ac:dyDescent="0.2">
      <c r="A52">
        <v>31</v>
      </c>
      <c r="B52" t="s">
        <v>127</v>
      </c>
    </row>
    <row r="53" spans="1:3" x14ac:dyDescent="0.2">
      <c r="C53" t="s">
        <v>72</v>
      </c>
    </row>
    <row r="54" spans="1:3" x14ac:dyDescent="0.2">
      <c r="C54" t="s">
        <v>73</v>
      </c>
    </row>
    <row r="55" spans="1:3" x14ac:dyDescent="0.2">
      <c r="C55" t="s">
        <v>74</v>
      </c>
    </row>
    <row r="56" spans="1:3" x14ac:dyDescent="0.2">
      <c r="A56">
        <v>32</v>
      </c>
      <c r="B56" t="s">
        <v>128</v>
      </c>
    </row>
    <row r="57" spans="1:3" x14ac:dyDescent="0.2">
      <c r="A57">
        <v>33</v>
      </c>
      <c r="B57" t="s">
        <v>129</v>
      </c>
    </row>
    <row r="58" spans="1:3" x14ac:dyDescent="0.2">
      <c r="A58">
        <v>34</v>
      </c>
      <c r="B58" t="s">
        <v>130</v>
      </c>
    </row>
    <row r="59" spans="1:3" x14ac:dyDescent="0.2">
      <c r="A59">
        <v>35</v>
      </c>
      <c r="B59" t="s">
        <v>136</v>
      </c>
    </row>
    <row r="60" spans="1:3" x14ac:dyDescent="0.2">
      <c r="A60">
        <v>36</v>
      </c>
      <c r="B60" t="s">
        <v>131</v>
      </c>
    </row>
    <row r="62" spans="1:3" x14ac:dyDescent="0.2">
      <c r="A62" s="1" t="s">
        <v>90</v>
      </c>
    </row>
    <row r="63" spans="1:3" x14ac:dyDescent="0.2">
      <c r="B63" t="s">
        <v>84</v>
      </c>
    </row>
    <row r="64" spans="1:3" x14ac:dyDescent="0.2">
      <c r="B64" t="s">
        <v>85</v>
      </c>
    </row>
    <row r="65" spans="1:3" x14ac:dyDescent="0.2">
      <c r="B65" t="s">
        <v>86</v>
      </c>
    </row>
    <row r="66" spans="1:3" x14ac:dyDescent="0.2">
      <c r="C66" t="s">
        <v>87</v>
      </c>
    </row>
    <row r="67" spans="1:3" x14ac:dyDescent="0.2">
      <c r="C67" t="s">
        <v>88</v>
      </c>
    </row>
    <row r="68" spans="1:3" x14ac:dyDescent="0.2">
      <c r="C68" t="s">
        <v>89</v>
      </c>
    </row>
    <row r="69" spans="1:3" x14ac:dyDescent="0.2">
      <c r="B69" t="s">
        <v>91</v>
      </c>
    </row>
    <row r="70" spans="1:3" x14ac:dyDescent="0.2">
      <c r="C70" t="s">
        <v>92</v>
      </c>
    </row>
    <row r="71" spans="1:3" x14ac:dyDescent="0.2">
      <c r="C71" t="s">
        <v>93</v>
      </c>
    </row>
    <row r="72" spans="1:3" x14ac:dyDescent="0.2">
      <c r="C72" s="1" t="s">
        <v>94</v>
      </c>
    </row>
    <row r="74" spans="1:3" x14ac:dyDescent="0.2">
      <c r="A74" t="s">
        <v>95</v>
      </c>
    </row>
    <row r="75" spans="1:3" x14ac:dyDescent="0.2">
      <c r="C75" t="s">
        <v>75</v>
      </c>
    </row>
    <row r="76" spans="1:3" x14ac:dyDescent="0.2">
      <c r="C76" t="s">
        <v>76</v>
      </c>
    </row>
    <row r="77" spans="1:3" x14ac:dyDescent="0.2">
      <c r="C77" t="s">
        <v>77</v>
      </c>
    </row>
    <row r="78" spans="1:3" x14ac:dyDescent="0.2">
      <c r="C78" t="s">
        <v>96</v>
      </c>
    </row>
    <row r="79" spans="1:3" x14ac:dyDescent="0.2">
      <c r="C79" t="s">
        <v>98</v>
      </c>
    </row>
  </sheetData>
  <pageMargins left="0.7" right="0.7" top="0.75" bottom="0.75" header="0.3" footer="0.3"/>
  <pageSetup orientation="portrait" r:id="rId1"/>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workbookViewId="0">
      <selection activeCell="G38" sqref="G38"/>
    </sheetView>
  </sheetViews>
  <sheetFormatPr defaultRowHeight="12.75" x14ac:dyDescent="0.2"/>
  <sheetData/>
  <pageMargins left="0.7" right="0.7" top="0.75" bottom="0.75" header="0.3" footer="0.3"/>
  <customProperties>
    <customPr name="_pios_id" r:id="rId1"/>
  </customPropertie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Detailed assessment</vt:lpstr>
      <vt:lpstr>Detailed Assessment Notes</vt:lpstr>
      <vt:lpstr>Service Level vs Safety Stock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John Hynes</cp:lastModifiedBy>
  <dcterms:created xsi:type="dcterms:W3CDTF">2012-09-03T07:09:26Z</dcterms:created>
  <dcterms:modified xsi:type="dcterms:W3CDTF">2024-03-11T22:33:54Z</dcterms:modified>
</cp:coreProperties>
</file>