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
<Relationship Id="rId3" Type="http://schemas.openxmlformats.org/officeDocument/2006/relationships/extended-properties" Target="docProps/app.xml"/>
<Relationship Id="rId2" Type="http://schemas.openxmlformats.org/package/2006/relationships/metadata/core-properties" Target="docProps/core.xml"/>
<Relationship Id="rId1" Type="http://schemas.openxmlformats.org/officeDocument/2006/relationships/officeDocument" Target="xl/workbook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538E8A5F-0113-48B8-AE39-E0A95A036726}" xr6:coauthVersionLast="47" xr6:coauthVersionMax="47" xr10:uidLastSave="{00000000-0000-0000-0000-000000000000}"/>
  <bookViews>
    <workbookView xWindow="0" yWindow="0" windowWidth="22260" windowHeight="12645" xr2:uid="{00000000-000D-0000-FFFF-FFFF00000000}" activeTab="0"/>
  </bookViews>
  <sheets>
    <sheet name="COVER" sheetId="1" r:id="rId1"/>
    <sheet name="ERI" sheetId="2" r:id="rId2"/>
    <sheet name="ESF" sheetId="3" r:id="rId3"/>
    <sheet name="Supuestos Proyeccion" sheetId="4" r:id="rId4"/>
    <sheet name="Modulo Tesoreria" sheetId="5" r:id="rId5"/>
    <sheet name="Impuestos" sheetId="6" r:id="rId6"/>
    <sheet name="FCLO" sheetId="7" r:id="rId7"/>
    <sheet name="Supuestos Valoracion" sheetId="8" r:id="rId8" state="hidden"/>
    <sheet name="Valoracion FCL" sheetId="9" r:id="rId9" state="hidden"/>
    <sheet name="ANEXOS ---&gt;" sheetId="10" r:id="rId10"/>
    <sheet name="Graphs" sheetId="11" r:id="rId11" state="hidden"/>
    <sheet name="Rating" sheetId="12" r:id="rId12"/>
    <sheet name="Covenants" sheetId="13" r:id="rId13"/>
    <sheet name="Curvas de Deuda" sheetId="14" r:id="rId14"/>
    <sheet name="Betas" sheetId="15" r:id="rId15" state="hidden"/>
  </sheets>
  <definedNames>
    <definedName name="CMON992">#REF!</definedName>
    <definedName name="_GTR20" localSheetId="11">#REF!</definedName>
    <definedName name="ANALISIS" localSheetId="11">#REF!</definedName>
    <definedName name="CostoMarginalPromedio_Const" localSheetId="11">#REF!</definedName>
    <definedName name="Analyst">#REF!</definedName>
    <definedName name="WLSSPIC___1">#N/A</definedName>
    <definedName name="PPROV" localSheetId="11">#REF!</definedName>
    <definedName name="Mainline_Business_Aggregate_1990">#N/A</definedName>
    <definedName name="DEUDA" localSheetId="11">#REF!</definedName>
    <definedName name="BN4E0" localSheetId="11">'[12]RENTABILIDAD (2)'!#REF!</definedName>
    <definedName name="Telex_Lines___000">#N/A</definedName>
    <definedName name="_IPP2007">#REF!</definedName>
    <definedName name="_IPP2006" localSheetId="11">#REF!</definedName>
    <definedName name="COEF">#REF!</definedName>
    <definedName name="Mexico__Estimated_Cellular_Infrastructure_Market_Share_by_Capacity_Installed__YE1996">#N/A</definedName>
    <definedName name="fd" localSheetId="11" hidden="false">{#N/A,#N/A,FALSE,"TOC";#N/A,#N/A,FALSE,"ASS";#N/A,#N/A,FALSE,"CF";#N/A,#N/A,FALSE,"FUEL&amp;MTC"}</definedName>
    <definedName name="indic14">[24]Atenc_Reclam!$I$34</definedName>
    <definedName name="FootnoteDrop45" localSheetId="11">#REF!</definedName>
    <definedName name="OPSELC" localSheetId="5">#REF!</definedName>
    <definedName name="HTML_CodePage" hidden="false">1252</definedName>
    <definedName name="A_FdEF_DOLAR">#REF!</definedName>
    <definedName name="Mexico_Wireless_Services___1993_2001___1">#N/A</definedName>
    <definedName name="_ALF1" localSheetId="11">#REF!</definedName>
    <definedName name="FactorInflaInt" localSheetId="5">#REF!</definedName>
    <definedName name="IQ_CH" hidden="false">110000</definedName>
    <definedName name="PSCREEN" localSheetId="5">#REF!</definedName>
    <definedName name="_PPM97" localSheetId="11">#REF!</definedName>
    <definedName name="fddda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CMON972">#REF!</definedName>
    <definedName name="ING_SDL_EPM_MR">#REF!</definedName>
    <definedName name="__123Graph_DPUBMKT___1">#N/A</definedName>
    <definedName name="RE_PyG_DOLAR" localSheetId="5">#REF!</definedName>
    <definedName name="CostoMargina20pss_Const" localSheetId="5">#REF!</definedName>
    <definedName name="alfa397" localSheetId="11">#REF!</definedName>
    <definedName name="HTML_Email" hidden="false">"lalvarez@surtigas.com.co"</definedName>
    <definedName name="INGRESOS_C.F" localSheetId="11">[6]Ingresos_MNR!#REF!</definedName>
    <definedName name="_IPP2005" localSheetId="11">#REF!</definedName>
    <definedName name="OAPC">#REF!</definedName>
    <definedName name="MFEC" localSheetId="11">#REF!</definedName>
    <definedName name="DICIEMBRE93" localSheetId="11">#REF!</definedName>
    <definedName name="INTERNATIONAL___1">#N/A</definedName>
    <definedName name="Medio_Alto">#REF!</definedName>
    <definedName name="NumeroVersión">#REF!</definedName>
    <definedName name="Formula_Old">#REF!</definedName>
    <definedName name="EscMacroEco" localSheetId="5">#REF!</definedName>
    <definedName name="indic5">'[24]REC OFIC'!$I$35</definedName>
    <definedName name="Z_D8172586_8560_4956_B283_D293252BD61F_.wvu.PrintTitles" localSheetId="8" hidden="false">'Supuestos Valoracion'!$5:$6</definedName>
    <definedName name="Capacidad_Instalada_Isagen">#REF!</definedName>
    <definedName name="TARSPMOD" localSheetId="11">#REF!</definedName>
    <definedName name="ContratCFINivSTN">#REF!</definedName>
    <definedName name="CRT_Amoyá" localSheetId="5">'[18]Supuestos Generación - Precios'!#REF!</definedName>
    <definedName name="TOTAL___1">#N/A</definedName>
    <definedName name="jgd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IQ_MONTH" hidden="false">15000</definedName>
    <definedName name="factorInflacionExt">#REF!</definedName>
    <definedName name="CRT_Amoyá">'[18]Supuestos Generación - Precios'!#REF!</definedName>
    <definedName name="ContratCFINivSTN" localSheetId="11">#REF!</definedName>
    <definedName name="CMON98" localSheetId="11">#REF!</definedName>
    <definedName name="Mexico__Cellular_and_PCS_operators_by_standard__1994_2001___1">#N/A</definedName>
    <definedName name="ds" localSheetId="11">#REF!</definedName>
    <definedName name="DatoExtraer" localSheetId="11">#REF!</definedName>
    <definedName name="CERE">#REF!</definedName>
    <definedName name="MOBMKT902000___0">#N/A</definedName>
    <definedName name="M" localSheetId="11">#REF!</definedName>
    <definedName name="ESTADOR1" localSheetId="11">#REF!</definedName>
    <definedName name="_Table1_Out" hidden="false">[3]PESOSTMT!#REF!</definedName>
    <definedName name="VtasST" localSheetId="11">#REF!</definedName>
    <definedName name="indic7">'[24]Rotac CXP'!$I$34</definedName>
    <definedName name="respar2" localSheetId="11">#REF!</definedName>
    <definedName name="BB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Fc_Act">#REF!</definedName>
    <definedName name="Mexico__Estimated_Cellular_Infrastructure_Market_Share_by_Capacity_Installed__YE1997">#N/A</definedName>
    <definedName name="FootnoteDrop11">#REF!</definedName>
    <definedName name="FY_90_BS">#REF!</definedName>
    <definedName name="TARIFA_CONSUMO" localSheetId="11">[6]Ingresos_MNR!#REF!</definedName>
    <definedName name="CMON203">#REF!</definedName>
    <definedName name="DSWshare2___1">#N/A</definedName>
    <definedName name="MACRO">#N/A</definedName>
    <definedName name="URIOS_NUEV_AÑO_CALCUL">[6]Ingresos_MNR!#REF!</definedName>
    <definedName name="CRT_Amoyá" localSheetId="11">'[18]Supuestos Generación - Precios'!#REF!</definedName>
    <definedName name="códigos1">'[17]Ppto 2005'!#REF!</definedName>
    <definedName name="MODEL" localSheetId="11">#REF!</definedName>
    <definedName name="edd" hidden="false">{#N/A,#N/A,FALSE,"TOC";#N/A,#N/A,FALSE,"ASS";#N/A,#N/A,FALSE,"CF";#N/A,#N/A,FALSE,"FUEL&amp;MTC"}</definedName>
    <definedName name="Medio">#REF!</definedName>
    <definedName name="areatotal">#REF!</definedName>
    <definedName name="__123Graph_APVTMKT___0" localSheetId="11">#REF!</definedName>
    <definedName name="Mexico__Estimated_Vendor_Market_Share_by_Subscriber__YE_1997">#N/A</definedName>
    <definedName name="NumeroElemento">#REF!</definedName>
    <definedName name="Z_D8172586_8560_4956_B283_D293252BD61F_.wvu.PrintTitles" localSheetId="3" hidden="false">'Supuestos Proyeccion'!$5:$6</definedName>
    <definedName name="DSWshare1___0">#REF!</definedName>
    <definedName name="_IPP98">#REF!</definedName>
    <definedName name="__123Graph_B___1">#N/A</definedName>
    <definedName name="Fiber">#N/A</definedName>
    <definedName name="_IPP2000">#REF!</definedName>
    <definedName name="ListaVersiones" localSheetId="11">#REF!</definedName>
    <definedName name="FactorIPC" localSheetId="5">#REF!</definedName>
    <definedName name="GRAPH" localSheetId="11">#REF!</definedName>
    <definedName name="MOBMKT902000___1">#N/A</definedName>
    <definedName name="PORTA">#REF!</definedName>
    <definedName name="fdaa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TASATOT">#REF!</definedName>
    <definedName name="indic3">[24]Gastos!$I$34</definedName>
    <definedName name="Z_D8172586_8560_4956_B283_D293252BD61F_.wvu.Cols" localSheetId="5" hidden="false">Impuestos!$R:$R</definedName>
    <definedName name="CERE_corr">'[13]Supuestos Generación - Precios'!$B$346:$M$346</definedName>
    <definedName name="indic2">'[24] CONT'!$I$34</definedName>
    <definedName name="__123Graph_C___0">#N/A</definedName>
    <definedName name="VSATS___1">#N/A</definedName>
    <definedName name="PBX_Extensions__000___1">#N/A</definedName>
    <definedName name="MERP" localSheetId="11">#REF!</definedName>
    <definedName name="_Ley99">#REF!</definedName>
    <definedName name="Exhibit_14_2" localSheetId="11">#REF!</definedName>
    <definedName name="__123Graph_XPUBMKT___0">#REF!</definedName>
    <definedName name="__123Graph_AENER12" localSheetId="11" hidden="false">[1]PLANTILLA!#REF!</definedName>
    <definedName name="DATOS">#REF!</definedName>
    <definedName name="RE_FdeF">#REF!</definedName>
    <definedName name="caso">[15]Control!$D$5</definedName>
    <definedName name="Generacion_propia_esperada">#REF!</definedName>
    <definedName name="__123Graph_DPUBMKT___0" localSheetId="11">#REF!</definedName>
    <definedName name="PRVMKT902000">#N/A</definedName>
    <definedName name="FootnoteDrop44">#REF!</definedName>
    <definedName name="__123Graph_APVTMKT___1">#N/A</definedName>
    <definedName name="Año_Base">#REF!</definedName>
    <definedName name="SSP" localSheetId="5">#REF!</definedName>
    <definedName name="Korea__Basic_Services_Tariffs__1995___1">#N/A</definedName>
    <definedName name="s">#REF!</definedName>
    <definedName name="Change4" hidden="false">#N/A</definedName>
    <definedName name="Inv_EE" localSheetId="11">#REF!</definedName>
    <definedName name="ZONAS">#REF!</definedName>
    <definedName name="SymbolRng___0">#REF!</definedName>
    <definedName name="FootnoteDrop35">#REF!</definedName>
    <definedName name="__123Graph_A" localSheetId="11">#REF!</definedName>
    <definedName name="n___0">#N/A</definedName>
    <definedName name="ANALISIS">#REF!</definedName>
    <definedName name="T1RES2">#REF!</definedName>
    <definedName name="ESTADOR2" localSheetId="5">#REF!</definedName>
    <definedName name="Population">#N/A</definedName>
    <definedName name="Dep_OC" localSheetId="11">#REF!</definedName>
    <definedName name="FootnoteDrop41" localSheetId="11">#REF!</definedName>
    <definedName name="Mexico_Wireless_Services___1993_2001___0">#N/A</definedName>
    <definedName name="__123Graph_A">#REF!</definedName>
    <definedName name="Z_D8172586_8560_4956_B283_D293252BD61F_.wvu.PrintArea" localSheetId="5" hidden="false">Impuestos!$A$1:$O$106</definedName>
    <definedName name="Fiber___0">#N/A</definedName>
    <definedName name="n">#N/A</definedName>
    <definedName name="DATC" localSheetId="11">#REF!</definedName>
    <definedName name="aa">[2]Atenc_Solicit!$I$33</definedName>
    <definedName name="__123Graph_XENER12" localSheetId="11" hidden="false">[1]PLANTILLA!#REF!</definedName>
    <definedName name="Z_D8172586_8560_4956_B283_D293252BD61F_.wvu.PrintArea" localSheetId="8" hidden="false">'Supuestos Valoracion'!$A$1:$P$74</definedName>
    <definedName name="AAA_duser" hidden="false">"OFF"</definedName>
    <definedName name="GRADP" localSheetId="11">#REF!</definedName>
    <definedName name="PBX_KTS_Trunks__000">#N/A</definedName>
    <definedName name="PER">#REF!</definedName>
    <definedName name="FactorInflaInt" localSheetId="11">#REF!</definedName>
    <definedName name="Z_D8172586_8560_4956_B283_D293252BD61F_.wvu.Rows" localSheetId="3" hidden="false">'Supuestos Proyeccion'!$182:$231,'Supuestos Proyeccion'!$264:$314</definedName>
    <definedName name="NOPRO" localSheetId="5">#REF!</definedName>
    <definedName name="_SGE6">#REF!</definedName>
    <definedName name="FactorTasaCambio" localSheetId="5">#REF!</definedName>
    <definedName name="RFP" localSheetId="5">#REF!</definedName>
    <definedName name="doTheTick">#N/A</definedName>
    <definedName name="Alto" localSheetId="11">#REF!</definedName>
    <definedName name="Fc_Act" localSheetId="11">#REF!</definedName>
    <definedName name="GRAFICAS" localSheetId="11">#REF!</definedName>
    <definedName name="NumeroElemento" localSheetId="11">#REF!</definedName>
    <definedName name="ALFA397C">#REF!</definedName>
    <definedName name="SSPD" localSheetId="11">#REF!</definedName>
    <definedName name="__123Graph_BPUBMKT___0" localSheetId="11">#REF!</definedName>
    <definedName name="INIDEUDA">#REF!</definedName>
    <definedName name="_PPP97">#REF!</definedName>
    <definedName name="FootnoteDrop24" localSheetId="11">#REF!</definedName>
    <definedName name="Formula_Old" localSheetId="11">#REF!</definedName>
    <definedName name="HTML1_4" hidden="false">"Historical Returns on Stocks, Bonds and Bills"</definedName>
    <definedName name="SymbolRng___1">#N/A</definedName>
    <definedName name="HTML1_9" hidden="false">"Aswath Damodaran"</definedName>
    <definedName name="ticker">#REF!</definedName>
    <definedName name="CFPS_Curr_Yr" localSheetId="11">#REF!</definedName>
    <definedName name="RESSAL" localSheetId="11">#REF!</definedName>
    <definedName name="NEMP" localSheetId="5">#REF!</definedName>
    <definedName name="VtasComprasForzadas" localSheetId="5">#REF!</definedName>
    <definedName name="_Sort" localSheetId="11" hidden="false">#REF!</definedName>
    <definedName name="OAPC" localSheetId="5">#REF!</definedName>
    <definedName name="CGENR993">#REF!</definedName>
    <definedName name="FootnoteDrop18">#REF!</definedName>
    <definedName name="Mexico__Cellular_and_PCS_operators_by_standard__1994_2001___0">#N/A</definedName>
    <definedName name="FactorDistribucuión" localSheetId="11">[6]Ingresos_MNR!#REF!</definedName>
    <definedName name="RE_BALANE_DOL">#REF!</definedName>
    <definedName name="NominalGDP___0" localSheetId="11">#REF!</definedName>
    <definedName name="PUBLIC_NETWORK___1">#N/A</definedName>
    <definedName name="_ALF4" localSheetId="11">#REF!</definedName>
    <definedName name="CGENR973">#REF!</definedName>
    <definedName name="MW_Channels__000___0">#N/A</definedName>
    <definedName name="Construction_Budget___0">#N/A</definedName>
    <definedName name="FactorTasaCambio">#REF!</definedName>
    <definedName name="TarifaLey99_HE">'[13]Supuestos cargos MEM - Aportes'!$B$154:$M$154</definedName>
    <definedName name="FootnoteDrop30">#REF!</definedName>
    <definedName name="PcompraBolsaKte">'[13]Supuestos Generación - Precios'!$B$324:$M$324</definedName>
    <definedName name="epe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Bajo">#REF!</definedName>
    <definedName name="__123Graph_BPVTMKT___0" localSheetId="11">#REF!</definedName>
    <definedName name="SEN96IB_Page___1">#N/A</definedName>
    <definedName name="llll">#REF!</definedName>
    <definedName name="CGENR992">#REF!</definedName>
    <definedName name="_TE6" localSheetId="11">#REF!</definedName>
    <definedName name="INDEX" localSheetId="11">#REF!</definedName>
    <definedName name="WH" localSheetId="5">#REF!</definedName>
    <definedName name="eq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COEF" localSheetId="5">#REF!</definedName>
    <definedName name="FootnoteDrop43">#REF!</definedName>
    <definedName name="CMON204" localSheetId="11">#REF!</definedName>
    <definedName name="Gen" localSheetId="11">#REF!</definedName>
    <definedName name="GenTotAmoyá" localSheetId="11">'[18]Supuestos Generales'!#REF!</definedName>
    <definedName name="none">#N/A</definedName>
    <definedName name="casa">'[14]Flujo de Caja'!#REF!</definedName>
    <definedName name="Mainline_Bus_4Dragon_1996">#N/A</definedName>
    <definedName name="__123Graph_EPVTMKT">#N/A</definedName>
    <definedName name="__123Graph_ATOTMKT___0">#REF!</definedName>
    <definedName name="ContratCFI_Niv1" localSheetId="5">#REF!</definedName>
    <definedName name="PRIVATE___0">#N/A</definedName>
    <definedName name="Exhibit_14_12">[23]Telecoms!$A$1:$O$44</definedName>
    <definedName name="HTML1_8" hidden="false">"3/17/97"</definedName>
    <definedName name="_Sort" hidden="false">#REF!</definedName>
    <definedName name="PPM">#REF!</definedName>
    <definedName name="NAL">[22]INVERSION!#REF!</definedName>
    <definedName name="CMON214">#REF!</definedName>
    <definedName name="AñoExtraer" localSheetId="11">#REF!</definedName>
    <definedName name="__123Graph_BTOTMKT___0" localSheetId="11">#REF!</definedName>
    <definedName name="FootnoteDrop47">#REF!</definedName>
    <definedName name="FootnoteDrop48">#REF!</definedName>
    <definedName name="CMON224" localSheetId="11">#REF!</definedName>
    <definedName name="T___0" localSheetId="11">#REF!</definedName>
    <definedName name="indic6">'[24]Rotac CXC'!$I$35</definedName>
    <definedName name="Taiwan___Mobile_Communications_Services_Market__1993_2000___1">#N/A</definedName>
    <definedName name="_COP213">#REF!</definedName>
    <definedName name="__123Graph_ATOTMKT___0" localSheetId="11">#REF!</definedName>
    <definedName name="PRESTTOT">#REF!</definedName>
    <definedName name="CMON222">#REF!</definedName>
    <definedName name="A_PYG_DOLAR" localSheetId="11">#REF!</definedName>
    <definedName name="Inflación_Interna" localSheetId="11">#REF!</definedName>
    <definedName name="Extracción_IM" localSheetId="5">#REF!</definedName>
    <definedName name="hjg" hidden="false">{#N/A,#N/A,FALSE,"TOC";#N/A,#N/A,FALSE,"ASS";#N/A,#N/A,FALSE,"CF";#N/A,#N/A,FALSE,"FUEL&amp;MTC"}</definedName>
    <definedName name="Wireless___1">#N/A</definedName>
    <definedName name="PUBLIC_NETWORK">#N/A</definedName>
    <definedName name="RCRT_ISAGEN_Amoyá" localSheetId="11">#REF!</definedName>
    <definedName name="Agentes">#REF!</definedName>
    <definedName name="FootnoteDrop12">#REF!</definedName>
    <definedName name="TARIFA_SDL_MES">#REF!</definedName>
    <definedName name="INDEX">#REF!</definedName>
    <definedName name="Public_Sheet">#REF!</definedName>
    <definedName name="REPOPRO" localSheetId="5">#REF!</definedName>
    <definedName name="Pago_CND_Isagen_Gen" localSheetId="11">#REF!</definedName>
    <definedName name="BN4P0" localSheetId="11">'[12]RENTABILIDAD (2)'!#REF!</definedName>
    <definedName name="__123Graph_XPUBMKT___0" localSheetId="11">#REF!</definedName>
    <definedName name="EPM">#REF!</definedName>
    <definedName name="COSTO22">#REF!</definedName>
    <definedName name="S309MONE" localSheetId="5">#REF!</definedName>
    <definedName name="__123Graph_DPVTMKT___0" localSheetId="11">#REF!</definedName>
    <definedName name="Database" localSheetId="11">#REF!</definedName>
    <definedName name="ComprasGas" localSheetId="11">#REF!</definedName>
    <definedName name="Exhibit_X__National_Tariffs">#REF!</definedName>
    <definedName name="DEUDA" localSheetId="5">#REF!</definedName>
    <definedName name="__123Graph_DPVTMKT">#N/A</definedName>
    <definedName name="NumeroMes">#REF!</definedName>
    <definedName name="MAIN" localSheetId="11">#REF!</definedName>
    <definedName name="NumeroVersión" localSheetId="11">#REF!</definedName>
    <definedName name="L___0" localSheetId="11">#REF!</definedName>
    <definedName name="EMedia">#REF!</definedName>
    <definedName name="TasaCambioPromedia" localSheetId="11">#REF!</definedName>
    <definedName name="MOBFRMLA___1">#N/A</definedName>
    <definedName name="COSTO22" localSheetId="11">#REF!</definedName>
    <definedName name="CapInstaladaISAGEN">'[13]Supuestos Generación - Precios'!$B$180:$M$180</definedName>
    <definedName name="PVTMKT">#REF!</definedName>
    <definedName name="ety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CMON222" localSheetId="11">#REF!</definedName>
    <definedName name="AAA_DOCTOPS" hidden="false">"AAA_SET"</definedName>
    <definedName name="RUTINA4" localSheetId="5">#REF!</definedName>
    <definedName name="_ALF1">#REF!</definedName>
    <definedName name="PVTMKT___0">#N/A</definedName>
    <definedName name="PEN">#REF!</definedName>
    <definedName name="CMON993">#REF!</definedName>
    <definedName name="__123Graph_CTOTMKT___1">#N/A</definedName>
    <definedName name="DAT" localSheetId="5">#REF!</definedName>
    <definedName name="_Regression_Y" localSheetId="5" hidden="false">#REF!</definedName>
    <definedName name="Mexico__Estimated_Vendor_Market_Share_by_Subscriber__YE_1996___0">#N/A</definedName>
    <definedName name="tes" localSheetId="5" hidden="false">[33]MEX95IB!#REF!</definedName>
    <definedName name="Precio_Mes" localSheetId="11">#REF!</definedName>
    <definedName name="TRANSIT" localSheetId="11">#REF!</definedName>
    <definedName name="_GTR97">#REF!</definedName>
    <definedName name="ICSEAño10">[6]Ingresos_MNR!$N$34</definedName>
    <definedName name="salescy03">'[30]Model &amp; IS-Historic'!$AR$41</definedName>
    <definedName name="HTML2_9" hidden="false">"Aswath Damodaran"</definedName>
    <definedName name="KTS_extensions__000___0">#N/A</definedName>
    <definedName name="OhNo">#N/A</definedName>
    <definedName name="VPN">#REF!</definedName>
    <definedName name="alfa2" localSheetId="11">#REF!</definedName>
    <definedName name="solver_val" hidden="false">47.37</definedName>
    <definedName name="CRTeqEne_ISAGEN">'[13]Supuestos Generación - Precios'!$B$395:$M$395</definedName>
    <definedName name="printggrales">[22]AOM!#REF!</definedName>
    <definedName name="MESP">#REF!</definedName>
    <definedName name="ausucua" localSheetId="5" hidden="false">{#N/A,#N/A,FALSE,"TOC";#N/A,#N/A,FALSE,"ASS";#N/A,#N/A,FALSE,"CF";#N/A,#N/A,FALSE,"FUEL&amp;MTC"}</definedName>
    <definedName name="NumeroAño">#REF!</definedName>
    <definedName name="Set">" "</definedName>
    <definedName name="_xlnm.Recorder" localSheetId="11">#REF!</definedName>
    <definedName name="_xlnm.Print_Area" localSheetId="3">'Supuestos Proyeccion'!$A$1:$Q$349</definedName>
    <definedName name="_IPP2008" localSheetId="11">#REF!</definedName>
    <definedName name="CostoSuministroGas" localSheetId="11">#REF!</definedName>
    <definedName name="IND" localSheetId="5">#REF!</definedName>
    <definedName name="FactorIPP" localSheetId="11">#REF!</definedName>
    <definedName name="__123Graph_DPUBMKT">#N/A</definedName>
    <definedName name="Anexo1" localSheetId="11">#REF!</definedName>
    <definedName name="sdfasd">[19]Económicos!$C$7</definedName>
    <definedName name="PUBMKT___1">#N/A</definedName>
    <definedName name="indic12">[24]Suscrip_sinmed!$I$35</definedName>
    <definedName name="CMON972" localSheetId="11">#REF!</definedName>
    <definedName name="_PPP97" localSheetId="11">#REF!</definedName>
    <definedName name="Inv_EE">#REF!</definedName>
    <definedName name="RFPC">#REF!</definedName>
    <definedName name="Otros_no_Operativos">#REF!</definedName>
    <definedName name="Restricciones">#REF!</definedName>
    <definedName name="SPWS_WBID">"46DDBCC0-4508-42B6-9CBB-69E5C84623A4"</definedName>
    <definedName name="FootnoteDrop18" localSheetId="11">#REF!</definedName>
    <definedName name="FootnoteDrop10" localSheetId="11">#REF!</definedName>
    <definedName name="ad" localSheetId="5" hidden="false">{#N/A,#N/A,FALSE,"TOC";#N/A,#N/A,FALSE,"ASS";#N/A,#N/A,FALSE,"CF";#N/A,#N/A,FALSE,"FUEL&amp;MTC"}</definedName>
    <definedName name="MAIN">#REF!</definedName>
    <definedName name="Mainline_Bus_4Dragon_1993">#N/A</definedName>
    <definedName name="MES">#REF!</definedName>
    <definedName name="addd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MOBMKT">#REF!</definedName>
    <definedName name="_COP22">#REF!</definedName>
    <definedName name="VPN" localSheetId="5">#REF!</definedName>
    <definedName name="INIDEUDA" localSheetId="11">#REF!</definedName>
    <definedName name="Ventas_contratos_GenPropia" localSheetId="5">#REF!</definedName>
    <definedName name="IQ_FQ" hidden="false">500</definedName>
    <definedName name="PROVISION_CALC">[6]Ingresos_MNR!#REF!</definedName>
    <definedName name="A_FdEF_DOLAR" localSheetId="5">#REF!</definedName>
    <definedName name="fdasfd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Summary_Date">#REF!</definedName>
    <definedName name="_Key2" localSheetId="11" hidden="false">#REF!</definedName>
    <definedName name="Mexico__Cellular_and_PCS_subscribers_by_standard__1994_2001">#N/A</definedName>
    <definedName name="BCSMKT" localSheetId="11">#REF!</definedName>
    <definedName name="ContratCFI_Niv4" localSheetId="5">#REF!</definedName>
    <definedName name="RE_BALANE_DOL" localSheetId="5">#REF!</definedName>
    <definedName name="BCSMKT___1">#N/A</definedName>
    <definedName name="KTS_extensions__000___1">#N/A</definedName>
    <definedName name="URIOS_ACUM_MES_CALCUL" localSheetId="11">[6]Ingresos_MNR!#REF!</definedName>
    <definedName name="Solicitudes">#REF!</definedName>
    <definedName name="ENERO90">#REF!</definedName>
    <definedName name="sdfa" localSheetId="5" hidden="false">#REF!</definedName>
    <definedName name="TIPOIN">#REF!</definedName>
    <definedName name="_UGE1" localSheetId="11">#REF!</definedName>
    <definedName name="Capital_Inflation">#N/A</definedName>
    <definedName name="FootnoteDrop34">#REF!</definedName>
    <definedName name="FEC">#REF!</definedName>
    <definedName name="Alto">#REF!</definedName>
    <definedName name="HTML_Description" hidden="false">""</definedName>
    <definedName name="__123Graph_C___1">#N/A</definedName>
    <definedName name="TABLOPER">#REF!</definedName>
    <definedName name="FootnoteDrop26" localSheetId="11">#REF!</definedName>
    <definedName name="BN4U0.5" localSheetId="11">'[12]RENTABILIDAD (2)'!#REF!</definedName>
    <definedName name="A_BALANCE">#REF!</definedName>
    <definedName name="hjg" localSheetId="5" hidden="false">{#N/A,#N/A,FALSE,"TOC";#N/A,#N/A,FALSE,"ASS";#N/A,#N/A,FALSE,"CF";#N/A,#N/A,FALSE,"FUEL&amp;MTC"}</definedName>
    <definedName name="Mainline_Bus_4Dragon_1991">#N/A</definedName>
    <definedName name="__123Graph_CTOTMKT___0" localSheetId="11">#REF!</definedName>
    <definedName name="Print_Area_MI" localSheetId="5">#REF!</definedName>
    <definedName name="DBASE" localSheetId="11">#REF!</definedName>
    <definedName name="OLD">#REF!</definedName>
    <definedName name="RE_PYG" localSheetId="5">#REF!</definedName>
    <definedName name="_Regression_Y" hidden="false">#REF!</definedName>
    <definedName name="epe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Mechanical">#N/A</definedName>
    <definedName name="FootnoteDrop17">#REF!</definedName>
    <definedName name="Other___1">#N/A</definedName>
    <definedName name="PVTPRICE___0" localSheetId="11">#REF!</definedName>
    <definedName name="INTERNATIONAL___0">#N/A</definedName>
    <definedName name="Tariffs___1">#N/A</definedName>
    <definedName name="ghd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RFTITLE" localSheetId="5">#REF!</definedName>
    <definedName name="dhg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TASA" localSheetId="11">#REF!</definedName>
    <definedName name="GenTotAmoyá">'[18]Supuestos Generales'!#REF!</definedName>
    <definedName name="TCREG" localSheetId="11">#REF!</definedName>
    <definedName name="EPM_MR_MES" localSheetId="11">#REF!</definedName>
    <definedName name="REPO2">#REF!</definedName>
    <definedName name="IPP">#REF!</definedName>
    <definedName name="ticker" localSheetId="11">#REF!</definedName>
    <definedName name="códigos1" localSheetId="11">'[17]Ppto 2005'!#REF!</definedName>
    <definedName name="Mexico_Wireless_Services___1993_2001">#N/A</definedName>
    <definedName name="GenTotISAGEN">'[13]Supuestos Generación - Precios'!$B$218:$M$218</definedName>
    <definedName name="x___1">#N/A</definedName>
    <definedName name="fcarga3" localSheetId="11">#REF!</definedName>
    <definedName name="Copper">#N/A</definedName>
    <definedName name="__123Graph_BPUBMKT___1">#N/A</definedName>
    <definedName name="CGENR202" localSheetId="11">#REF!</definedName>
    <definedName name="REPOPRO">#REF!</definedName>
    <definedName name="FootnoteDrop48" localSheetId="11">#REF!</definedName>
    <definedName name="PrintB_S">#REF!</definedName>
    <definedName name="Precios">'[6]Reportes '!$N$5</definedName>
    <definedName name="dfas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INDIA__Cellular_Subscriber_Growth__1995___1999">#N/A</definedName>
    <definedName name="OAPC" localSheetId="11">#REF!</definedName>
    <definedName name="Macro1">#REF!</definedName>
    <definedName name="_RUT2">#REF!</definedName>
    <definedName name="A_FdEF_DOLAR" localSheetId="11">#REF!</definedName>
    <definedName name="_COP202" localSheetId="11">#REF!</definedName>
    <definedName name="Inv_OC">#REF!</definedName>
    <definedName name="PUBFRMLA___1">#N/A</definedName>
    <definedName name="FootnoteDrop29">#REF!</definedName>
    <definedName name="Criterios_IM">#REF!</definedName>
    <definedName name="FootnoteDrop10">#REF!</definedName>
    <definedName name="indice">'[26]Recaudo of-privado23'!$I$33</definedName>
    <definedName name="RELAC">#REF!</definedName>
    <definedName name="MOAP" localSheetId="5">#REF!</definedName>
    <definedName name="dfas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RELAC" localSheetId="5">#REF!</definedName>
    <definedName name="IQ_FWD_Q1" hidden="false">502</definedName>
    <definedName name="M">#REF!</definedName>
    <definedName name="ImpIndCom" localSheetId="11">#REF!</definedName>
    <definedName name="FootnoteDrop37">#REF!</definedName>
    <definedName name="Trunk_Transmission_Network">#N/A</definedName>
    <definedName name="VersiónExtraer" localSheetId="11">#REF!</definedName>
    <definedName name="GenTotAmoyá" localSheetId="5">'[18]Supuestos Generales'!#REF!</definedName>
    <definedName name="Precio_Estación">#REF!</definedName>
    <definedName name="CGENR213" localSheetId="11">#REF!</definedName>
    <definedName name="rate">#REF!</definedName>
    <definedName name="ddd" hidden="false">{#N/A,#N/A,FALSE,"TOC";#N/A,#N/A,FALSE,"ASS";#N/A,#N/A,FALSE,"CF";#N/A,#N/A,FALSE,"FUEL&amp;MTC"}</definedName>
    <definedName name="factorInflacionExt" localSheetId="11">#REF!</definedName>
    <definedName name="test_model" localSheetId="11">#REF!</definedName>
    <definedName name="_Sort" localSheetId="5" hidden="false">#REF!</definedName>
    <definedName name="HTML_PathFileMac" hidden="false">"Macintosh HD:HomePageStuff:New_Home_Page:datafile:histret.html"</definedName>
    <definedName name="PUBPRICE">#N/A</definedName>
    <definedName name="CGENR203" localSheetId="11">#REF!</definedName>
    <definedName name="PUBFRMLA___0" localSheetId="11">#REF!</definedName>
    <definedName name="COSTO20">#REF!</definedName>
    <definedName name="CONSUMO_TOTAL" localSheetId="11">[6]Ingresos_MNR!#REF!</definedName>
    <definedName name="PVTPIC___0">#REF!</definedName>
    <definedName name="AOM_Variable">#REF!</definedName>
    <definedName name="Fiber_Optic__000_route_km___1">#N/A</definedName>
    <definedName name="gdg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LstTier">#N/A</definedName>
    <definedName name="WLSSPIC___0" localSheetId="11">#REF!</definedName>
    <definedName name="_UGE5">#REF!</definedName>
    <definedName name="FootnoteDrop38" localSheetId="11">#REF!</definedName>
    <definedName name="PUNTO">#REF!</definedName>
    <definedName name="CRTeqEne_Amoyá" localSheetId="5">'[18]Supuestos Generación - Precios'!#REF!</definedName>
    <definedName name="NominalGDP___1">#N/A</definedName>
    <definedName name="HTML1_1" hidden="false">"[ReturnsHistorical]Sheet1!$A$1:$D$77"</definedName>
    <definedName name="_Table1_Out" localSheetId="5" hidden="false">[3]PESOSTMT!#REF!</definedName>
    <definedName name="C_">#N/A</definedName>
    <definedName name="Taiwan__Mobile_Network_Market__1993_2000">#N/A</definedName>
    <definedName name="PRVMKT902000___0">#N/A</definedName>
    <definedName name="FootnoteDrop19">#REF!</definedName>
    <definedName name="CRTeqEne_Amoyá" localSheetId="11">'[18]Supuestos Generación - Precios'!#REF!</definedName>
    <definedName name="pubform___1">#N/A</definedName>
    <definedName name="EPS_Next_Yr">#REF!</definedName>
    <definedName name="PPC" localSheetId="11">#REF!</definedName>
    <definedName name="INGRESOS_SDL_OTROS" localSheetId="11">#REF!</definedName>
    <definedName name="anterior1">#REF!</definedName>
    <definedName name="FootnoteDrop6">#REF!</definedName>
    <definedName name="PUBPIC">#N/A</definedName>
    <definedName name="da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_COP20" localSheetId="11">#REF!</definedName>
    <definedName name="FootnoteDrop1">#REF!</definedName>
    <definedName name="Public_Telecom_Access_Network___0">#N/A</definedName>
    <definedName name="ju" localSheetId="5" hidden="false">{#N/A,#N/A,FALSE,"TOC";#N/A,#N/A,FALSE,"ASS";#N/A,#N/A,FALSE,"CF";#N/A,#N/A,FALSE,"FUEL&amp;MTC"}</definedName>
    <definedName name="DPS_Curr_Yr" localSheetId="11">#REF!</definedName>
    <definedName name="PBX_Extensions__000">#N/A</definedName>
    <definedName name="IQ_NAMES_REVISION_DATE_" hidden="false">40358.7165856482</definedName>
    <definedName name="IQ_FWD_CY" hidden="false">10001</definedName>
    <definedName name="CMON974" localSheetId="11">#REF!</definedName>
    <definedName name="PPM" localSheetId="11">#REF!</definedName>
    <definedName name="Construction_Budget">#N/A</definedName>
    <definedName name="Otras_Fuentes_de_Distribución">#REF!</definedName>
    <definedName name="NAL" localSheetId="11">[22]INVERSION!#REF!</definedName>
    <definedName name="dafda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DICIEMBRE94">#REF!</definedName>
    <definedName name="LstTier___1">#N/A</definedName>
    <definedName name="_xlnm.Print_Area" localSheetId="12">Graphs!$A$160:$L$242</definedName>
    <definedName name="DICIEMBRE92">#REF!</definedName>
    <definedName name="Telex_Subscribers__000___1">#N/A</definedName>
    <definedName name="NumeroMes" localSheetId="11">#REF!</definedName>
    <definedName name="MOBILE" localSheetId="11">#REF!</definedName>
    <definedName name="de">[19]Económicos!$C$7</definedName>
    <definedName name="IQ_FWD_FY" hidden="false">1001</definedName>
    <definedName name="EPS_Lst_Yr" localSheetId="11">#REF!</definedName>
    <definedName name="Año_Base" localSheetId="11">#REF!</definedName>
    <definedName name="ENER">#REF!</definedName>
    <definedName name="fcarga3">#REF!</definedName>
    <definedName name="PVTPIC___1">#N/A</definedName>
    <definedName name="_SGE2" localSheetId="11">#REF!</definedName>
    <definedName name="_COP203">#REF!</definedName>
    <definedName name="BLOQUE" localSheetId="11">#REF!</definedName>
    <definedName name="ContratCFI" localSheetId="5">#REF!</definedName>
    <definedName name="NominalGDP___0">#REF!</definedName>
    <definedName name="PLANFIN" localSheetId="5">#REF!</definedName>
    <definedName name="alfa197">#REF!</definedName>
    <definedName name="daasa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CMON993" localSheetId="11">#REF!</definedName>
    <definedName name="FootnoteDrop29" localSheetId="11">#REF!</definedName>
    <definedName name="ComisiónComercializaciónAmoyá" localSheetId="5">#REF!</definedName>
    <definedName name="MesExtraer">#REF!</definedName>
    <definedName name="ENTEL_Long_Distance_Tariffs">#N/A</definedName>
    <definedName name="CMON20">#REF!</definedName>
    <definedName name="ICSEAño6">[6]Ingresos_MNR!$J$34</definedName>
    <definedName name="_xlnm.Print_Titles" localSheetId="2">ESF!$5:$6</definedName>
    <definedName name="HTML1_11" hidden="false">1</definedName>
    <definedName name="Other___0">#N/A</definedName>
    <definedName name="TasaCambio">'[6]Reportes '!$P$9:$Y$9</definedName>
    <definedName name="Dep_EE" localSheetId="11">#REF!</definedName>
    <definedName name="PLANFIN" localSheetId="11">#REF!</definedName>
    <definedName name="Population__000">#N/A</definedName>
    <definedName name="Mainline_Bus_4Dragon_1992">#N/A</definedName>
    <definedName name="eq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__123Graph_XPVTMKT">#N/A</definedName>
    <definedName name="_SGE2">#REF!</definedName>
    <definedName name="DIFERENCIA" localSheetId="11">#REF!</definedName>
    <definedName name="FootnoteDrop21">#REF!</definedName>
    <definedName name="BN4P0.5" localSheetId="11">'[12]RENTABILIDAD (2)'!#REF!</definedName>
    <definedName name="factor2" localSheetId="11">#REF!</definedName>
    <definedName name="CMON212" localSheetId="11">#REF!</definedName>
    <definedName name="Z_D8172586_8560_4956_B283_D293252BD61F_.wvu.PrintTitles" localSheetId="5" hidden="false">Impuestos!$5:$7</definedName>
    <definedName name="COSTO20" localSheetId="11">#REF!</definedName>
    <definedName name="_GTR97" localSheetId="11">#REF!</definedName>
    <definedName name="DBASE">#REF!</definedName>
    <definedName name="SUMMARY" localSheetId="11">#REF!</definedName>
    <definedName name="EPS_Qtr_Date" localSheetId="11">#REF!</definedName>
    <definedName name="FootnoteDrop39">#REF!</definedName>
    <definedName name="CMON97">#REF!</definedName>
    <definedName name="Change3" hidden="false">#N/A</definedName>
    <definedName name="dfas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FY_90_BS" localSheetId="11">#REF!</definedName>
    <definedName name="Lista_Meses" localSheetId="11">#REF!</definedName>
    <definedName name="GW_OTROS_MES" localSheetId="11">#REF!</definedName>
    <definedName name="FootnoteDrop34" localSheetId="11">#REF!</definedName>
    <definedName name="salescy04">'[30]Model &amp; IS-Historic'!$AW$41</definedName>
    <definedName name="_Table2_Out" localSheetId="11" hidden="false">[5]modelo!#REF!</definedName>
    <definedName name="OUTPUTPR" localSheetId="11">#REF!</definedName>
    <definedName name="VtasComprasForzadas" localSheetId="11">#REF!</definedName>
    <definedName name="Impr_EE">#REF!</definedName>
    <definedName name="PPPMA" localSheetId="11">#REF!</definedName>
    <definedName name="ComisiónComercializaciónAmoyá" localSheetId="11">#REF!</definedName>
    <definedName name="ESPC">#REF!</definedName>
    <definedName name="dddddd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Construction_Budget___1">#N/A</definedName>
    <definedName name="RUTIAN4">#REF!</definedName>
    <definedName name="Pago_CND_Isagen_Gen" localSheetId="5">#REF!</definedName>
    <definedName name="ESPC" localSheetId="5">#REF!</definedName>
    <definedName name="__123Graph_FPUBMKT___0" localSheetId="11">#REF!</definedName>
    <definedName name="FootnoteDrop12" localSheetId="11">#REF!</definedName>
    <definedName name="Mexico__Estimated_Cellular_Infrastructure_Market_Share_by_Capacity_Installed__YE1997___0">#N/A</definedName>
    <definedName name="MERP2" localSheetId="5">#REF!</definedName>
    <definedName name="__123Graph_XPUBMKT">#N/A</definedName>
    <definedName name="AOM" localSheetId="11">#REF!</definedName>
    <definedName name="Analyst_Phone">#REF!</definedName>
    <definedName name="_IPP99" localSheetId="11">#REF!</definedName>
    <definedName name="CVCo" localSheetId="5">#REF!</definedName>
    <definedName name="FootnoteDrop13">#REF!</definedName>
    <definedName name="INSTALL">#N/A</definedName>
    <definedName name="OUTPUTPR">#REF!</definedName>
    <definedName name="TOTPIC___0">#REF!</definedName>
    <definedName name="M.EXT">[22]INVERSION!#REF!</definedName>
    <definedName name="Taiwan___Mobile_Communications_Services_Market__1993_2000">#N/A</definedName>
    <definedName name="IQ_TODAY" hidden="false">0</definedName>
    <definedName name="TRANSIT" localSheetId="5">#REF!</definedName>
    <definedName name="area2">#REF!,#REF!</definedName>
    <definedName name="RDn_1" localSheetId="5">#REF!</definedName>
    <definedName name="Criteria">#REF!</definedName>
    <definedName name="COSTO23" localSheetId="11">#REF!</definedName>
    <definedName name="ppppp">'[2] COSTO KWH'!$I$33</definedName>
    <definedName name="solver_lin" hidden="false">0</definedName>
    <definedName name="Trunk_Transmission_Network___1">#N/A</definedName>
    <definedName name="PPPMA97" localSheetId="11">#REF!</definedName>
    <definedName name="wrn.Aging._.and._.Trend._.Analysis." localSheetId="5" hidden="false">{#N/A,#N/A,FALSE,"Aging Summary";#N/A,#N/A,FALSE,"Ratio Analysis";#N/A,#N/A,FALSE,"Test 120 Day Accts";#N/A,#N/A,FALSE,"Tickmarks"}</definedName>
    <definedName name="EndYear" localSheetId="5">#REF!</definedName>
    <definedName name="MONEDA" localSheetId="5">#REF!</definedName>
    <definedName name="ContratCFI">#REF!</definedName>
    <definedName name="Change2" hidden="false">#N/A</definedName>
    <definedName name="_OPC1">#REF!</definedName>
    <definedName name="REPOCALC">#REF!</definedName>
    <definedName name="IQ_CQ" hidden="false">5000</definedName>
    <definedName name="Inflation___0">#N/A</definedName>
    <definedName name="TARSPMOD">#REF!</definedName>
    <definedName name="COSTO21" localSheetId="11">#REF!</definedName>
    <definedName name="HTML2_4" hidden="false">"Historical Returns on Stocks, Bonds and Bills"</definedName>
    <definedName name="Name_List">OFFSET('[29]Pinheiro Neto'!$J$14,0,0,COUNTA('[29]Pinheiro Neto'!I:$J)-1)</definedName>
    <definedName name="GRAPH___0">#N/A</definedName>
    <definedName name="QTY_B_S" localSheetId="11">#REF!</definedName>
    <definedName name="ghd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Transporte">[22]DEMANDA!$C$97</definedName>
    <definedName name="INGRESOS_SDL_OTROS">#REF!</definedName>
    <definedName name="__123Graph_EPVTMKT___0" localSheetId="11">#REF!</definedName>
    <definedName name="A_BALANCE_DOLAR" localSheetId="11">#REF!</definedName>
    <definedName name="ImpPredComp" localSheetId="11">#REF!</definedName>
    <definedName name="Chnge" hidden="false">#N/A</definedName>
    <definedName name="PUBMKT___0">#N/A</definedName>
    <definedName name="CostosST">#REF!</definedName>
    <definedName name="Mexico__Cellular_and_PCS_operators_by_standard__1994_2001">#N/A</definedName>
    <definedName name="zona4">#REF!</definedName>
    <definedName name="_Ley99" localSheetId="11">#REF!</definedName>
    <definedName name="ListOffset" hidden="false">1</definedName>
    <definedName name="Pago_CND_Isagen_Gen">#REF!</definedName>
    <definedName name="Porc_Comercial_CF">'[6]Reportes '!$O$15</definedName>
    <definedName name="ICSEAño7">[6]Ingresos_MNR!$K$34</definedName>
    <definedName name="RUTINA4">#REF!</definedName>
    <definedName name="Pago_CRDs_Isagen_Gen" localSheetId="5">#REF!</definedName>
    <definedName name="d___0">#N/A</definedName>
    <definedName name="TIPOIN" localSheetId="5">#REF!</definedName>
    <definedName name="_xlnm.Database">#REF!</definedName>
    <definedName name="_TE1">#REF!</definedName>
    <definedName name="ListaMeses">#REF!</definedName>
    <definedName name="TestAdd">"Test RefersTo1"</definedName>
    <definedName name="Capital_Inflation___1">#N/A</definedName>
    <definedName name="_Regression_X" localSheetId="11" hidden="false">#REF!</definedName>
    <definedName name="FootnoteDrop6" localSheetId="11">#REF!</definedName>
    <definedName name="__123Graph_XTOTMKT___0" localSheetId="11">#REF!</definedName>
    <definedName name="_SGE5" localSheetId="11">#REF!</definedName>
    <definedName name="FLAG___1">#N/A</definedName>
    <definedName name="SERVIC">#N/A</definedName>
    <definedName name="PROVISION_DEUDAS_MALAS">[6]Ingresos_MNR!#REF!</definedName>
    <definedName name="VSATS">#N/A</definedName>
    <definedName name="PUBLIC___0">#N/A</definedName>
    <definedName name="FootnoteDrop49">#REF!</definedName>
    <definedName name="FootnoteDrop45">#REF!</definedName>
    <definedName name="FootnoteDrop" localSheetId="11">#REF!</definedName>
    <definedName name="DICIEMBRE95">#REF!</definedName>
    <definedName name="Ventas_contratos_GenPropia" localSheetId="11">#REF!</definedName>
    <definedName name="TEMPO" localSheetId="5">#REF!</definedName>
    <definedName name="_COP99">#REF!</definedName>
    <definedName name="_GTR21">#REF!</definedName>
    <definedName name="PVTFRMLA___0">#REF!</definedName>
    <definedName name="Impr_OC" localSheetId="11">#REF!</definedName>
    <definedName name="FLAG">#N/A</definedName>
    <definedName name="Nicaragua__Cellular_Subscribers_by_Standard__1994_2001___1">#N/A</definedName>
    <definedName name="__123Graph_APUBMKT___0">#REF!</definedName>
    <definedName name="VtasST">#REF!</definedName>
    <definedName name="TASA">#REF!</definedName>
    <definedName name="CantidadDeficienteGas">#REF!</definedName>
    <definedName name="w" hidden="false">{#N/A,#N/A,FALSE,"Aging Summary";#N/A,#N/A,FALSE,"Ratio Analysis";#N/A,#N/A,FALSE,"Test 120 Day Accts";#N/A,#N/A,FALSE,"Tickmarks"}</definedName>
    <definedName name="E_1___0">#N/A</definedName>
    <definedName name="TCREG">#REF!</definedName>
    <definedName name="etapa1" localSheetId="11">[22]INVERSION!#REF!</definedName>
    <definedName name="alfa397">#REF!</definedName>
    <definedName name="HTML1_12" hidden="false">"Zip 100:New_Home_Page:datafile:histret.html"</definedName>
    <definedName name="ContratCFI_Niv4" localSheetId="11">#REF!</definedName>
    <definedName name="error___0">#N/A</definedName>
    <definedName name="_IPP2005">#REF!</definedName>
    <definedName name="d">#N/A</definedName>
    <definedName name="GW_OTROS_AÑO">#REF!</definedName>
    <definedName name="CGENR213">#REF!</definedName>
    <definedName name="MESP" localSheetId="5">#REF!</definedName>
    <definedName name="CMON223" localSheetId="11">#REF!</definedName>
    <definedName name="Intelligent_Coin_Card___0">#N/A</definedName>
    <definedName name="GRAPH___1">#N/A</definedName>
    <definedName name="HTML2_3" hidden="false">"Historical Returns"</definedName>
    <definedName name="ContratoTransporte" localSheetId="5">'[13]Supuestos Combustibles'!#REF!</definedName>
    <definedName name="RICNDo" localSheetId="5">#REF!</definedName>
    <definedName name="InitYear" localSheetId="5">#REF!</definedName>
    <definedName name="Gen" localSheetId="5">#REF!</definedName>
    <definedName name="mario" localSheetId="11" hidden="false">{#N/A,#N/A,FALSE,"Aging Summary";#N/A,#N/A,FALSE,"Ratio Analysis";#N/A,#N/A,FALSE,"Test 120 Day Accts";#N/A,#N/A,FALSE,"Tickmarks"}</definedName>
    <definedName name="_64_Kbps___1">#N/A</definedName>
    <definedName name="_COP99" localSheetId="11">#REF!</definedName>
    <definedName name="alfa1">#REF!</definedName>
    <definedName name="Telex_Subscribers__000">#N/A</definedName>
    <definedName name="_Regression_X" hidden="false">#REF!</definedName>
    <definedName name="TOTMKT___1">#N/A</definedName>
    <definedName name="PUBLIC_NETWORK___0">#N/A</definedName>
    <definedName name="L">#N/A</definedName>
    <definedName name="Pago_SIC_Isagen_Gen">#REF!</definedName>
    <definedName name="ANTERIOR" localSheetId="11">#REF!</definedName>
    <definedName name="DSWshare1">#N/A</definedName>
    <definedName name="DIFERENCIA">#REF!</definedName>
    <definedName name="_COP222" localSheetId="11">#REF!</definedName>
    <definedName name="x" localSheetId="11">'[35]Cto de Patrimonio y Capital'!$C$1</definedName>
    <definedName name="fcarga4">#REF!</definedName>
    <definedName name="ESTADOR1">#REF!</definedName>
    <definedName name="PUBFRMLA">#N/A</definedName>
    <definedName name="CERE_kte">'[13]Supuestos Generación - Precios'!$B$347:$M$347</definedName>
    <definedName name="FootnoteDrop41">#REF!</definedName>
    <definedName name="CMON984" localSheetId="11">#REF!</definedName>
    <definedName name="COSTO99" localSheetId="11">#REF!</definedName>
    <definedName name="__123Graph_CTOTMKT___0">#REF!</definedName>
    <definedName name="FootnoteDrop39" localSheetId="11">#REF!</definedName>
    <definedName name="ju" localSheetId="11" hidden="false">{#N/A,#N/A,FALSE,"TOC";#N/A,#N/A,FALSE,"ASS";#N/A,#N/A,FALSE,"CF";#N/A,#N/A,FALSE,"FUEL&amp;MTC"}</definedName>
    <definedName name="FootnoteDrop11" localSheetId="11">#REF!</definedName>
    <definedName name="REPSUB" localSheetId="11">#REF!</definedName>
    <definedName name="alfa4">#REF!</definedName>
    <definedName name="Trend">#N/A</definedName>
    <definedName name="CMON204">#REF!</definedName>
    <definedName name="IQ_LATESTQ" hidden="false">500</definedName>
    <definedName name="TAR_CF_CALCUL">[6]Ingresos_MNR!#REF!</definedName>
    <definedName name="CGENR223">#REF!</definedName>
    <definedName name="ListaAños">#REF!</definedName>
    <definedName name="ESP">#REF!</definedName>
    <definedName name="TRANSIT">#REF!</definedName>
    <definedName name="SSP" localSheetId="11">#REF!</definedName>
    <definedName name="EPS_Next_Yr" localSheetId="11">#REF!</definedName>
    <definedName name="FootnoteDrop47" localSheetId="11">#REF!</definedName>
    <definedName name="CGENR983">#REF!</definedName>
    <definedName name="_xlnm.Criteria" localSheetId="5">#REF!</definedName>
    <definedName name="CMON984">#REF!</definedName>
    <definedName name="Mexico_Wireless_Equipment_Markets___1994_2001___1">#N/A</definedName>
    <definedName name="IQ_YTDMONTH" hidden="false">130000</definedName>
    <definedName name="EPM_MNR_AÑO">[20]factores!$B$25</definedName>
    <definedName name="MOBFRMLA___0">#REF!</definedName>
    <definedName name="MFEC2" localSheetId="11">#REF!</definedName>
    <definedName name="_Fill" localSheetId="5" hidden="false">#REF!</definedName>
    <definedName name="Capacidad_Instalada_Sistema" localSheetId="5">#REF!</definedName>
    <definedName name="_COP223">#REF!</definedName>
    <definedName name="REPO2" localSheetId="11">#REF!</definedName>
    <definedName name="Macro1" localSheetId="11">#REF!</definedName>
    <definedName name="__123Graph_X">#REF!</definedName>
    <definedName name="Nombre_Empresa">[31]P!$E$13</definedName>
    <definedName name="FECC" localSheetId="5">#REF!</definedName>
    <definedName name="CGENR982" localSheetId="11">#REF!</definedName>
    <definedName name="ImpRenta">#REF!</definedName>
    <definedName name="PUBFRMLA___0">#REF!</definedName>
    <definedName name="Trunk_Switching_Capacity__000___1">#N/A</definedName>
    <definedName name="WHC">#REF!</definedName>
    <definedName name="PrecioComprasContratos" localSheetId="11">#REF!</definedName>
    <definedName name="HTML2_5" hidden="false">""</definedName>
    <definedName name="RESSAL" localSheetId="5">#REF!</definedName>
    <definedName name="códigos2" localSheetId="11">'[17]Ppto 2005'!#REF!</definedName>
    <definedName name="BCS">#REF!</definedName>
    <definedName name="GRAFICO" localSheetId="11">#REF!</definedName>
    <definedName name="PBX_Extensions__000___0">#N/A</definedName>
    <definedName name="ESTADOR2" localSheetId="11">#REF!</definedName>
    <definedName name="A_BALANCE" localSheetId="5">#REF!</definedName>
    <definedName name="Leased_Line_Subscribers__000___1">#N/A</definedName>
    <definedName name="_COP973" localSheetId="11">#REF!</definedName>
    <definedName name="TABLAOPER24" localSheetId="11">#REF!</definedName>
    <definedName name="RE_FdeF" localSheetId="5">#REF!</definedName>
    <definedName name="cashq201" localSheetId="11">#REF!</definedName>
    <definedName name="I.P.P">[6]Ingresos_MNR!$A$32</definedName>
    <definedName name="URIOS_NUEV_MES_CALC" localSheetId="11">[6]Ingresos_MNR!#REF!</definedName>
    <definedName name="TABLAOPER36" localSheetId="11">#REF!</definedName>
    <definedName name="Contenido" localSheetId="11">#REF!</definedName>
    <definedName name="GasenTroncal">[22]DEMANDA!$C$99</definedName>
    <definedName name="HHV" localSheetId="5">#REF!</definedName>
    <definedName name="CGENR202">#REF!</definedName>
    <definedName name="CMON982" localSheetId="11">#REF!</definedName>
    <definedName name="FootnoteDrop15" localSheetId="11">#REF!</definedName>
    <definedName name="BB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COSTO24">#REF!</definedName>
    <definedName name="RE_PYG">#REF!</definedName>
    <definedName name="MOBILE___1">#N/A</definedName>
    <definedName name="RUTIAN4" localSheetId="5">#REF!</definedName>
    <definedName name="MFEC">#REF!</definedName>
    <definedName name="MWH" localSheetId="5">#REF!</definedName>
    <definedName name="A_PYG_DOLAR" localSheetId="5">#REF!</definedName>
    <definedName name="ContratCFI_Niv2">#REF!</definedName>
    <definedName name="Mexico__Estimated_Vendor_Market_Share_by_Subscriber__YE_1996___1">#N/A</definedName>
    <definedName name="FactorInflaExt" localSheetId="5">#REF!</definedName>
    <definedName name="NOPRO">#REF!</definedName>
    <definedName name="CostoTransporteGas">#REF!</definedName>
    <definedName name="ANALYSIS" localSheetId="11">#REF!</definedName>
    <definedName name="_Table1_In1" localSheetId="5" hidden="false">[3]PESOSTMT!#REF!</definedName>
    <definedName name="Cargos_uso_red" localSheetId="5">#REF!</definedName>
    <definedName name="WP">#REF!</definedName>
    <definedName name="Z_D8172586_8560_4956_B283_D293252BD61F_.wvu.Cols" localSheetId="8" hidden="false">'Supuestos Valoracion'!$S:$S</definedName>
    <definedName name="_xlnm.Print_Area" localSheetId="8">'Supuestos Valoracion'!$A$1:$P$74</definedName>
    <definedName name="area" localSheetId="11">#REF!</definedName>
    <definedName name="Wireless___0">#N/A</definedName>
    <definedName name="erpc">#REF!</definedName>
    <definedName name="IQ_FWD_Q2" hidden="false">503</definedName>
    <definedName name="ContratoTransporte" localSheetId="11">'[13]Supuestos Combustibles'!#REF!</definedName>
    <definedName name="OLD" localSheetId="11">#REF!</definedName>
    <definedName name="CGENR203">#REF!</definedName>
    <definedName name="Z_D8172586_8560_4956_B283_D293252BD61F_.wvu.PrintTitles" localSheetId="2" hidden="false">ESF!$5:$6</definedName>
    <definedName name="DPS_Lst_Yr" localSheetId="11">#REF!</definedName>
    <definedName name="TARIFA_DE_CONEXION">[6]Ingresos_MNR!#REF!</definedName>
    <definedName name="wrn.Aging._.and._.Trend._.Analysis." localSheetId="11" hidden="false">{#N/A,#N/A,FALSE,"Aging Summary";#N/A,#N/A,FALSE,"Ratio Analysis";#N/A,#N/A,FALSE,"Test 120 Day Accts";#N/A,#N/A,FALSE,"Tickmarks"}</definedName>
    <definedName name="ICSE">#REF!</definedName>
    <definedName name="RELAC" localSheetId="11">#REF!</definedName>
    <definedName name="EscMacroEco">#REF!</definedName>
    <definedName name="DBASE2___1">#N/A</definedName>
    <definedName name="PVTFRMLA___1">#N/A</definedName>
    <definedName name="x___0">#N/A</definedName>
    <definedName name="__123Graph_ATOTMKT___1">#N/A</definedName>
    <definedName name="NSE" localSheetId="11">#REF!</definedName>
    <definedName name="FootnoteDrop38">#REF!</definedName>
    <definedName name="TABLA" localSheetId="11">#REF!</definedName>
    <definedName name="HTML1_6" hidden="false">-4146</definedName>
    <definedName name="Taiwan__Mobile_Network_Market__1993_2000___0">#REF!</definedName>
    <definedName name="DPS_Next_Yr" localSheetId="11">#REF!</definedName>
    <definedName name="Tabla2">#REF!</definedName>
    <definedName name="Mexico__Estimated_Cellular_Infrastructure_Market_Share_by_Capacity_Installed__YE1996___1">#N/A</definedName>
    <definedName name="Population__000___1">#N/A</definedName>
    <definedName name="CAJA" localSheetId="5">#REF!</definedName>
    <definedName name="MOBFRMLA">#N/A</definedName>
    <definedName name="MOBMKT" localSheetId="11">#REF!</definedName>
    <definedName name="Caudal" localSheetId="11">#REF!</definedName>
    <definedName name="Tabla2" localSheetId="11">#REF!</definedName>
    <definedName name="fdsa" localSheetId="5" hidden="false">{#N/A,#N/A,FALSE,"TOC";#N/A,#N/A,FALSE,"ASS";#N/A,#N/A,FALSE,"CF";#N/A,#N/A,FALSE,"FUEL&amp;MTC"}</definedName>
    <definedName name="OATITLE">#REF!</definedName>
    <definedName name="ContratMEM" localSheetId="5">#REF!</definedName>
    <definedName name="RFCRo" localSheetId="5">#REF!</definedName>
    <definedName name="salescy06">'[30]Model &amp; IS-Historic'!$BI$41</definedName>
    <definedName name="DBASE2___0" localSheetId="11">#REF!</definedName>
    <definedName name="FootnoteDrop40">#REF!</definedName>
    <definedName name="da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URIOS_NUEV_AÑO_CALCUL" localSheetId="11">[6]Ingresos_MNR!#REF!</definedName>
    <definedName name="códigos2">'[17]Ppto 2005'!#REF!</definedName>
    <definedName name="T1RES" localSheetId="5">#REF!</definedName>
    <definedName name="__123Graph_CPUBMKT___1">#N/A</definedName>
    <definedName name="FootnoteDrop28" localSheetId="11">#REF!</definedName>
    <definedName name="ComprasGas">#REF!</definedName>
    <definedName name="jgd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MW_Channels__000">#N/A</definedName>
    <definedName name="BN4E0">'[12]RENTABILIDAD (2)'!#REF!</definedName>
    <definedName name="fdasfd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IPC" localSheetId="11">#REF!</definedName>
    <definedName name="AccessDatabase" hidden="false">"C:\Mis documentos\ACTIVOS.MDB"</definedName>
    <definedName name="BC___1">#N/A</definedName>
    <definedName name="COSTO99">#REF!</definedName>
    <definedName name="_EXH1">#REF!</definedName>
    <definedName name="MFEC2" localSheetId="5">#REF!</definedName>
    <definedName name="Inflacion_Externa">#REF!</definedName>
    <definedName name="salescy05">'[30]Model &amp; IS-Historic'!$BB$41</definedName>
    <definedName name="Bajo_Bajo">#REF!</definedName>
    <definedName name="A_PYG_DOLAR">#REF!</definedName>
    <definedName name="PUBPRICE___0" localSheetId="11">#REF!</definedName>
    <definedName name="CMON212">#REF!</definedName>
    <definedName name="Fax_Terminals__000">#N/A</definedName>
    <definedName name="FootnoteDrop7" localSheetId="11">#REF!</definedName>
    <definedName name="Pago_CRDs_Isagen_Gen" localSheetId="11">#REF!</definedName>
    <definedName name="__123Graph_B" localSheetId="11">#REF!</definedName>
    <definedName name="TSEPM">#REF!</definedName>
    <definedName name="MRFP2" localSheetId="5">#REF!</definedName>
    <definedName name="RFCRo">#REF!</definedName>
    <definedName name="PUBMKT" localSheetId="11">#REF!</definedName>
    <definedName name="__123Graph_DPVTMKT___0">#REF!</definedName>
    <definedName name="dafda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PYG" localSheetId="5">#REF!</definedName>
    <definedName name="TIPOIN" localSheetId="11">#REF!</definedName>
    <definedName name="T.C.">[22]INVERSION!#REF!</definedName>
    <definedName name="__123Graph_A___1">#N/A</definedName>
    <definedName name="TASATOT" localSheetId="5">#REF!</definedName>
    <definedName name="Trunk_Switching_Capacity__000">#N/A</definedName>
    <definedName name="adrian" localSheetId="5" hidden="false">{#N/A,#N/A,FALSE,"TOC";#N/A,#N/A,FALSE,"ASS";#N/A,#N/A,FALSE,"CF";#N/A,#N/A,FALSE,"FUEL&amp;MTC"}</definedName>
    <definedName name="_uge2" localSheetId="11">#REF!</definedName>
    <definedName name="CGENR99">#REF!</definedName>
    <definedName name="MOBFRMLA___0" localSheetId="11">#REF!</definedName>
    <definedName name="OAP" localSheetId="5">#REF!</definedName>
    <definedName name="_DAT2" localSheetId="11">#REF!</definedName>
    <definedName name="MRFP" localSheetId="5">#REF!</definedName>
    <definedName name="epe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Fax_Terminals__000___0">#N/A</definedName>
    <definedName name="BASE">[6]Ingresos_MNR!#REF!</definedName>
    <definedName name="Extracción_IM">#REF!</definedName>
    <definedName name="IPC">#REF!</definedName>
    <definedName name="s" localSheetId="11">#REF!</definedName>
    <definedName name="HTML2_7" hidden="false">1</definedName>
    <definedName name="MOBILE___0">#N/A</definedName>
    <definedName name="EPS_Growth_Rate" localSheetId="11">#REF!</definedName>
    <definedName name="HTML1_3" hidden="false">"ReturnsHistorical"</definedName>
    <definedName name="WP" localSheetId="5">#REF!</definedName>
    <definedName name="CGENR21">#REF!</definedName>
    <definedName name="CMON99" localSheetId="11">#REF!</definedName>
    <definedName name="fd" hidden="false">{#N/A,#N/A,FALSE,"TOC";#N/A,#N/A,FALSE,"ASS";#N/A,#N/A,FALSE,"CF";#N/A,#N/A,FALSE,"FUEL&amp;MTC"}</definedName>
    <definedName name="FactorMN">'[6]Reportes '!#REF!</definedName>
    <definedName name="HHV" localSheetId="11">#REF!</definedName>
    <definedName name="FEspMun" localSheetId="11">#REF!</definedName>
    <definedName name="_GTR99">#REF!</definedName>
    <definedName name="SIT" localSheetId="5">#REF!</definedName>
    <definedName name="PRIVATE___1">#N/A</definedName>
    <definedName name="TSEPMSB">#REF!</definedName>
    <definedName name="DemEnergia" localSheetId="11">#REF!</definedName>
    <definedName name="ressecp1" localSheetId="11">#REF!</definedName>
    <definedName name="__123Graph_XENER12" hidden="false">[1]PLANTILLA!#REF!</definedName>
    <definedName name="A_BALANCE" localSheetId="11">#REF!</definedName>
    <definedName name="MAIN" localSheetId="5">#REF!</definedName>
    <definedName name="COSTO23">#REF!</definedName>
    <definedName name="indic13">[24]Reclam_Fact!$I$36</definedName>
    <definedName name="_GTR22" localSheetId="11">#REF!</definedName>
    <definedName name="DATOS" localSheetId="11">#REF!</definedName>
    <definedName name="FootnoteDrop2">#REF!</definedName>
    <definedName name="IQ_FWD_CY2" hidden="false">10003</definedName>
    <definedName name="FootnoteDrop50">#REF!</definedName>
    <definedName name="_UGE4">#REF!</definedName>
    <definedName name="INGRESOS_CONEXION" localSheetId="11">[6]Ingresos_MNR!#REF!</definedName>
    <definedName name="DATOS1">#REF!</definedName>
    <definedName name="Capacidad_Instalada_Isagen" localSheetId="11">#REF!</definedName>
    <definedName name="WH" localSheetId="11">#REF!</definedName>
    <definedName name="jg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FootnoteDrop37" localSheetId="11">#REF!</definedName>
    <definedName name="DICIEMBRE90">#REF!</definedName>
    <definedName name="solver_tmp" hidden="false">#NAME?</definedName>
    <definedName name="indic9">'[24] PRD I'!$I$34</definedName>
    <definedName name="RUTINA3" localSheetId="11">#REF!</definedName>
    <definedName name="VtasGas" localSheetId="5">#REF!</definedName>
    <definedName name="ADMON">#REF!,#REF!,#REF!</definedName>
    <definedName name="__123Graph_CPVTMKT___0">#REF!</definedName>
    <definedName name="Database">#REF!</definedName>
    <definedName name="RangeChange" hidden="false">#N/A</definedName>
    <definedName name="indic11">'[24] COSTO KWH'!$I$33</definedName>
    <definedName name="AS2DocOpenMode" hidden="false">"AS2DocumentEdit"</definedName>
    <definedName name="_xlnm.Print_Titles" localSheetId="3">'Supuestos Proyeccion'!$5:$6</definedName>
    <definedName name="_Table2_In1" hidden="false">[4]modelo!$D$15</definedName>
    <definedName name="Analyst_Email">#REF!</definedName>
    <definedName name="Main_Lines__per_100_pop.___0">#N/A</definedName>
    <definedName name="SCREEN">#REF!</definedName>
    <definedName name="tes" hidden="false">[33]MEX95IB!#REF!</definedName>
    <definedName name="FootnoteDrop7">#REF!</definedName>
    <definedName name="SCREEN" localSheetId="5">#REF!</definedName>
    <definedName name="A_FdeF">#REF!</definedName>
    <definedName name="OPERAC.">#REF!,#REF!</definedName>
    <definedName name="TABLAOPER18" localSheetId="11">#REF!</definedName>
    <definedName name="_COP982">#REF!</definedName>
    <definedName name="_SGE4">#REF!</definedName>
    <definedName name="_TE4" localSheetId="11">#REF!</definedName>
    <definedName name="P.T." localSheetId="11">[22]INVERSION!#REF!</definedName>
    <definedName name="__123Graph_A___0">#N/A</definedName>
    <definedName name="MOBILE">#REF!</definedName>
    <definedName name="Mainline_Bus_4Dragon_1994">#N/A</definedName>
    <definedName name="ENERO90" localSheetId="11">#REF!</definedName>
    <definedName name="RUTINA3">#REF!</definedName>
    <definedName name="ICSEAño3">[6]Ingresos_MNR!$G$34</definedName>
    <definedName name="INGRESOS_CONSUMO">[6]Ingresos_MNR!$A$93</definedName>
    <definedName name="_Key2" localSheetId="5" hidden="false">#REF!</definedName>
    <definedName name="HTML_Header" hidden="false">""</definedName>
    <definedName name="__123Graph_B___0">#N/A</definedName>
    <definedName name="RE_BALANCE" localSheetId="11">#REF!</definedName>
    <definedName name="Inv_IngAmb">#REF!</definedName>
    <definedName name="FootnoteDrop46">#REF!</definedName>
    <definedName name="IPPobjetivo">'[13]EscGen-Precios'!$C$13</definedName>
    <definedName name="PventaBolsaKte">'[13]Supuestos Generación - Precios'!$B$323:$M$323</definedName>
    <definedName name="TABLAOPER18">#REF!</definedName>
    <definedName name="CAPAC">#REF!</definedName>
    <definedName name="SCREEN" localSheetId="11">#REF!</definedName>
    <definedName name="_COP993" localSheetId="11">#REF!</definedName>
    <definedName name="INVER" localSheetId="5">#REF!</definedName>
    <definedName name="PSDN_Subscribers__000">#N/A</definedName>
    <definedName name="_TE5" localSheetId="11">#REF!</definedName>
    <definedName name="TAR_CONSUMO_CALC">[6]Ingresos_MNR!$A$43</definedName>
    <definedName name="S309MONE" localSheetId="11">#REF!</definedName>
    <definedName name="addd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TOTMKT">#N/A</definedName>
    <definedName name="PAA" localSheetId="11">#REF!</definedName>
    <definedName name="FactorDistribucuión">[6]Ingresos_MNR!#REF!</definedName>
    <definedName name="Dep_EE">#REF!</definedName>
    <definedName name="CGENR98">#REF!</definedName>
    <definedName name="ipcJ97" localSheetId="11">#REF!</definedName>
    <definedName name="MACRO___1">#N/A</definedName>
    <definedName name="Main_lines_Sector___1">#N/A</definedName>
    <definedName name="_UGE1">#REF!</definedName>
    <definedName name="gfgs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IQ_OPENED55" hidden="false">1</definedName>
    <definedName name="Z_D8172586_8560_4956_B283_D293252BD61F_.wvu.Cols" localSheetId="3" hidden="false">'Supuestos Proyeccion'!$T:$T</definedName>
    <definedName name="VPN" localSheetId="11">#REF!</definedName>
    <definedName name="_TE1" localSheetId="11">#REF!</definedName>
    <definedName name="TOTAL___0">#N/A</definedName>
    <definedName name="a" localSheetId="5">#REF!</definedName>
    <definedName name="Pérdidas23">'[2]PRD II'!$I$34</definedName>
    <definedName name="MERP" localSheetId="5">#REF!</definedName>
    <definedName name="Generaciones" localSheetId="5">#REF!</definedName>
    <definedName name="CVCo">#REF!</definedName>
    <definedName name="ImpRenta" localSheetId="11">#REF!</definedName>
    <definedName name="_COP992">#REF!</definedName>
    <definedName name="FINAN" localSheetId="5">#REF!</definedName>
    <definedName name="__123Graph_B">#REF!</definedName>
    <definedName name="Meses">[27]Valores!$A$34:$A$100</definedName>
    <definedName name="__123Graph_CTOTMKT">#N/A</definedName>
    <definedName name="E_1___1">#N/A</definedName>
    <definedName name="ENER" localSheetId="11">#REF!</definedName>
    <definedName name="PresentationNormalA4" localSheetId="11">#REF!</definedName>
    <definedName name="MyRange">#N/A</definedName>
    <definedName name="Lang">#REF!</definedName>
    <definedName name="EscMacroEco" localSheetId="11">#REF!</definedName>
    <definedName name="IQ_YTD" hidden="false">3000</definedName>
    <definedName name="_Table1_Out" localSheetId="11" hidden="false">[3]PESOSTMT!#REF!</definedName>
    <definedName name="Main_Lines__000">#N/A</definedName>
    <definedName name="CMON202" localSheetId="11">#REF!</definedName>
    <definedName name="CGENR982">#REF!</definedName>
    <definedName name="Inflation">#N/A</definedName>
    <definedName name="__123Graph_BPVTMKT___1">#N/A</definedName>
    <definedName name="Exhibit_X__National_Tariffs" localSheetId="11">#REF!</definedName>
    <definedName name="Solicitudes" localSheetId="11">#REF!</definedName>
    <definedName name="RFPC" localSheetId="5">#REF!</definedName>
    <definedName name="P.T.">[22]INVERSION!#REF!</definedName>
    <definedName name="pubform">#REF!</definedName>
    <definedName name="_TE2" localSheetId="11">#REF!</definedName>
    <definedName name="AportesOtros" localSheetId="5">'[7]Cargos MEM - Aportes'!#REF!</definedName>
    <definedName name="__123Graph_XTOTMKT___1">#N/A</definedName>
    <definedName name="_Regression_Out" hidden="false">#REF!</definedName>
    <definedName name="FACTOR_REPARTICION_No._USUARIOS">[6]Ingresos_MNR!#REF!</definedName>
    <definedName name="_xlnm.Print_Titles" localSheetId="8">'Supuestos Valoracion'!$5:$6</definedName>
    <definedName name="CMON21">#REF!</definedName>
    <definedName name="RE_BALANCE" localSheetId="5">#REF!</definedName>
    <definedName name="Arial">#N/A</definedName>
    <definedName name="FootnoteDrop42" localSheetId="11">#REF!</definedName>
    <definedName name="RFTITLE">#REF!</definedName>
    <definedName name="ANALYSIS">#REF!</definedName>
    <definedName name="Inv_PredObras" localSheetId="11">#REF!</definedName>
    <definedName name="sussin">[2]Ejec_Invers!$I$36</definedName>
    <definedName name="respar2">#REF!</definedName>
    <definedName name="TABLA">#REF!</definedName>
    <definedName name="Fax_Terminals__000___1">#N/A</definedName>
    <definedName name="Telex_Lines___000___0">#N/A</definedName>
    <definedName name="ANTERIOR">#REF!</definedName>
    <definedName name="RE_PyG_DOLAR" localSheetId="11">#REF!</definedName>
    <definedName name="CMON214" localSheetId="11">#REF!</definedName>
    <definedName name="CapInstaladaSIN">'[13]Supuestos Generación - Precios'!$B$40:$M$40</definedName>
    <definedName name="Impr_OC">#REF!</definedName>
    <definedName name="_xlnm.Print_Area">'[10]tare90-99'!$A$1:$K$51</definedName>
    <definedName name="WLSSPIC___0">#REF!</definedName>
    <definedName name="InitYear" localSheetId="11">#REF!</definedName>
    <definedName name="CostoSuministroGas">#REF!</definedName>
    <definedName name="CERE" localSheetId="5">#REF!</definedName>
    <definedName name="RDn_2" localSheetId="5">#REF!</definedName>
    <definedName name="Copper___0">#N/A</definedName>
    <definedName name="ImpProtAmb">#REF!</definedName>
    <definedName name="Main_Lines__000___0">#N/A</definedName>
    <definedName name="_COP98" localSheetId="11">#REF!</definedName>
    <definedName name="FootnoteDrop33" localSheetId="11">#REF!</definedName>
    <definedName name="T">#N/A</definedName>
    <definedName name="pubform___0">#N/A</definedName>
    <definedName name="FootnoteDrop9">#REF!</definedName>
    <definedName name="FootnoteDrop5" localSheetId="11">#REF!</definedName>
    <definedName name="CFPS_Curr_Yr">#REF!</definedName>
    <definedName name="Capacidad_Instalada_Sistema" localSheetId="11">#REF!</definedName>
    <definedName name="__123Graph_CPVTMKT___0" localSheetId="11">#REF!</definedName>
    <definedName name="TABLA1" localSheetId="5">#REF!</definedName>
    <definedName name="IQ_FWD_FY2" hidden="false">1003</definedName>
    <definedName name="Mexico__Estimated_Cellular_Infrastructure_Market_Share_by_Capacity_Installed__YE1996___0">#N/A</definedName>
    <definedName name="OUTPUTE">#REF!</definedName>
    <definedName name="Mexico_Wireless_Services___1994_2001___0">#N/A</definedName>
    <definedName name="CMON213" localSheetId="11">#REF!</definedName>
    <definedName name="OUTPUT" localSheetId="5">#REF!</definedName>
    <definedName name="enero">#REF!</definedName>
    <definedName name="EPM_MR_MES">#REF!</definedName>
    <definedName name="MONEDA" localSheetId="11">#REF!</definedName>
    <definedName name="alfa497" localSheetId="11">#REF!</definedName>
    <definedName name="MWH">#REF!</definedName>
    <definedName name="COM" localSheetId="11">#REF!</definedName>
    <definedName name="T1RES2" localSheetId="5">#REF!</definedName>
    <definedName name="ContratCFI" localSheetId="11">#REF!</definedName>
    <definedName name="fcarga1" localSheetId="11">#REF!</definedName>
    <definedName name="_OPC1" localSheetId="11">#REF!</definedName>
    <definedName name="_TE6">#REF!</definedName>
    <definedName name="BCS___1">#N/A</definedName>
    <definedName name="FootnoteDrop30" localSheetId="11">#REF!</definedName>
    <definedName name="EXT">[22]INVERSION!#REF!</definedName>
    <definedName name="ALFA397C" localSheetId="11">#REF!</definedName>
    <definedName name="ComprasContratos" localSheetId="5">#REF!</definedName>
    <definedName name="_IPP2003" localSheetId="11">#REF!</definedName>
    <definedName name="CostoCombustible">#REF!</definedName>
    <definedName name="CostoTransporteGas" localSheetId="11">#REF!</definedName>
    <definedName name="alfa3">#REF!</definedName>
    <definedName name="Criterios_IM" localSheetId="11">#REF!</definedName>
    <definedName name="eq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As_of">#REF!</definedName>
    <definedName name="DBASE___1">#N/A</definedName>
    <definedName name="Main_Lines__000___1">#N/A</definedName>
    <definedName name="Mexico__Estimated_Cellular_Infrastructure_Market_Share_by_Capacity_Installed__YE1997___1">#N/A</definedName>
    <definedName name="_SGE4" localSheetId="11">#REF!</definedName>
    <definedName name="__123Graph_XENER12" localSheetId="5" hidden="false">[1]PLANTILLA!#REF!</definedName>
    <definedName name="solver_typ" hidden="false">3</definedName>
    <definedName name="PRICE___1">#N/A</definedName>
    <definedName name="messec">#REF!</definedName>
    <definedName name="FINAN">#REF!</definedName>
    <definedName name="Capital_Inflation___0">#N/A</definedName>
    <definedName name="ad" localSheetId="11" hidden="false">{#N/A,#N/A,FALSE,"TOC";#N/A,#N/A,FALSE,"ASS";#N/A,#N/A,FALSE,"CF";#N/A,#N/A,FALSE,"FUEL&amp;MTC"}</definedName>
    <definedName name="Print_Area_MI" localSheetId="11">#REF!</definedName>
    <definedName name="RDn_1" localSheetId="11">#REF!</definedName>
    <definedName name="PbolsaKte">'[13]Supuestos Generación - Precios'!$B$250:$M$250</definedName>
    <definedName name="RFPC" localSheetId="11">#REF!</definedName>
    <definedName name="_ALF2" localSheetId="11">#REF!</definedName>
    <definedName name="erytf" localSheetId="11" hidden="false">{#N/A,#N/A,FALSE,"TOC";#N/A,#N/A,FALSE,"ASS";#N/A,#N/A,FALSE,"CF";#N/A,#N/A,FALSE,"FUEL&amp;MTC"}</definedName>
    <definedName name="OUTPUT" localSheetId="11">#REF!</definedName>
    <definedName name="alfa497">#REF!</definedName>
    <definedName name="TARIFA_CON_CALCUL" localSheetId="11">[6]Ingresos_MNR!#REF!</definedName>
    <definedName name="ADMON" localSheetId="11">#REF!,#REF!,#REF!</definedName>
    <definedName name="CostoCombustible" localSheetId="11">#REF!</definedName>
    <definedName name="WHC" localSheetId="11">#REF!</definedName>
    <definedName name="CFPS_Next_Yr" localSheetId="11">#REF!</definedName>
    <definedName name="INF" localSheetId="11">#REF!</definedName>
    <definedName name="ressecp2" localSheetId="11">#REF!</definedName>
    <definedName name="MRFP" localSheetId="11">#REF!</definedName>
    <definedName name="Print_Titles_MI">#REF!,#REF!</definedName>
    <definedName name="PSDN_Ports__000___0">#N/A</definedName>
    <definedName name="__123Graph_XTOTMKT___0">#REF!</definedName>
    <definedName name="CMON202">#REF!</definedName>
    <definedName name="TABLAOPER48" localSheetId="11">#REF!</definedName>
    <definedName name="factor" localSheetId="5">#REF!</definedName>
    <definedName name="NumeroDias" localSheetId="11">#REF!</definedName>
    <definedName name="HTML1_7" hidden="false">-4146</definedName>
    <definedName name="HTML1_10" hidden="false">""</definedName>
    <definedName name="__123Graph_EPUBMKT___1">#N/A</definedName>
    <definedName name="INSTALL___0" localSheetId="11">#REF!</definedName>
    <definedName name="Base_datos_IM" localSheetId="11">#REF!</definedName>
    <definedName name="CMON20" localSheetId="11">#REF!</definedName>
    <definedName name="_IPP2008">#REF!</definedName>
    <definedName name="__123Graph_APUBMKT___0" localSheetId="11">#REF!</definedName>
    <definedName name="CrecimAltoPotencia" localSheetId="11">#REF!</definedName>
    <definedName name="IQ_LTMMONTH" hidden="false">120000</definedName>
    <definedName name="AportesOtros" localSheetId="11">'[7]Cargos MEM - Aportes'!#REF!</definedName>
    <definedName name="BN4E0.5" localSheetId="11">'[12]RENTABILIDAD (2)'!#REF!</definedName>
    <definedName name="COuntry___1">#N/A</definedName>
    <definedName name="MWH" localSheetId="11">#REF!</definedName>
    <definedName name="CMON982">#REF!</definedName>
    <definedName name="gf\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BC">#N/A</definedName>
    <definedName name="DemPotencia" localSheetId="11">#REF!</definedName>
    <definedName name="_IPP2004" localSheetId="11">#REF!</definedName>
    <definedName name="_IPP2007" localSheetId="11">#REF!</definedName>
    <definedName name="ICSEAño1">[6]Ingresos_MNR!$E$34</definedName>
    <definedName name="IQ_FWD_Q" hidden="false">501</definedName>
    <definedName name="MIL">[28]Económicos!$C$8</definedName>
    <definedName name="__123Graph_X___0">#N/A</definedName>
    <definedName name="Taiwan___Mobile_Communications_Services_Market__1993_2000___0" localSheetId="11">#REF!</definedName>
    <definedName name="ContratMEM">#REF!</definedName>
    <definedName name="FootnoteDrop4">#REF!</definedName>
    <definedName name="etapa1">[22]INVERSION!#REF!</definedName>
    <definedName name="_COP213" localSheetId="11">#REF!</definedName>
    <definedName name="_GTR99" localSheetId="11">#REF!</definedName>
    <definedName name="DPS_Lst_Yr">#REF!</definedName>
    <definedName name="AAB_Addin5" hidden="false">"AAB_Description for addin 5,Description for addin 5,Description for addin 5,Description for addin 5,Description for addin 5,Description for addin 5"</definedName>
    <definedName name="CBWorkbookPriority" hidden="false">-924823274</definedName>
    <definedName name="ITER" localSheetId="11">#REF!</definedName>
    <definedName name="_a31">[2]Ejec_Invers!$I$36</definedName>
    <definedName name="ESP" localSheetId="5">#REF!</definedName>
    <definedName name="PPI">#REF!</definedName>
    <definedName name="FootnoteDrop17" localSheetId="11">#REF!</definedName>
    <definedName name="CertRedEmis" localSheetId="11">#REF!</definedName>
    <definedName name="NEW" localSheetId="11">#REF!</definedName>
    <definedName name="PERFORMINC">#REF!</definedName>
    <definedName name="T___0">#REF!</definedName>
    <definedName name="PYG">#REF!</definedName>
    <definedName name="DatoExtraer">#REF!</definedName>
    <definedName name="TasaDeCambio">'[13]Supuestos Combustibles'!#REF!</definedName>
    <definedName name="C____0">#REF!</definedName>
    <definedName name="Generacion_propia_esperada" localSheetId="11">#REF!</definedName>
    <definedName name="Address_Code" localSheetId="11">#REF!</definedName>
    <definedName name="Switching_Capacity__000">#N/A</definedName>
    <definedName name="WHC" localSheetId="5">#REF!</definedName>
    <definedName name="Nicaragua__Cellular_Subscribers_by_Standard__1994_2001">#N/A</definedName>
    <definedName name="EPS_Curr_Qtr" localSheetId="11">#REF!</definedName>
    <definedName name="MOAP" localSheetId="11">#REF!</definedName>
    <definedName name="Directorate_Main_lines">#N/A</definedName>
    <definedName name="_COP22" localSheetId="11">#REF!</definedName>
    <definedName name="_TE4">#REF!</definedName>
    <definedName name="PROVISION_DEUDAS_MALAS" localSheetId="11">[6]Ingresos_MNR!#REF!</definedName>
    <definedName name="OAP" localSheetId="11">#REF!</definedName>
    <definedName name="_COP21" localSheetId="11">#REF!</definedName>
    <definedName name="DBASE2___0">#REF!</definedName>
    <definedName name="IQ_FWD_CY1" hidden="false">10002</definedName>
    <definedName name="Generaciones">#REF!</definedName>
    <definedName name="FICHA" localSheetId="11">#REF!</definedName>
    <definedName name="TasaDeCambio" localSheetId="11">'[13]Supuestos Combustibles'!#REF!</definedName>
    <definedName name="_xlnm.Print_Titles">Betas!$5:$6</definedName>
    <definedName name="DemEnergia" localSheetId="5">#REF!</definedName>
    <definedName name="DAT" localSheetId="11">#REF!</definedName>
    <definedName name="CostosST" localSheetId="11">#REF!</definedName>
    <definedName name="fdsa" localSheetId="11" hidden="false">{#N/A,#N/A,FALSE,"TOC";#N/A,#N/A,FALSE,"ASS";#N/A,#N/A,FALSE,"CF";#N/A,#N/A,FALSE,"FUEL&amp;MTC"}</definedName>
    <definedName name="CrecimientoDemEnergia">'[18]Supuestos Generales'!$B$92:$M$92</definedName>
    <definedName name="OPSELC">#REF!</definedName>
    <definedName name="VtasGas">#REF!</definedName>
    <definedName name="Mexico_Wireless_Equipment_Markets___1994_2001">#N/A</definedName>
    <definedName name="EPM_MR_AÑO" localSheetId="11">#REF!</definedName>
    <definedName name="CGENR22">#REF!</definedName>
    <definedName name="EXT" localSheetId="11">[22]INVERSION!#REF!</definedName>
    <definedName name="ContratCFI_Niv3" localSheetId="11">#REF!</definedName>
    <definedName name="Mainline_Bus_4Dragon_1995">#N/A</definedName>
    <definedName name="__123Graph_EPUBMKT___0" localSheetId="11">#REF!</definedName>
    <definedName name="lll" localSheetId="11">#REF!</definedName>
    <definedName name="TABLA1">#REF!</definedName>
    <definedName name="Mainline_Bus_4Dragon_1990">#N/A</definedName>
    <definedName name="HHV">#REF!</definedName>
    <definedName name="BASE" localSheetId="11">[6]Ingresos_MNR!#REF!</definedName>
    <definedName name="alfa297" localSheetId="11">#REF!</definedName>
    <definedName name="Mexico__Estimated_Vendor_Market_Share_by_Subscriber__YE_1997___1">#N/A</definedName>
    <definedName name="OPERAC." localSheetId="11">#REF!,#REF!</definedName>
    <definedName name="factorInflacionExt" localSheetId="5">#REF!</definedName>
    <definedName name="_IPP2003">#REF!</definedName>
    <definedName name="DICIEMBRE91" localSheetId="11">#REF!</definedName>
    <definedName name="SEN96IB_Page">#REF!</definedName>
    <definedName name="Bajo_Bajo" localSheetId="11">#REF!</definedName>
    <definedName name="_UGE4" localSheetId="11">#REF!</definedName>
    <definedName name="EscDemanda">#REF!</definedName>
    <definedName name="RDn_2" localSheetId="11">#REF!</definedName>
    <definedName name="CGENR983" localSheetId="11">#REF!</definedName>
    <definedName name="NumeroDias">#REF!</definedName>
    <definedName name="TituloEstudio" localSheetId="11">#REF!</definedName>
    <definedName name="Anexo1">#REF!</definedName>
    <definedName name="CMON97" localSheetId="11">#REF!</definedName>
    <definedName name="COuntry">#N/A</definedName>
    <definedName name="HTML_Control" localSheetId="11" hidden="false">{"'AVAL. GASOD.'!$A$1998:$G$2028"}</definedName>
    <definedName name="PrintB_S" localSheetId="11">#REF!</definedName>
    <definedName name="Public_Sheet" localSheetId="11">#REF!</definedName>
    <definedName name="RDn_2">#REF!</definedName>
    <definedName name="GW_OTROS_MES">#REF!</definedName>
    <definedName name="fcarga2">#REF!</definedName>
    <definedName name="Otras_Fuentes_de_Distribución" localSheetId="11">#REF!</definedName>
    <definedName name="_COP20">#REF!</definedName>
    <definedName name="factor">#REF!</definedName>
    <definedName name="_xlnm.Database" localSheetId="5">#REF!</definedName>
    <definedName name="Inflacion_Externa" localSheetId="11">#REF!</definedName>
    <definedName name="MRFP2">#REF!</definedName>
    <definedName name="alfa197" localSheetId="11">#REF!</definedName>
    <definedName name="FootnoteDrop16" localSheetId="11">#REF!</definedName>
    <definedName name="PVTPRICE">#N/A</definedName>
    <definedName name="yield_basis">#REF!</definedName>
    <definedName name="CMON974">#REF!</definedName>
    <definedName name="IQ_FY" hidden="false">1000</definedName>
    <definedName name="SERVIC___1">#N/A</definedName>
    <definedName name="_64_Kbps___0">#N/A</definedName>
    <definedName name="Mechanical___0">#N/A</definedName>
    <definedName name="DemPotencia">#REF!</definedName>
    <definedName name="PAA">#REF!</definedName>
    <definedName name="__123Graph_X___1">#N/A</definedName>
    <definedName name="gf\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MesExtraer" localSheetId="11">#REF!</definedName>
    <definedName name="alfa297">#REF!</definedName>
    <definedName name="Nicaragua__Cellular_Subscribers_by_Standard__1994_2001___0">#N/A</definedName>
    <definedName name="DPS_Next_Yr">#REF!</definedName>
    <definedName name="PVTFRMLA___0" localSheetId="11">#REF!</definedName>
    <definedName name="ippj97" localSheetId="11">#REF!</definedName>
    <definedName name="Medio_Alto" localSheetId="11">#REF!</definedName>
    <definedName name="FootnoteDrop33">#REF!</definedName>
    <definedName name="HTML_OS" hidden="false">0</definedName>
    <definedName name="ComprasBolsa">'[13]Modelo Proyecciones'!$B$70:$M$70</definedName>
    <definedName name="ENTEL_Long_Distance_Tariffs___0">#N/A</definedName>
    <definedName name="HTML2_10" hidden="false">""</definedName>
    <definedName name="PUNTO" localSheetId="5">#REF!</definedName>
    <definedName name="w" localSheetId="5" hidden="false">{#N/A,#N/A,FALSE,"Aging Summary";#N/A,#N/A,FALSE,"Ratio Analysis";#N/A,#N/A,FALSE,"Test 120 Day Accts";#N/A,#N/A,FALSE,"Tickmarks"}</definedName>
    <definedName name="Z_D8172586_8560_4956_B283_D293252BD61F_.wvu.Cols" localSheetId="9" hidden="false">'Valoracion FCL'!$P:$U</definedName>
    <definedName name="FECC">#REF!</definedName>
    <definedName name="__123Graph_BTOTMKT">#N/A</definedName>
    <definedName name="ESP" localSheetId="11">#REF!</definedName>
    <definedName name="_SGE5">#REF!</definedName>
    <definedName name="CFPS_Next_Yr">#REF!</definedName>
    <definedName name="__123Graph_DPUBMKT___0">#REF!</definedName>
    <definedName name="sdfa" hidden="false">#REF!</definedName>
    <definedName name="CGENR212">#REF!</definedName>
    <definedName name="CND_CRD_SIC">#REF!</definedName>
    <definedName name="alfa2">#REF!</definedName>
    <definedName name="Restricciones" localSheetId="5">#REF!</definedName>
    <definedName name="otrosnoo">[6]OTROSNOO!$A$17:$K$54,[6]OTROSNOO!#REF!,[6]OTROSNOO!#REF!</definedName>
    <definedName name="CGENR212" localSheetId="11">#REF!</definedName>
    <definedName name="ComprasContratos" localSheetId="11">#REF!</definedName>
    <definedName name="FICHA">#REF!</definedName>
    <definedName name="CMON22" localSheetId="11">#REF!</definedName>
    <definedName name="beta" localSheetId="11">#REF!</definedName>
    <definedName name="rate" localSheetId="11">#REF!</definedName>
    <definedName name="Telephone_Sets__000">#N/A</definedName>
    <definedName name="cashq301" localSheetId="11">#REF!</definedName>
    <definedName name="casa" localSheetId="11">'[14]Flujo de Caja'!#REF!</definedName>
    <definedName name="TARIFA_CARGO_FIJO" localSheetId="11">[6]Ingresos_MNR!#REF!</definedName>
    <definedName name="CellHasFormula">#N/A</definedName>
    <definedName name="WH">#REF!</definedName>
    <definedName name="SIT" localSheetId="11">#REF!</definedName>
    <definedName name="ListaAños" localSheetId="11">#REF!</definedName>
    <definedName name="erytf" localSheetId="5" hidden="false">{#N/A,#N/A,FALSE,"TOC";#N/A,#N/A,FALSE,"ASS";#N/A,#N/A,FALSE,"CF";#N/A,#N/A,FALSE,"FUEL&amp;MTC"}</definedName>
    <definedName name="er" localSheetId="11">#REF!</definedName>
    <definedName name="_COP212">#REF!</definedName>
    <definedName name="EMedia" localSheetId="11">#REF!</definedName>
    <definedName name="MacroIPP">#REF!</definedName>
    <definedName name="PVTFRMLA">#N/A</definedName>
    <definedName name="MERP2">#REF!</definedName>
    <definedName name="Xn">#REF!</definedName>
    <definedName name="RFTITLE" localSheetId="11">#REF!</definedName>
    <definedName name="limcount" hidden="false">1</definedName>
    <definedName name="Operator_Str">#N/A</definedName>
    <definedName name="BCSMKT___0">#N/A</definedName>
    <definedName name="OMONE" localSheetId="11">#REF!</definedName>
    <definedName name="HTML2_2" hidden="false">1</definedName>
    <definedName name="URIOS_ACUM_MES_CALCUL">[6]Ingresos_MNR!#REF!</definedName>
    <definedName name="TituloEstudio">#REF!</definedName>
    <definedName name="x" localSheetId="5">'[35]Cto de Patrimonio y Capital'!$C$1</definedName>
    <definedName name="indic8">[24]Ejec_Invers!$I$36</definedName>
    <definedName name="SSP">#REF!</definedName>
    <definedName name="PRESTTOT" localSheetId="5">#REF!</definedName>
    <definedName name="TituloEstudio" localSheetId="5">#REF!</definedName>
    <definedName name="FICHA" localSheetId="5">#REF!</definedName>
    <definedName name="PEN" localSheetId="11">#REF!</definedName>
    <definedName name="IQ_ADDIN" hidden="false">"AUTO"</definedName>
    <definedName name="EndYear" localSheetId="11">#REF!</definedName>
    <definedName name="TARSPMOD" localSheetId="5">#REF!</definedName>
    <definedName name="HTML_Control" hidden="false">{"'AVAL. GASOD.'!$A$1998:$G$2028"}</definedName>
    <definedName name="ContratCFI_Niv2" localSheetId="5">#REF!</definedName>
    <definedName name="printggrales" localSheetId="11">[22]AOM!#REF!</definedName>
    <definedName name="PRIVATE">#REF!</definedName>
    <definedName name="__123Graph_XPUBMKT___1">#N/A</definedName>
    <definedName name="Payphones__000___0">#N/A</definedName>
    <definedName name="FactorMN" localSheetId="11">'[6]Reportes '!#REF!</definedName>
    <definedName name="PUBPIC___0" localSheetId="11">#REF!</definedName>
    <definedName name="CostInv">#REF!</definedName>
    <definedName name="OhNo___1">#N/A</definedName>
    <definedName name="erpc" localSheetId="5">#REF!</definedName>
    <definedName name="RPCNDo">#REF!</definedName>
    <definedName name="ESCM" localSheetId="11">#REF!</definedName>
    <definedName name="ICSEAño8">[6]Ingresos_MNR!$L$34</definedName>
    <definedName name="Mexico__Cellular_and_PCS_subscribers_by_standard__1994_2001___0">#N/A</definedName>
    <definedName name="NominalGDP">#N/A</definedName>
    <definedName name="Data_Terminals__000___0">#N/A</definedName>
    <definedName name="DSWshare1___1">#N/A</definedName>
    <definedName name="__123Graph_EPUBMKT">#N/A</definedName>
    <definedName name="PUBLIC___1">#N/A</definedName>
    <definedName name="PBX_KTS_Trunks__000___0">#N/A</definedName>
    <definedName name="Directorate_Main_lines___0">#N/A</definedName>
    <definedName name="ZONAS" localSheetId="11">#REF!</definedName>
    <definedName name="_GTR22">#REF!</definedName>
    <definedName name="MACRO___0">#REF!</definedName>
    <definedName name="CERE" localSheetId="11">#REF!</definedName>
    <definedName name="beta">#REF!</definedName>
    <definedName name="IND">#REF!</definedName>
    <definedName name="HTML2_12" hidden="false">"Macintosh HD:New_Home_Page:datafile:histret.html"</definedName>
    <definedName name="_GTR21" localSheetId="11">#REF!</definedName>
    <definedName name="Technology">#N/A</definedName>
    <definedName name="Change" hidden="false">#N/A</definedName>
    <definedName name="MONEDA">#REF!</definedName>
    <definedName name="__123Graph_EPVTMKT___0">#REF!</definedName>
    <definedName name="CostInv" localSheetId="11">#REF!</definedName>
    <definedName name="Analyst" localSheetId="11">#REF!</definedName>
    <definedName name="CMON224">#REF!</definedName>
    <definedName name="PrecioComprasContratos">#REF!</definedName>
    <definedName name="DSWshare2___0">#REF!</definedName>
    <definedName name="daasa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PPPMA">#REF!</definedName>
    <definedName name="Inv_PredObras">#REF!</definedName>
    <definedName name="SymbolRng">#N/A</definedName>
    <definedName name="_COP212" localSheetId="11">#REF!</definedName>
    <definedName name="FootnoteDrop36">#REF!</definedName>
    <definedName name="ds">#REF!</definedName>
    <definedName name="Main_lines_Sector___0">#N/A</definedName>
    <definedName name="Medio" localSheetId="11">#REF!</definedName>
    <definedName name="erytf" hidden="false">{#N/A,#N/A,FALSE,"TOC";#N/A,#N/A,FALSE,"ASS";#N/A,#N/A,FALSE,"CF";#N/A,#N/A,FALSE,"FUEL&amp;MTC"}</definedName>
    <definedName name="DICIEMBRE93">#REF!</definedName>
    <definedName name="gfgs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M.EXT" localSheetId="11">[22]INVERSION!#REF!</definedName>
    <definedName name="TIR">[34]Proyecciones_Financieras!$D$439</definedName>
    <definedName name="Generales" localSheetId="11">[6]Ingresos_MNR!#REF!</definedName>
    <definedName name="respar1" localSheetId="11">#REF!</definedName>
    <definedName name="aaaa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FEC" localSheetId="11">#REF!</definedName>
    <definedName name="MESP2" localSheetId="5">#REF!</definedName>
    <definedName name="ING_SDL_EPM_MR" localSheetId="11">#REF!</definedName>
    <definedName name="Pago_SIC_Isagen_Gen" localSheetId="11">#REF!</definedName>
    <definedName name="Country_X_Local_Switch_Capacity__000">#N/A</definedName>
    <definedName name="Leased_Data_Lines__000___0">#N/A</definedName>
    <definedName name="CAPAC" localSheetId="11">#REF!</definedName>
    <definedName name="w" localSheetId="11" hidden="false">{#N/A,#N/A,FALSE,"Aging Summary";#N/A,#N/A,FALSE,"Ratio Analysis";#N/A,#N/A,FALSE,"Test 120 Day Accts";#N/A,#N/A,FALSE,"Tickmarks"}</definedName>
    <definedName name="M.NAL" localSheetId="11">[22]INVERSION!#REF!</definedName>
    <definedName name="_IPP98" localSheetId="11">#REF!</definedName>
    <definedName name="FootnoteDrop3">#REF!</definedName>
    <definedName name="DICIEMBRE90" localSheetId="11">#REF!</definedName>
    <definedName name="Other">#N/A</definedName>
    <definedName name="_TE3">#REF!</definedName>
    <definedName name="Mexico_Wireless_Services___1994_2001">#N/A</definedName>
    <definedName name="TasaCambioPromedia">#REF!</definedName>
    <definedName name="Tariffs___0">#N/A</definedName>
    <definedName name="CostoMargina20pss_Const" localSheetId="11">#REF!</definedName>
    <definedName name="_Regression_Y" localSheetId="11" hidden="false">#REF!</definedName>
    <definedName name="dhg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CONSUMO_MES_CALCUL">[6]Ingresos_MNR!$A$82</definedName>
    <definedName name="__123Graph_BTOTMKT___1">#N/A</definedName>
    <definedName name="CUADRO" localSheetId="11">#REF!</definedName>
    <definedName name="Costa_Rica__Cellular_Subcsribers_by_standard__1994_2001___0">#N/A</definedName>
    <definedName name="PPP" localSheetId="11">#REF!</definedName>
    <definedName name="PUBMKT">#REF!</definedName>
    <definedName name="sus" localSheetId="11">#REF!</definedName>
    <definedName name="CGENR21" localSheetId="11">#REF!</definedName>
    <definedName name="Telephone_Sets__000___1">#N/A</definedName>
    <definedName name="MacroIPP" localSheetId="11">#REF!</definedName>
    <definedName name="PVTPRICE___0">#REF!</definedName>
    <definedName name="Cargos_uso_red" localSheetId="11">#REF!</definedName>
    <definedName name="RCRT_ISAGEN_Amoyá" localSheetId="5">#REF!</definedName>
    <definedName name="DICIEMBRE92" localSheetId="11">#REF!</definedName>
    <definedName name="PPP">#REF!</definedName>
    <definedName name="PcontratosCFIKte">'[13]Supuestos Generación - Precios'!$B$292:$M$292</definedName>
    <definedName name="_ALF3">#REF!</definedName>
    <definedName name="_xlnm.Database" localSheetId="11">#REF!</definedName>
    <definedName name="Pago_SIC_Isagen_Gen" localSheetId="5">#REF!</definedName>
    <definedName name="_fc" localSheetId="11">#REF!</definedName>
    <definedName name="FootnoteDrop20" localSheetId="11">#REF!</definedName>
    <definedName name="ESTADOR1" localSheetId="5">#REF!</definedName>
    <definedName name="AOM_Variable" localSheetId="11">#REF!</definedName>
    <definedName name="MES" localSheetId="11">#REF!</definedName>
    <definedName name="q" localSheetId="11" hidden="false">{#N/A,#N/A,FALSE,"Aging Summary";#N/A,#N/A,FALSE,"Ratio Analysis";#N/A,#N/A,FALSE,"Test 120 Day Accts";#N/A,#N/A,FALSE,"Tickmarks"}</definedName>
    <definedName name="NEW">#REF!</definedName>
    <definedName name="ContratCFI_Niv3">#REF!</definedName>
    <definedName name="_COP21">#REF!</definedName>
    <definedName name="Área_de_Investigaciones_Económicas_de_EEPPM.">#REF!,#REF!</definedName>
    <definedName name="TAR_CF_CALCUL" localSheetId="11">[6]Ingresos_MNR!#REF!</definedName>
    <definedName name="INSTALL___1">#N/A</definedName>
    <definedName name="anterior1" localSheetId="11">#REF!</definedName>
    <definedName name="OPSELC" localSheetId="11">#REF!</definedName>
    <definedName name="LETRA" localSheetId="11">#REF!</definedName>
    <definedName name="__123Graph_FPUBMKT___0">#REF!</definedName>
    <definedName name="jgd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HTML_Control" localSheetId="5" hidden="false">{"'AVAL. GASOD.'!$A$1998:$G$2028"}</definedName>
    <definedName name="FactorIPC">#REF!</definedName>
    <definedName name="__123Graph_C">#REF!</definedName>
    <definedName name="PUNTO" localSheetId="11">#REF!</definedName>
    <definedName name="FootnoteDrop36" localSheetId="11">#REF!</definedName>
    <definedName name="PVTMKT___1">#N/A</definedName>
    <definedName name="_Table1_In1" localSheetId="11" hidden="false">[3]PESOSTMT!#REF!</definedName>
    <definedName name="PYG" localSheetId="11">#REF!</definedName>
    <definedName name="_Table2_Out" hidden="false">[5]modelo!#REF!</definedName>
    <definedName name="POTE">#REF!</definedName>
    <definedName name="_COP982" localSheetId="11">#REF!</definedName>
    <definedName name="indic15">[24]Atenc_Solicit!$I$33</definedName>
    <definedName name="Main_Lines__per_100_pop.___1">#N/A</definedName>
    <definedName name="CVCo" localSheetId="11">#REF!</definedName>
    <definedName name="HTML_LineBefore" hidden="false">TRUE</definedName>
    <definedName name="RE_FdeF_DOLAR" localSheetId="5">#REF!</definedName>
    <definedName name="PSCREEN" localSheetId="11">#REF!</definedName>
    <definedName name="TRM">#REF!</definedName>
    <definedName name="MRFP2" localSheetId="11">#REF!</definedName>
    <definedName name="Equity_Ticker" localSheetId="11">#REF!</definedName>
    <definedName name="MESP" localSheetId="11">#REF!</definedName>
    <definedName name="ComprasGas" localSheetId="5">#REF!</definedName>
    <definedName name="NSE" localSheetId="5">#REF!</definedName>
    <definedName name="Restricciones" localSheetId="11">#REF!</definedName>
    <definedName name="Salv">#REF!</definedName>
    <definedName name="ContratTotalISAGEN">#REF!</definedName>
    <definedName name="MOAP2" localSheetId="5">#REF!</definedName>
    <definedName name="FactorInflaExt">#REF!</definedName>
    <definedName name="CAJA" localSheetId="11">#REF!</definedName>
    <definedName name="_ALF4">#REF!</definedName>
    <definedName name="Print_Titles_MI" localSheetId="11">#REF!,#REF!</definedName>
    <definedName name="Exhibit_14_2">#REF!</definedName>
    <definedName name="Telex_Lines___000___1">#N/A</definedName>
    <definedName name="Telephone_Sets__000___0">#N/A</definedName>
    <definedName name="NEMP" localSheetId="11">#REF!</definedName>
    <definedName name="CVPo" localSheetId="5">#REF!</definedName>
    <definedName name="VersiónExtraer">#REF!</definedName>
    <definedName name="FootnoteDrop21" localSheetId="11">#REF!</definedName>
    <definedName name="Macro1" localSheetId="5">#REF!</definedName>
    <definedName name="RFP" localSheetId="11">#REF!</definedName>
    <definedName name="_UGE3" localSheetId="11">#REF!</definedName>
    <definedName name="FootnoteDrop1" localSheetId="11">#REF!</definedName>
    <definedName name="_UGE5" localSheetId="11">#REF!</definedName>
    <definedName name="fcarga1">#REF!</definedName>
    <definedName name="ausucua" localSheetId="11" hidden="false">{#N/A,#N/A,FALSE,"TOC";#N/A,#N/A,FALSE,"ASS";#N/A,#N/A,FALSE,"CF";#N/A,#N/A,FALSE,"FUEL&amp;MTC"}</definedName>
    <definedName name="Xn" localSheetId="5">#REF!</definedName>
    <definedName name="_COP973">#REF!</definedName>
    <definedName name="_uge2">#REF!</definedName>
    <definedName name="Contenido">#REF!</definedName>
    <definedName name="ALFA497C">#REF!</definedName>
    <definedName name="_Order2" hidden="false">255</definedName>
    <definedName name="ALFA197C">#REF!</definedName>
    <definedName name="Mexico__Cellular_and_PCS_subscribers_by_standard__1994_2001___1">#N/A</definedName>
    <definedName name="ghd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_Order1" hidden="false">0</definedName>
    <definedName name="COSTO21">#REF!</definedName>
    <definedName name="Main_Lines__per_100_pop.">#N/A</definedName>
    <definedName name="TASATOT" localSheetId="11">#REF!</definedName>
    <definedName name="Xn" localSheetId="11">#REF!</definedName>
    <definedName name="TARIFA_DE_CONEXION" localSheetId="11">[6]Ingresos_MNR!#REF!</definedName>
    <definedName name="CMON992" localSheetId="11">#REF!</definedName>
    <definedName name="KTS_extensions__000">#N/A</definedName>
    <definedName name="MOBMKT___0">#N/A</definedName>
    <definedName name="ede">[19]Económicos!$C$7</definedName>
    <definedName name="Caudal">#REF!</definedName>
    <definedName name="factor96_99" localSheetId="11">#REF!</definedName>
    <definedName name="MREPO" localSheetId="11">#REF!</definedName>
    <definedName name="FootnoteDrop42">#REF!</definedName>
    <definedName name="COSTO24" localSheetId="11">#REF!</definedName>
    <definedName name="GRAFICAS">#REF!</definedName>
    <definedName name="PRVMKT902000___1">#N/A</definedName>
    <definedName name="BN4U0" localSheetId="11">'[12]RENTABILIDAD (2)'!#REF!</definedName>
    <definedName name="MERP2" localSheetId="11">#REF!</definedName>
    <definedName name="T1RES" localSheetId="11">#REF!</definedName>
    <definedName name="_TE3" localSheetId="11">#REF!</definedName>
    <definedName name="OATITLE" localSheetId="5">#REF!</definedName>
    <definedName name="Base_datos_IM">#REF!</definedName>
    <definedName name="RICNDo">#REF!</definedName>
    <definedName name="__123Graph_AENER12" hidden="false">[1]PLANTILLA!#REF!</definedName>
    <definedName name="CRT_ISAGEN">'[13]Supuestos Generación - Precios'!$B$371:$M$371</definedName>
    <definedName name="TARIFAS_TTE" localSheetId="11">#REF!</definedName>
    <definedName name="CAJA">#REF!</definedName>
    <definedName name="AAA">#N/A</definedName>
    <definedName name="WKSHT___1">#N/A</definedName>
    <definedName name="QTY_B_S">#REF!</definedName>
    <definedName name="Salv" localSheetId="11">#REF!</definedName>
    <definedName name="_RUT2" localSheetId="5">#REF!</definedName>
    <definedName name="OAP">#REF!</definedName>
    <definedName name="_TE5">#REF!</definedName>
    <definedName name="_Table1_In1" hidden="false">[3]PESOSTMT!#REF!</definedName>
    <definedName name="_COP98">#REF!</definedName>
    <definedName name="A60W60" localSheetId="11">#REF!</definedName>
    <definedName name="mario" localSheetId="5" hidden="false">{#N/A,#N/A,FALSE,"Aging Summary";#N/A,#N/A,FALSE,"Ratio Analysis";#N/A,#N/A,FALSE,"Test 120 Day Accts";#N/A,#N/A,FALSE,"Tickmarks"}</definedName>
    <definedName name="ESTADOR2">#REF!</definedName>
    <definedName name="SaldosContables85" localSheetId="11">#REF!</definedName>
    <definedName name="hej">#N/A</definedName>
    <definedName name="Precio_Estación" localSheetId="11">#REF!</definedName>
    <definedName name="TABLA1" localSheetId="11">#REF!</definedName>
    <definedName name="PVTPIC___0" localSheetId="11">#REF!</definedName>
    <definedName name="mario" hidden="false">{#N/A,#N/A,FALSE,"Aging Summary";#N/A,#N/A,FALSE,"Ratio Analysis";#N/A,#N/A,FALSE,"Test 120 Day Accts";#N/A,#N/A,FALSE,"Tickmarks"}</definedName>
    <definedName name="COM">#REF!</definedName>
    <definedName name="TOTMKT___0">#REF!</definedName>
    <definedName name="factor2">#REF!</definedName>
    <definedName name="Fiber_Optic__000_route_km">#N/A</definedName>
    <definedName name="LstTier___0">#N/A</definedName>
    <definedName name="OUTPUTPR" localSheetId="5">#REF!</definedName>
    <definedName name="ImpProtAmb" localSheetId="11">#REF!</definedName>
    <definedName name="FootnoteDrop15">#REF!</definedName>
    <definedName name="FootnoteDrop35" localSheetId="11">#REF!</definedName>
    <definedName name="Impr_EE" localSheetId="11">#REF!</definedName>
    <definedName name="ContratCFI_Niv1" localSheetId="11">#REF!</definedName>
    <definedName name="TASA" localSheetId="5">#REF!</definedName>
    <definedName name="T1RES2" localSheetId="11">#REF!</definedName>
    <definedName name="TARIFA_CARGO_FIJO">[6]Ingresos_MNR!#REF!</definedName>
    <definedName name="FactorTasaCambio" localSheetId="11">#REF!</definedName>
    <definedName name="A_FdeF" localSheetId="5">#REF!</definedName>
    <definedName name="OATITLE" localSheetId="11">#REF!</definedName>
    <definedName name="Public_Telecom_Access_Network">#N/A</definedName>
    <definedName name="respar1">#REF!</definedName>
    <definedName name="CostoTransporteGas" localSheetId="5">#REF!</definedName>
    <definedName name="FootnoteDrop14" localSheetId="11">#REF!</definedName>
    <definedName name="error___1">#N/A</definedName>
    <definedName name="__123Graph_CPVTMKT___1">#N/A</definedName>
    <definedName name="FootnoteDrop40" localSheetId="11">#REF!</definedName>
    <definedName name="dddddd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gf\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CGENR99" localSheetId="11">#REF!</definedName>
    <definedName name="_Regression_Out" localSheetId="5" hidden="false">#REF!</definedName>
    <definedName name="_Key1" localSheetId="5" hidden="false">#REF!</definedName>
    <definedName name="GRAFICO">#REF!</definedName>
    <definedName name="dhg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GV">#N/A</definedName>
    <definedName name="EscDemanda" localSheetId="5">#REF!</definedName>
    <definedName name="A_PYG" localSheetId="11">#REF!</definedName>
    <definedName name="DemEnergia">#REF!</definedName>
    <definedName name="IPR">#REF!</definedName>
    <definedName name="FEC" localSheetId="5">#REF!</definedName>
    <definedName name="COLTEJER_S.A._ITA" localSheetId="11">#REF!</definedName>
    <definedName name="ChangeRange2" hidden="false">#N/A</definedName>
    <definedName name="FootnoteDrop49" localSheetId="11">#REF!</definedName>
    <definedName name="ausucua" hidden="false">{#N/A,#N/A,FALSE,"TOC";#N/A,#N/A,FALSE,"ASS";#N/A,#N/A,FALSE,"CF";#N/A,#N/A,FALSE,"FUEL&amp;MTC"}</definedName>
    <definedName name="Trunk_Switching_Capacity__000___0">#N/A</definedName>
    <definedName name="EscDemanda" localSheetId="11">#REF!</definedName>
    <definedName name="Telex_Subscribers__000___0">#N/A</definedName>
    <definedName name="otrosnoo" localSheetId="11">[6]OTROSNOO!$A$17:$K$54,[6]OTROSNOO!#REF!,[6]OTROSNOO!#REF!</definedName>
    <definedName name="hjg" localSheetId="11" hidden="false">{#N/A,#N/A,FALSE,"TOC";#N/A,#N/A,FALSE,"ASS";#N/A,#N/A,FALSE,"CF";#N/A,#N/A,FALSE,"FUEL&amp;MTC"}</definedName>
    <definedName name="PSDN_Ports__000___1">#N/A</definedName>
    <definedName name="Korea__Basic_Services_Tariffs__1995___0">#REF!</definedName>
    <definedName name="EPS_Qtr_Date">#REF!</definedName>
    <definedName name="DICIEMBRE95" localSheetId="11">#REF!</definedName>
    <definedName name="TABLOPER" localSheetId="11">#REF!</definedName>
    <definedName name="_GTR24" localSheetId="11">#REF!</definedName>
    <definedName name="_UGE6" localSheetId="11">#REF!</definedName>
    <definedName name="WKSHT" localSheetId="11">#REF!</definedName>
    <definedName name="SEN96IB_Page" localSheetId="11">#REF!</definedName>
    <definedName name="_xlnm.Recorder" localSheetId="5">#REF!</definedName>
    <definedName name="ticker" localSheetId="5">#REF!</definedName>
    <definedName name="gdg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FootnoteDrop19" localSheetId="11">#REF!</definedName>
    <definedName name="REPOCALC" localSheetId="5">#REF!</definedName>
    <definedName name="ENFICCAnualISAGEN">'[18]Supuestos Generación - Precios'!$B$468:$M$468</definedName>
    <definedName name="_Ley99" localSheetId="5">#REF!</definedName>
    <definedName name="MESP2" localSheetId="11">#REF!</definedName>
    <definedName name="PcontratosMEMKte">'[13]Supuestos Generación - Precios'!$B$272:$M$272</definedName>
    <definedName name="DSWshare2">#N/A</definedName>
    <definedName name="Tariffs">#N/A</definedName>
    <definedName name="PUBPIC___0">#REF!</definedName>
    <definedName name="INGRESOS_C.F">[6]Ingresos_MNR!#REF!</definedName>
    <definedName name="PVTMKT" localSheetId="11">#REF!</definedName>
    <definedName name="Tabla2" localSheetId="5">#REF!</definedName>
    <definedName name="Lang" localSheetId="11">#REF!</definedName>
    <definedName name="PBX_KTS_Trunks__000___1">#N/A</definedName>
    <definedName name="nicy05">'[30]Model &amp; IS-Historic'!$BB$66</definedName>
    <definedName name="EPM_MNR_MES">[20]factores!$B$84</definedName>
    <definedName name="fcarga2" localSheetId="11">#REF!</definedName>
    <definedName name="q" hidden="false">{#N/A,#N/A,FALSE,"Aging Summary";#N/A,#N/A,FALSE,"Ratio Analysis";#N/A,#N/A,FALSE,"Test 120 Day Accts";#N/A,#N/A,FALSE,"Tickmarks"}</definedName>
    <definedName name="MW_Channels__000___1">#N/A</definedName>
    <definedName name="ESCM">#REF!</definedName>
    <definedName name="PUBPRICE___0">#REF!</definedName>
    <definedName name="HTML2_11" hidden="false">1</definedName>
    <definedName name="Main_lines_Sector">#N/A</definedName>
    <definedName name="factor2" localSheetId="5">#REF!</definedName>
    <definedName name="COLTEJER_S.A._ITA">#REF!</definedName>
    <definedName name="Costa_Rica__Cellular_Subcsribers_by_standard__1994_2001___1">#N/A</definedName>
    <definedName name="Mexico_Wireless_Equipment_Markets___1994_2001___0">#N/A</definedName>
    <definedName name="PRIVATE" localSheetId="11">#REF!</definedName>
    <definedName name="ListaMeses" localSheetId="11">#REF!</definedName>
    <definedName name="Generales">[6]Ingresos_MNR!#REF!</definedName>
    <definedName name="VentasBolsa">'[13]Modelo Proyecciones'!$B$32:$M$32</definedName>
    <definedName name="Mexico__Estimated_Vendor_Market_Share_by_Subscriber__YE_1997___0">#N/A</definedName>
    <definedName name="CostosST" localSheetId="5">#REF!</definedName>
    <definedName name="__123Graph_EPUBMKT___0">#REF!</definedName>
    <definedName name="fdaa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ICSEAño5">[6]Ingresos_MNR!$I$34</definedName>
    <definedName name="POTE" localSheetId="5">#REF!</definedName>
    <definedName name="PPC">#REF!</definedName>
    <definedName name="RE_FdeF" localSheetId="11">#REF!</definedName>
    <definedName name="RESSAL">#REF!</definedName>
    <definedName name="CGENR223" localSheetId="11">#REF!</definedName>
    <definedName name="FootnoteDrop25">#REF!</definedName>
    <definedName name="PSCREEN">#REF!</definedName>
    <definedName name="FootnoteDrop27">#REF!</definedName>
    <definedName name="PREST" localSheetId="5">#REF!</definedName>
    <definedName name="AñoExtraer">#REF!</definedName>
    <definedName name="MRFP">#REF!</definedName>
    <definedName name="RUTINA4" localSheetId="11">#REF!</definedName>
    <definedName name="SIT">#REF!</definedName>
    <definedName name="DATC">#REF!</definedName>
    <definedName name="area">#REF!</definedName>
    <definedName name="PSDN_Subscribers__000___0">#N/A</definedName>
    <definedName name="_DAT2">#REF!</definedName>
    <definedName name="BN4P0">'[12]RENTABILIDAD (2)'!#REF!</definedName>
    <definedName name="C____0" localSheetId="11">#REF!</definedName>
    <definedName name="Taiwan__Mobile_Network_Market__1993_2000___1">#N/A</definedName>
    <definedName name="solver_num" hidden="false">0</definedName>
    <definedName name="_GTR98" localSheetId="11">#REF!</definedName>
    <definedName name="fdaa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Capacidad_Instalada_Sistema">#REF!</definedName>
    <definedName name="LETRAS" localSheetId="5">#REF!</definedName>
    <definedName name="Inflacion_Externa" localSheetId="5">#REF!</definedName>
    <definedName name="INDIC99">[25]Ejec_Invers!$I$36</definedName>
    <definedName name="Agentes" localSheetId="11">#REF!</definedName>
    <definedName name="Área_de_Investigaciones_Económicas_de_EEPPM." localSheetId="11">#REF!,#REF!</definedName>
    <definedName name="MacroIPP" localSheetId="5">#REF!</definedName>
    <definedName name="__123Graph_C" localSheetId="11">#REF!</definedName>
    <definedName name="CUADRO">#REF!</definedName>
    <definedName name="PERFORMBAL">#REF!</definedName>
    <definedName name="FootnoteDrop20">#REF!</definedName>
    <definedName name="erpc" localSheetId="11">#REF!</definedName>
    <definedName name="ESPC" localSheetId="11">#REF!</definedName>
    <definedName name="HTML2_1" hidden="false">"[histret.xls]Sheet1!$A$1:$G$85"</definedName>
    <definedName name="Codigo">[16]cobertura16!$A:$A</definedName>
    <definedName name="Dep_ActDif" localSheetId="11">#REF!</definedName>
    <definedName name="factor96_99">#REF!</definedName>
    <definedName name="Transmission_Circuits__000">#N/A</definedName>
    <definedName name="ContratMEM" localSheetId="11">#REF!</definedName>
    <definedName name="fdasfd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_GTR20">#REF!</definedName>
    <definedName name="FootnoteDrop22" localSheetId="11">#REF!</definedName>
    <definedName name="T.C." localSheetId="11">[22]INVERSION!#REF!</definedName>
    <definedName name="L___0">#REF!</definedName>
    <definedName name="_IPP9798">#REF!</definedName>
    <definedName name="COSTO97" localSheetId="11">#REF!</definedName>
    <definedName name="Porc_Industrial_CF">'[6]Reportes '!$O$13</definedName>
    <definedName name="FootnoteDrop4" localSheetId="11">#REF!</definedName>
    <definedName name="FootnoteDrop28">#REF!</definedName>
    <definedName name="CMON994" localSheetId="11">#REF!</definedName>
    <definedName name="TSEPM" localSheetId="11">#REF!</definedName>
    <definedName name="HTML2_6" hidden="false">1</definedName>
    <definedName name="ddd" localSheetId="11" hidden="false">{#N/A,#N/A,FALSE,"TOC";#N/A,#N/A,FALSE,"ASS";#N/A,#N/A,FALSE,"CF";#N/A,#N/A,FALSE,"FUEL&amp;MTC"}</definedName>
    <definedName name="__123Graph_APUBMKT">#N/A</definedName>
    <definedName name="_PPM97">#REF!</definedName>
    <definedName name="HTML_LastUpdate" hidden="false">"16/02/00"</definedName>
    <definedName name="Generacion_propia_esperada" localSheetId="5">#REF!</definedName>
    <definedName name="PPROV">#REF!</definedName>
    <definedName name="DemPotencia" localSheetId="5">#REF!</definedName>
    <definedName name="PRICE___0">#N/A</definedName>
    <definedName name="PRICE" localSheetId="11">#REF!</definedName>
    <definedName name="NOPRO" localSheetId="11">#REF!</definedName>
    <definedName name="AMORTIZACIONES">[6]OTROSNOO!$A$55:$K$69</definedName>
    <definedName name="ressecp2">#REF!</definedName>
    <definedName name="_Table2_Out" localSheetId="5" hidden="false">[5]modelo!#REF!</definedName>
    <definedName name="FootnoteDrop23" localSheetId="11">#REF!</definedName>
    <definedName name="_ALF3" localSheetId="11">#REF!</definedName>
    <definedName name="INVER">#REF!</definedName>
    <definedName name="CGENR98" localSheetId="11">#REF!</definedName>
    <definedName name="Z_D8172586_8560_4956_B283_D293252BD61F_.wvu.PrintTitles" hidden="false">Betas!$5:$6</definedName>
    <definedName name="Formula_New" localSheetId="11">#REF!</definedName>
    <definedName name="CVPo" localSheetId="11">#REF!</definedName>
    <definedName name="IPR" localSheetId="11">#REF!</definedName>
    <definedName name="lll">#REF!</definedName>
    <definedName name="Ventas_contratos_GenPropia">#REF!</definedName>
    <definedName name="CFPS_Lst_Yr" localSheetId="11">#REF!</definedName>
    <definedName name="indic4">'[24]REC PRIV'!$J$33</definedName>
    <definedName name="India__Average_Revenue_Per_DEL_Month__US">#N/A</definedName>
    <definedName name="_TE2">#REF!</definedName>
    <definedName name="FootnoteDrop26">#REF!</definedName>
    <definedName name="Intelligent_Coin_Card">#N/A</definedName>
    <definedName name="Switching_Capacity__000___1">#N/A</definedName>
    <definedName name="INSTALL___0">#REF!</definedName>
    <definedName name="cashq301">#REF!</definedName>
    <definedName name="PUBLIC" localSheetId="11">#REF!</definedName>
    <definedName name="USUARIOS">[6]Ingresos_MNR!$A$6</definedName>
    <definedName name="Devaluacion" localSheetId="5">#REF!</definedName>
    <definedName name="HTML_PathFile" hidden="false">"D:\Avaluo 47.htm"</definedName>
    <definedName name="__123Graph_EPVTMKT___1">#N/A</definedName>
    <definedName name="IASICo" localSheetId="5">#REF!</definedName>
    <definedName name="Public_Telecom_Access_Network___1">#N/A</definedName>
    <definedName name="ContratTotalISAGEN" localSheetId="5">#REF!</definedName>
    <definedName name="FootnoteDrop8">#REF!</definedName>
    <definedName name="PLANFIN">#REF!</definedName>
    <definedName name="FootnoteDrop32" localSheetId="11">#REF!</definedName>
    <definedName name="_OPC1" localSheetId="5">#REF!</definedName>
    <definedName name="da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MFEC2">#REF!</definedName>
    <definedName name="ComprasContratos">#REF!</definedName>
    <definedName name="RE_PyG_DOLAR">#REF!</definedName>
    <definedName name="EscenarioSumGas">#REF!</definedName>
    <definedName name="Analyst_Email" localSheetId="11">#REF!</definedName>
    <definedName name="SUMMARY">#REF!</definedName>
    <definedName name="ICSEAño9">[6]Ingresos_MNR!$M$34</definedName>
    <definedName name="A_PYG">#REF!</definedName>
    <definedName name="CostUtilAgua" localSheetId="11">#REF!</definedName>
    <definedName name="_fc">#REF!</definedName>
    <definedName name="PVTPRICE___1">#N/A</definedName>
    <definedName name="_IPP2002">#REF!</definedName>
    <definedName name="fd" localSheetId="5" hidden="false">{#N/A,#N/A,FALSE,"TOC";#N/A,#N/A,FALSE,"ASS";#N/A,#N/A,FALSE,"CF";#N/A,#N/A,FALSE,"FUEL&amp;MTC"}</definedName>
    <definedName name="Data_Terminals__000">#N/A</definedName>
    <definedName name="__123Graph_CPVTMKT">#N/A</definedName>
    <definedName name="area2" localSheetId="11">#REF!,#REF!</definedName>
    <definedName name="FACTOR_REPARTICION_No._USUARIOS" localSheetId="11">[6]Ingresos_MNR!#REF!</definedName>
    <definedName name="India__Working_Main_Lines_and_Installed_Capacity_By_Circle___City__September_1994">#N/A</definedName>
    <definedName name="CMON983" localSheetId="11">#REF!</definedName>
    <definedName name="_COP203" localSheetId="11">#REF!</definedName>
    <definedName name="Pago_CRDs_Isagen_Gen">#REF!</definedName>
    <definedName name="CostoMarginalPromedio_Const">#REF!</definedName>
    <definedName name="ENTEL_Long_Distance_Tariffs___1">#N/A</definedName>
    <definedName name="aaaa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CGENR20" localSheetId="11">#REF!</definedName>
    <definedName name="daasa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_SGE6" localSheetId="11">#REF!</definedName>
    <definedName name="WKSHT___0">#N/A</definedName>
    <definedName name="Fiber_Optic__000_route_km___0">#N/A</definedName>
    <definedName name="x">'[36]Cto de Patrimonio y Capital'!$C$1</definedName>
    <definedName name="ContratCFI_Niv2" localSheetId="11">#REF!</definedName>
    <definedName name="_COP202">#REF!</definedName>
    <definedName name="gfgs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cashq201">#REF!</definedName>
    <definedName name="RE_BALANE_DOL" localSheetId="11">#REF!</definedName>
    <definedName name="CostUtilAgua">#REF!</definedName>
    <definedName name="InitYear">#REF!</definedName>
    <definedName name="Payphones__000___1">#N/A</definedName>
    <definedName name="NumeroAño" localSheetId="11">#REF!</definedName>
    <definedName name="FootnoteDrop16">#REF!</definedName>
    <definedName name="jg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Model_Name">#REF!</definedName>
    <definedName name="ippj97">#REF!</definedName>
    <definedName name="areatotal" localSheetId="11">#REF!</definedName>
    <definedName name="ContratoTransporte">'[13]Supuestos Combustibles'!#REF!</definedName>
    <definedName name="Capacidad_Instalada_Isagen" localSheetId="5">#REF!</definedName>
    <definedName name="OUTPUT">#REF!</definedName>
    <definedName name="ddd" localSheetId="5" hidden="false">{#N/A,#N/A,FALSE,"TOC";#N/A,#N/A,FALSE,"ASS";#N/A,#N/A,FALSE,"CF";#N/A,#N/A,FALSE,"FUEL&amp;MTC"}</definedName>
    <definedName name="NEMP">#REF!</definedName>
    <definedName name="OUTPUTE" localSheetId="5">#REF!</definedName>
    <definedName name="TOTAL">#N/A</definedName>
    <definedName name="DATC" localSheetId="5">#REF!</definedName>
    <definedName name="__123Graph_XPVTMKT___0" localSheetId="11">#REF!</definedName>
    <definedName name="OUTPUTE" localSheetId="11">#REF!</definedName>
    <definedName name="MESP2">#REF!</definedName>
    <definedName name="IQ_CY" hidden="false">10000</definedName>
    <definedName name="a" localSheetId="11">#REF!</definedName>
    <definedName name="GRAPH">#REF!</definedName>
    <definedName name="Bajo" localSheetId="11">#REF!</definedName>
    <definedName name="IQ_WEEK" hidden="false">50000</definedName>
    <definedName name="__123Graph_AENER12" localSheetId="5" hidden="false">[1]PLANTILLA!#REF!</definedName>
    <definedName name="Extracción_IM" localSheetId="11">#REF!</definedName>
    <definedName name="REPOPRO" localSheetId="11">#REF!</definedName>
    <definedName name="DATOS1" localSheetId="11">#REF!</definedName>
    <definedName name="MOAP2">#REF!</definedName>
    <definedName name="Exhibit_14_5">[23]tariffs!$G$2:$K$48</definedName>
    <definedName name="DBASE2">#N/A</definedName>
    <definedName name="IPP" localSheetId="11">#REF!</definedName>
    <definedName name="REPSUB">#REF!</definedName>
    <definedName name="ara">'[9]REC PRIV'!$J$35</definedName>
    <definedName name="FootnoteDrop43" localSheetId="11">#REF!</definedName>
    <definedName name="_COP222">#REF!</definedName>
    <definedName name="HTML_OBDlg4" hidden="false">TRUE</definedName>
    <definedName name="ContratCFI_Niv3" localSheetId="5">#REF!</definedName>
    <definedName name="HTML_LineAfter" hidden="false">TRUE</definedName>
    <definedName name="wrn.Aging._.and._.Trend._.Analysis." hidden="false">{#N/A,#N/A,FALSE,"Aging Summary";#N/A,#N/A,FALSE,"Ratio Analysis";#N/A,#N/A,FALSE,"Test 120 Day Accts";#N/A,#N/A,FALSE,"Tickmarks"}</definedName>
    <definedName name="error">#N/A</definedName>
    <definedName name="Lista_Meses">#REF!</definedName>
    <definedName name="BN4U0.5">'[12]RENTABILIDAD (2)'!#REF!</definedName>
    <definedName name="_COP983">#REF!</definedName>
    <definedName name="PREST" localSheetId="11">#REF!</definedName>
    <definedName name="jg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_COP223" localSheetId="11">#REF!</definedName>
    <definedName name="INF">#REF!</definedName>
    <definedName name="Energia_a_comercializar" localSheetId="5">#REF!</definedName>
    <definedName name="DICIEMBRE94" localSheetId="11">#REF!</definedName>
    <definedName name="FootnoteDrop8" localSheetId="11">#REF!</definedName>
    <definedName name="CGENR22" localSheetId="11">#REF!</definedName>
    <definedName name="__123Graph_CPUBMKT___0">#REF!</definedName>
    <definedName name="fddda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az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QTY_I_S">#REF!</definedName>
    <definedName name="Country_X_Local_Switch_Capacity__000___1">#N/A</definedName>
    <definedName name="ENER" localSheetId="5">#REF!</definedName>
    <definedName name="Energia_a_comercializar">#REF!</definedName>
    <definedName name="HTML_Name" hidden="false">"Libardo Rafael Alvarez Ferrer"</definedName>
    <definedName name="Print_Area_MI">#REF!</definedName>
    <definedName name="MACRO___0" localSheetId="11">#REF!</definedName>
    <definedName name="Copper___1">#N/A</definedName>
    <definedName name="VtasComprasForzadas">#REF!</definedName>
    <definedName name="Taiwan___Mobile_Communications_Services_Market__1993_2000___0">#REF!</definedName>
    <definedName name="MOBMKT___1">#N/A</definedName>
    <definedName name="PER" localSheetId="11">#REF!</definedName>
    <definedName name="pp">'[32]Recaudo of-privado23'!$I$33</definedName>
    <definedName name="_RES074">#REF!</definedName>
    <definedName name="IQ_NTM" hidden="false">6000</definedName>
    <definedName name="ContratCFI_Niv1">#REF!</definedName>
    <definedName name="FactorIPC" localSheetId="11">#REF!</definedName>
    <definedName name="ad" hidden="false">{#N/A,#N/A,FALSE,"TOC";#N/A,#N/A,FALSE,"ASS";#N/A,#N/A,FALSE,"CF";#N/A,#N/A,FALSE,"FUEL&amp;MTC"}</definedName>
    <definedName name="TasaDeCambio" localSheetId="5">'[13]Supuestos Combustibles'!#REF!</definedName>
    <definedName name="RE_PYG" localSheetId="11">#REF!</definedName>
    <definedName name="_GTR23" localSheetId="11">#REF!</definedName>
    <definedName name="WKSHT">#REF!</definedName>
    <definedName name="Payphones__000">#N/A</definedName>
    <definedName name="EndYear">#REF!</definedName>
    <definedName name="_UGE3">#REF!</definedName>
    <definedName name="factor" localSheetId="11">#REF!</definedName>
    <definedName name="DSWshare2___0" localSheetId="11">#REF!</definedName>
    <definedName name="TABLAOPER36">#REF!</definedName>
    <definedName name="Print_Area">'[10]tare90-99'!$A$1:$K$51</definedName>
    <definedName name="Inv_OC" localSheetId="11">#REF!</definedName>
    <definedName name="PERFORMINC" localSheetId="11">#REF!</definedName>
    <definedName name="Leased_Data_Lines__000___1">#N/A</definedName>
    <definedName name="EscenarioSumGas" localSheetId="11">#REF!</definedName>
    <definedName name="TRM" localSheetId="11">#REF!</definedName>
    <definedName name="DAT">#REF!</definedName>
    <definedName name="INFLACION">[6]Ingresos_MNR!$A$27</definedName>
    <definedName name="ALFA297C">#REF!</definedName>
    <definedName name="URIOS_NUEV_MES_CALC">[6]Ingresos_MNR!#REF!</definedName>
    <definedName name="_Fill" hidden="false">#REF!</definedName>
    <definedName name="RE_BALANCE">#REF!</definedName>
    <definedName name="CostoMargina20pss_Const">#REF!</definedName>
    <definedName name="LETRA" localSheetId="5">#REF!</definedName>
    <definedName name="__123Graph_FPUBMKT___1">#N/A</definedName>
    <definedName name="_SGE3">#REF!</definedName>
    <definedName name="FootnoteDrop46" localSheetId="11">#REF!</definedName>
    <definedName name="ALFA497C" localSheetId="11">#REF!</definedName>
    <definedName name="CMON983">#REF!</definedName>
    <definedName name="CantidadDeficienteGas" localSheetId="11">#REF!</definedName>
    <definedName name="IQ_LATESTK" hidden="false">1000</definedName>
    <definedName name="Medio_Bajo" localSheetId="11">#REF!</definedName>
    <definedName name="Anexo1" localSheetId="5">#REF!</definedName>
    <definedName name="VSATS___0">#N/A</definedName>
    <definedName name="FootnoteDrop5">#REF!</definedName>
    <definedName name="Z_D8172586_8560_4956_B283_D293252BD61F_.wvu.Rows" localSheetId="5" hidden="false">Impuestos!#REF!,Impuestos!#REF!</definedName>
    <definedName name="edd" localSheetId="5" hidden="false">{#N/A,#N/A,FALSE,"TOC";#N/A,#N/A,FALSE,"ASS";#N/A,#N/A,FALSE,"CF";#N/A,#N/A,FALSE,"FUEL&amp;MTC"}</definedName>
    <definedName name="_Regression_X" localSheetId="5" hidden="false">#REF!</definedName>
    <definedName name="_RES074" localSheetId="11">#REF!</definedName>
    <definedName name="CMON21" localSheetId="11">#REF!</definedName>
    <definedName name="aaaa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PREST">#REF!</definedName>
    <definedName name="CRT_SIN">'[13]Supuestos Generación - Precios'!$B$340:$M$340</definedName>
    <definedName name="TABLAOPER24">#REF!</definedName>
    <definedName name="EPS_Curr_Qtr">#REF!</definedName>
    <definedName name="__123Graph_APUBMKT___1">#N/A</definedName>
    <definedName name="MERP">#REF!</definedName>
    <definedName name="TOTPIC">#N/A</definedName>
    <definedName name="pubform" localSheetId="11">#REF!</definedName>
    <definedName name="Recorder">#REF!</definedName>
    <definedName name="_IPP2001" localSheetId="11">#REF!</definedName>
    <definedName name="Equity_Ticker">#REF!</definedName>
    <definedName name="_xlnm.Criteria" localSheetId="11">#REF!</definedName>
    <definedName name="SEN96IB_Page___0">#N/A</definedName>
    <definedName name="Formula_New">#REF!</definedName>
    <definedName name="EPM_MR_AÑO">#REF!</definedName>
    <definedName name="CGENR20">#REF!</definedName>
    <definedName name="fdsa" hidden="false">{#N/A,#N/A,FALSE,"TOC";#N/A,#N/A,FALSE,"ASS";#N/A,#N/A,FALSE,"CF";#N/A,#N/A,FALSE,"FUEL&amp;MTC"}</definedName>
    <definedName name="E_1">#N/A</definedName>
    <definedName name="RDn_1">#REF!</definedName>
    <definedName name="BCSMKT">#REF!</definedName>
    <definedName name="gdg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ALFA297C" localSheetId="11">#REF!</definedName>
    <definedName name="S309MONE">#REF!</definedName>
    <definedName name="FEspMun">#REF!</definedName>
    <definedName name="OMONE" localSheetId="5">#REF!</definedName>
    <definedName name="__123Graph_CPUBMKT">#N/A</definedName>
    <definedName name="As_of" localSheetId="11">#REF!</definedName>
    <definedName name="TSR" localSheetId="11">#REF!</definedName>
    <definedName name="A_FdeF" localSheetId="11">#REF!</definedName>
    <definedName name="FINAN" localSheetId="11">#REF!</definedName>
    <definedName name="_IPP2006">#REF!</definedName>
    <definedName name="TEMPO">#REF!</definedName>
    <definedName name="Intelligent_Coin_Card___1">#N/A</definedName>
    <definedName name="Mexico__Estimated_Vendor_Market_Share_by_Subscriber__YE_1996">#N/A</definedName>
    <definedName name="Z_D8172586_8560_4956_B283_D293252BD61F_.wvu.PrintArea" localSheetId="3" hidden="false">'Supuestos Proyeccion'!$A$1:$Q$349</definedName>
    <definedName name="Devaluacion" localSheetId="11">#REF!</definedName>
    <definedName name="Z_D8172586_8560_4956_B283_D293252BD61F_.wvu.PrintArea" localSheetId="12" hidden="false">Graphs!$A$160:$L$242</definedName>
    <definedName name="LETRAS" localSheetId="11">#REF!</definedName>
    <definedName name="TARIFA_SDL_MES" localSheetId="11">#REF!</definedName>
    <definedName name="Benchmark">[11]Singapore!$H$48</definedName>
    <definedName name="Leased_Line_Subscribers__000___0">#N/A</definedName>
    <definedName name="T___1">#N/A</definedName>
    <definedName name="Korea__Basic_Services_Tariffs__1995">#N/A</definedName>
    <definedName name="IQ_FH" hidden="false">100000</definedName>
    <definedName name="PrecioComprasContratos" localSheetId="5">#REF!</definedName>
    <definedName name="LETRAS">#REF!</definedName>
    <definedName name="RCRT_ISAGEN_Amoyá">#REF!</definedName>
    <definedName name="__123Graph_BPUBMKT">#N/A</definedName>
    <definedName name="PRESTTOT" localSheetId="11">#REF!</definedName>
    <definedName name="FootnoteDrop32">#REF!</definedName>
    <definedName name="fcarga4" localSheetId="11">#REF!</definedName>
    <definedName name="_COP993">#REF!</definedName>
    <definedName name="Fiber___1">#N/A</definedName>
    <definedName name="_Regression_Out" localSheetId="11" hidden="false">#REF!</definedName>
    <definedName name="_Key1" hidden="false">#REF!</definedName>
    <definedName name="EPS_Curr_Yr">#REF!</definedName>
    <definedName name="PORTA" localSheetId="11">#REF!</definedName>
    <definedName name="DBASE___0">#N/A</definedName>
    <definedName name="FootnoteDrop24">#REF!</definedName>
    <definedName name="yield_basis" localSheetId="11">#REF!</definedName>
    <definedName name="COSTO98">#REF!</definedName>
    <definedName name="ClickSpnr">#N/A</definedName>
    <definedName name="ListaVersiones">#REF!</definedName>
    <definedName name="COSTO97">#REF!</definedName>
    <definedName name="FootnoteDrop27" localSheetId="11">#REF!</definedName>
    <definedName name="PUBLIC">#REF!</definedName>
    <definedName name="PrintI_S">#REF!</definedName>
    <definedName name="WLSSPIC">#N/A</definedName>
    <definedName name="_64_Kbps">#N/A</definedName>
    <definedName name="__123Graph_CPUBMKT___0" localSheetId="11">#REF!</definedName>
    <definedName name="Mechanical___1">#N/A</definedName>
    <definedName name="CGENR222">#REF!</definedName>
    <definedName name="QTY_I_S" localSheetId="11">#REF!</definedName>
    <definedName name="HTML2_8" hidden="false">"2/3/98"</definedName>
    <definedName name="Devaluacion">#REF!</definedName>
    <definedName name="CONSUMO_TOTAL">[6]Ingresos_MNR!#REF!</definedName>
    <definedName name="FootnoteDrop44" localSheetId="11">#REF!</definedName>
    <definedName name="_COP983" localSheetId="11">#REF!</definedName>
    <definedName name="COuntry___0" localSheetId="11">#REF!</definedName>
    <definedName name="Leased_Line_Subscribers__000">#N/A</definedName>
    <definedName name="ICSEAño2">[6]Ingresos_MNR!$F$34</definedName>
    <definedName name="__123Graph_ATOTMKT">#N/A</definedName>
    <definedName name="INTERNATIONAL">#N/A</definedName>
    <definedName name="PPPMA97">#REF!</definedName>
    <definedName name="DEUDA">#REF!</definedName>
    <definedName name="_GTR24">#REF!</definedName>
    <definedName name="_Key2" hidden="false">#REF!</definedName>
    <definedName name="Inflacion_Interna">#REF!</definedName>
    <definedName name="CFPS_Lst_Yr">#REF!</definedName>
    <definedName name="A_BALANCE_DOLAR">#REF!</definedName>
    <definedName name="ju" hidden="false">{#N/A,#N/A,FALSE,"TOC";#N/A,#N/A,FALSE,"ASS";#N/A,#N/A,FALSE,"CF";#N/A,#N/A,FALSE,"FUEL&amp;MTC"}</definedName>
    <definedName name="SaldosContables85">#REF!</definedName>
    <definedName name="FactorIPP">#REF!</definedName>
    <definedName name="LETRA">#REF!</definedName>
    <definedName name="Mainline_Business_Aggregate">#N/A</definedName>
    <definedName name="CMON223">#REF!</definedName>
    <definedName name="Transmission_Circuits__000___0">#N/A</definedName>
    <definedName name="Cargos_uso_red">#REF!</definedName>
    <definedName name="Directorate_Main_lines___1">#N/A</definedName>
    <definedName name="FootnoteDrop50" localSheetId="11">#REF!</definedName>
    <definedName name="_IPP2002" localSheetId="11">#REF!</definedName>
    <definedName name="Gen">#REF!</definedName>
    <definedName name="FootnoteDrop3" localSheetId="11">#REF!</definedName>
    <definedName name="RFCRo" localSheetId="11">#REF!</definedName>
    <definedName name="BC___0">#N/A</definedName>
    <definedName name="CVPo">#REF!</definedName>
    <definedName name="ContratCFINivSTN" localSheetId="5">#REF!</definedName>
    <definedName name="_SGE1">#REF!</definedName>
    <definedName name="EPS_Growth_Rate">#REF!</definedName>
    <definedName name="IQ_FWD_FY1" hidden="false">1002</definedName>
    <definedName name="RUTIAN4" localSheetId="11">#REF!</definedName>
    <definedName name="FootnoteDrop31" localSheetId="11">#REF!</definedName>
    <definedName name="__123Graph_DPVTMKT___1">#N/A</definedName>
    <definedName name="_IPP2004">#REF!</definedName>
    <definedName name="OMONE">#REF!</definedName>
    <definedName name="TOTPIC___1">#N/A</definedName>
    <definedName name="ipcJ97">#REF!</definedName>
    <definedName name="_UGE6">#REF!</definedName>
    <definedName name="ContratCFI_Niv4">#REF!</definedName>
    <definedName name="ImpIndCom">#REF!</definedName>
    <definedName name="FootnoteDrop2" localSheetId="11">#REF!</definedName>
    <definedName name="IND" localSheetId="11">#REF!</definedName>
    <definedName name="INVER" localSheetId="11">#REF!</definedName>
    <definedName name="TSEPMSB" localSheetId="11">#REF!</definedName>
    <definedName name="Precio_Mes">#REF!</definedName>
    <definedName name="MFEC" localSheetId="5">#REF!</definedName>
    <definedName name="_Fill" localSheetId="11" hidden="false">#REF!</definedName>
    <definedName name="REPSUB" localSheetId="5">#REF!</definedName>
    <definedName name="PERFORMBAL" localSheetId="11">#REF!</definedName>
    <definedName name="PRICE">#REF!</definedName>
    <definedName name="PUBMKT902000___1">#N/A</definedName>
    <definedName name="CMON203" localSheetId="11">#REF!</definedName>
    <definedName name="GRADP">#REF!</definedName>
    <definedName name="COuntry___0">#REF!</definedName>
    <definedName name="ChangeRange" hidden="false">#N/A</definedName>
    <definedName name="TOTMKT___0" localSheetId="11">#REF!</definedName>
    <definedName name="_xlnm.Criteria">#REF!</definedName>
    <definedName name="A_BALANCE_DOLAR" localSheetId="5">#REF!</definedName>
    <definedName name="RICNDo" localSheetId="11">#REF!</definedName>
    <definedName name="ALFA197C" localSheetId="11">#REF!</definedName>
    <definedName name="_IPP99">#REF!</definedName>
    <definedName name="TasaCambioPromedia" localSheetId="5">#REF!</definedName>
    <definedName name="ICSE" localSheetId="11">#REF!</definedName>
    <definedName name="FactorInflaExt" localSheetId="11">#REF!</definedName>
    <definedName name="EscenarioSumGas" localSheetId="5">#REF!</definedName>
    <definedName name="Summary_Date" localSheetId="11">#REF!</definedName>
    <definedName name="C____1">#N/A</definedName>
    <definedName name="BN4P0.5">'[12]RENTABILIDAD (2)'!#REF!</definedName>
    <definedName name="_Key1" localSheetId="11" hidden="false">#REF!</definedName>
    <definedName name="_IPP2000" localSheetId="11">#REF!</definedName>
    <definedName name="FootnoteDrop25" localSheetId="11">#REF!</definedName>
    <definedName name="Population__000___0">#N/A</definedName>
    <definedName name="adrian" hidden="false">{#N/A,#N/A,FALSE,"TOC";#N/A,#N/A,FALSE,"ASS";#N/A,#N/A,FALSE,"CF";#N/A,#N/A,FALSE,"FUEL&amp;MTC"}</definedName>
    <definedName name="addd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Inflacion_Interna" localSheetId="5">#REF!</definedName>
    <definedName name="PSDN_Ports__000">#N/A</definedName>
    <definedName name="a">#REF!</definedName>
    <definedName name="RE_FdeF_DOLAR">#REF!</definedName>
    <definedName name="TOTPIC___0" localSheetId="11">#REF!</definedName>
    <definedName name="FootnoteDrop31">#REF!</definedName>
    <definedName name="enero" localSheetId="11">#REF!</definedName>
    <definedName name="WP" localSheetId="11">#REF!</definedName>
    <definedName name="_GTR98">#REF!</definedName>
    <definedName name="CND_CRD_SIC" localSheetId="5">#REF!</definedName>
    <definedName name="TABLAOPER48">#REF!</definedName>
    <definedName name="adrian" localSheetId="11" hidden="false">{#N/A,#N/A,FALSE,"TOC";#N/A,#N/A,FALSE,"ASS";#N/A,#N/A,FALSE,"CF";#N/A,#N/A,FALSE,"FUEL&amp;MTC"}</definedName>
    <definedName name="Korea__Basic_Services_Tariffs__1995___0" localSheetId="11">#REF!</definedName>
    <definedName name="PUBMKT902000___0">#N/A</definedName>
    <definedName name="NSE">#REF!</definedName>
    <definedName name="__123Graph_X" localSheetId="11">#REF!</definedName>
    <definedName name="__123Graph_XTOTMKT">#N/A</definedName>
    <definedName name="AportesOtros">'[8]Cargos MEM - Aportes'!#REF!</definedName>
    <definedName name="ESCENARIO">'[21]Supuestos y Cálculos'!$C$10</definedName>
    <definedName name="T1RES">#REF!</definedName>
    <definedName name="MOAP">#REF!</definedName>
    <definedName name="CMON994">#REF!</definedName>
    <definedName name="_DAT2" localSheetId="5">#REF!</definedName>
    <definedName name="FootnoteDrop9" localSheetId="11">#REF!</definedName>
    <definedName name="_RUT2" localSheetId="11">#REF!</definedName>
    <definedName name="IASICo">#REF!</definedName>
    <definedName name="ITER">#REF!</definedName>
    <definedName name="DRAFT_RCnum">#REF!</definedName>
    <definedName name="_SGE1" localSheetId="11">#REF!</definedName>
    <definedName name="CMON99">#REF!</definedName>
    <definedName name="alfa1" localSheetId="11">#REF!</definedName>
    <definedName name="Mexico_Wireless_Services___1994_2001___1">#N/A</definedName>
    <definedName name="FieldName">#N/A</definedName>
    <definedName name="PVTPIC">#N/A</definedName>
    <definedName name="Otros_no_Operativos" localSheetId="11">#REF!</definedName>
    <definedName name="MOAP2" localSheetId="11">#REF!</definedName>
    <definedName name="FootnoteDrop">#REF!</definedName>
    <definedName name="EPM" localSheetId="11">#REF!</definedName>
    <definedName name="HTML_Title" hidden="false">"Aval 1.999"</definedName>
    <definedName name="sus_sinmed">'[2]PRD II'!$I$34</definedName>
    <definedName name="dafda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Address_Code">#REF!</definedName>
    <definedName name="Leased_Data_Lines__000">#N/A</definedName>
    <definedName name="__123Graph_XPVTMKT___1">#N/A</definedName>
    <definedName name="PresentationNormalA4">#REF!</definedName>
    <definedName name="SymbolRng___0" localSheetId="11">#REF!</definedName>
    <definedName name="q" localSheetId="5" hidden="false">{#N/A,#N/A,FALSE,"Aging Summary";#N/A,#N/A,FALSE,"Ratio Analysis";#N/A,#N/A,FALSE,"Test 120 Day Accts";#N/A,#N/A,FALSE,"Tickmarks"}</definedName>
    <definedName name="d___1">#N/A</definedName>
    <definedName name="CMON98">#REF!</definedName>
    <definedName name="CantidadDeficienteGas" localSheetId="5">#REF!</definedName>
    <definedName name="ChngeRange" hidden="false">#N/A</definedName>
    <definedName name="RE_FdeF_DOLAR" localSheetId="11">#REF!</definedName>
    <definedName name="ESCM" localSheetId="5">#REF!</definedName>
    <definedName name="ety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DICIEMBRE91">#REF!</definedName>
    <definedName name="edd" localSheetId="11" hidden="false">{#N/A,#N/A,FALSE,"TOC";#N/A,#N/A,FALSE,"ASS";#N/A,#N/A,FALSE,"CF";#N/A,#N/A,FALSE,"FUEL&amp;MTC"}</definedName>
    <definedName name="CGENR222" localSheetId="11">#REF!</definedName>
    <definedName name="BERRY">#REF!</definedName>
    <definedName name="fddda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A_IMPRESIÓN_IM" localSheetId="11">#REF!</definedName>
    <definedName name="CMON213">#REF!</definedName>
    <definedName name="BCS" localSheetId="11">#REF!</definedName>
    <definedName name="DSWshare1___0" localSheetId="11">#REF!</definedName>
    <definedName name="Generaciones" localSheetId="11">#REF!</definedName>
    <definedName name="IASICo" localSheetId="11">#REF!</definedName>
    <definedName name="A_IMPRESIÓN_IM">#REF!</definedName>
    <definedName name="Exhibit_14_13">[23]Telecoms!$A$49:$O$106</definedName>
    <definedName name="Base_datos_IM" localSheetId="5">#REF!</definedName>
    <definedName name="PUBPRICE___1">#N/A</definedName>
    <definedName name="tes" localSheetId="11" hidden="false">[33]MEX95IB!#REF!</definedName>
    <definedName name="MODEL">#REF!</definedName>
    <definedName name="__EXH1" localSheetId="11">#REF!</definedName>
    <definedName name="CGENR992" localSheetId="11">#REF!</definedName>
    <definedName name="__123Graph_BPUBMKT___0">#REF!</definedName>
    <definedName name="Model_Name" localSheetId="11">#REF!</definedName>
    <definedName name="INDEX" localSheetId="5">#REF!</definedName>
    <definedName name="Criteria" localSheetId="11">#REF!</definedName>
    <definedName name="MOBMKT902000">#N/A</definedName>
    <definedName name="PROVISION_CALC" localSheetId="11">[6]Ingresos_MNR!#REF!</definedName>
    <definedName name="ITER" localSheetId="5">#REF!</definedName>
    <definedName name="CRTeqEne_Amoyá">'[18]Supuestos Generación - Precios'!#REF!</definedName>
    <definedName name="FootnoteDrop22">#REF!</definedName>
    <definedName name="sdfa" localSheetId="11" hidden="false">#REF!</definedName>
    <definedName name="Z_D8172586_8560_4956_B283_D293252BD61F_.wvu.Cols" localSheetId="13" hidden="false">Rating!$F:$I</definedName>
    <definedName name="__123Graph_XPVTMKT___0">#REF!</definedName>
    <definedName name="TSR">#REF!</definedName>
    <definedName name="Inflacion_Interna" localSheetId="11">#REF!</definedName>
    <definedName name="Inflación_Interna">#REF!</definedName>
    <definedName name="Costa_Rica__Cellular_Subcsribers_by_standard__1994_2001">#N/A</definedName>
    <definedName name="CGENR973" localSheetId="11">#REF!</definedName>
    <definedName name="AOM">#REF!</definedName>
    <definedName name="_Regression_Int" hidden="false">1</definedName>
    <definedName name="TEMPO" localSheetId="11">#REF!</definedName>
    <definedName name="ComisiónComercializaciónAmoyá">#REF!</definedName>
    <definedName name="test_model">#REF!</definedName>
    <definedName name="Trunk_Transmission_Network___0">#N/A</definedName>
    <definedName name="FootnoteDrop14">#REF!</definedName>
    <definedName name="TARIFA_CON_CALCUL">[6]Ingresos_MNR!#REF!</definedName>
    <definedName name="__123Graph_BTOTMKT___0">#REF!</definedName>
    <definedName name="CrecimAltoPotencia">#REF!</definedName>
    <definedName name="FootnoteDrop13" localSheetId="11">#REF!</definedName>
    <definedName name="ImpPredComp">#REF!</definedName>
    <definedName name="BN4U0">'[12]RENTABILIDAD (2)'!#REF!</definedName>
    <definedName name="VtasST" localSheetId="5">#REF!</definedName>
    <definedName name="Recorder" localSheetId="11">#REF!</definedName>
    <definedName name="CostoMarginalPromedio_Const" localSheetId="5">#REF!</definedName>
    <definedName name="ContratTotalISAGEN" localSheetId="11">#REF!</definedName>
    <definedName name="HTML1_5" hidden="false">"Ibbotson Data"</definedName>
    <definedName name="BB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n___1">#N/A</definedName>
    <definedName name="__123Graph_FPUBMKT">#N/A</definedName>
    <definedName name="SERVIC___0">#N/A</definedName>
    <definedName name="PPI" localSheetId="11">#REF!</definedName>
    <definedName name="BN4E0.5">'[12]RENTABILIDAD (2)'!#REF!</definedName>
    <definedName name="ING_SDL_EPM_MNR">[20]factores!$B$130</definedName>
    <definedName name="BCS___0">#N/A</definedName>
    <definedName name="BLOQUE">#REF!</definedName>
    <definedName name="RUTINA3" localSheetId="5">#REF!</definedName>
    <definedName name="PrintI_S" localSheetId="11">#REF!</definedName>
    <definedName name="IQ_LTM" hidden="false">2000</definedName>
    <definedName name="az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salescy01">'[30]Model &amp; IS-Historic'!$AF$41</definedName>
    <definedName name="A60W60">#REF!</definedName>
    <definedName name="HTMLCount" hidden="false">2</definedName>
    <definedName name="L___1">#N/A</definedName>
    <definedName name="PORTA" localSheetId="5">#REF!</definedName>
    <definedName name="M.NAL">[22]INVERSION!#REF!</definedName>
    <definedName name="INGRESOS_CONEXION">[6]Ingresos_MNR!#REF!</definedName>
    <definedName name="Wireless">#N/A</definedName>
    <definedName name="POTE" localSheetId="11">#REF!</definedName>
    <definedName name="_GTR23">#REF!</definedName>
    <definedName name="FLAG___0">#N/A</definedName>
    <definedName name="_Table2_In2" hidden="false">[4]modelo!$E$85</definedName>
    <definedName name="A_PYG" localSheetId="5">#REF!</definedName>
    <definedName name="TARIFAS_TTE">#REF!</definedName>
    <definedName name="ety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MREPO" localSheetId="5">#REF!</definedName>
    <definedName name="EPS_Lst_Yr">#REF!</definedName>
    <definedName name="RPCNDo" localSheetId="5">#REF!</definedName>
    <definedName name="MREPO">#REF!</definedName>
    <definedName name="alfa3" localSheetId="11">#REF!</definedName>
    <definedName name="Country_X_Local_Switch_Capacity__000___0">#N/A</definedName>
    <definedName name="az" localSheetId="5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indic10">'[24]PRD II'!$I$34</definedName>
    <definedName name="CrecimAltoPotencia" localSheetId="5">#REF!</definedName>
    <definedName name="HTML_OBDlg2" hidden="false">TRUE</definedName>
    <definedName name="_COP992" localSheetId="11">#REF!</definedName>
    <definedName name="Dep_OC">#REF!</definedName>
    <definedName name="er">#REF!</definedName>
    <definedName name="_ALF2">#REF!</definedName>
    <definedName name="RFP">#REF!</definedName>
    <definedName name="GW_OTROS_AÑO" localSheetId="11">#REF!</definedName>
    <definedName name="alfa4" localSheetId="11">#REF!</definedName>
    <definedName name="HTML1_2" hidden="false">1</definedName>
    <definedName name="CND_CRD_SIC" localSheetId="11">#REF!</definedName>
    <definedName name="PUBMKT902000">#N/A</definedName>
    <definedName name="FactorInflaInt">#REF!</definedName>
    <definedName name="RPCNDo" localSheetId="11">#REF!</definedName>
    <definedName name="CostoSuministroGas" localSheetId="5">#REF!</definedName>
    <definedName name="ICSEAño4">[6]Ingresos_MNR!$H$34</definedName>
    <definedName name="__123Graph_APVTMKT___0">#REF!</definedName>
    <definedName name="Inv_IngAmb" localSheetId="11">#REF!</definedName>
    <definedName name="IPC" localSheetId="5">#REF!</definedName>
    <definedName name="SSPD">#REF!</definedName>
    <definedName name="DPS_Curr_Yr">#REF!</definedName>
    <definedName name="_xlnm.Recorder">#REF!</definedName>
    <definedName name="VtasGas" localSheetId="11">#REF!</definedName>
    <definedName name="PSDN_Subscribers__000___1">#N/A</definedName>
    <definedName name="Criterios_IM" localSheetId="5">#REF!</definedName>
    <definedName name="Dep_ActDif">#REF!</definedName>
    <definedName name="dddddd" localSheetId="11" hidden="false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Transmission_Circuits__000___1">#N/A</definedName>
    <definedName name="INIDEUDA" localSheetId="5">#REF!</definedName>
    <definedName name="llll" localSheetId="11">#REF!</definedName>
    <definedName name="__123Graph_BPVTMKT___0">#REF!</definedName>
    <definedName name="_SGE3" localSheetId="11">#REF!</definedName>
    <definedName name="Medio_Bajo">#REF!</definedName>
    <definedName name="DRAFT_RCnum" localSheetId="11">#REF!</definedName>
    <definedName name="REPOCALC" localSheetId="11">#REF!</definedName>
    <definedName name="__123Graph_APVTMKT">#N/A</definedName>
    <definedName name="ressecp1">#REF!</definedName>
    <definedName name="EPS_Curr_Yr" localSheetId="11">#REF!</definedName>
    <definedName name="_EXH1" localSheetId="11">#REF!</definedName>
    <definedName name="TARIFA_CONSUMO">[6]Ingresos_MNR!#REF!</definedName>
    <definedName name="sus">#REF!</definedName>
    <definedName name="CGENR993" localSheetId="11">#REF!</definedName>
    <definedName name="__EXH1">#REF!</definedName>
    <definedName name="Energia_a_comercializar" localSheetId="11">#REF!</definedName>
    <definedName name="FactorIPP" localSheetId="5">#REF!</definedName>
    <definedName name="zona4" localSheetId="11">#REF!</definedName>
    <definedName name="PUBPIC___1">#N/A</definedName>
    <definedName name="messec" localSheetId="11">#REF!</definedName>
    <definedName name="FECC" localSheetId="11">#REF!</definedName>
    <definedName name="Switching_Capacity__000___0">#N/A</definedName>
    <definedName name="COSTO98" localSheetId="11">#REF!</definedName>
    <definedName name="COEF" localSheetId="11">#REF!</definedName>
    <definedName name="Analyst_Phone" localSheetId="11">#REF!</definedName>
    <definedName name="Data_Terminals__000___1">#N/A</definedName>
    <definedName name="_IPP9798" localSheetId="11">#REF!</definedName>
    <definedName name="__123Graph_BPVTMKT">#N/A</definedName>
    <definedName name="_IPP2001">#REF!</definedName>
    <definedName name="FootnoteDrop23">#REF!</definedName>
    <definedName name="CertRedEmis">#REF!</definedName>
    <definedName name="BERRY" localSheetId="11">#REF!</definedName>
    <definedName name="OhNo___0">#N/A</definedName>
    <definedName name="CostoCombustible" localSheetId="5">#REF!</definedName>
    <definedName name="CMON22">#REF!</definedName>
    <definedName name="AOM_Variable" localSheetId="5">#REF!</definedName>
    <definedName name="Taiwan__Mobile_Network_Market__1993_2000___0" localSheetId="11">#REF!</definedName>
    <definedName name="REPO2" localSheetId="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"/>
  <c r="M18" i="2"/>
  <c r="J18" i="2"/>
  <c r="N18" i="2"/>
  <c r="O18" i="2"/>
  <c r="F18" i="2"/>
  <c r="P18" i="2"/>
  <c r="K18" i="2"/>
  <c r="Q18" i="2"/>
  <c r="D18" i="2"/>
  <c r="H18" i="2"/>
  <c r="C18" i="2"/>
  <c r="L18" i="2"/>
  <c r="E18" i="2"/>
  <c r="I18" i="2"/>
  <c r="K22" i="2"/>
  <c r="O22" i="2"/>
  <c r="H22" i="2"/>
  <c r="M22" i="2"/>
  <c r="L22" i="2"/>
  <c r="J22" i="2"/>
  <c r="Q22" i="2"/>
  <c r="I22" i="2"/>
  <c r="P22" i="2"/>
  <c r="N22" i="2"/>
  <c r="L23" i="2"/>
  <c r="M23" i="2"/>
  <c r="N23" i="2"/>
  <c r="H23" i="2"/>
  <c r="Q23" i="2"/>
  <c r="I23" i="2"/>
  <c r="K23" i="2"/>
  <c r="J23" i="2"/>
  <c r="P23" i="2"/>
  <c r="O23" i="2"/>
  <c r="H24" i="2"/>
  <c r="L24" i="2"/>
  <c r="J24" i="2"/>
  <c r="O24" i="2"/>
  <c r="I24" i="2"/>
  <c r="Q24" i="2"/>
  <c r="M24" i="2"/>
  <c r="P24" i="2"/>
  <c r="N24" i="2"/>
  <c r="K24" i="2"/>
  <c r="E5" i="2"/>
  <c r="B5" i="2"/>
  <c r="G5" i="2"/>
  <c r="I5" i="2"/>
  <c r="O5" i="2"/>
  <c r="P5" i="2"/>
  <c r="K5" i="2"/>
  <c r="M5" i="2"/>
  <c r="H5" i="2"/>
  <c r="L5" i="2"/>
  <c r="Q5" i="2"/>
  <c r="C5" i="2"/>
  <c r="N5" i="2"/>
  <c r="J5" i="2"/>
  <c r="D5" i="2"/>
  <c r="F5" i="2"/>
  <c r="N19" i="2"/>
  <c r="P19" i="2"/>
  <c r="L19" i="2"/>
  <c r="E19" i="2"/>
  <c r="H19" i="2"/>
  <c r="C19" i="2"/>
  <c r="D19" i="2"/>
  <c r="Q19" i="2"/>
  <c r="F19" i="2"/>
  <c r="M19" i="2"/>
  <c r="O19" i="2"/>
  <c r="K19" i="2"/>
  <c r="J19" i="2"/>
  <c r="G19" i="2"/>
  <c r="I19" i="2"/>
  <c r="O13" i="2"/>
  <c r="H13" i="2"/>
  <c r="K13" i="2"/>
  <c r="I13" i="2"/>
  <c r="P13" i="2"/>
  <c r="N13" i="2"/>
  <c r="Q13" i="2"/>
  <c r="L13" i="2"/>
  <c r="M13" i="2"/>
  <c r="J13" i="2"/>
  <c r="N12" i="2"/>
  <c r="H12" i="2"/>
  <c r="M12" i="2"/>
  <c r="J12" i="2"/>
  <c r="K12" i="2"/>
  <c r="L12" i="2"/>
  <c r="Q12" i="2"/>
  <c r="P12" i="2"/>
  <c r="O12" i="2"/>
  <c r="I12" i="2"/>
  <c r="N16" i="2"/>
  <c r="K16" i="2"/>
  <c r="L16" i="2"/>
  <c r="P16" i="2"/>
  <c r="H16" i="2"/>
  <c r="F16" i="2"/>
  <c r="I16" i="2"/>
  <c r="Q16" i="2"/>
  <c r="G16" i="2"/>
  <c r="E16" i="2"/>
  <c r="J16" i="2"/>
  <c r="C16" i="2"/>
  <c r="M16" i="2"/>
  <c r="O16" i="2"/>
  <c r="D16" i="2"/>
  <c r="B3" i="2"/>
  <c r="C31" i="2"/>
  <c r="I31" i="2"/>
  <c r="D31" i="2"/>
  <c r="J31" i="2"/>
  <c r="Q31" i="2"/>
  <c r="K31" i="2"/>
  <c r="L31" i="2"/>
  <c r="E31" i="2"/>
  <c r="G31" i="2"/>
  <c r="M31" i="2"/>
  <c r="N31" i="2"/>
  <c r="F31" i="2"/>
  <c r="O31" i="2"/>
  <c r="P31" i="2"/>
  <c r="H31" i="2"/>
  <c r="N10" i="2"/>
  <c r="L10" i="2"/>
  <c r="D10" i="2"/>
  <c r="C10" i="2"/>
  <c r="F10" i="2"/>
  <c r="I10" i="2"/>
  <c r="P10" i="2"/>
  <c r="K10" i="2"/>
  <c r="Q10" i="2"/>
  <c r="M10" i="2"/>
  <c r="E10" i="2"/>
  <c r="H10" i="2"/>
  <c r="G10" i="2"/>
  <c r="O10" i="2"/>
  <c r="J10" i="2"/>
  <c r="H21" i="2"/>
  <c r="L21" i="2"/>
  <c r="O21" i="2"/>
  <c r="P21" i="2"/>
  <c r="I21" i="2"/>
  <c r="J21" i="2"/>
  <c r="Q21" i="2"/>
  <c r="N21" i="2"/>
  <c r="K21" i="2"/>
  <c r="M21" i="2"/>
  <c r="K17" i="2"/>
  <c r="L17" i="2"/>
  <c r="E17" i="2"/>
  <c r="I17" i="2"/>
  <c r="J17" i="2"/>
  <c r="M17" i="2"/>
  <c r="N17" i="2"/>
  <c r="G17" i="2"/>
  <c r="D17" i="2"/>
  <c r="F17" i="2"/>
  <c r="O17" i="2"/>
  <c r="H17" i="2"/>
  <c r="Q17" i="2"/>
  <c r="C17" i="2"/>
  <c r="P17" i="2"/>
  <c r="O15" i="2"/>
  <c r="H15" i="2"/>
  <c r="J15" i="2"/>
  <c r="K15" i="2"/>
  <c r="M15" i="2"/>
  <c r="N15" i="2"/>
  <c r="Q15" i="2"/>
  <c r="L15" i="2"/>
  <c r="I15" i="2"/>
  <c r="P15" i="2"/>
  <c r="Q7" i="2"/>
  <c r="P7" i="2"/>
  <c r="H7" i="2"/>
  <c r="J7" i="2"/>
  <c r="O7" i="2"/>
  <c r="L7" i="2"/>
  <c r="I7" i="2"/>
  <c r="M7" i="2"/>
  <c r="N7" i="2"/>
  <c r="K7" i="2"/>
  <c r="N29" i="2"/>
  <c r="H29" i="2"/>
  <c r="I29" i="2"/>
  <c r="K29" i="2"/>
  <c r="J29" i="2"/>
  <c r="M29" i="2"/>
  <c r="L29" i="2"/>
  <c r="Q29" i="2"/>
  <c r="O29" i="2"/>
  <c r="P29" i="2"/>
  <c r="J9" i="2"/>
  <c r="P9" i="2"/>
  <c r="F9" i="2"/>
  <c r="H9" i="2"/>
  <c r="C9" i="2"/>
  <c r="M9" i="2"/>
  <c r="I9" i="2"/>
  <c r="L9" i="2"/>
  <c r="G9" i="2"/>
  <c r="K9" i="2"/>
  <c r="O9" i="2"/>
  <c r="N9" i="2"/>
  <c r="E9" i="2"/>
  <c r="D9" i="2"/>
  <c r="Q9" i="2"/>
  <c r="I8" i="2"/>
  <c r="J8" i="2"/>
  <c r="M8" i="2"/>
  <c r="P8" i="2"/>
  <c r="L8" i="2"/>
  <c r="O8" i="2"/>
  <c r="Q8" i="2"/>
  <c r="N8" i="2"/>
  <c r="H8" i="2"/>
  <c r="K8" i="2"/>
  <c r="Q27" i="2"/>
  <c r="C27" i="2"/>
  <c r="J27" i="2"/>
  <c r="L27" i="2"/>
  <c r="I27" i="2"/>
  <c r="K27" i="2"/>
  <c r="E27" i="2"/>
  <c r="N27" i="2"/>
  <c r="H27" i="2"/>
  <c r="D27" i="2"/>
  <c r="M27" i="2"/>
  <c r="O27" i="2"/>
  <c r="G27" i="2"/>
  <c r="P27" i="2"/>
  <c r="F27" i="2"/>
  <c r="G30" i="2"/>
  <c r="Q30" i="2"/>
  <c r="P30" i="2"/>
  <c r="N30" i="2"/>
  <c r="M30" i="2"/>
  <c r="J30" i="2"/>
  <c r="L30" i="2"/>
  <c r="O30" i="2"/>
  <c r="F30" i="2"/>
  <c r="I30" i="2"/>
  <c r="C30" i="2"/>
  <c r="D30" i="2"/>
  <c r="H30" i="2"/>
  <c r="K30" i="2"/>
  <c r="E30" i="2"/>
  <c r="L14" i="2"/>
  <c r="M14" i="2"/>
  <c r="H14" i="2"/>
  <c r="O14" i="2"/>
  <c r="Q14" i="2"/>
  <c r="K14" i="2"/>
  <c r="I14" i="2"/>
  <c r="J14" i="2"/>
  <c r="P14" i="2"/>
  <c r="N14" i="2"/>
  <c r="G33" i="5"/>
  <c r="I33" i="5"/>
  <c r="N33" i="5"/>
  <c r="H33" i="5"/>
  <c r="O33" i="5"/>
  <c r="J33" i="5"/>
  <c r="K33" i="5"/>
  <c r="L33" i="5"/>
  <c r="M33" i="5"/>
  <c r="F33" i="5"/>
  <c r="O38" i="5"/>
  <c r="L38" i="5"/>
  <c r="H38" i="5"/>
  <c r="F38" i="5"/>
  <c r="N38" i="5"/>
  <c r="J38" i="5"/>
  <c r="I38" i="5"/>
  <c r="M38" i="5"/>
  <c r="G38" i="5"/>
  <c r="K38" i="5"/>
  <c r="N20" i="5"/>
  <c r="J20" i="5"/>
  <c r="L20" i="5"/>
  <c r="F20" i="5"/>
  <c r="G20" i="5"/>
  <c r="O20" i="5"/>
  <c r="H20" i="5"/>
  <c r="M20" i="5"/>
  <c r="K20" i="5"/>
  <c r="I20" i="5"/>
  <c r="O9" i="5"/>
  <c r="I9" i="5"/>
  <c r="N9" i="5"/>
  <c r="K9" i="5"/>
  <c r="L9" i="5"/>
  <c r="G9" i="5"/>
  <c r="F9" i="5"/>
  <c r="H9" i="5"/>
  <c r="J9" i="5"/>
  <c r="M9" i="5"/>
  <c r="M45" i="5"/>
  <c r="H45" i="5"/>
  <c r="N45" i="5"/>
  <c r="K45" i="5"/>
  <c r="G45" i="5"/>
  <c r="L45" i="5"/>
  <c r="J45" i="5"/>
  <c r="O45" i="5"/>
  <c r="I45" i="5"/>
  <c r="F45" i="5"/>
  <c r="G25" i="5"/>
  <c r="F25" i="5"/>
  <c r="N25" i="5"/>
  <c r="I25" i="5"/>
  <c r="J25" i="5"/>
  <c r="H25" i="5"/>
  <c r="O25" i="5"/>
  <c r="K25" i="5"/>
  <c r="M25" i="5"/>
  <c r="L25" i="5"/>
  <c r="J5" i="5"/>
  <c r="B5" i="5"/>
  <c r="O5" i="5"/>
  <c r="G5" i="5"/>
  <c r="M5" i="5"/>
  <c r="K5" i="5"/>
  <c r="F5" i="5"/>
  <c r="I5" i="5"/>
  <c r="L5" i="5"/>
  <c r="N5" i="5"/>
  <c r="H5" i="5"/>
  <c r="L11" i="5"/>
  <c r="H11" i="5"/>
  <c r="N11" i="5"/>
  <c r="F11" i="5"/>
  <c r="K11" i="5"/>
  <c r="M11" i="5"/>
  <c r="I11" i="5"/>
  <c r="O11" i="5"/>
  <c r="J11" i="5"/>
  <c r="G11" i="5"/>
  <c r="M43" i="5"/>
  <c r="J43" i="5"/>
  <c r="N43" i="5"/>
  <c r="F43" i="5"/>
  <c r="G43" i="5"/>
  <c r="K43" i="5"/>
  <c r="O43" i="5"/>
  <c r="H43" i="5"/>
  <c r="L43" i="5"/>
  <c r="I43" i="5"/>
  <c r="N30" i="5"/>
  <c r="K30" i="5"/>
  <c r="J30" i="5"/>
  <c r="M30" i="5"/>
  <c r="O30" i="5"/>
  <c r="F30" i="5"/>
  <c r="H30" i="5"/>
  <c r="I30" i="5"/>
  <c r="L30" i="5"/>
  <c r="G30" i="5"/>
  <c r="L32" i="5"/>
  <c r="G32" i="5"/>
  <c r="F32" i="5"/>
  <c r="H32" i="5"/>
  <c r="M32" i="5"/>
  <c r="N32" i="5"/>
  <c r="O32" i="5"/>
  <c r="J32" i="5"/>
  <c r="K32" i="5"/>
  <c r="I32" i="5"/>
  <c r="G28" i="5"/>
  <c r="L28" i="5"/>
  <c r="N28" i="5"/>
  <c r="M28" i="5"/>
  <c r="F28" i="5"/>
  <c r="J28" i="5"/>
  <c r="K28" i="5"/>
  <c r="O28" i="5"/>
  <c r="H28" i="5"/>
  <c r="I28" i="5"/>
  <c r="O42" i="5"/>
  <c r="M42" i="5"/>
  <c r="K42" i="5"/>
  <c r="N42" i="5"/>
  <c r="L42" i="5"/>
  <c r="F42" i="5"/>
  <c r="H42" i="5"/>
  <c r="G42" i="5"/>
  <c r="J42" i="5"/>
  <c r="I42" i="5"/>
  <c r="N16" i="5"/>
  <c r="I16" i="5"/>
  <c r="J16" i="5"/>
  <c r="K16" i="5"/>
  <c r="F16" i="5"/>
  <c r="M16" i="5"/>
  <c r="O16" i="5"/>
  <c r="G16" i="5"/>
  <c r="L16" i="5"/>
  <c r="H16" i="5"/>
  <c r="M17" i="5"/>
  <c r="N17" i="5"/>
  <c r="J17" i="5"/>
  <c r="L17" i="5"/>
  <c r="O17" i="5"/>
  <c r="K17" i="5"/>
  <c r="H17" i="5"/>
  <c r="I17" i="5"/>
  <c r="F17" i="5"/>
  <c r="G17" i="5"/>
  <c r="O36" i="5"/>
  <c r="I36" i="5"/>
  <c r="H36" i="5"/>
  <c r="G36" i="5"/>
  <c r="M36" i="5"/>
  <c r="N36" i="5"/>
  <c r="J36" i="5"/>
  <c r="K36" i="5"/>
  <c r="L36" i="5"/>
  <c r="F36" i="5"/>
  <c r="O22" i="5"/>
  <c r="K22" i="5"/>
  <c r="N22" i="5"/>
  <c r="M22" i="5"/>
  <c r="J22" i="5"/>
  <c r="H22" i="5"/>
  <c r="F22" i="5"/>
  <c r="G22" i="5"/>
  <c r="I22" i="5"/>
  <c r="L22" i="5"/>
  <c r="I18" i="5"/>
  <c r="L18" i="5"/>
  <c r="O18" i="5"/>
  <c r="N18" i="5"/>
  <c r="G18" i="5"/>
  <c r="M18" i="5"/>
  <c r="J18" i="5"/>
  <c r="K18" i="5"/>
  <c r="F18" i="5"/>
  <c r="H18" i="5"/>
  <c r="O8" i="5"/>
  <c r="K8" i="5"/>
  <c r="M8" i="5"/>
  <c r="G8" i="5"/>
  <c r="H8" i="5"/>
  <c r="I8" i="5"/>
  <c r="L8" i="5"/>
  <c r="J8" i="5"/>
  <c r="N8" i="5"/>
  <c r="F8" i="5"/>
  <c r="G29" i="5"/>
  <c r="M29" i="5"/>
  <c r="F29" i="5"/>
  <c r="I29" i="5"/>
  <c r="N29" i="5"/>
  <c r="K29" i="5"/>
  <c r="H29" i="5"/>
  <c r="J29" i="5"/>
  <c r="L29" i="5"/>
  <c r="O29" i="5"/>
  <c r="B3" i="5"/>
  <c r="O26" i="5"/>
  <c r="G26" i="5"/>
  <c r="N26" i="5"/>
  <c r="J26" i="5"/>
  <c r="K26" i="5"/>
  <c r="I26" i="5"/>
  <c r="H26" i="5"/>
  <c r="L26" i="5"/>
  <c r="F26" i="5"/>
  <c r="M26" i="5"/>
  <c r="G40" i="5"/>
  <c r="I40" i="5"/>
  <c r="O40" i="5"/>
  <c r="M40" i="5"/>
  <c r="L40" i="5"/>
  <c r="N40" i="5"/>
  <c r="H40" i="5"/>
  <c r="F40" i="5"/>
  <c r="K40" i="5"/>
  <c r="J40" i="5"/>
  <c r="G27" i="5"/>
  <c r="O27" i="5"/>
  <c r="K27" i="5"/>
  <c r="L27" i="5"/>
  <c r="I27" i="5"/>
  <c r="N27" i="5"/>
  <c r="J27" i="5"/>
  <c r="M27" i="5"/>
  <c r="H27" i="5"/>
  <c r="F27" i="5"/>
  <c r="K31" i="5"/>
  <c r="F31" i="5"/>
  <c r="O31" i="5"/>
  <c r="I31" i="5"/>
  <c r="L31" i="5"/>
  <c r="N31" i="5"/>
  <c r="H31" i="5"/>
  <c r="M31" i="5"/>
  <c r="J31" i="5"/>
  <c r="G31" i="5"/>
  <c r="J14" i="5"/>
  <c r="H14" i="5"/>
  <c r="G14" i="5"/>
  <c r="F14" i="5"/>
  <c r="K14" i="5"/>
  <c r="O14" i="5"/>
  <c r="M14" i="5"/>
  <c r="I14" i="5"/>
  <c r="L14" i="5"/>
  <c r="N14" i="5"/>
  <c r="K34" i="5"/>
  <c r="F34" i="5"/>
  <c r="N34" i="5"/>
  <c r="I34" i="5"/>
  <c r="L34" i="5"/>
  <c r="O34" i="5"/>
  <c r="J34" i="5"/>
  <c r="M34" i="5"/>
  <c r="G34" i="5"/>
  <c r="H34" i="5"/>
  <c r="J10" i="5"/>
  <c r="L10" i="5"/>
  <c r="G10" i="5"/>
  <c r="K10" i="5"/>
  <c r="N10" i="5"/>
  <c r="H10" i="5"/>
  <c r="M10" i="5"/>
  <c r="O10" i="5"/>
  <c r="I10" i="5"/>
  <c r="F10" i="5"/>
  <c r="J12" i="5"/>
  <c r="G12" i="5"/>
  <c r="H12" i="5"/>
  <c r="M12" i="5"/>
  <c r="F12" i="5"/>
  <c r="I12" i="5"/>
  <c r="O12" i="5"/>
  <c r="N12" i="5"/>
  <c r="L12" i="5"/>
  <c r="K12" i="5"/>
  <c r="P36" i="8"/>
  <c r="J36" i="8"/>
  <c r="G36" i="8"/>
  <c r="M36" i="8"/>
  <c r="L36" i="8"/>
  <c r="H36" i="8"/>
  <c r="N36" i="8"/>
  <c r="K36" i="8"/>
  <c r="O36" i="8"/>
  <c r="I36" i="8"/>
  <c r="P15" i="8"/>
  <c r="G15" i="8"/>
  <c r="H15" i="8"/>
  <c r="J15" i="8"/>
  <c r="N15" i="8"/>
  <c r="O15" i="8"/>
  <c r="M15" i="8"/>
  <c r="I15" i="8"/>
  <c r="L15" i="8"/>
  <c r="K15" i="8"/>
  <c r="H40" i="8"/>
  <c r="O40" i="8"/>
  <c r="P40" i="8"/>
  <c r="J40" i="8"/>
  <c r="I40" i="8"/>
  <c r="M40" i="8"/>
  <c r="K40" i="8"/>
  <c r="N40" i="8"/>
  <c r="L40" i="8"/>
  <c r="K44" i="8"/>
  <c r="G44" i="8"/>
  <c r="I44" i="8"/>
  <c r="L44" i="8"/>
  <c r="J44" i="8"/>
  <c r="M44" i="8"/>
  <c r="P44" i="8"/>
  <c r="H44" i="8"/>
  <c r="O44" i="8"/>
  <c r="N44" i="8"/>
  <c r="E69" i="8"/>
  <c r="P16" i="8"/>
  <c r="L16" i="8"/>
  <c r="M16" i="8"/>
  <c r="J16" i="8"/>
  <c r="I16" i="8"/>
  <c r="O16" i="8"/>
  <c r="H16" i="8"/>
  <c r="K16" i="8"/>
  <c r="N16" i="8"/>
  <c r="M5" i="8"/>
  <c r="K5" i="8"/>
  <c r="B5" i="8"/>
  <c r="J5" i="8"/>
  <c r="N5" i="8"/>
  <c r="I5" i="8"/>
  <c r="O5" i="8"/>
  <c r="L5" i="8"/>
  <c r="H5" i="8"/>
  <c r="P5" i="8"/>
  <c r="G5" i="8"/>
  <c r="I24" i="8"/>
  <c r="H24" i="8"/>
  <c r="P24" i="8"/>
  <c r="J24" i="8"/>
  <c r="K24" i="8"/>
  <c r="N24" i="8"/>
  <c r="L24" i="8"/>
  <c r="M24" i="8"/>
  <c r="G24" i="8"/>
  <c r="O24" i="8"/>
  <c r="N28" i="8"/>
  <c r="I28" i="8"/>
  <c r="M28" i="8"/>
  <c r="G28" i="8"/>
  <c r="J28" i="8"/>
  <c r="L28" i="8"/>
  <c r="P28" i="8"/>
  <c r="H28" i="8"/>
  <c r="K28" i="8"/>
  <c r="O28" i="8"/>
  <c r="H10" i="8"/>
  <c r="K10" i="8"/>
  <c r="I10" i="8"/>
  <c r="O10" i="8"/>
  <c r="M10" i="8"/>
  <c r="G10" i="8"/>
  <c r="L10" i="8"/>
  <c r="P10" i="8"/>
  <c r="J10" i="8"/>
  <c r="N10" i="8"/>
  <c r="P23" i="8"/>
  <c r="I23" i="8"/>
  <c r="O23" i="8"/>
  <c r="G23" i="8"/>
  <c r="H23" i="8"/>
  <c r="N23" i="8"/>
  <c r="M23" i="8"/>
  <c r="L23" i="8"/>
  <c r="J23" i="8"/>
  <c r="K23" i="8"/>
  <c r="G14" i="8"/>
  <c r="H14" i="8"/>
  <c r="K14" i="8"/>
  <c r="M14" i="8"/>
  <c r="N14" i="8"/>
  <c r="L14" i="8"/>
  <c r="I14" i="8"/>
  <c r="J14" i="8"/>
  <c r="P14" i="8"/>
  <c r="O14" i="8"/>
  <c r="K13" i="8"/>
  <c r="M13" i="8"/>
  <c r="H13" i="8"/>
  <c r="J13" i="8"/>
  <c r="P13" i="8"/>
  <c r="O13" i="8"/>
  <c r="I13" i="8"/>
  <c r="N13" i="8"/>
  <c r="L13" i="8"/>
  <c r="G13" i="8"/>
  <c r="J39" i="8"/>
  <c r="O39" i="8"/>
  <c r="M39" i="8"/>
  <c r="H39" i="8"/>
  <c r="I39" i="8"/>
  <c r="L39" i="8"/>
  <c r="G39" i="8"/>
  <c r="K39" i="8"/>
  <c r="N39" i="8"/>
  <c r="P39" i="8"/>
  <c r="G37" i="8"/>
  <c r="J37" i="8"/>
  <c r="K37" i="8"/>
  <c r="P37" i="8"/>
  <c r="H37" i="8"/>
  <c r="O37" i="8"/>
  <c r="N37" i="8"/>
  <c r="L37" i="8"/>
  <c r="M37" i="8"/>
  <c r="I37" i="8"/>
  <c r="H8" i="8"/>
  <c r="L8" i="8"/>
  <c r="K8" i="8"/>
  <c r="J8" i="8"/>
  <c r="O8" i="8"/>
  <c r="N8" i="8"/>
  <c r="M8" i="8"/>
  <c r="P8" i="8"/>
  <c r="I8" i="8"/>
  <c r="B3" i="8"/>
  <c r="N30" i="8"/>
  <c r="P30" i="8"/>
  <c r="I30" i="8"/>
  <c r="J30" i="8"/>
  <c r="L30" i="8"/>
  <c r="G30" i="8"/>
  <c r="M30" i="8"/>
  <c r="O30" i="8"/>
  <c r="H30" i="8"/>
  <c r="K30" i="8"/>
  <c r="P74" i="8"/>
  <c r="P41" i="8"/>
  <c r="K41" i="8"/>
  <c r="I41" i="8"/>
  <c r="H41" i="8"/>
  <c r="L41" i="8"/>
  <c r="N41" i="8"/>
  <c r="O41" i="8"/>
  <c r="M41" i="8"/>
  <c r="J41" i="8"/>
  <c r="G31" i="8"/>
  <c r="N31" i="8"/>
  <c r="K31" i="8"/>
  <c r="P31" i="8"/>
  <c r="M31" i="8"/>
  <c r="I31" i="8"/>
  <c r="O31" i="8"/>
  <c r="H31" i="8"/>
  <c r="L31" i="8"/>
  <c r="J31" i="8"/>
  <c r="P22" i="8"/>
  <c r="I22" i="8"/>
  <c r="O22" i="8"/>
  <c r="G22" i="8"/>
  <c r="K22" i="8"/>
  <c r="M22" i="8"/>
  <c r="J22" i="8"/>
  <c r="L22" i="8"/>
  <c r="N22" i="8"/>
  <c r="H22" i="8"/>
  <c r="P42" i="8"/>
  <c r="J42" i="8"/>
  <c r="L42" i="8"/>
  <c r="H42" i="8"/>
  <c r="N42" i="8"/>
  <c r="M42" i="8"/>
  <c r="O42" i="8"/>
  <c r="K42" i="8"/>
  <c r="I42" i="8"/>
  <c r="L9" i="8"/>
  <c r="H9" i="8"/>
  <c r="N9" i="8"/>
  <c r="O9" i="8"/>
  <c r="I9" i="8"/>
  <c r="J9" i="8"/>
  <c r="M9" i="8"/>
  <c r="K9" i="8"/>
  <c r="P9" i="8"/>
  <c r="L33" i="8"/>
  <c r="N33" i="8"/>
  <c r="I33" i="8"/>
  <c r="O33" i="8"/>
  <c r="P33" i="8"/>
  <c r="K33" i="8"/>
  <c r="G33" i="8"/>
  <c r="H33" i="8"/>
  <c r="M33" i="8"/>
  <c r="J33" i="8"/>
  <c r="I17" i="8"/>
  <c r="P17" i="8"/>
  <c r="H17" i="8"/>
  <c r="J17" i="8"/>
  <c r="K17" i="8"/>
  <c r="L17" i="8"/>
  <c r="M17" i="8"/>
  <c r="B17" i="8"/>
  <c r="G17" i="8"/>
  <c r="N17" i="8"/>
  <c r="O17" i="8"/>
  <c r="I35" i="8"/>
  <c r="M35" i="8"/>
  <c r="L35" i="8"/>
  <c r="O35" i="8"/>
  <c r="J35" i="8"/>
  <c r="H35" i="8"/>
  <c r="N35" i="8"/>
  <c r="K35" i="8"/>
  <c r="P35" i="8"/>
  <c r="K19" i="8"/>
  <c r="L19" i="8"/>
  <c r="P19" i="8"/>
  <c r="N19" i="8"/>
  <c r="G19" i="8"/>
  <c r="M19" i="8"/>
  <c r="I19" i="8"/>
  <c r="J19" i="8"/>
  <c r="O19" i="8"/>
  <c r="H19" i="8"/>
  <c r="P21" i="8"/>
  <c r="H21" i="8"/>
  <c r="J21" i="8"/>
  <c r="G21" i="8"/>
  <c r="I21" i="8"/>
  <c r="K21" i="8"/>
  <c r="M21" i="8"/>
  <c r="N21" i="8"/>
  <c r="L21" i="8"/>
  <c r="O21" i="8"/>
  <c r="J29" i="8"/>
  <c r="I29" i="8"/>
  <c r="M29" i="8"/>
  <c r="H29" i="8"/>
  <c r="N29" i="8"/>
  <c r="O29" i="8"/>
  <c r="K29" i="8"/>
  <c r="P29" i="8"/>
  <c r="L29" i="8"/>
  <c r="H12" i="8"/>
  <c r="M12" i="8"/>
  <c r="N12" i="8"/>
  <c r="I12" i="8"/>
  <c r="K12" i="8"/>
  <c r="G12" i="8"/>
  <c r="B12" i="8"/>
  <c r="L12" i="8"/>
  <c r="O12" i="8"/>
  <c r="P12" i="8"/>
  <c r="J12" i="8"/>
  <c r="M27" i="8"/>
  <c r="N27" i="8"/>
  <c r="P27" i="8"/>
  <c r="L27" i="8"/>
  <c r="H27" i="8"/>
  <c r="G27" i="8"/>
  <c r="O27" i="8"/>
  <c r="K27" i="8"/>
  <c r="I27" i="8"/>
  <c r="J27" i="8"/>
  <c r="N59" i="3"/>
  <c r="O59" i="3"/>
  <c r="E59" i="3"/>
  <c r="K59" i="3"/>
  <c r="M59" i="3"/>
  <c r="L59" i="3"/>
  <c r="F59" i="3"/>
  <c r="H59" i="3"/>
  <c r="I59" i="3"/>
  <c r="Q59" i="3"/>
  <c r="P59" i="3"/>
  <c r="C59" i="3"/>
  <c r="J59" i="3"/>
  <c r="G59" i="3"/>
  <c r="D59" i="3"/>
  <c r="N38" i="3"/>
  <c r="K38" i="3"/>
  <c r="I38" i="3"/>
  <c r="P38" i="3"/>
  <c r="M38" i="3"/>
  <c r="H38" i="3"/>
  <c r="Q38" i="3"/>
  <c r="J38" i="3"/>
  <c r="L38" i="3"/>
  <c r="A38" i="3"/>
  <c r="O38" i="3"/>
  <c r="Q26" i="3"/>
  <c r="N26" i="3"/>
  <c r="A26" i="3"/>
  <c r="J26" i="3"/>
  <c r="L26" i="3"/>
  <c r="I26" i="3"/>
  <c r="O26" i="3"/>
  <c r="H26" i="3"/>
  <c r="K26" i="3"/>
  <c r="M26" i="3"/>
  <c r="P26" i="3"/>
  <c r="M11" i="3"/>
  <c r="J11" i="3"/>
  <c r="O11" i="3"/>
  <c r="H11" i="3"/>
  <c r="Q11" i="3"/>
  <c r="N11" i="3"/>
  <c r="K11" i="3"/>
  <c r="L11" i="3"/>
  <c r="I11" i="3"/>
  <c r="A11" i="3"/>
  <c r="P11" i="3"/>
  <c r="C55" i="3"/>
  <c r="N55" i="3"/>
  <c r="K55" i="3"/>
  <c r="Q55" i="3"/>
  <c r="A55" i="3"/>
  <c r="F55" i="3"/>
  <c r="H55" i="3"/>
  <c r="O55" i="3"/>
  <c r="G55" i="3"/>
  <c r="D55" i="3"/>
  <c r="P55" i="3"/>
  <c r="L55" i="3"/>
  <c r="M55" i="3"/>
  <c r="E55" i="3"/>
  <c r="J55" i="3"/>
  <c r="I55" i="3"/>
  <c r="I37" i="3"/>
  <c r="Q37" i="3"/>
  <c r="J37" i="3"/>
  <c r="K37" i="3"/>
  <c r="P37" i="3"/>
  <c r="M37" i="3"/>
  <c r="H37" i="3"/>
  <c r="L37" i="3"/>
  <c r="O37" i="3"/>
  <c r="N37" i="3"/>
  <c r="A37" i="3"/>
  <c r="N20" i="3"/>
  <c r="J20" i="3"/>
  <c r="L20" i="3"/>
  <c r="Q20" i="3"/>
  <c r="H20" i="3"/>
  <c r="A20" i="3"/>
  <c r="K20" i="3"/>
  <c r="I20" i="3"/>
  <c r="M20" i="3"/>
  <c r="O20" i="3"/>
  <c r="P20" i="3"/>
  <c r="O19" i="3"/>
  <c r="A19" i="3"/>
  <c r="H19" i="3"/>
  <c r="J19" i="3"/>
  <c r="K19" i="3"/>
  <c r="I19" i="3"/>
  <c r="M19" i="3"/>
  <c r="P19" i="3"/>
  <c r="L19" i="3"/>
  <c r="Q19" i="3"/>
  <c r="N19" i="3"/>
  <c r="J5" i="3"/>
  <c r="O5" i="3"/>
  <c r="H5" i="3"/>
  <c r="L5" i="3"/>
  <c r="D5" i="3"/>
  <c r="Q5" i="3"/>
  <c r="B5" i="3"/>
  <c r="G5" i="3"/>
  <c r="E5" i="3"/>
  <c r="N5" i="3"/>
  <c r="K5" i="3"/>
  <c r="P5" i="3"/>
  <c r="M5" i="3"/>
  <c r="I5" i="3"/>
  <c r="C5" i="3"/>
  <c r="F5" i="3"/>
  <c r="F56" i="3"/>
  <c r="H56" i="3"/>
  <c r="D56" i="3"/>
  <c r="J56" i="3"/>
  <c r="L56" i="3"/>
  <c r="I56" i="3"/>
  <c r="E56" i="3"/>
  <c r="O56" i="3"/>
  <c r="P56" i="3"/>
  <c r="A56" i="3"/>
  <c r="K56" i="3"/>
  <c r="N56" i="3"/>
  <c r="M56" i="3"/>
  <c r="Q56" i="3"/>
  <c r="C56" i="3"/>
  <c r="G56" i="3"/>
  <c r="H22" i="3"/>
  <c r="L22" i="3"/>
  <c r="K22" i="3"/>
  <c r="I22" i="3"/>
  <c r="N22" i="3"/>
  <c r="J22" i="3"/>
  <c r="Q22" i="3"/>
  <c r="P22" i="3"/>
  <c r="O22" i="3"/>
  <c r="M22" i="3"/>
  <c r="A22" i="3"/>
  <c r="L14" i="3"/>
  <c r="I14" i="3"/>
  <c r="M14" i="3"/>
  <c r="A14" i="3"/>
  <c r="K14" i="3"/>
  <c r="J14" i="3"/>
  <c r="Q14" i="3"/>
  <c r="H14" i="3"/>
  <c r="O14" i="3"/>
  <c r="N14" i="3"/>
  <c r="P14" i="3"/>
  <c r="Q25" i="3"/>
  <c r="O25" i="3"/>
  <c r="H25" i="3"/>
  <c r="J25" i="3"/>
  <c r="A25" i="3"/>
  <c r="K25" i="3"/>
  <c r="P25" i="3"/>
  <c r="I25" i="3"/>
  <c r="N25" i="3"/>
  <c r="M25" i="3"/>
  <c r="L25" i="3"/>
  <c r="M10" i="3"/>
  <c r="A10" i="3"/>
  <c r="N10" i="3"/>
  <c r="J10" i="3"/>
  <c r="P10" i="3"/>
  <c r="L10" i="3"/>
  <c r="O10" i="3"/>
  <c r="I10" i="3"/>
  <c r="H10" i="3"/>
  <c r="Q10" i="3"/>
  <c r="K10" i="3"/>
  <c r="G46" i="3"/>
  <c r="P46" i="3"/>
  <c r="E46" i="3"/>
  <c r="M46" i="3"/>
  <c r="D46" i="3"/>
  <c r="C46" i="3"/>
  <c r="Q46" i="3"/>
  <c r="J46" i="3"/>
  <c r="K46" i="3"/>
  <c r="I46" i="3"/>
  <c r="L46" i="3"/>
  <c r="O46" i="3"/>
  <c r="F46" i="3"/>
  <c r="N46" i="3"/>
  <c r="H46" i="3"/>
  <c r="B3" i="3"/>
  <c r="A27" i="3"/>
  <c r="I27" i="3"/>
  <c r="K27" i="3"/>
  <c r="L27" i="3"/>
  <c r="P27" i="3"/>
  <c r="N27" i="3"/>
  <c r="M27" i="3"/>
  <c r="O27" i="3"/>
  <c r="Q27" i="3"/>
  <c r="H27" i="3"/>
  <c r="J27" i="3"/>
  <c r="H52" i="3"/>
  <c r="Q52" i="3"/>
  <c r="O52" i="3"/>
  <c r="A52" i="3"/>
  <c r="M52" i="3"/>
  <c r="I52" i="3"/>
  <c r="L52" i="3"/>
  <c r="P52" i="3"/>
  <c r="K52" i="3"/>
  <c r="N52" i="3"/>
  <c r="J52" i="3"/>
  <c r="N53" i="3"/>
  <c r="I53" i="3"/>
  <c r="J53" i="3"/>
  <c r="L53" i="3"/>
  <c r="H53" i="3"/>
  <c r="O53" i="3"/>
  <c r="A53" i="3"/>
  <c r="P53" i="3"/>
  <c r="M53" i="3"/>
  <c r="Q53" i="3"/>
  <c r="K53" i="3"/>
  <c r="L30" i="3"/>
  <c r="F30" i="3"/>
  <c r="D30" i="3"/>
  <c r="Q30" i="3"/>
  <c r="N30" i="3"/>
  <c r="P30" i="3"/>
  <c r="I30" i="3"/>
  <c r="M30" i="3"/>
  <c r="O30" i="3"/>
  <c r="G30" i="3"/>
  <c r="E30" i="3"/>
  <c r="K30" i="3"/>
  <c r="C30" i="3"/>
  <c r="H30" i="3"/>
  <c r="J30" i="3"/>
  <c r="I54" i="3"/>
  <c r="L54" i="3"/>
  <c r="J54" i="3"/>
  <c r="N54" i="3"/>
  <c r="A54" i="3"/>
  <c r="O54" i="3"/>
  <c r="K54" i="3"/>
  <c r="P54" i="3"/>
  <c r="M54" i="3"/>
  <c r="H54" i="3"/>
  <c r="Q54" i="3"/>
  <c r="L39" i="3"/>
  <c r="I39" i="3"/>
  <c r="O39" i="3"/>
  <c r="P39" i="3"/>
  <c r="J39" i="3"/>
  <c r="M39" i="3"/>
  <c r="A39" i="3"/>
  <c r="K39" i="3"/>
  <c r="H39" i="3"/>
  <c r="Q39" i="3"/>
  <c r="N39" i="3"/>
  <c r="I36" i="3"/>
  <c r="K36" i="3"/>
  <c r="N36" i="3"/>
  <c r="O36" i="3"/>
  <c r="Q36" i="3"/>
  <c r="L36" i="3"/>
  <c r="J36" i="3"/>
  <c r="M36" i="3"/>
  <c r="H36" i="3"/>
  <c r="A36" i="3"/>
  <c r="P36" i="3"/>
  <c r="J57" i="3"/>
  <c r="G57" i="3"/>
  <c r="M57" i="3"/>
  <c r="F57" i="3"/>
  <c r="O57" i="3"/>
  <c r="N57" i="3"/>
  <c r="P57" i="3"/>
  <c r="Q57" i="3"/>
  <c r="C57" i="3"/>
  <c r="E57" i="3"/>
  <c r="L57" i="3"/>
  <c r="D57" i="3"/>
  <c r="K57" i="3"/>
  <c r="I57" i="3"/>
  <c r="H57" i="3"/>
  <c r="I24" i="3"/>
  <c r="J24" i="3"/>
  <c r="M24" i="3"/>
  <c r="D24" i="3"/>
  <c r="F24" i="3"/>
  <c r="K24" i="3"/>
  <c r="C24" i="3"/>
  <c r="P24" i="3"/>
  <c r="E24" i="3"/>
  <c r="O24" i="3"/>
  <c r="L24" i="3"/>
  <c r="Q24" i="3"/>
  <c r="N24" i="3"/>
  <c r="G24" i="3"/>
  <c r="H24" i="3"/>
  <c r="I44" i="3"/>
  <c r="N44" i="3"/>
  <c r="L44" i="3"/>
  <c r="Q44" i="3"/>
  <c r="H44" i="3"/>
  <c r="K44" i="3"/>
  <c r="P44" i="3"/>
  <c r="J44" i="3"/>
  <c r="M44" i="3"/>
  <c r="A44" i="3"/>
  <c r="O44" i="3"/>
  <c r="M51" i="3"/>
  <c r="P51" i="3"/>
  <c r="L51" i="3"/>
  <c r="Q51" i="3"/>
  <c r="H51" i="3"/>
  <c r="N51" i="3"/>
  <c r="K51" i="3"/>
  <c r="A51" i="3"/>
  <c r="J51" i="3"/>
  <c r="I51" i="3"/>
  <c r="O51" i="3"/>
  <c r="P13" i="3"/>
  <c r="M13" i="3"/>
  <c r="A13" i="3"/>
  <c r="H13" i="3"/>
  <c r="L13" i="3"/>
  <c r="I13" i="3"/>
  <c r="N13" i="3"/>
  <c r="O13" i="3"/>
  <c r="Q13" i="3"/>
  <c r="J13" i="3"/>
  <c r="K13" i="3"/>
  <c r="O21" i="3"/>
  <c r="Q21" i="3"/>
  <c r="P21" i="3"/>
  <c r="D21" i="3"/>
  <c r="F21" i="3"/>
  <c r="K21" i="3"/>
  <c r="H21" i="3"/>
  <c r="I21" i="3"/>
  <c r="M21" i="3"/>
  <c r="C21" i="3"/>
  <c r="L21" i="3"/>
  <c r="J21" i="3"/>
  <c r="E21" i="3"/>
  <c r="G21" i="3"/>
  <c r="N21" i="3"/>
  <c r="L35" i="3"/>
  <c r="P35" i="3"/>
  <c r="A35" i="3"/>
  <c r="I35" i="3"/>
  <c r="Q35" i="3"/>
  <c r="H35" i="3"/>
  <c r="O35" i="3"/>
  <c r="K35" i="3"/>
  <c r="N35" i="3"/>
  <c r="M35" i="3"/>
  <c r="J35" i="3"/>
  <c r="P45" i="3"/>
  <c r="M45" i="3"/>
  <c r="H45" i="3"/>
  <c r="J45" i="3"/>
  <c r="L45" i="3"/>
  <c r="O45" i="3"/>
  <c r="A45" i="3"/>
  <c r="I45" i="3"/>
  <c r="Q45" i="3"/>
  <c r="N45" i="3"/>
  <c r="K45" i="3"/>
  <c r="F28" i="3"/>
  <c r="I28" i="3"/>
  <c r="D28" i="3"/>
  <c r="K28" i="3"/>
  <c r="N28" i="3"/>
  <c r="J28" i="3"/>
  <c r="G28" i="3"/>
  <c r="H28" i="3"/>
  <c r="O28" i="3"/>
  <c r="P28" i="3"/>
  <c r="M28" i="3"/>
  <c r="L28" i="3"/>
  <c r="C28" i="3"/>
  <c r="Q28" i="3"/>
  <c r="E28" i="3"/>
  <c r="C41" i="3"/>
  <c r="H41" i="3"/>
  <c r="L41" i="3"/>
  <c r="M41" i="3"/>
  <c r="O41" i="3"/>
  <c r="G41" i="3"/>
  <c r="N41" i="3"/>
  <c r="F41" i="3"/>
  <c r="D41" i="3"/>
  <c r="K41" i="3"/>
  <c r="J41" i="3"/>
  <c r="I41" i="3"/>
  <c r="P41" i="3"/>
  <c r="E41" i="3"/>
  <c r="Q41" i="3"/>
  <c r="P16" i="3"/>
  <c r="O16" i="3"/>
  <c r="G16" i="3"/>
  <c r="J16" i="3"/>
  <c r="H16" i="3"/>
  <c r="I16" i="3"/>
  <c r="Q16" i="3"/>
  <c r="E16" i="3"/>
  <c r="F16" i="3"/>
  <c r="D16" i="3"/>
  <c r="N16" i="3"/>
  <c r="L16" i="3"/>
  <c r="M16" i="3"/>
  <c r="C16" i="3"/>
  <c r="K16" i="3"/>
  <c r="F61" i="3"/>
  <c r="I61" i="3"/>
  <c r="Q61" i="3"/>
  <c r="D61" i="3"/>
  <c r="J61" i="3"/>
  <c r="P61" i="3"/>
  <c r="E61" i="3"/>
  <c r="C61" i="3"/>
  <c r="G61" i="3"/>
  <c r="O61" i="3"/>
  <c r="M61" i="3"/>
  <c r="N61" i="3"/>
  <c r="H61" i="3"/>
  <c r="L61" i="3"/>
  <c r="K61" i="3"/>
  <c r="A12" i="3"/>
  <c r="I12" i="3"/>
  <c r="L12" i="3"/>
  <c r="M12" i="3"/>
  <c r="Q12" i="3"/>
  <c r="J12" i="3"/>
  <c r="P12" i="3"/>
  <c r="N12" i="3"/>
  <c r="H12" i="3"/>
  <c r="O12" i="3"/>
  <c r="K12" i="3"/>
  <c r="J23" i="3"/>
  <c r="L23" i="3"/>
  <c r="H23" i="3"/>
  <c r="P23" i="3"/>
  <c r="N23" i="3"/>
  <c r="O23" i="3"/>
  <c r="Q23" i="3"/>
  <c r="M23" i="3"/>
  <c r="I23" i="3"/>
  <c r="K23" i="3"/>
  <c r="A23" i="3"/>
  <c r="G48" i="3"/>
  <c r="O48" i="3"/>
  <c r="Q48" i="3"/>
  <c r="D48" i="3"/>
  <c r="I48" i="3"/>
  <c r="K48" i="3"/>
  <c r="E48" i="3"/>
  <c r="H48" i="3"/>
  <c r="L48" i="3"/>
  <c r="J48" i="3"/>
  <c r="C48" i="3"/>
  <c r="P48" i="3"/>
  <c r="F48" i="3"/>
  <c r="N48" i="3"/>
  <c r="M48" i="3"/>
  <c r="K40" i="3"/>
  <c r="L40" i="3"/>
  <c r="P40" i="3"/>
  <c r="I40" i="3"/>
  <c r="N40" i="3"/>
  <c r="A40" i="3"/>
  <c r="M40" i="3"/>
  <c r="H40" i="3"/>
  <c r="O40" i="3"/>
  <c r="J40" i="3"/>
  <c r="Q40" i="3"/>
  <c r="M15" i="3"/>
  <c r="K15" i="3"/>
  <c r="O15" i="3"/>
  <c r="Q15" i="3"/>
  <c r="I15" i="3"/>
  <c r="A15" i="3"/>
  <c r="L15" i="3"/>
  <c r="H15" i="3"/>
  <c r="N15" i="3"/>
  <c r="P15" i="3"/>
  <c r="J15" i="3"/>
  <c r="O9" i="3"/>
  <c r="Q9" i="3"/>
  <c r="M9" i="3"/>
  <c r="N9" i="3"/>
  <c r="L9" i="3"/>
  <c r="J9" i="3"/>
  <c r="H9" i="3"/>
  <c r="I9" i="3"/>
  <c r="P9" i="3"/>
  <c r="K9" i="3"/>
  <c r="D20" i="1"/>
  <c r="B32" i="1"/>
  <c r="M16" i="13"/>
  <c r="K16" i="13"/>
  <c r="N16" i="13"/>
  <c r="O16" i="13"/>
  <c r="L16" i="13"/>
  <c r="H16" i="13"/>
  <c r="G16" i="13"/>
  <c r="J16" i="13"/>
  <c r="P16" i="13"/>
  <c r="I16" i="13"/>
  <c r="G7" i="13"/>
  <c r="L7" i="13"/>
  <c r="J7" i="13"/>
  <c r="H7" i="13"/>
  <c r="N7" i="13"/>
  <c r="O7" i="13"/>
  <c r="I7" i="13"/>
  <c r="K7" i="13"/>
  <c r="P7" i="13"/>
  <c r="M7" i="13"/>
  <c r="N8" i="13"/>
  <c r="P8" i="13"/>
  <c r="K8" i="13"/>
  <c r="H8" i="13"/>
  <c r="J8" i="13"/>
  <c r="O8" i="13"/>
  <c r="I8" i="13"/>
  <c r="G8" i="13"/>
  <c r="M8" i="13"/>
  <c r="L8" i="13"/>
  <c r="P12" i="13"/>
  <c r="H12" i="13"/>
  <c r="M12" i="13"/>
  <c r="O12" i="13"/>
  <c r="K12" i="13"/>
  <c r="N12" i="13"/>
  <c r="J12" i="13"/>
  <c r="L12" i="13"/>
  <c r="I12" i="13"/>
  <c r="G12" i="13"/>
  <c r="I17" i="13"/>
  <c r="H17" i="13"/>
  <c r="O17" i="13"/>
  <c r="J17" i="13"/>
  <c r="K17" i="13"/>
  <c r="L17" i="13"/>
  <c r="M17" i="13"/>
  <c r="N17" i="13"/>
  <c r="P17" i="13"/>
  <c r="N10" i="13"/>
  <c r="I10" i="13"/>
  <c r="O10" i="13"/>
  <c r="K10" i="13"/>
  <c r="H10" i="13"/>
  <c r="G10" i="13"/>
  <c r="P10" i="13"/>
  <c r="L10" i="13"/>
  <c r="M10" i="13"/>
  <c r="J10" i="13"/>
  <c r="N11" i="13"/>
  <c r="J11" i="13"/>
  <c r="P11" i="13"/>
  <c r="I11" i="13"/>
  <c r="K11" i="13"/>
  <c r="M11" i="13"/>
  <c r="L11" i="13"/>
  <c r="O11" i="13"/>
  <c r="G11" i="13"/>
  <c r="H11" i="13"/>
  <c r="I13" i="13"/>
  <c r="H13" i="13"/>
  <c r="O13" i="13"/>
  <c r="L13" i="13"/>
  <c r="K13" i="13"/>
  <c r="G13" i="13"/>
  <c r="M13" i="13"/>
  <c r="P13" i="13"/>
  <c r="N13" i="13"/>
  <c r="J13" i="13"/>
  <c r="N5" i="13"/>
  <c r="P5" i="13"/>
  <c r="H5" i="13"/>
  <c r="G5" i="13"/>
  <c r="O5" i="13"/>
  <c r="M5" i="13"/>
  <c r="K5" i="13"/>
  <c r="L5" i="13"/>
  <c r="I5" i="13"/>
  <c r="J5" i="13"/>
  <c r="D16" i="9"/>
  <c r="R8" i="9"/>
  <c r="Q8" i="9"/>
  <c r="S8" i="9"/>
  <c r="D26" i="9"/>
  <c r="C37" i="9"/>
  <c r="D37" i="9"/>
  <c r="D29" i="9"/>
  <c r="J56" i="9"/>
  <c r="K56" i="9"/>
  <c r="L56" i="9"/>
  <c r="F56" i="9"/>
  <c r="H56" i="9"/>
  <c r="I56" i="9"/>
  <c r="S22" i="9"/>
  <c r="R22" i="9"/>
  <c r="Q22" i="9"/>
  <c r="H42" i="9"/>
  <c r="I42" i="9"/>
  <c r="K42" i="9"/>
  <c r="L42" i="9"/>
  <c r="J42" i="9"/>
  <c r="H67" i="9"/>
  <c r="I67" i="9"/>
  <c r="J67" i="9"/>
  <c r="L59" i="9"/>
  <c r="F59" i="9"/>
  <c r="H59" i="9"/>
  <c r="I59" i="9"/>
  <c r="J59" i="9"/>
  <c r="K59" i="9"/>
  <c r="C35" i="9"/>
  <c r="D35" i="9"/>
  <c r="F46" i="9"/>
  <c r="D18" i="9"/>
  <c r="E9" i="9"/>
  <c r="M9" i="9"/>
  <c r="H9" i="9"/>
  <c r="K9" i="9"/>
  <c r="G9" i="9"/>
  <c r="L9" i="9"/>
  <c r="R9" i="9"/>
  <c r="D9" i="9"/>
  <c r="S9" i="9"/>
  <c r="Q9" i="9"/>
  <c r="I9" i="9"/>
  <c r="F9" i="9"/>
  <c r="J9" i="9"/>
  <c r="R23" i="9"/>
  <c r="D23" i="9"/>
  <c r="Q23" i="9"/>
  <c r="S23" i="9"/>
  <c r="S25" i="9"/>
  <c r="R25" i="9"/>
  <c r="D25" i="9"/>
  <c r="Q25" i="9"/>
  <c r="D32" i="9"/>
  <c r="C32" i="9"/>
  <c r="G11" i="9"/>
  <c r="J11" i="9"/>
  <c r="L11" i="9"/>
  <c r="S11" i="9"/>
  <c r="Q11" i="9"/>
  <c r="I11" i="9"/>
  <c r="R11" i="9"/>
  <c r="M11" i="9"/>
  <c r="K11" i="9"/>
  <c r="E11" i="9"/>
  <c r="F11" i="9"/>
  <c r="H11" i="9"/>
  <c r="D11" i="9"/>
  <c r="S20" i="9"/>
  <c r="D20" i="9"/>
  <c r="Q20" i="9"/>
  <c r="R20" i="9"/>
  <c r="E20" i="9"/>
  <c r="D15" i="9"/>
  <c r="F57" i="9"/>
  <c r="H57" i="9"/>
  <c r="I57" i="9"/>
  <c r="J57" i="9"/>
  <c r="K57" i="9"/>
  <c r="L57" i="9"/>
  <c r="D14" i="9"/>
  <c r="H58" i="9"/>
  <c r="I58" i="9"/>
  <c r="J58" i="9"/>
  <c r="K58" i="9"/>
  <c r="L58" i="9"/>
  <c r="F58" i="9"/>
  <c r="F47" i="9"/>
  <c r="G47" i="9"/>
  <c r="H53" i="9"/>
  <c r="I53" i="9"/>
  <c r="J53" i="9"/>
  <c r="K53" i="9"/>
  <c r="L53" i="9"/>
  <c r="Q7" i="9"/>
  <c r="R7" i="9"/>
  <c r="D7" i="9"/>
  <c r="S7" i="9"/>
  <c r="K7" i="9"/>
  <c r="L7" i="9"/>
  <c r="G7" i="9"/>
  <c r="J7" i="9"/>
  <c r="F7" i="9"/>
  <c r="H7" i="9"/>
  <c r="I7" i="9"/>
  <c r="E7" i="9"/>
  <c r="M7" i="9"/>
  <c r="M10" i="9"/>
  <c r="E10" i="9"/>
  <c r="S10" i="9"/>
  <c r="F10" i="9"/>
  <c r="L10" i="9"/>
  <c r="D10" i="9"/>
  <c r="R10" i="9"/>
  <c r="Q10" i="9"/>
  <c r="K10" i="9"/>
  <c r="H10" i="9"/>
  <c r="G10" i="9"/>
  <c r="I10" i="9"/>
  <c r="J10" i="9"/>
  <c r="F44" i="9"/>
  <c r="G44" i="9"/>
  <c r="H44" i="9"/>
  <c r="G5" i="9"/>
  <c r="K5" i="9"/>
  <c r="D5" i="9"/>
  <c r="L5" i="9"/>
  <c r="J5" i="9"/>
  <c r="E5" i="9"/>
  <c r="M5" i="9"/>
  <c r="B5" i="9"/>
  <c r="H5" i="9"/>
  <c r="I5" i="9"/>
  <c r="F5" i="9"/>
  <c r="F48" i="9"/>
  <c r="G48" i="9"/>
  <c r="D28" i="9"/>
  <c r="R21" i="9"/>
  <c r="E21" i="9"/>
  <c r="D21" i="9"/>
  <c r="Q21" i="9"/>
  <c r="S21" i="9"/>
  <c r="B3" i="9"/>
  <c r="R6" i="9"/>
  <c r="S6" i="9"/>
  <c r="P6" i="9"/>
  <c r="D13" i="9"/>
  <c r="D17" i="9"/>
  <c r="C36" i="9"/>
  <c r="D36" i="9"/>
  <c r="F55" i="9"/>
  <c r="H55" i="9"/>
  <c r="I55" i="9"/>
  <c r="J55" i="9"/>
  <c r="K55" i="9"/>
  <c r="L55" i="9"/>
  <c r="F51" i="9"/>
  <c r="D24" i="9"/>
  <c r="Q24" i="9"/>
  <c r="S24" i="9"/>
  <c r="R24" i="9"/>
  <c r="G45" i="9"/>
  <c r="F45" i="9"/>
  <c r="I43" i="9"/>
  <c r="K43" i="9"/>
  <c r="L43" i="9"/>
  <c r="G43" i="9"/>
  <c r="H43" i="9"/>
  <c r="C34" i="9"/>
  <c r="D34" i="9"/>
  <c r="K85" i="12"/>
  <c r="O85" i="12"/>
  <c r="M85" i="12"/>
  <c r="L85" i="12"/>
  <c r="Q85" i="12"/>
  <c r="R85" i="12"/>
  <c r="J85" i="12"/>
  <c r="S85" i="12"/>
  <c r="N85" i="12"/>
  <c r="P85" i="12"/>
  <c r="Q36" i="12"/>
  <c r="J36" i="12"/>
  <c r="S36" i="12"/>
  <c r="P36" i="12"/>
  <c r="O36" i="12"/>
  <c r="R36" i="12"/>
  <c r="M36" i="12"/>
  <c r="N36" i="12"/>
  <c r="K36" i="12"/>
  <c r="L36" i="12"/>
  <c r="J46" i="12"/>
  <c r="R46" i="12"/>
  <c r="Q46" i="12"/>
  <c r="O46" i="12"/>
  <c r="M46" i="12"/>
  <c r="K46" i="12"/>
  <c r="N46" i="12"/>
  <c r="P46" i="12"/>
  <c r="S46" i="12"/>
  <c r="L46" i="12"/>
  <c r="M45" i="12"/>
  <c r="L45" i="12"/>
  <c r="K45" i="12"/>
  <c r="S45" i="12"/>
  <c r="O45" i="12"/>
  <c r="R45" i="12"/>
  <c r="J45" i="12"/>
  <c r="P45" i="12"/>
  <c r="Q45" i="12"/>
  <c r="N45" i="12"/>
  <c r="L48" i="12"/>
  <c r="S48" i="12"/>
  <c r="P48" i="12"/>
  <c r="Q48" i="12"/>
  <c r="K48" i="12"/>
  <c r="R48" i="12"/>
  <c r="N48" i="12"/>
  <c r="O48" i="12"/>
  <c r="J48" i="12"/>
  <c r="M48" i="12"/>
  <c r="S35" i="12"/>
  <c r="P35" i="12"/>
  <c r="M35" i="12"/>
  <c r="O35" i="12"/>
  <c r="K35" i="12"/>
  <c r="J35" i="12"/>
  <c r="R35" i="12"/>
  <c r="N35" i="12"/>
  <c r="L35" i="12"/>
  <c r="Q35" i="12"/>
  <c r="O30" i="12"/>
  <c r="S30" i="12"/>
  <c r="Q30" i="12"/>
  <c r="P30" i="12"/>
  <c r="L30" i="12"/>
  <c r="N30" i="12"/>
  <c r="M30" i="12"/>
  <c r="R30" i="12"/>
  <c r="K30" i="12"/>
  <c r="J30" i="12"/>
  <c r="L84" i="12"/>
  <c r="P84" i="12"/>
  <c r="N84" i="12"/>
  <c r="O84" i="12"/>
  <c r="M84" i="12"/>
  <c r="K84" i="12"/>
  <c r="J84" i="12"/>
  <c r="Q84" i="12"/>
  <c r="S84" i="12"/>
  <c r="R84" i="12"/>
  <c r="S53" i="12"/>
  <c r="N53" i="12"/>
  <c r="Q53" i="12"/>
  <c r="O53" i="12"/>
  <c r="L53" i="12"/>
  <c r="K53" i="12"/>
  <c r="R53" i="12"/>
  <c r="M53" i="12"/>
  <c r="P53" i="12"/>
  <c r="J53" i="12"/>
  <c r="S44" i="12"/>
  <c r="Q44" i="12"/>
  <c r="N44" i="12"/>
  <c r="O44" i="12"/>
  <c r="J44" i="12"/>
  <c r="K44" i="12"/>
  <c r="M44" i="12"/>
  <c r="L44" i="12"/>
  <c r="P44" i="12"/>
  <c r="R44" i="12"/>
  <c r="M47" i="12"/>
  <c r="S47" i="12"/>
  <c r="O47" i="12"/>
  <c r="Q47" i="12"/>
  <c r="P47" i="12"/>
  <c r="N47" i="12"/>
  <c r="L47" i="12"/>
  <c r="K47" i="12"/>
  <c r="J47" i="12"/>
  <c r="R47" i="12"/>
  <c r="R12" i="12"/>
  <c r="S12" i="12"/>
  <c r="M12" i="12"/>
  <c r="P12" i="12"/>
  <c r="J12" i="12"/>
  <c r="Q12" i="12"/>
  <c r="N12" i="12"/>
  <c r="L12" i="12"/>
  <c r="K12" i="12"/>
  <c r="O12" i="12"/>
  <c r="J5" i="12"/>
  <c r="R5" i="12"/>
  <c r="S5" i="12"/>
  <c r="M5" i="12"/>
  <c r="Q5" i="12"/>
  <c r="O5" i="12"/>
  <c r="P5" i="12"/>
  <c r="L5" i="12"/>
  <c r="N5" i="12"/>
  <c r="K5" i="12"/>
  <c r="N23" i="12"/>
  <c r="L23" i="12"/>
  <c r="S23" i="12"/>
  <c r="K23" i="12"/>
  <c r="R23" i="12"/>
  <c r="O23" i="12"/>
  <c r="P23" i="12"/>
  <c r="Q23" i="12"/>
  <c r="M23" i="12"/>
  <c r="J23" i="12"/>
  <c r="N43" i="12"/>
  <c r="P43" i="12"/>
  <c r="O43" i="12"/>
  <c r="R43" i="12"/>
  <c r="Q43" i="12"/>
  <c r="M43" i="12"/>
  <c r="K43" i="12"/>
  <c r="J43" i="12"/>
  <c r="S43" i="12"/>
  <c r="L43" i="12"/>
  <c r="R15" i="12"/>
  <c r="K15" i="12"/>
  <c r="P15" i="12"/>
  <c r="O15" i="12"/>
  <c r="M15" i="12"/>
  <c r="N15" i="12"/>
  <c r="S15" i="12"/>
  <c r="L15" i="12"/>
  <c r="J15" i="12"/>
  <c r="Q15" i="12"/>
  <c r="S31" i="12"/>
  <c r="L31" i="12"/>
  <c r="M31" i="12"/>
  <c r="J31" i="12"/>
  <c r="N31" i="12"/>
  <c r="Q31" i="12"/>
  <c r="O31" i="12"/>
  <c r="K31" i="12"/>
  <c r="P31" i="12"/>
  <c r="R31" i="12"/>
  <c r="N21" i="12"/>
  <c r="J21" i="12"/>
  <c r="R21" i="12"/>
  <c r="S21" i="12"/>
  <c r="K21" i="12"/>
  <c r="L21" i="12"/>
  <c r="M21" i="12"/>
  <c r="O21" i="12"/>
  <c r="Q21" i="12"/>
  <c r="P21" i="12"/>
  <c r="L16" i="12"/>
  <c r="Q16" i="12"/>
  <c r="O16" i="12"/>
  <c r="M16" i="12"/>
  <c r="S16" i="12"/>
  <c r="K16" i="12"/>
  <c r="J16" i="12"/>
  <c r="N16" i="12"/>
  <c r="P16" i="12"/>
  <c r="R16" i="12"/>
  <c r="O11" i="12"/>
  <c r="N11" i="12"/>
  <c r="Q11" i="12"/>
  <c r="K11" i="12"/>
  <c r="M11" i="12"/>
  <c r="R11" i="12"/>
  <c r="L11" i="12"/>
  <c r="S11" i="12"/>
  <c r="J11" i="12"/>
  <c r="P11" i="12"/>
  <c r="L82" i="12"/>
  <c r="S82" i="12"/>
  <c r="J82" i="12"/>
  <c r="K82" i="12"/>
  <c r="N82" i="12"/>
  <c r="M82" i="12"/>
  <c r="O82" i="12"/>
  <c r="P82" i="12"/>
  <c r="Q82" i="12"/>
  <c r="R82" i="12"/>
  <c r="J51" i="12"/>
  <c r="P51" i="12"/>
  <c r="R51" i="12"/>
  <c r="S51" i="12"/>
  <c r="K51" i="12"/>
  <c r="L51" i="12"/>
  <c r="N51" i="12"/>
  <c r="O51" i="12"/>
  <c r="Q51" i="12"/>
  <c r="M51" i="12"/>
  <c r="P49" i="12"/>
  <c r="R49" i="12"/>
  <c r="O49" i="12"/>
  <c r="J49" i="12"/>
  <c r="K49" i="12"/>
  <c r="N49" i="12"/>
  <c r="L49" i="12"/>
  <c r="S49" i="12"/>
  <c r="D49" i="12"/>
  <c r="M49" i="12"/>
  <c r="Q49" i="12"/>
  <c r="S13" i="12"/>
  <c r="M13" i="12"/>
  <c r="O13" i="12"/>
  <c r="L13" i="12"/>
  <c r="J13" i="12"/>
  <c r="N13" i="12"/>
  <c r="R13" i="12"/>
  <c r="Q13" i="12"/>
  <c r="K13" i="12"/>
  <c r="P13" i="12"/>
  <c r="K22" i="12"/>
  <c r="O22" i="12"/>
  <c r="R22" i="12"/>
  <c r="N22" i="12"/>
  <c r="S22" i="12"/>
  <c r="Q22" i="12"/>
  <c r="J22" i="12"/>
  <c r="M22" i="12"/>
  <c r="P22" i="12"/>
  <c r="L22" i="12"/>
  <c r="M24" i="12"/>
  <c r="L24" i="12"/>
  <c r="R24" i="12"/>
  <c r="K24" i="12"/>
  <c r="P24" i="12"/>
  <c r="O24" i="12"/>
  <c r="Q24" i="12"/>
  <c r="S24" i="12"/>
  <c r="J24" i="12"/>
  <c r="N24" i="12"/>
  <c r="R50" i="12"/>
  <c r="N50" i="12"/>
  <c r="K50" i="12"/>
  <c r="Q50" i="12"/>
  <c r="M50" i="12"/>
  <c r="L50" i="12"/>
  <c r="S50" i="12"/>
  <c r="J50" i="12"/>
  <c r="P50" i="12"/>
  <c r="O50" i="12"/>
  <c r="P14" i="12"/>
  <c r="O14" i="12"/>
  <c r="Q14" i="12"/>
  <c r="K14" i="12"/>
  <c r="J14" i="12"/>
  <c r="M14" i="12"/>
  <c r="L14" i="12"/>
  <c r="N14" i="12"/>
  <c r="S14" i="12"/>
  <c r="R14" i="12"/>
  <c r="K19" i="7"/>
  <c r="H19" i="7"/>
  <c r="G19" i="7"/>
  <c r="B19" i="7"/>
  <c r="M19" i="7"/>
  <c r="E19" i="7"/>
  <c r="L19" i="7"/>
  <c r="D19" i="7"/>
  <c r="J19" i="7"/>
  <c r="I19" i="7"/>
  <c r="F19" i="7"/>
  <c r="A19" i="7"/>
  <c r="E34" i="7"/>
  <c r="G34" i="7"/>
  <c r="M34" i="7"/>
  <c r="F34" i="7"/>
  <c r="I34" i="7"/>
  <c r="J34" i="7"/>
  <c r="H34" i="7"/>
  <c r="K34" i="7"/>
  <c r="L34" i="7"/>
  <c r="K37" i="7"/>
  <c r="L37" i="7"/>
  <c r="E37" i="7"/>
  <c r="I37" i="7"/>
  <c r="H37" i="7"/>
  <c r="M37" i="7"/>
  <c r="F37" i="7"/>
  <c r="G37" i="7"/>
  <c r="J37" i="7"/>
  <c r="G40" i="7"/>
  <c r="D40" i="7"/>
  <c r="H40" i="7"/>
  <c r="I40" i="7"/>
  <c r="E40" i="7"/>
  <c r="F40" i="7"/>
  <c r="K40" i="7"/>
  <c r="J40" i="7"/>
  <c r="L40" i="7"/>
  <c r="M40" i="7"/>
  <c r="H9" i="7"/>
  <c r="I9" i="7"/>
  <c r="J9" i="7"/>
  <c r="D9" i="7"/>
  <c r="F9" i="7"/>
  <c r="K9" i="7"/>
  <c r="M9" i="7"/>
  <c r="L9" i="7"/>
  <c r="E9" i="7"/>
  <c r="G9" i="7"/>
  <c r="G46" i="7"/>
  <c r="D46" i="7"/>
  <c r="I46" i="7"/>
  <c r="F46" i="7"/>
  <c r="C46" i="7"/>
  <c r="H46" i="7"/>
  <c r="K46" i="7"/>
  <c r="L46" i="7"/>
  <c r="J46" i="7"/>
  <c r="E46" i="7"/>
  <c r="M46" i="7"/>
  <c r="K38" i="7"/>
  <c r="L38" i="7"/>
  <c r="M38" i="7"/>
  <c r="J38" i="7"/>
  <c r="E38" i="7"/>
  <c r="G38" i="7"/>
  <c r="F38" i="7"/>
  <c r="H38" i="7"/>
  <c r="I38" i="7"/>
  <c r="F14" i="7"/>
  <c r="E14" i="7"/>
  <c r="G14" i="7"/>
  <c r="K14" i="7"/>
  <c r="M14" i="7"/>
  <c r="D14" i="7"/>
  <c r="I14" i="7"/>
  <c r="H14" i="7"/>
  <c r="L14" i="7"/>
  <c r="J14" i="7"/>
  <c r="G44" i="7"/>
  <c r="D44" i="7"/>
  <c r="J44" i="7"/>
  <c r="H44" i="7"/>
  <c r="I44" i="7"/>
  <c r="C44" i="7"/>
  <c r="K44" i="7"/>
  <c r="L44" i="7"/>
  <c r="M44" i="7"/>
  <c r="E44" i="7"/>
  <c r="F44" i="7"/>
  <c r="J5" i="7"/>
  <c r="K5" i="7"/>
  <c r="L5" i="7"/>
  <c r="I5" i="7"/>
  <c r="F5" i="7"/>
  <c r="D5" i="7"/>
  <c r="B5" i="7"/>
  <c r="E5" i="7"/>
  <c r="G5" i="7"/>
  <c r="H5" i="7"/>
  <c r="M5" i="7"/>
  <c r="B3" i="7"/>
  <c r="D11" i="7"/>
  <c r="G11" i="7"/>
  <c r="I11" i="7"/>
  <c r="F11" i="7"/>
  <c r="M11" i="7"/>
  <c r="H11" i="7"/>
  <c r="E11" i="7"/>
  <c r="J11" i="7"/>
  <c r="L11" i="7"/>
  <c r="K11" i="7"/>
  <c r="D26" i="7"/>
  <c r="L26" i="7"/>
  <c r="J26" i="7"/>
  <c r="K26" i="7"/>
  <c r="H26" i="7"/>
  <c r="F26" i="7"/>
  <c r="G26" i="7"/>
  <c r="I26" i="7"/>
  <c r="M26" i="7"/>
  <c r="E26" i="7"/>
  <c r="D25" i="7"/>
  <c r="L25" i="7"/>
  <c r="G25" i="7"/>
  <c r="E25" i="7"/>
  <c r="K25" i="7"/>
  <c r="I25" i="7"/>
  <c r="F25" i="7"/>
  <c r="J25" i="7"/>
  <c r="M25" i="7"/>
  <c r="H25" i="7"/>
  <c r="E23" i="7"/>
  <c r="J23" i="7"/>
  <c r="K23" i="7"/>
  <c r="L23" i="7"/>
  <c r="M23" i="7"/>
  <c r="D23" i="7"/>
  <c r="G23" i="7"/>
  <c r="F23" i="7"/>
  <c r="B23" i="7"/>
  <c r="A23" i="7"/>
  <c r="I23" i="7"/>
  <c r="H23" i="7"/>
  <c r="E42" i="7"/>
  <c r="D42" i="7"/>
  <c r="H42" i="7"/>
  <c r="L42" i="7"/>
  <c r="F42" i="7"/>
  <c r="M42" i="7"/>
  <c r="I42" i="7"/>
  <c r="G42" i="7"/>
  <c r="J42" i="7"/>
  <c r="K42" i="7"/>
  <c r="L47" i="7"/>
  <c r="E47" i="7"/>
  <c r="H47" i="7"/>
  <c r="D47" i="7"/>
  <c r="I47" i="7"/>
  <c r="F47" i="7"/>
  <c r="C47" i="7"/>
  <c r="G47" i="7"/>
  <c r="K47" i="7"/>
  <c r="J47" i="7"/>
  <c r="M47" i="7"/>
  <c r="G39" i="7"/>
  <c r="D39" i="7"/>
  <c r="K39" i="7"/>
  <c r="F39" i="7"/>
  <c r="M39" i="7"/>
  <c r="E39" i="7"/>
  <c r="L39" i="7"/>
  <c r="H39" i="7"/>
  <c r="J39" i="7"/>
  <c r="I39" i="7"/>
  <c r="B22" i="7"/>
  <c r="J22" i="7"/>
  <c r="G22" i="7"/>
  <c r="E22" i="7"/>
  <c r="M22" i="7"/>
  <c r="I22" i="7"/>
  <c r="K22" i="7"/>
  <c r="F22" i="7"/>
  <c r="A22" i="7"/>
  <c r="H22" i="7"/>
  <c r="D22" i="7"/>
  <c r="L22" i="7"/>
  <c r="G28" i="7"/>
  <c r="F28" i="7"/>
  <c r="D28" i="7"/>
  <c r="M28" i="7"/>
  <c r="J28" i="7"/>
  <c r="L28" i="7"/>
  <c r="I28" i="7"/>
  <c r="K28" i="7"/>
  <c r="E28" i="7"/>
  <c r="H28" i="7"/>
  <c r="J21" i="7"/>
  <c r="H21" i="7"/>
  <c r="D21" i="7"/>
  <c r="F21" i="7"/>
  <c r="G21" i="7"/>
  <c r="I21" i="7"/>
  <c r="M21" i="7"/>
  <c r="K21" i="7"/>
  <c r="L21" i="7"/>
  <c r="E21" i="7"/>
  <c r="M43" i="7"/>
  <c r="J43" i="7"/>
  <c r="C43" i="7"/>
  <c r="D43" i="7"/>
  <c r="H43" i="7"/>
  <c r="L43" i="7"/>
  <c r="K43" i="7"/>
  <c r="I43" i="7"/>
  <c r="E43" i="7"/>
  <c r="G43" i="7"/>
  <c r="F43" i="7"/>
  <c r="H17" i="7"/>
  <c r="B17" i="7"/>
  <c r="D17" i="7"/>
  <c r="F17" i="7"/>
  <c r="L17" i="7"/>
  <c r="K17" i="7"/>
  <c r="M17" i="7"/>
  <c r="E17" i="7"/>
  <c r="J17" i="7"/>
  <c r="G17" i="7"/>
  <c r="A17" i="7"/>
  <c r="I17" i="7"/>
  <c r="E50" i="7"/>
  <c r="D50" i="7"/>
  <c r="K50" i="7"/>
  <c r="G50" i="7"/>
  <c r="J50" i="7"/>
  <c r="L50" i="7"/>
  <c r="F50" i="7"/>
  <c r="M50" i="7"/>
  <c r="I50" i="7"/>
  <c r="H50" i="7"/>
  <c r="J8" i="7"/>
  <c r="E8" i="7"/>
  <c r="H8" i="7"/>
  <c r="K8" i="7"/>
  <c r="M8" i="7"/>
  <c r="L8" i="7"/>
  <c r="D8" i="7"/>
  <c r="G8" i="7"/>
  <c r="F8" i="7"/>
  <c r="I8" i="7"/>
  <c r="D15" i="7"/>
  <c r="M15" i="7"/>
  <c r="L15" i="7"/>
  <c r="F15" i="7"/>
  <c r="E15" i="7"/>
  <c r="H15" i="7"/>
  <c r="J15" i="7"/>
  <c r="I15" i="7"/>
  <c r="G15" i="7"/>
  <c r="K15" i="7"/>
  <c r="L36" i="7"/>
  <c r="F36" i="7"/>
  <c r="K36" i="7"/>
  <c r="J36" i="7"/>
  <c r="M36" i="7"/>
  <c r="H36" i="7"/>
  <c r="E36" i="7"/>
  <c r="G36" i="7"/>
  <c r="I36" i="7"/>
  <c r="E12" i="7"/>
  <c r="G12" i="7"/>
  <c r="M12" i="7"/>
  <c r="H12" i="7"/>
  <c r="K12" i="7"/>
  <c r="F12" i="7"/>
  <c r="L12" i="7"/>
  <c r="J12" i="7"/>
  <c r="D12" i="7"/>
  <c r="I12" i="7"/>
  <c r="D24" i="7"/>
  <c r="I24" i="7"/>
  <c r="F24" i="7"/>
  <c r="G24" i="7"/>
  <c r="K24" i="7"/>
  <c r="L24" i="7"/>
  <c r="E24" i="7"/>
  <c r="H24" i="7"/>
  <c r="A24" i="7"/>
  <c r="J24" i="7"/>
  <c r="M24" i="7"/>
  <c r="B16" i="7"/>
  <c r="A16" i="7"/>
  <c r="K16" i="7"/>
  <c r="H16" i="7"/>
  <c r="D16" i="7"/>
  <c r="I16" i="7"/>
  <c r="L16" i="7"/>
  <c r="J16" i="7"/>
  <c r="M16" i="7"/>
  <c r="G16" i="7"/>
  <c r="E16" i="7"/>
  <c r="F16" i="7"/>
  <c r="L20" i="7"/>
  <c r="G20" i="7"/>
  <c r="I20" i="7"/>
  <c r="B20" i="7"/>
  <c r="A20" i="7"/>
  <c r="H20" i="7"/>
  <c r="D20" i="7"/>
  <c r="K20" i="7"/>
  <c r="M20" i="7"/>
  <c r="E20" i="7"/>
  <c r="F20" i="7"/>
  <c r="J20" i="7"/>
  <c r="G45" i="7"/>
  <c r="K45" i="7"/>
  <c r="J45" i="7"/>
  <c r="L45" i="7"/>
  <c r="E45" i="7"/>
  <c r="F45" i="7"/>
  <c r="C45" i="7"/>
  <c r="H45" i="7"/>
  <c r="M45" i="7"/>
  <c r="D45" i="7"/>
  <c r="I45" i="7"/>
  <c r="G49" i="7"/>
  <c r="H49" i="7"/>
  <c r="I49" i="7"/>
  <c r="E49" i="7"/>
  <c r="F49" i="7"/>
  <c r="L49" i="7"/>
  <c r="M49" i="7"/>
  <c r="K49" i="7"/>
  <c r="D49" i="7"/>
  <c r="J49" i="7"/>
  <c r="M7" i="7"/>
  <c r="D7" i="7"/>
  <c r="E7" i="7"/>
  <c r="F7" i="7"/>
  <c r="K7" i="7"/>
  <c r="I7" i="7"/>
  <c r="H7" i="7"/>
  <c r="L7" i="7"/>
  <c r="J7" i="7"/>
  <c r="G7" i="7"/>
  <c r="K18" i="7"/>
  <c r="A18" i="7"/>
  <c r="J18" i="7"/>
  <c r="B18" i="7"/>
  <c r="M18" i="7"/>
  <c r="L18" i="7"/>
  <c r="D18" i="7"/>
  <c r="F18" i="7"/>
  <c r="I18" i="7"/>
  <c r="E18" i="7"/>
  <c r="G18" i="7"/>
  <c r="H18" i="7"/>
  <c r="L33" i="7"/>
  <c r="I33" i="7"/>
  <c r="H33" i="7"/>
  <c r="J33" i="7"/>
  <c r="E33" i="7"/>
  <c r="F33" i="7"/>
  <c r="K33" i="7"/>
  <c r="G33" i="7"/>
  <c r="M33" i="7"/>
  <c r="A85" i="15"/>
  <c r="A101" i="15"/>
  <c r="A96" i="15"/>
  <c r="A32" i="15"/>
  <c r="A20" i="15"/>
  <c r="A48" i="15"/>
  <c r="A74" i="15"/>
  <c r="A90" i="15"/>
  <c r="A61" i="15"/>
  <c r="A45" i="15"/>
  <c r="A21" i="15"/>
  <c r="A35" i="15"/>
  <c r="A19" i="15"/>
  <c r="A94" i="15"/>
  <c r="A78" i="15"/>
  <c r="A89" i="15"/>
  <c r="A52" i="15"/>
  <c r="A58" i="15"/>
  <c r="A68" i="15"/>
  <c r="A13" i="15"/>
  <c r="A62" i="15"/>
  <c r="A97" i="15"/>
  <c r="A76" i="15"/>
  <c r="A17" i="15"/>
  <c r="A12" i="15"/>
  <c r="A66" i="15"/>
  <c r="A63" i="15"/>
  <c r="A60" i="15"/>
  <c r="A46" i="15"/>
  <c r="A71" i="15"/>
  <c r="A27" i="15"/>
  <c r="A59" i="15"/>
  <c r="A36" i="15"/>
  <c r="A42" i="15"/>
  <c r="A10" i="15"/>
  <c r="A44" i="15"/>
  <c r="A82" i="15"/>
  <c r="A86" i="15"/>
  <c r="A95" i="15"/>
  <c r="A77" i="15"/>
  <c r="A16" i="15"/>
  <c r="A40" i="15"/>
  <c r="A33" i="15"/>
  <c r="A38" i="15"/>
  <c r="A34" i="15"/>
  <c r="A54" i="15"/>
  <c r="A93" i="15"/>
  <c r="A65" i="15"/>
  <c r="A57" i="15"/>
  <c r="A67" i="15"/>
  <c r="A31" i="15"/>
  <c r="A39" i="15"/>
  <c r="A83" i="15"/>
  <c r="A53" i="15"/>
  <c r="A29" i="15"/>
  <c r="A28" i="15"/>
  <c r="A64" i="15"/>
  <c r="A73" i="15"/>
  <c r="A99" i="15"/>
  <c r="A92" i="15"/>
  <c r="A84" i="15"/>
  <c r="A30" i="15"/>
  <c r="A56" i="15"/>
  <c r="A8" i="15"/>
  <c r="A75" i="15"/>
  <c r="A100" i="15"/>
  <c r="A43" i="15"/>
  <c r="A49" i="15"/>
  <c r="A18" i="15"/>
  <c r="A102" i="15"/>
  <c r="A98" i="15"/>
  <c r="A87" i="15"/>
  <c r="A41" i="15"/>
  <c r="A14" i="15"/>
  <c r="A9" i="15"/>
  <c r="A24" i="15"/>
  <c r="A37" i="15"/>
  <c r="A47" i="15"/>
  <c r="A69" i="15"/>
  <c r="A22" i="15"/>
  <c r="A88" i="15"/>
  <c r="A51" i="15"/>
  <c r="A26" i="15"/>
  <c r="A11" i="15"/>
  <c r="A72" i="15"/>
  <c r="A23" i="15"/>
  <c r="A79" i="15"/>
  <c r="A50" i="15"/>
  <c r="A70" i="15"/>
  <c r="A25" i="15"/>
  <c r="A81" i="15"/>
  <c r="A80" i="15"/>
  <c r="A91" i="15"/>
  <c r="A15" i="15"/>
  <c r="A55" i="15"/>
  <c r="F7" i="11"/>
  <c r="I7" i="11"/>
  <c r="D7" i="11"/>
  <c r="C7" i="11"/>
  <c r="J7" i="11"/>
  <c r="P7" i="11"/>
  <c r="G7" i="11"/>
  <c r="K7" i="11"/>
  <c r="L7" i="11"/>
  <c r="Q7" i="11"/>
  <c r="E7" i="11"/>
  <c r="H7" i="11"/>
  <c r="N7" i="11"/>
  <c r="M7" i="11"/>
  <c r="O7" i="11"/>
  <c r="K12" i="11"/>
  <c r="J12" i="11"/>
  <c r="D12" i="11"/>
  <c r="F12" i="11"/>
  <c r="E12" i="11"/>
  <c r="O12" i="11"/>
  <c r="Q12" i="11"/>
  <c r="H12" i="11"/>
  <c r="P12" i="11"/>
  <c r="M12" i="11"/>
  <c r="L12" i="11"/>
  <c r="N12" i="11"/>
  <c r="G12" i="11"/>
  <c r="I12" i="11"/>
  <c r="L11" i="11"/>
  <c r="I11" i="11"/>
  <c r="C11" i="11"/>
  <c r="H11" i="11"/>
  <c r="P11" i="11"/>
  <c r="D11" i="11"/>
  <c r="Q11" i="11"/>
  <c r="J11" i="11"/>
  <c r="K11" i="11"/>
  <c r="O11" i="11"/>
  <c r="E11" i="11"/>
  <c r="F11" i="11"/>
  <c r="M11" i="11"/>
  <c r="G11" i="11"/>
  <c r="N11" i="11"/>
  <c r="P8" i="11"/>
  <c r="M8" i="11"/>
  <c r="L8" i="11"/>
  <c r="E8" i="11"/>
  <c r="F8" i="11"/>
  <c r="H8" i="11"/>
  <c r="O8" i="11"/>
  <c r="I8" i="11"/>
  <c r="K8" i="11"/>
  <c r="N8" i="11"/>
  <c r="D8" i="11"/>
  <c r="G8" i="11"/>
  <c r="J8" i="11"/>
  <c r="Q8" i="11"/>
  <c r="G9" i="11"/>
  <c r="J9" i="11"/>
  <c r="P9" i="11"/>
  <c r="D9" i="11"/>
  <c r="E9" i="11"/>
  <c r="L9" i="11"/>
  <c r="F9" i="11"/>
  <c r="K9" i="11"/>
  <c r="H9" i="11"/>
  <c r="O9" i="11"/>
  <c r="I9" i="11"/>
  <c r="Q9" i="11"/>
  <c r="M9" i="11"/>
  <c r="N9" i="11"/>
  <c r="C9" i="11"/>
  <c r="C14" i="11"/>
  <c r="F14" i="11"/>
  <c r="G14" i="11"/>
  <c r="J14" i="11"/>
  <c r="Q14" i="11"/>
  <c r="E14" i="11"/>
  <c r="M14" i="11"/>
  <c r="N14" i="11"/>
  <c r="O14" i="11"/>
  <c r="P14" i="11"/>
  <c r="I14" i="11"/>
  <c r="K14" i="11"/>
  <c r="L14" i="11"/>
  <c r="D14" i="11"/>
  <c r="H14" i="11"/>
  <c r="J18" i="11"/>
  <c r="Q18" i="11"/>
  <c r="K18" i="11"/>
  <c r="O18" i="11"/>
  <c r="L18" i="11"/>
  <c r="I18" i="11"/>
  <c r="M18" i="11"/>
  <c r="N18" i="11"/>
  <c r="P18" i="11"/>
  <c r="Q6" i="11"/>
  <c r="N6" i="11"/>
  <c r="C6" i="11"/>
  <c r="O6" i="11"/>
  <c r="P6" i="11"/>
  <c r="M6" i="11"/>
  <c r="E6" i="11"/>
  <c r="F6" i="11"/>
  <c r="H6" i="11"/>
  <c r="J6" i="11"/>
  <c r="D6" i="11"/>
  <c r="K6" i="11"/>
  <c r="I6" i="11"/>
  <c r="L6" i="11"/>
  <c r="G6" i="11"/>
  <c r="B3" i="11"/>
  <c r="G10" i="11"/>
  <c r="D10" i="11"/>
  <c r="L10" i="11"/>
  <c r="M10" i="11"/>
  <c r="O10" i="11"/>
  <c r="I10" i="11"/>
  <c r="H10" i="11"/>
  <c r="P10" i="11"/>
  <c r="J10" i="11"/>
  <c r="C10" i="11"/>
  <c r="N10" i="11"/>
  <c r="K10" i="11"/>
  <c r="E10" i="11"/>
  <c r="F10" i="11"/>
  <c r="Q10" i="11"/>
  <c r="P13" i="11"/>
  <c r="I13" i="11"/>
  <c r="K13" i="11"/>
  <c r="F13" i="11"/>
  <c r="E13" i="11"/>
  <c r="D13" i="11"/>
  <c r="G13" i="11"/>
  <c r="O13" i="11"/>
  <c r="M13" i="11"/>
  <c r="N13" i="11"/>
  <c r="H13" i="11"/>
  <c r="Q13" i="11"/>
  <c r="J13" i="11"/>
  <c r="L13" i="11"/>
  <c r="M17" i="11"/>
  <c r="P17" i="11"/>
  <c r="O17" i="11"/>
  <c r="N17" i="11"/>
  <c r="I17" i="11"/>
  <c r="K17" i="11"/>
  <c r="J17" i="11"/>
  <c r="L17" i="11"/>
  <c r="Q17" i="11"/>
  <c r="H17" i="11"/>
  <c r="N5" i="11"/>
  <c r="I5" i="11"/>
  <c r="Q5" i="11"/>
  <c r="E5" i="11"/>
  <c r="H5" i="11"/>
  <c r="B5" i="11"/>
  <c r="M5" i="11"/>
  <c r="P5" i="11"/>
  <c r="G5" i="11"/>
  <c r="J5" i="11"/>
  <c r="F5" i="11"/>
  <c r="C5" i="11"/>
  <c r="K5" i="11"/>
  <c r="D5" i="11"/>
  <c r="L5" i="11"/>
  <c r="O5" i="11"/>
  <c r="J109" i="4"/>
  <c r="H109" i="4"/>
  <c r="Q109" i="4"/>
  <c r="I109" i="4"/>
  <c r="K109" i="4"/>
  <c r="L109" i="4"/>
  <c r="N109" i="4"/>
  <c r="O109" i="4"/>
  <c r="M109" i="4"/>
  <c r="P109" i="4"/>
  <c r="Q228" i="4"/>
  <c r="Q280" i="4"/>
  <c r="P280" i="4"/>
  <c r="M280" i="4"/>
  <c r="N280" i="4"/>
  <c r="O280" i="4"/>
  <c r="L280" i="4"/>
  <c r="K280" i="4"/>
  <c r="D135" i="4"/>
  <c r="P135" i="4"/>
  <c r="O135" i="4"/>
  <c r="Q135" i="4"/>
  <c r="E135" i="4"/>
  <c r="I135" i="4"/>
  <c r="H135" i="4"/>
  <c r="M135" i="4"/>
  <c r="G135" i="4"/>
  <c r="N135" i="4"/>
  <c r="K135" i="4"/>
  <c r="L135" i="4"/>
  <c r="J135" i="4"/>
  <c r="C135" i="4"/>
  <c r="F135" i="4"/>
  <c r="F106" i="4"/>
  <c r="N106" i="4"/>
  <c r="M106" i="4"/>
  <c r="E106" i="4"/>
  <c r="O106" i="4"/>
  <c r="J106" i="4"/>
  <c r="I106" i="4"/>
  <c r="G106" i="4"/>
  <c r="H106" i="4"/>
  <c r="C106" i="4"/>
  <c r="D106" i="4"/>
  <c r="K106" i="4"/>
  <c r="Q106" i="4"/>
  <c r="L106" i="4"/>
  <c r="P106" i="4"/>
  <c r="M275" i="4"/>
  <c r="P275" i="4"/>
  <c r="O275" i="4"/>
  <c r="L275" i="4"/>
  <c r="Q275" i="4"/>
  <c r="J275" i="4"/>
  <c r="K275" i="4"/>
  <c r="N275" i="4"/>
  <c r="K139" i="4"/>
  <c r="N139" i="4"/>
  <c r="E139" i="4"/>
  <c r="M139" i="4"/>
  <c r="F139" i="4"/>
  <c r="A139" i="4"/>
  <c r="Q139" i="4"/>
  <c r="C139" i="4"/>
  <c r="L139" i="4"/>
  <c r="H139" i="4"/>
  <c r="O139" i="4"/>
  <c r="J139" i="4"/>
  <c r="G139" i="4"/>
  <c r="P139" i="4"/>
  <c r="D139" i="4"/>
  <c r="I139" i="4"/>
  <c r="Q230" i="4"/>
  <c r="P223" i="4"/>
  <c r="Q223" i="4"/>
  <c r="C326" i="4"/>
  <c r="F326" i="4"/>
  <c r="E326" i="4"/>
  <c r="P326" i="4"/>
  <c r="G326" i="4"/>
  <c r="L326" i="4"/>
  <c r="I326" i="4"/>
  <c r="J326" i="4"/>
  <c r="O326" i="4"/>
  <c r="M326" i="4"/>
  <c r="N326" i="4"/>
  <c r="H326" i="4"/>
  <c r="D326" i="4"/>
  <c r="Q326" i="4"/>
  <c r="K326" i="4"/>
  <c r="M237" i="4"/>
  <c r="N237" i="4"/>
  <c r="O237" i="4"/>
  <c r="P237" i="4"/>
  <c r="I237" i="4"/>
  <c r="H237" i="4"/>
  <c r="L237" i="4"/>
  <c r="K237" i="4"/>
  <c r="Q237" i="4"/>
  <c r="J237" i="4"/>
  <c r="H227" i="4"/>
  <c r="B227" i="4"/>
  <c r="I227" i="4"/>
  <c r="L227" i="4"/>
  <c r="K227" i="4"/>
  <c r="O227" i="4"/>
  <c r="Q227" i="4"/>
  <c r="J227" i="4"/>
  <c r="M227" i="4"/>
  <c r="N227" i="4"/>
  <c r="P227" i="4"/>
  <c r="J271" i="4"/>
  <c r="I271" i="4"/>
  <c r="Q271" i="4"/>
  <c r="M271" i="4"/>
  <c r="N271" i="4"/>
  <c r="L271" i="4"/>
  <c r="O271" i="4"/>
  <c r="P271" i="4"/>
  <c r="K271" i="4"/>
  <c r="I136" i="4"/>
  <c r="J136" i="4"/>
  <c r="C136" i="4"/>
  <c r="E136" i="4"/>
  <c r="F136" i="4"/>
  <c r="M136" i="4"/>
  <c r="H136" i="4"/>
  <c r="D136" i="4"/>
  <c r="L136" i="4"/>
  <c r="K136" i="4"/>
  <c r="P136" i="4"/>
  <c r="G136" i="4"/>
  <c r="Q136" i="4"/>
  <c r="N136" i="4"/>
  <c r="O136" i="4"/>
  <c r="E336" i="4"/>
  <c r="G336" i="4"/>
  <c r="M336" i="4"/>
  <c r="D336" i="4"/>
  <c r="C336" i="4"/>
  <c r="Q336" i="4"/>
  <c r="F336" i="4"/>
  <c r="L336" i="4"/>
  <c r="H336" i="4"/>
  <c r="A336" i="4"/>
  <c r="P336" i="4"/>
  <c r="K336" i="4"/>
  <c r="J336" i="4"/>
  <c r="O336" i="4"/>
  <c r="N336" i="4"/>
  <c r="I336" i="4"/>
  <c r="O15" i="4"/>
  <c r="P15" i="4"/>
  <c r="N15" i="4"/>
  <c r="Q15" i="4"/>
  <c r="M15" i="4"/>
  <c r="P225" i="4"/>
  <c r="Q225" i="4"/>
  <c r="Q32" i="4"/>
  <c r="O32" i="4"/>
  <c r="J32" i="4"/>
  <c r="H32" i="4"/>
  <c r="I32" i="4"/>
  <c r="D32" i="4"/>
  <c r="L32" i="4"/>
  <c r="G32" i="4"/>
  <c r="F32" i="4"/>
  <c r="N32" i="4"/>
  <c r="P32" i="4"/>
  <c r="E32" i="4"/>
  <c r="M32" i="4"/>
  <c r="K32" i="4"/>
  <c r="M238" i="4"/>
  <c r="K238" i="4"/>
  <c r="J238" i="4"/>
  <c r="H238" i="4"/>
  <c r="I238" i="4"/>
  <c r="O238" i="4"/>
  <c r="L238" i="4"/>
  <c r="P238" i="4"/>
  <c r="N238" i="4"/>
  <c r="Q238" i="4"/>
  <c r="F246" i="4"/>
  <c r="J246" i="4"/>
  <c r="P246" i="4"/>
  <c r="K246" i="4"/>
  <c r="D246" i="4"/>
  <c r="H246" i="4"/>
  <c r="Q246" i="4"/>
  <c r="M246" i="4"/>
  <c r="C246" i="4"/>
  <c r="E246" i="4"/>
  <c r="N246" i="4"/>
  <c r="G246" i="4"/>
  <c r="L246" i="4"/>
  <c r="I246" i="4"/>
  <c r="O246" i="4"/>
  <c r="B3" i="4"/>
  <c r="O19" i="4"/>
  <c r="I19" i="4"/>
  <c r="H19" i="4"/>
  <c r="K19" i="4"/>
  <c r="J19" i="4"/>
  <c r="L19" i="4"/>
  <c r="P19" i="4"/>
  <c r="Q19" i="4"/>
  <c r="N19" i="4"/>
  <c r="M19" i="4"/>
  <c r="G111" i="4"/>
  <c r="L111" i="4"/>
  <c r="M111" i="4"/>
  <c r="K111" i="4"/>
  <c r="C111" i="4"/>
  <c r="J111" i="4"/>
  <c r="O111" i="4"/>
  <c r="Q111" i="4"/>
  <c r="P111" i="4"/>
  <c r="H111" i="4"/>
  <c r="D111" i="4"/>
  <c r="I111" i="4"/>
  <c r="F111" i="4"/>
  <c r="E111" i="4"/>
  <c r="N111" i="4"/>
  <c r="K222" i="4"/>
  <c r="N222" i="4"/>
  <c r="B222" i="4"/>
  <c r="H222" i="4"/>
  <c r="L222" i="4"/>
  <c r="J222" i="4"/>
  <c r="I222" i="4"/>
  <c r="O222" i="4"/>
  <c r="P222" i="4"/>
  <c r="M222" i="4"/>
  <c r="Q222" i="4"/>
  <c r="G337" i="4"/>
  <c r="E337" i="4"/>
  <c r="D337" i="4"/>
  <c r="A337" i="4"/>
  <c r="C337" i="4"/>
  <c r="F337" i="4"/>
  <c r="M197" i="4"/>
  <c r="P197" i="4"/>
  <c r="Q197" i="4"/>
  <c r="O197" i="4"/>
  <c r="N197" i="4"/>
  <c r="K197" i="4"/>
  <c r="H197" i="4"/>
  <c r="B197" i="4"/>
  <c r="I197" i="4"/>
  <c r="J197" i="4"/>
  <c r="L197" i="4"/>
  <c r="K87" i="4"/>
  <c r="L87" i="4"/>
  <c r="N87" i="4"/>
  <c r="M87" i="4"/>
  <c r="H87" i="4"/>
  <c r="Q87" i="4"/>
  <c r="J87" i="4"/>
  <c r="P87" i="4"/>
  <c r="I87" i="4"/>
  <c r="O87" i="4"/>
  <c r="N21" i="4"/>
  <c r="M21" i="4"/>
  <c r="O21" i="4"/>
  <c r="Q21" i="4"/>
  <c r="P21" i="4"/>
  <c r="M119" i="4"/>
  <c r="O119" i="4"/>
  <c r="N119" i="4"/>
  <c r="J119" i="4"/>
  <c r="P119" i="4"/>
  <c r="I119" i="4"/>
  <c r="Q119" i="4"/>
  <c r="H119" i="4"/>
  <c r="K119" i="4"/>
  <c r="L119" i="4"/>
  <c r="N43" i="4"/>
  <c r="O43" i="4"/>
  <c r="I43" i="4"/>
  <c r="P43" i="4"/>
  <c r="J43" i="4"/>
  <c r="H43" i="4"/>
  <c r="L43" i="4"/>
  <c r="Q43" i="4"/>
  <c r="M43" i="4"/>
  <c r="K43" i="4"/>
  <c r="E36" i="4"/>
  <c r="H36" i="4"/>
  <c r="G36" i="4"/>
  <c r="P36" i="4"/>
  <c r="M36" i="4"/>
  <c r="F36" i="4"/>
  <c r="D36" i="4"/>
  <c r="N36" i="4"/>
  <c r="I36" i="4"/>
  <c r="C36" i="4"/>
  <c r="L36" i="4"/>
  <c r="J36" i="4"/>
  <c r="Q36" i="4"/>
  <c r="K36" i="4"/>
  <c r="O36" i="4"/>
  <c r="H183" i="4"/>
  <c r="I183" i="4"/>
  <c r="O183" i="4"/>
  <c r="M183" i="4"/>
  <c r="J183" i="4"/>
  <c r="L183" i="4"/>
  <c r="K183" i="4"/>
  <c r="Q183" i="4"/>
  <c r="N183" i="4"/>
  <c r="P183" i="4"/>
  <c r="M24" i="4"/>
  <c r="O24" i="4"/>
  <c r="N24" i="4"/>
  <c r="Q24" i="4"/>
  <c r="P24" i="4"/>
  <c r="J49" i="4"/>
  <c r="P49" i="4"/>
  <c r="L49" i="4"/>
  <c r="I49" i="4"/>
  <c r="H49" i="4"/>
  <c r="N49" i="4"/>
  <c r="O49" i="4"/>
  <c r="Q49" i="4"/>
  <c r="K49" i="4"/>
  <c r="M49" i="4"/>
  <c r="L205" i="4"/>
  <c r="M205" i="4"/>
  <c r="N205" i="4"/>
  <c r="O205" i="4"/>
  <c r="P205" i="4"/>
  <c r="Q205" i="4"/>
  <c r="H304" i="4"/>
  <c r="B304" i="4"/>
  <c r="I304" i="4"/>
  <c r="J304" i="4"/>
  <c r="N304" i="4"/>
  <c r="Q304" i="4"/>
  <c r="L304" i="4"/>
  <c r="O304" i="4"/>
  <c r="K304" i="4"/>
  <c r="P304" i="4"/>
  <c r="M304" i="4"/>
  <c r="J315" i="4"/>
  <c r="L315" i="4"/>
  <c r="O315" i="4"/>
  <c r="D315" i="4"/>
  <c r="Q315" i="4"/>
  <c r="F315" i="4"/>
  <c r="E315" i="4"/>
  <c r="P315" i="4"/>
  <c r="K315" i="4"/>
  <c r="G315" i="4"/>
  <c r="C315" i="4"/>
  <c r="I315" i="4"/>
  <c r="N315" i="4"/>
  <c r="M315" i="4"/>
  <c r="A315" i="4"/>
  <c r="H315" i="4"/>
  <c r="C328" i="4"/>
  <c r="N328" i="4"/>
  <c r="P328" i="4"/>
  <c r="K328" i="4"/>
  <c r="O328" i="4"/>
  <c r="E328" i="4"/>
  <c r="D328" i="4"/>
  <c r="H328" i="4"/>
  <c r="M328" i="4"/>
  <c r="Q328" i="4"/>
  <c r="A328" i="4"/>
  <c r="F328" i="4"/>
  <c r="L328" i="4"/>
  <c r="I328" i="4"/>
  <c r="G328" i="4"/>
  <c r="J328" i="4"/>
  <c r="I186" i="4"/>
  <c r="H186" i="4"/>
  <c r="K186" i="4"/>
  <c r="J186" i="4"/>
  <c r="N62" i="4"/>
  <c r="K62" i="4"/>
  <c r="Q62" i="4"/>
  <c r="I62" i="4"/>
  <c r="P62" i="4"/>
  <c r="H62" i="4"/>
  <c r="M62" i="4"/>
  <c r="J62" i="4"/>
  <c r="L62" i="4"/>
  <c r="O62" i="4"/>
  <c r="E52" i="4"/>
  <c r="D52" i="4"/>
  <c r="P52" i="4"/>
  <c r="O52" i="4"/>
  <c r="Q52" i="4"/>
  <c r="C52" i="4"/>
  <c r="F52" i="4"/>
  <c r="J52" i="4"/>
  <c r="K52" i="4"/>
  <c r="H52" i="4"/>
  <c r="G52" i="4"/>
  <c r="N52" i="4"/>
  <c r="I52" i="4"/>
  <c r="M52" i="4"/>
  <c r="L52" i="4"/>
  <c r="O194" i="4"/>
  <c r="P194" i="4"/>
  <c r="J194" i="4"/>
  <c r="K194" i="4"/>
  <c r="Q194" i="4"/>
  <c r="N194" i="4"/>
  <c r="L194" i="4"/>
  <c r="M194" i="4"/>
  <c r="N309" i="4"/>
  <c r="O309" i="4"/>
  <c r="M309" i="4"/>
  <c r="H309" i="4"/>
  <c r="P309" i="4"/>
  <c r="Q309" i="4"/>
  <c r="K309" i="4"/>
  <c r="I309" i="4"/>
  <c r="B309" i="4"/>
  <c r="L309" i="4"/>
  <c r="J309" i="4"/>
  <c r="P303" i="4"/>
  <c r="Q303" i="4"/>
  <c r="O303" i="4"/>
  <c r="C35" i="4"/>
  <c r="L35" i="4"/>
  <c r="H35" i="4"/>
  <c r="K35" i="4"/>
  <c r="M35" i="4"/>
  <c r="P35" i="4"/>
  <c r="F35" i="4"/>
  <c r="E35" i="4"/>
  <c r="J35" i="4"/>
  <c r="D35" i="4"/>
  <c r="G35" i="4"/>
  <c r="A35" i="4"/>
  <c r="Q35" i="4"/>
  <c r="O35" i="4"/>
  <c r="N35" i="4"/>
  <c r="I35" i="4"/>
  <c r="I188" i="4"/>
  <c r="O188" i="4"/>
  <c r="M188" i="4"/>
  <c r="N188" i="4"/>
  <c r="K188" i="4"/>
  <c r="J188" i="4"/>
  <c r="P188" i="4"/>
  <c r="L188" i="4"/>
  <c r="Q188" i="4"/>
  <c r="A141" i="4"/>
  <c r="O141" i="4"/>
  <c r="N141" i="4"/>
  <c r="P141" i="4"/>
  <c r="K141" i="4"/>
  <c r="L141" i="4"/>
  <c r="Q141" i="4"/>
  <c r="C141" i="4"/>
  <c r="G141" i="4"/>
  <c r="D141" i="4"/>
  <c r="H141" i="4"/>
  <c r="M141" i="4"/>
  <c r="E141" i="4"/>
  <c r="J141" i="4"/>
  <c r="I141" i="4"/>
  <c r="F141" i="4"/>
  <c r="Q313" i="4"/>
  <c r="I171" i="4"/>
  <c r="N171" i="4"/>
  <c r="O171" i="4"/>
  <c r="H171" i="4"/>
  <c r="L171" i="4"/>
  <c r="Q171" i="4"/>
  <c r="M171" i="4"/>
  <c r="K171" i="4"/>
  <c r="J171" i="4"/>
  <c r="P171" i="4"/>
  <c r="I86" i="4"/>
  <c r="L86" i="4"/>
  <c r="J86" i="4"/>
  <c r="Q86" i="4"/>
  <c r="M86" i="4"/>
  <c r="K86" i="4"/>
  <c r="H86" i="4"/>
  <c r="N86" i="4"/>
  <c r="P86" i="4"/>
  <c r="O86" i="4"/>
  <c r="J140" i="4"/>
  <c r="D140" i="4"/>
  <c r="N140" i="4"/>
  <c r="Q140" i="4"/>
  <c r="O140" i="4"/>
  <c r="K140" i="4"/>
  <c r="G140" i="4"/>
  <c r="E140" i="4"/>
  <c r="I140" i="4"/>
  <c r="C140" i="4"/>
  <c r="H140" i="4"/>
  <c r="F140" i="4"/>
  <c r="M140" i="4"/>
  <c r="P140" i="4"/>
  <c r="L140" i="4"/>
  <c r="I265" i="4"/>
  <c r="L265" i="4"/>
  <c r="Q265" i="4"/>
  <c r="P265" i="4"/>
  <c r="K265" i="4"/>
  <c r="H265" i="4"/>
  <c r="M265" i="4"/>
  <c r="N265" i="4"/>
  <c r="O265" i="4"/>
  <c r="J265" i="4"/>
  <c r="P306" i="4"/>
  <c r="Q306" i="4"/>
  <c r="M196" i="4"/>
  <c r="L196" i="4"/>
  <c r="K196" i="4"/>
  <c r="J196" i="4"/>
  <c r="J151" i="4"/>
  <c r="D151" i="4"/>
  <c r="G151" i="4"/>
  <c r="N151" i="4"/>
  <c r="I151" i="4"/>
  <c r="Q151" i="4"/>
  <c r="H151" i="4"/>
  <c r="M151" i="4"/>
  <c r="L151" i="4"/>
  <c r="K151" i="4"/>
  <c r="P151" i="4"/>
  <c r="O151" i="4"/>
  <c r="E151" i="4"/>
  <c r="C151" i="4"/>
  <c r="F151" i="4"/>
  <c r="Q257" i="4"/>
  <c r="N257" i="4"/>
  <c r="M257" i="4"/>
  <c r="L257" i="4"/>
  <c r="H257" i="4"/>
  <c r="J257" i="4"/>
  <c r="P257" i="4"/>
  <c r="O257" i="4"/>
  <c r="K257" i="4"/>
  <c r="I257" i="4"/>
  <c r="Q308" i="4"/>
  <c r="P308" i="4"/>
  <c r="J45" i="4"/>
  <c r="N45" i="4"/>
  <c r="P45" i="4"/>
  <c r="K45" i="4"/>
  <c r="H45" i="4"/>
  <c r="M45" i="4"/>
  <c r="I45" i="4"/>
  <c r="L45" i="4"/>
  <c r="Q45" i="4"/>
  <c r="O45" i="4"/>
  <c r="Q11" i="4"/>
  <c r="N11" i="4"/>
  <c r="P11" i="4"/>
  <c r="O11" i="4"/>
  <c r="P296" i="4"/>
  <c r="Q296" i="4"/>
  <c r="O296" i="4"/>
  <c r="N296" i="4"/>
  <c r="O346" i="4"/>
  <c r="L346" i="4"/>
  <c r="P346" i="4"/>
  <c r="N346" i="4"/>
  <c r="D346" i="4"/>
  <c r="Q346" i="4"/>
  <c r="I346" i="4"/>
  <c r="M346" i="4"/>
  <c r="K346" i="4"/>
  <c r="J346" i="4"/>
  <c r="C346" i="4"/>
  <c r="A346" i="4"/>
  <c r="G346" i="4"/>
  <c r="H346" i="4"/>
  <c r="E346" i="4"/>
  <c r="F346" i="4"/>
  <c r="N331" i="4"/>
  <c r="K331" i="4"/>
  <c r="F331" i="4"/>
  <c r="E331" i="4"/>
  <c r="L331" i="4"/>
  <c r="I331" i="4"/>
  <c r="C331" i="4"/>
  <c r="O331" i="4"/>
  <c r="P331" i="4"/>
  <c r="D331" i="4"/>
  <c r="H331" i="4"/>
  <c r="G331" i="4"/>
  <c r="J331" i="4"/>
  <c r="M331" i="4"/>
  <c r="Q331" i="4"/>
  <c r="I81" i="4"/>
  <c r="O81" i="4"/>
  <c r="J81" i="4"/>
  <c r="K81" i="4"/>
  <c r="L81" i="4"/>
  <c r="N81" i="4"/>
  <c r="H81" i="4"/>
  <c r="P81" i="4"/>
  <c r="M81" i="4"/>
  <c r="Q81" i="4"/>
  <c r="H253" i="4"/>
  <c r="Q253" i="4"/>
  <c r="P253" i="4"/>
  <c r="K253" i="4"/>
  <c r="N253" i="4"/>
  <c r="M253" i="4"/>
  <c r="O253" i="4"/>
  <c r="J253" i="4"/>
  <c r="I253" i="4"/>
  <c r="L253" i="4"/>
  <c r="N173" i="4"/>
  <c r="Q173" i="4"/>
  <c r="H173" i="4"/>
  <c r="J173" i="4"/>
  <c r="K173" i="4"/>
  <c r="I173" i="4"/>
  <c r="P173" i="4"/>
  <c r="L173" i="4"/>
  <c r="M173" i="4"/>
  <c r="O173" i="4"/>
  <c r="P68" i="4"/>
  <c r="M68" i="4"/>
  <c r="K68" i="4"/>
  <c r="Q68" i="4"/>
  <c r="H68" i="4"/>
  <c r="L68" i="4"/>
  <c r="N68" i="4"/>
  <c r="J68" i="4"/>
  <c r="I68" i="4"/>
  <c r="O68" i="4"/>
  <c r="N48" i="4"/>
  <c r="H48" i="4"/>
  <c r="G48" i="4"/>
  <c r="C48" i="4"/>
  <c r="I48" i="4"/>
  <c r="E48" i="4"/>
  <c r="J48" i="4"/>
  <c r="P48" i="4"/>
  <c r="O48" i="4"/>
  <c r="D48" i="4"/>
  <c r="L48" i="4"/>
  <c r="K48" i="4"/>
  <c r="M48" i="4"/>
  <c r="Q48" i="4"/>
  <c r="F48" i="4"/>
  <c r="L288" i="4"/>
  <c r="O288" i="4"/>
  <c r="N288" i="4"/>
  <c r="M288" i="4"/>
  <c r="P221" i="4"/>
  <c r="O221" i="4"/>
  <c r="Q221" i="4"/>
  <c r="O235" i="4"/>
  <c r="K235" i="4"/>
  <c r="M235" i="4"/>
  <c r="Q235" i="4"/>
  <c r="L235" i="4"/>
  <c r="N235" i="4"/>
  <c r="J235" i="4"/>
  <c r="H235" i="4"/>
  <c r="I235" i="4"/>
  <c r="P235" i="4"/>
  <c r="L276" i="4"/>
  <c r="P276" i="4"/>
  <c r="N276" i="4"/>
  <c r="Q276" i="4"/>
  <c r="K276" i="4"/>
  <c r="J276" i="4"/>
  <c r="O276" i="4"/>
  <c r="M276" i="4"/>
  <c r="N10" i="4"/>
  <c r="Q10" i="4"/>
  <c r="P10" i="4"/>
  <c r="O10" i="4"/>
  <c r="N167" i="4"/>
  <c r="P167" i="4"/>
  <c r="F167" i="4"/>
  <c r="E167" i="4"/>
  <c r="J167" i="4"/>
  <c r="L167" i="4"/>
  <c r="O167" i="4"/>
  <c r="Q167" i="4"/>
  <c r="M167" i="4"/>
  <c r="K167" i="4"/>
  <c r="B167" i="4"/>
  <c r="I167" i="4"/>
  <c r="D167" i="4"/>
  <c r="C167" i="4"/>
  <c r="G167" i="4"/>
  <c r="A39" i="4"/>
  <c r="D39" i="4"/>
  <c r="K39" i="4"/>
  <c r="H39" i="4"/>
  <c r="G39" i="4"/>
  <c r="O39" i="4"/>
  <c r="J39" i="4"/>
  <c r="N39" i="4"/>
  <c r="L39" i="4"/>
  <c r="I39" i="4"/>
  <c r="M39" i="4"/>
  <c r="F39" i="4"/>
  <c r="E39" i="4"/>
  <c r="C39" i="4"/>
  <c r="Q39" i="4"/>
  <c r="P39" i="4"/>
  <c r="Q226" i="4"/>
  <c r="P226" i="4"/>
  <c r="A232" i="4"/>
  <c r="E232" i="4"/>
  <c r="L232" i="4"/>
  <c r="M232" i="4"/>
  <c r="I232" i="4"/>
  <c r="O232" i="4"/>
  <c r="G232" i="4"/>
  <c r="C232" i="4"/>
  <c r="H232" i="4"/>
  <c r="K232" i="4"/>
  <c r="J232" i="4"/>
  <c r="D232" i="4"/>
  <c r="Q232" i="4"/>
  <c r="F232" i="4"/>
  <c r="N232" i="4"/>
  <c r="P232" i="4"/>
  <c r="L191" i="4"/>
  <c r="K191" i="4"/>
  <c r="J191" i="4"/>
  <c r="I191" i="4"/>
  <c r="I143" i="4"/>
  <c r="J143" i="4"/>
  <c r="L143" i="4"/>
  <c r="O143" i="4"/>
  <c r="P143" i="4"/>
  <c r="M143" i="4"/>
  <c r="Q143" i="4"/>
  <c r="K143" i="4"/>
  <c r="N143" i="4"/>
  <c r="H143" i="4"/>
  <c r="K41" i="4"/>
  <c r="J41" i="4"/>
  <c r="F41" i="4"/>
  <c r="H41" i="4"/>
  <c r="E41" i="4"/>
  <c r="D41" i="4"/>
  <c r="I41" i="4"/>
  <c r="C41" i="4"/>
  <c r="M41" i="4"/>
  <c r="L41" i="4"/>
  <c r="N41" i="4"/>
  <c r="A41" i="4"/>
  <c r="G41" i="4"/>
  <c r="O41" i="4"/>
  <c r="Q41" i="4"/>
  <c r="P41" i="4"/>
  <c r="P88" i="4"/>
  <c r="N88" i="4"/>
  <c r="Q88" i="4"/>
  <c r="M88" i="4"/>
  <c r="H88" i="4"/>
  <c r="J88" i="4"/>
  <c r="K88" i="4"/>
  <c r="L88" i="4"/>
  <c r="O88" i="4"/>
  <c r="I88" i="4"/>
  <c r="K200" i="4"/>
  <c r="N200" i="4"/>
  <c r="O200" i="4"/>
  <c r="P200" i="4"/>
  <c r="M200" i="4"/>
  <c r="L200" i="4"/>
  <c r="H80" i="4"/>
  <c r="K80" i="4"/>
  <c r="M80" i="4"/>
  <c r="L80" i="4"/>
  <c r="J80" i="4"/>
  <c r="Q80" i="4"/>
  <c r="N80" i="4"/>
  <c r="I80" i="4"/>
  <c r="O80" i="4"/>
  <c r="P80" i="4"/>
  <c r="L78" i="4"/>
  <c r="P78" i="4"/>
  <c r="N78" i="4"/>
  <c r="J78" i="4"/>
  <c r="M78" i="4"/>
  <c r="O78" i="4"/>
  <c r="H78" i="4"/>
  <c r="I78" i="4"/>
  <c r="K78" i="4"/>
  <c r="Q78" i="4"/>
  <c r="K90" i="4"/>
  <c r="L90" i="4"/>
  <c r="M90" i="4"/>
  <c r="I90" i="4"/>
  <c r="Q90" i="4"/>
  <c r="J90" i="4"/>
  <c r="O90" i="4"/>
  <c r="N90" i="4"/>
  <c r="P90" i="4"/>
  <c r="H90" i="4"/>
  <c r="Q311" i="4"/>
  <c r="J73" i="4"/>
  <c r="O73" i="4"/>
  <c r="Q73" i="4"/>
  <c r="N73" i="4"/>
  <c r="P73" i="4"/>
  <c r="H73" i="4"/>
  <c r="I73" i="4"/>
  <c r="M73" i="4"/>
  <c r="K73" i="4"/>
  <c r="L73" i="4"/>
  <c r="F340" i="4"/>
  <c r="C340" i="4"/>
  <c r="L340" i="4"/>
  <c r="Q340" i="4"/>
  <c r="E340" i="4"/>
  <c r="D340" i="4"/>
  <c r="N340" i="4"/>
  <c r="J340" i="4"/>
  <c r="I340" i="4"/>
  <c r="G340" i="4"/>
  <c r="H340" i="4"/>
  <c r="P340" i="4"/>
  <c r="K340" i="4"/>
  <c r="A340" i="4"/>
  <c r="M340" i="4"/>
  <c r="O340" i="4"/>
  <c r="G149" i="4"/>
  <c r="L149" i="4"/>
  <c r="O149" i="4"/>
  <c r="C149" i="4"/>
  <c r="F149" i="4"/>
  <c r="E149" i="4"/>
  <c r="H149" i="4"/>
  <c r="P149" i="4"/>
  <c r="J149" i="4"/>
  <c r="K149" i="4"/>
  <c r="M149" i="4"/>
  <c r="D149" i="4"/>
  <c r="I149" i="4"/>
  <c r="Q149" i="4"/>
  <c r="N149" i="4"/>
  <c r="A149" i="4"/>
  <c r="M92" i="4"/>
  <c r="L92" i="4"/>
  <c r="P92" i="4"/>
  <c r="N92" i="4"/>
  <c r="Q92" i="4"/>
  <c r="H92" i="4"/>
  <c r="K92" i="4"/>
  <c r="J92" i="4"/>
  <c r="I92" i="4"/>
  <c r="O92" i="4"/>
  <c r="C316" i="4"/>
  <c r="F316" i="4"/>
  <c r="M316" i="4"/>
  <c r="J316" i="4"/>
  <c r="O316" i="4"/>
  <c r="N316" i="4"/>
  <c r="D316" i="4"/>
  <c r="K316" i="4"/>
  <c r="H316" i="4"/>
  <c r="E316" i="4"/>
  <c r="G316" i="4"/>
  <c r="Q316" i="4"/>
  <c r="I316" i="4"/>
  <c r="L316" i="4"/>
  <c r="P316" i="4"/>
  <c r="I279" i="4"/>
  <c r="O279" i="4"/>
  <c r="P279" i="4"/>
  <c r="H279" i="4"/>
  <c r="L279" i="4"/>
  <c r="M279" i="4"/>
  <c r="J279" i="4"/>
  <c r="N279" i="4"/>
  <c r="B279" i="4"/>
  <c r="Q279" i="4"/>
  <c r="K279" i="4"/>
  <c r="G13" i="4"/>
  <c r="H13" i="4"/>
  <c r="J13" i="4"/>
  <c r="M13" i="4"/>
  <c r="E13" i="4"/>
  <c r="N13" i="4"/>
  <c r="O13" i="4"/>
  <c r="D13" i="4"/>
  <c r="F13" i="4"/>
  <c r="I13" i="4"/>
  <c r="Q13" i="4"/>
  <c r="P13" i="4"/>
  <c r="K13" i="4"/>
  <c r="I254" i="4"/>
  <c r="Q254" i="4"/>
  <c r="L254" i="4"/>
  <c r="J254" i="4"/>
  <c r="K254" i="4"/>
  <c r="H254" i="4"/>
  <c r="O254" i="4"/>
  <c r="P254" i="4"/>
  <c r="N254" i="4"/>
  <c r="M254" i="4"/>
  <c r="L258" i="4"/>
  <c r="M258" i="4"/>
  <c r="J258" i="4"/>
  <c r="I258" i="4"/>
  <c r="P258" i="4"/>
  <c r="Q258" i="4"/>
  <c r="H258" i="4"/>
  <c r="O258" i="4"/>
  <c r="N258" i="4"/>
  <c r="K258" i="4"/>
  <c r="M269" i="4"/>
  <c r="Q269" i="4"/>
  <c r="K269" i="4"/>
  <c r="N269" i="4"/>
  <c r="B269" i="4"/>
  <c r="H269" i="4"/>
  <c r="P269" i="4"/>
  <c r="I269" i="4"/>
  <c r="L269" i="4"/>
  <c r="J269" i="4"/>
  <c r="O269" i="4"/>
  <c r="P70" i="4"/>
  <c r="I70" i="4"/>
  <c r="J70" i="4"/>
  <c r="O70" i="4"/>
  <c r="K70" i="4"/>
  <c r="M70" i="4"/>
  <c r="L70" i="4"/>
  <c r="H70" i="4"/>
  <c r="N70" i="4"/>
  <c r="Q70" i="4"/>
  <c r="B182" i="4"/>
  <c r="M182" i="4"/>
  <c r="I182" i="4"/>
  <c r="K182" i="4"/>
  <c r="H182" i="4"/>
  <c r="J182" i="4"/>
  <c r="N182" i="4"/>
  <c r="O182" i="4"/>
  <c r="Q182" i="4"/>
  <c r="P182" i="4"/>
  <c r="L182" i="4"/>
  <c r="H176" i="4"/>
  <c r="J176" i="4"/>
  <c r="L176" i="4"/>
  <c r="K176" i="4"/>
  <c r="I176" i="4"/>
  <c r="M176" i="4"/>
  <c r="N176" i="4"/>
  <c r="O176" i="4"/>
  <c r="P176" i="4"/>
  <c r="Q176" i="4"/>
  <c r="M61" i="4"/>
  <c r="N61" i="4"/>
  <c r="Q61" i="4"/>
  <c r="I61" i="4"/>
  <c r="J61" i="4"/>
  <c r="O61" i="4"/>
  <c r="L61" i="4"/>
  <c r="P61" i="4"/>
  <c r="K61" i="4"/>
  <c r="B192" i="4"/>
  <c r="K192" i="4"/>
  <c r="M192" i="4"/>
  <c r="H192" i="4"/>
  <c r="L192" i="4"/>
  <c r="O192" i="4"/>
  <c r="I192" i="4"/>
  <c r="P192" i="4"/>
  <c r="Q192" i="4"/>
  <c r="N192" i="4"/>
  <c r="J192" i="4"/>
  <c r="D37" i="4"/>
  <c r="O37" i="4"/>
  <c r="Q37" i="4"/>
  <c r="L37" i="4"/>
  <c r="I37" i="4"/>
  <c r="G37" i="4"/>
  <c r="K37" i="4"/>
  <c r="J37" i="4"/>
  <c r="M37" i="4"/>
  <c r="E37" i="4"/>
  <c r="F37" i="4"/>
  <c r="H37" i="4"/>
  <c r="N37" i="4"/>
  <c r="P37" i="4"/>
  <c r="O216" i="4"/>
  <c r="P216" i="4"/>
  <c r="N216" i="4"/>
  <c r="Q216" i="4"/>
  <c r="N293" i="4"/>
  <c r="M293" i="4"/>
  <c r="O293" i="4"/>
  <c r="P293" i="4"/>
  <c r="B289" i="4"/>
  <c r="J289" i="4"/>
  <c r="L289" i="4"/>
  <c r="M289" i="4"/>
  <c r="N289" i="4"/>
  <c r="K289" i="4"/>
  <c r="H289" i="4"/>
  <c r="Q289" i="4"/>
  <c r="O289" i="4"/>
  <c r="P289" i="4"/>
  <c r="I289" i="4"/>
  <c r="Q251" i="4"/>
  <c r="J251" i="4"/>
  <c r="L251" i="4"/>
  <c r="H251" i="4"/>
  <c r="O251" i="4"/>
  <c r="N251" i="4"/>
  <c r="K251" i="4"/>
  <c r="I251" i="4"/>
  <c r="M251" i="4"/>
  <c r="P251" i="4"/>
  <c r="K244" i="4"/>
  <c r="L244" i="4"/>
  <c r="D244" i="4"/>
  <c r="F244" i="4"/>
  <c r="I244" i="4"/>
  <c r="J244" i="4"/>
  <c r="O244" i="4"/>
  <c r="H244" i="4"/>
  <c r="E244" i="4"/>
  <c r="C244" i="4"/>
  <c r="Q244" i="4"/>
  <c r="M244" i="4"/>
  <c r="G244" i="4"/>
  <c r="P244" i="4"/>
  <c r="N244" i="4"/>
  <c r="A332" i="4"/>
  <c r="L332" i="4"/>
  <c r="D332" i="4"/>
  <c r="H332" i="4"/>
  <c r="F332" i="4"/>
  <c r="J332" i="4"/>
  <c r="I332" i="4"/>
  <c r="N332" i="4"/>
  <c r="O332" i="4"/>
  <c r="E332" i="4"/>
  <c r="G332" i="4"/>
  <c r="K332" i="4"/>
  <c r="M332" i="4"/>
  <c r="Q332" i="4"/>
  <c r="P332" i="4"/>
  <c r="C332" i="4"/>
  <c r="H91" i="4"/>
  <c r="P91" i="4"/>
  <c r="M91" i="4"/>
  <c r="O91" i="4"/>
  <c r="Q91" i="4"/>
  <c r="L91" i="4"/>
  <c r="J91" i="4"/>
  <c r="N91" i="4"/>
  <c r="I91" i="4"/>
  <c r="K91" i="4"/>
  <c r="G31" i="4"/>
  <c r="J31" i="4"/>
  <c r="L31" i="4"/>
  <c r="O31" i="4"/>
  <c r="K31" i="4"/>
  <c r="F31" i="4"/>
  <c r="C31" i="4"/>
  <c r="P31" i="4"/>
  <c r="D31" i="4"/>
  <c r="E31" i="4"/>
  <c r="I31" i="4"/>
  <c r="M31" i="4"/>
  <c r="Q31" i="4"/>
  <c r="N31" i="4"/>
  <c r="H31" i="4"/>
  <c r="A31" i="4"/>
  <c r="I190" i="4"/>
  <c r="M190" i="4"/>
  <c r="L190" i="4"/>
  <c r="J190" i="4"/>
  <c r="N190" i="4"/>
  <c r="K190" i="4"/>
  <c r="M60" i="4"/>
  <c r="I60" i="4"/>
  <c r="H60" i="4"/>
  <c r="P60" i="4"/>
  <c r="O60" i="4"/>
  <c r="Q60" i="4"/>
  <c r="K60" i="4"/>
  <c r="N60" i="4"/>
  <c r="L60" i="4"/>
  <c r="J60" i="4"/>
  <c r="N112" i="4"/>
  <c r="H112" i="4"/>
  <c r="K112" i="4"/>
  <c r="Q112" i="4"/>
  <c r="P112" i="4"/>
  <c r="O112" i="4"/>
  <c r="M112" i="4"/>
  <c r="J112" i="4"/>
  <c r="L112" i="4"/>
  <c r="I112" i="4"/>
  <c r="C234" i="4"/>
  <c r="Q234" i="4"/>
  <c r="K234" i="4"/>
  <c r="O234" i="4"/>
  <c r="N234" i="4"/>
  <c r="I234" i="4"/>
  <c r="M234" i="4"/>
  <c r="E234" i="4"/>
  <c r="G234" i="4"/>
  <c r="D234" i="4"/>
  <c r="H234" i="4"/>
  <c r="F234" i="4"/>
  <c r="P234" i="4"/>
  <c r="J234" i="4"/>
  <c r="L234" i="4"/>
  <c r="Q212" i="4"/>
  <c r="J212" i="4"/>
  <c r="I212" i="4"/>
  <c r="K212" i="4"/>
  <c r="L212" i="4"/>
  <c r="H212" i="4"/>
  <c r="B212" i="4"/>
  <c r="O212" i="4"/>
  <c r="M212" i="4"/>
  <c r="N212" i="4"/>
  <c r="P212" i="4"/>
  <c r="N285" i="4"/>
  <c r="O285" i="4"/>
  <c r="P285" i="4"/>
  <c r="L285" i="4"/>
  <c r="M285" i="4"/>
  <c r="Q285" i="4"/>
  <c r="L267" i="4"/>
  <c r="M267" i="4"/>
  <c r="I267" i="4"/>
  <c r="K267" i="4"/>
  <c r="H267" i="4"/>
  <c r="J267" i="4"/>
  <c r="M201" i="4"/>
  <c r="K201" i="4"/>
  <c r="N201" i="4"/>
  <c r="L201" i="4"/>
  <c r="F166" i="4"/>
  <c r="G166" i="4"/>
  <c r="D166" i="4"/>
  <c r="Q166" i="4"/>
  <c r="N166" i="4"/>
  <c r="L166" i="4"/>
  <c r="H166" i="4"/>
  <c r="P166" i="4"/>
  <c r="M166" i="4"/>
  <c r="I166" i="4"/>
  <c r="C166" i="4"/>
  <c r="K166" i="4"/>
  <c r="O166" i="4"/>
  <c r="J166" i="4"/>
  <c r="E166" i="4"/>
  <c r="L28" i="4"/>
  <c r="N28" i="4"/>
  <c r="Q28" i="4"/>
  <c r="H28" i="4"/>
  <c r="O28" i="4"/>
  <c r="K28" i="4"/>
  <c r="I28" i="4"/>
  <c r="M28" i="4"/>
  <c r="J28" i="4"/>
  <c r="P28" i="4"/>
  <c r="P297" i="4"/>
  <c r="Q297" i="4"/>
  <c r="N297" i="4"/>
  <c r="O297" i="4"/>
  <c r="Q300" i="4"/>
  <c r="P300" i="4"/>
  <c r="O300" i="4"/>
  <c r="Q231" i="4"/>
  <c r="M20" i="4"/>
  <c r="P20" i="4"/>
  <c r="N20" i="4"/>
  <c r="Q20" i="4"/>
  <c r="O20" i="4"/>
  <c r="N114" i="4"/>
  <c r="Q114" i="4"/>
  <c r="K114" i="4"/>
  <c r="M114" i="4"/>
  <c r="O114" i="4"/>
  <c r="L114" i="4"/>
  <c r="H114" i="4"/>
  <c r="J114" i="4"/>
  <c r="I114" i="4"/>
  <c r="P114" i="4"/>
  <c r="N290" i="4"/>
  <c r="O290" i="4"/>
  <c r="Q290" i="4"/>
  <c r="P290" i="4"/>
  <c r="M290" i="4"/>
  <c r="F248" i="4"/>
  <c r="H248" i="4"/>
  <c r="O248" i="4"/>
  <c r="M248" i="4"/>
  <c r="D248" i="4"/>
  <c r="C248" i="4"/>
  <c r="G248" i="4"/>
  <c r="L248" i="4"/>
  <c r="K248" i="4"/>
  <c r="P248" i="4"/>
  <c r="N248" i="4"/>
  <c r="J248" i="4"/>
  <c r="Q248" i="4"/>
  <c r="E248" i="4"/>
  <c r="I248" i="4"/>
  <c r="L283" i="4"/>
  <c r="M283" i="4"/>
  <c r="N283" i="4"/>
  <c r="K283" i="4"/>
  <c r="E162" i="4"/>
  <c r="C162" i="4"/>
  <c r="H162" i="4"/>
  <c r="M162" i="4"/>
  <c r="Q162" i="4"/>
  <c r="I162" i="4"/>
  <c r="A162" i="4"/>
  <c r="N162" i="4"/>
  <c r="D162" i="4"/>
  <c r="G162" i="4"/>
  <c r="L162" i="4"/>
  <c r="J162" i="4"/>
  <c r="K162" i="4"/>
  <c r="F162" i="4"/>
  <c r="O162" i="4"/>
  <c r="P162" i="4"/>
  <c r="H34" i="4"/>
  <c r="C34" i="4"/>
  <c r="J34" i="4"/>
  <c r="E34" i="4"/>
  <c r="N34" i="4"/>
  <c r="K34" i="4"/>
  <c r="O34" i="4"/>
  <c r="D34" i="4"/>
  <c r="G34" i="4"/>
  <c r="M34" i="4"/>
  <c r="Q34" i="4"/>
  <c r="P34" i="4"/>
  <c r="F34" i="4"/>
  <c r="I34" i="4"/>
  <c r="L34" i="4"/>
  <c r="L180" i="4"/>
  <c r="K180" i="4"/>
  <c r="O180" i="4"/>
  <c r="H180" i="4"/>
  <c r="N180" i="4"/>
  <c r="P180" i="4"/>
  <c r="I180" i="4"/>
  <c r="J180" i="4"/>
  <c r="Q180" i="4"/>
  <c r="M180" i="4"/>
  <c r="J160" i="4"/>
  <c r="M160" i="4"/>
  <c r="P160" i="4"/>
  <c r="O160" i="4"/>
  <c r="Q160" i="4"/>
  <c r="I160" i="4"/>
  <c r="K160" i="4"/>
  <c r="N160" i="4"/>
  <c r="L160" i="4"/>
  <c r="O298" i="4"/>
  <c r="N298" i="4"/>
  <c r="P298" i="4"/>
  <c r="Q298" i="4"/>
  <c r="N184" i="4"/>
  <c r="I184" i="4"/>
  <c r="H184" i="4"/>
  <c r="J184" i="4"/>
  <c r="P184" i="4"/>
  <c r="M184" i="4"/>
  <c r="L184" i="4"/>
  <c r="K184" i="4"/>
  <c r="Q184" i="4"/>
  <c r="O184" i="4"/>
  <c r="O5" i="4"/>
  <c r="K5" i="4"/>
  <c r="I5" i="4"/>
  <c r="B5" i="4"/>
  <c r="M5" i="4"/>
  <c r="J5" i="4"/>
  <c r="D5" i="4"/>
  <c r="F5" i="4"/>
  <c r="E5" i="4"/>
  <c r="L5" i="4"/>
  <c r="G5" i="4"/>
  <c r="N5" i="4"/>
  <c r="C5" i="4"/>
  <c r="P5" i="4"/>
  <c r="H5" i="4"/>
  <c r="Q5" i="4"/>
  <c r="P218" i="4"/>
  <c r="Q218" i="4"/>
  <c r="O218" i="4"/>
  <c r="Q209" i="4"/>
  <c r="O209" i="4"/>
  <c r="M209" i="4"/>
  <c r="P209" i="4"/>
  <c r="N209" i="4"/>
  <c r="P302" i="4"/>
  <c r="O302" i="4"/>
  <c r="Q302" i="4"/>
  <c r="Q224" i="4"/>
  <c r="P224" i="4"/>
  <c r="J330" i="4"/>
  <c r="P330" i="4"/>
  <c r="Q330" i="4"/>
  <c r="L330" i="4"/>
  <c r="G330" i="4"/>
  <c r="K330" i="4"/>
  <c r="A330" i="4"/>
  <c r="N330" i="4"/>
  <c r="C330" i="4"/>
  <c r="O330" i="4"/>
  <c r="F330" i="4"/>
  <c r="D330" i="4"/>
  <c r="I330" i="4"/>
  <c r="H330" i="4"/>
  <c r="M330" i="4"/>
  <c r="E330" i="4"/>
  <c r="L107" i="4"/>
  <c r="I107" i="4"/>
  <c r="H107" i="4"/>
  <c r="P107" i="4"/>
  <c r="O107" i="4"/>
  <c r="J107" i="4"/>
  <c r="M107" i="4"/>
  <c r="N107" i="4"/>
  <c r="Q107" i="4"/>
  <c r="K107" i="4"/>
  <c r="J278" i="4"/>
  <c r="K278" i="4"/>
  <c r="L278" i="4"/>
  <c r="M278" i="4"/>
  <c r="J277" i="4"/>
  <c r="N277" i="4"/>
  <c r="O277" i="4"/>
  <c r="M277" i="4"/>
  <c r="K277" i="4"/>
  <c r="L277" i="4"/>
  <c r="P247" i="4"/>
  <c r="Q247" i="4"/>
  <c r="O247" i="4"/>
  <c r="K247" i="4"/>
  <c r="H247" i="4"/>
  <c r="I247" i="4"/>
  <c r="M247" i="4"/>
  <c r="J247" i="4"/>
  <c r="L247" i="4"/>
  <c r="N247" i="4"/>
  <c r="P100" i="4"/>
  <c r="M100" i="4"/>
  <c r="N100" i="4"/>
  <c r="J100" i="4"/>
  <c r="L100" i="4"/>
  <c r="Q100" i="4"/>
  <c r="O100" i="4"/>
  <c r="K100" i="4"/>
  <c r="I100" i="4"/>
  <c r="P295" i="4"/>
  <c r="Q295" i="4"/>
  <c r="O295" i="4"/>
  <c r="N295" i="4"/>
  <c r="E168" i="4"/>
  <c r="J168" i="4"/>
  <c r="Q168" i="4"/>
  <c r="H168" i="4"/>
  <c r="K168" i="4"/>
  <c r="F168" i="4"/>
  <c r="O168" i="4"/>
  <c r="D168" i="4"/>
  <c r="L168" i="4"/>
  <c r="C168" i="4"/>
  <c r="G168" i="4"/>
  <c r="P168" i="4"/>
  <c r="M168" i="4"/>
  <c r="I168" i="4"/>
  <c r="N168" i="4"/>
  <c r="N291" i="4"/>
  <c r="P291" i="4"/>
  <c r="O291" i="4"/>
  <c r="Q291" i="4"/>
  <c r="M291" i="4"/>
  <c r="N260" i="4"/>
  <c r="Q260" i="4"/>
  <c r="J260" i="4"/>
  <c r="I260" i="4"/>
  <c r="K260" i="4"/>
  <c r="L260" i="4"/>
  <c r="P260" i="4"/>
  <c r="H260" i="4"/>
  <c r="M260" i="4"/>
  <c r="O260" i="4"/>
  <c r="I82" i="4"/>
  <c r="Q82" i="4"/>
  <c r="J82" i="4"/>
  <c r="M82" i="4"/>
  <c r="O82" i="4"/>
  <c r="K82" i="4"/>
  <c r="N82" i="4"/>
  <c r="P82" i="4"/>
  <c r="L82" i="4"/>
  <c r="M210" i="4"/>
  <c r="N210" i="4"/>
  <c r="O210" i="4"/>
  <c r="Q210" i="4"/>
  <c r="P210" i="4"/>
  <c r="K108" i="4"/>
  <c r="Q108" i="4"/>
  <c r="M108" i="4"/>
  <c r="P108" i="4"/>
  <c r="I108" i="4"/>
  <c r="O108" i="4"/>
  <c r="L108" i="4"/>
  <c r="H108" i="4"/>
  <c r="J108" i="4"/>
  <c r="N108" i="4"/>
  <c r="Q310" i="4"/>
  <c r="O23" i="4"/>
  <c r="N23" i="4"/>
  <c r="M23" i="4"/>
  <c r="Q23" i="4"/>
  <c r="P23" i="4"/>
  <c r="P59" i="4"/>
  <c r="J59" i="4"/>
  <c r="L59" i="4"/>
  <c r="K59" i="4"/>
  <c r="O59" i="4"/>
  <c r="M59" i="4"/>
  <c r="N59" i="4"/>
  <c r="I59" i="4"/>
  <c r="Q59" i="4"/>
  <c r="H59" i="4"/>
  <c r="J159" i="4"/>
  <c r="K159" i="4"/>
  <c r="Q159" i="4"/>
  <c r="N159" i="4"/>
  <c r="O159" i="4"/>
  <c r="I159" i="4"/>
  <c r="P159" i="4"/>
  <c r="L159" i="4"/>
  <c r="M159" i="4"/>
  <c r="H46" i="4"/>
  <c r="J46" i="4"/>
  <c r="L46" i="4"/>
  <c r="O46" i="4"/>
  <c r="M46" i="4"/>
  <c r="N46" i="4"/>
  <c r="K46" i="4"/>
  <c r="P46" i="4"/>
  <c r="I46" i="4"/>
  <c r="Q46" i="4"/>
  <c r="M16" i="4"/>
  <c r="O16" i="4"/>
  <c r="Q16" i="4"/>
  <c r="N16" i="4"/>
  <c r="P16" i="4"/>
  <c r="N207" i="4"/>
  <c r="H207" i="4"/>
  <c r="Q207" i="4"/>
  <c r="I207" i="4"/>
  <c r="K207" i="4"/>
  <c r="P207" i="4"/>
  <c r="B207" i="4"/>
  <c r="M207" i="4"/>
  <c r="L207" i="4"/>
  <c r="J207" i="4"/>
  <c r="O207" i="4"/>
  <c r="L154" i="4"/>
  <c r="J154" i="4"/>
  <c r="K154" i="4"/>
  <c r="Q154" i="4"/>
  <c r="M154" i="4"/>
  <c r="N154" i="4"/>
  <c r="O154" i="4"/>
  <c r="I154" i="4"/>
  <c r="P154" i="4"/>
  <c r="H154" i="4"/>
  <c r="O348" i="4"/>
  <c r="E348" i="4"/>
  <c r="H348" i="4"/>
  <c r="K348" i="4"/>
  <c r="C348" i="4"/>
  <c r="Q348" i="4"/>
  <c r="J348" i="4"/>
  <c r="M348" i="4"/>
  <c r="D348" i="4"/>
  <c r="P348" i="4"/>
  <c r="N348" i="4"/>
  <c r="F348" i="4"/>
  <c r="G348" i="4"/>
  <c r="L348" i="4"/>
  <c r="A348" i="4"/>
  <c r="I348" i="4"/>
  <c r="M206" i="4"/>
  <c r="N206" i="4"/>
  <c r="L206" i="4"/>
  <c r="O206" i="4"/>
  <c r="G54" i="4"/>
  <c r="Q14" i="4"/>
  <c r="M14" i="4"/>
  <c r="N14" i="4"/>
  <c r="P14" i="4"/>
  <c r="O14" i="4"/>
  <c r="P152" i="4"/>
  <c r="O152" i="4"/>
  <c r="J152" i="4"/>
  <c r="Q152" i="4"/>
  <c r="I152" i="4"/>
  <c r="L152" i="4"/>
  <c r="K152" i="4"/>
  <c r="N152" i="4"/>
  <c r="H152" i="4"/>
  <c r="M152" i="4"/>
  <c r="M175" i="4"/>
  <c r="P175" i="4"/>
  <c r="Q175" i="4"/>
  <c r="J175" i="4"/>
  <c r="O175" i="4"/>
  <c r="K175" i="4"/>
  <c r="N175" i="4"/>
  <c r="I175" i="4"/>
  <c r="L175" i="4"/>
  <c r="H175" i="4"/>
  <c r="K199" i="4"/>
  <c r="Q199" i="4"/>
  <c r="M199" i="4"/>
  <c r="N199" i="4"/>
  <c r="P199" i="4"/>
  <c r="O199" i="4"/>
  <c r="L199" i="4"/>
  <c r="A327" i="4"/>
  <c r="M327" i="4"/>
  <c r="H327" i="4"/>
  <c r="Q327" i="4"/>
  <c r="D327" i="4"/>
  <c r="L327" i="4"/>
  <c r="J327" i="4"/>
  <c r="C327" i="4"/>
  <c r="F327" i="4"/>
  <c r="P327" i="4"/>
  <c r="G327" i="4"/>
  <c r="E327" i="4"/>
  <c r="N327" i="4"/>
  <c r="O327" i="4"/>
  <c r="I327" i="4"/>
  <c r="K327" i="4"/>
  <c r="L47" i="4"/>
  <c r="E47" i="4"/>
  <c r="M47" i="4"/>
  <c r="J47" i="4"/>
  <c r="F47" i="4"/>
  <c r="I47" i="4"/>
  <c r="K47" i="4"/>
  <c r="Q47" i="4"/>
  <c r="H47" i="4"/>
  <c r="G47" i="4"/>
  <c r="P47" i="4"/>
  <c r="N47" i="4"/>
  <c r="C47" i="4"/>
  <c r="D47" i="4"/>
  <c r="O47" i="4"/>
  <c r="L317" i="4"/>
  <c r="N317" i="4"/>
  <c r="A317" i="4"/>
  <c r="G317" i="4"/>
  <c r="E317" i="4"/>
  <c r="H317" i="4"/>
  <c r="F317" i="4"/>
  <c r="J317" i="4"/>
  <c r="K317" i="4"/>
  <c r="Q317" i="4"/>
  <c r="P317" i="4"/>
  <c r="D317" i="4"/>
  <c r="C317" i="4"/>
  <c r="O317" i="4"/>
  <c r="M317" i="4"/>
  <c r="I317" i="4"/>
  <c r="N177" i="4"/>
  <c r="K177" i="4"/>
  <c r="H177" i="4"/>
  <c r="Q177" i="4"/>
  <c r="O177" i="4"/>
  <c r="L177" i="4"/>
  <c r="I177" i="4"/>
  <c r="P177" i="4"/>
  <c r="J177" i="4"/>
  <c r="M177" i="4"/>
  <c r="J272" i="4"/>
  <c r="I272" i="4"/>
  <c r="N272" i="4"/>
  <c r="M272" i="4"/>
  <c r="K272" i="4"/>
  <c r="L272" i="4"/>
  <c r="N9" i="4"/>
  <c r="O9" i="4"/>
  <c r="Q9" i="4"/>
  <c r="P9" i="4"/>
  <c r="Q72" i="4"/>
  <c r="K72" i="4"/>
  <c r="N72" i="4"/>
  <c r="M72" i="4"/>
  <c r="I72" i="4"/>
  <c r="P72" i="4"/>
  <c r="L72" i="4"/>
  <c r="H72" i="4"/>
  <c r="O72" i="4"/>
  <c r="J72" i="4"/>
  <c r="O195" i="4"/>
  <c r="L195" i="4"/>
  <c r="K195" i="4"/>
  <c r="N195" i="4"/>
  <c r="M195" i="4"/>
  <c r="J195" i="4"/>
  <c r="I270" i="4"/>
  <c r="K270" i="4"/>
  <c r="M270" i="4"/>
  <c r="O270" i="4"/>
  <c r="Q270" i="4"/>
  <c r="J270" i="4"/>
  <c r="N270" i="4"/>
  <c r="P270" i="4"/>
  <c r="L270" i="4"/>
  <c r="N193" i="4"/>
  <c r="J193" i="4"/>
  <c r="K193" i="4"/>
  <c r="O193" i="4"/>
  <c r="Q193" i="4"/>
  <c r="M193" i="4"/>
  <c r="P193" i="4"/>
  <c r="L193" i="4"/>
  <c r="J266" i="4"/>
  <c r="N266" i="4"/>
  <c r="M266" i="4"/>
  <c r="O266" i="4"/>
  <c r="I266" i="4"/>
  <c r="H266" i="4"/>
  <c r="P266" i="4"/>
  <c r="L266" i="4"/>
  <c r="K266" i="4"/>
  <c r="Q266" i="4"/>
  <c r="P343" i="4"/>
  <c r="J343" i="4"/>
  <c r="O343" i="4"/>
  <c r="Q343" i="4"/>
  <c r="I343" i="4"/>
  <c r="K343" i="4"/>
  <c r="L343" i="4"/>
  <c r="H343" i="4"/>
  <c r="M343" i="4"/>
  <c r="N343" i="4"/>
  <c r="Q42" i="4"/>
  <c r="I42" i="4"/>
  <c r="N42" i="4"/>
  <c r="M42" i="4"/>
  <c r="P42" i="4"/>
  <c r="O42" i="4"/>
  <c r="K42" i="4"/>
  <c r="H42" i="4"/>
  <c r="L42" i="4"/>
  <c r="J42" i="4"/>
  <c r="P301" i="4"/>
  <c r="Q301" i="4"/>
  <c r="O301" i="4"/>
  <c r="O264" i="4"/>
  <c r="M264" i="4"/>
  <c r="N264" i="4"/>
  <c r="Q264" i="4"/>
  <c r="J264" i="4"/>
  <c r="L264" i="4"/>
  <c r="H264" i="4"/>
  <c r="K264" i="4"/>
  <c r="I264" i="4"/>
  <c r="P264" i="4"/>
  <c r="B264" i="4"/>
  <c r="P213" i="4"/>
  <c r="Q213" i="4"/>
  <c r="O213" i="4"/>
  <c r="N213" i="4"/>
  <c r="Q312" i="4"/>
  <c r="O189" i="4"/>
  <c r="M189" i="4"/>
  <c r="P189" i="4"/>
  <c r="Q189" i="4"/>
  <c r="K189" i="4"/>
  <c r="J189" i="4"/>
  <c r="I189" i="4"/>
  <c r="L189" i="4"/>
  <c r="N189" i="4"/>
  <c r="L110" i="4"/>
  <c r="J110" i="4"/>
  <c r="F110" i="4"/>
  <c r="I110" i="4"/>
  <c r="K110" i="4"/>
  <c r="M110" i="4"/>
  <c r="C110" i="4"/>
  <c r="O110" i="4"/>
  <c r="D110" i="4"/>
  <c r="E110" i="4"/>
  <c r="N110" i="4"/>
  <c r="Q110" i="4"/>
  <c r="H110" i="4"/>
  <c r="G110" i="4"/>
  <c r="P110" i="4"/>
  <c r="O179" i="4"/>
  <c r="P179" i="4"/>
  <c r="K179" i="4"/>
  <c r="M179" i="4"/>
  <c r="Q179" i="4"/>
  <c r="N179" i="4"/>
  <c r="L179" i="4"/>
  <c r="H179" i="4"/>
  <c r="I179" i="4"/>
  <c r="J179" i="4"/>
  <c r="P344" i="4"/>
  <c r="O344" i="4"/>
  <c r="Q344" i="4"/>
  <c r="N344" i="4"/>
  <c r="M344" i="4"/>
  <c r="J344" i="4"/>
  <c r="I344" i="4"/>
  <c r="L344" i="4"/>
  <c r="K344" i="4"/>
  <c r="L83" i="4"/>
  <c r="N83" i="4"/>
  <c r="Q83" i="4"/>
  <c r="K83" i="4"/>
  <c r="M83" i="4"/>
  <c r="J83" i="4"/>
  <c r="I83" i="4"/>
  <c r="H83" i="4"/>
  <c r="O83" i="4"/>
  <c r="P83" i="4"/>
  <c r="H58" i="4"/>
  <c r="L58" i="4"/>
  <c r="Q58" i="4"/>
  <c r="I58" i="4"/>
  <c r="N58" i="4"/>
  <c r="K58" i="4"/>
  <c r="M58" i="4"/>
  <c r="P58" i="4"/>
  <c r="O58" i="4"/>
  <c r="J58" i="4"/>
  <c r="J97" i="4"/>
  <c r="Q97" i="4"/>
  <c r="G97" i="4"/>
  <c r="I97" i="4"/>
  <c r="N97" i="4"/>
  <c r="L97" i="4"/>
  <c r="M97" i="4"/>
  <c r="H97" i="4"/>
  <c r="K97" i="4"/>
  <c r="O97" i="4"/>
  <c r="P97" i="4"/>
  <c r="M345" i="4"/>
  <c r="H345" i="4"/>
  <c r="C345" i="4"/>
  <c r="L345" i="4"/>
  <c r="P345" i="4"/>
  <c r="I345" i="4"/>
  <c r="D345" i="4"/>
  <c r="J345" i="4"/>
  <c r="K345" i="4"/>
  <c r="F345" i="4"/>
  <c r="A345" i="4"/>
  <c r="E345" i="4"/>
  <c r="Q345" i="4"/>
  <c r="G345" i="4"/>
  <c r="N345" i="4"/>
  <c r="O345" i="4"/>
  <c r="H69" i="4"/>
  <c r="I69" i="4"/>
  <c r="L69" i="4"/>
  <c r="K69" i="4"/>
  <c r="O69" i="4"/>
  <c r="M69" i="4"/>
  <c r="Q69" i="4"/>
  <c r="J69" i="4"/>
  <c r="N69" i="4"/>
  <c r="P69" i="4"/>
  <c r="I121" i="4"/>
  <c r="P121" i="4"/>
  <c r="K121" i="4"/>
  <c r="O121" i="4"/>
  <c r="J121" i="4"/>
  <c r="E121" i="4"/>
  <c r="F121" i="4"/>
  <c r="D121" i="4"/>
  <c r="N121" i="4"/>
  <c r="M121" i="4"/>
  <c r="L121" i="4"/>
  <c r="C121" i="4"/>
  <c r="Q121" i="4"/>
  <c r="G121" i="4"/>
  <c r="H121" i="4"/>
  <c r="J262" i="4"/>
  <c r="I262" i="4"/>
  <c r="L262" i="4"/>
  <c r="K262" i="4"/>
  <c r="Q262" i="4"/>
  <c r="M262" i="4"/>
  <c r="H262" i="4"/>
  <c r="O262" i="4"/>
  <c r="N262" i="4"/>
  <c r="P262" i="4"/>
  <c r="J98" i="4"/>
  <c r="Q98" i="4"/>
  <c r="P98" i="4"/>
  <c r="K98" i="4"/>
  <c r="I98" i="4"/>
  <c r="H98" i="4"/>
  <c r="L98" i="4"/>
  <c r="N98" i="4"/>
  <c r="M98" i="4"/>
  <c r="O98" i="4"/>
  <c r="P211" i="4"/>
  <c r="O211" i="4"/>
  <c r="M211" i="4"/>
  <c r="N211" i="4"/>
  <c r="L284" i="4"/>
  <c r="I284" i="4"/>
  <c r="B284" i="4"/>
  <c r="J284" i="4"/>
  <c r="P284" i="4"/>
  <c r="M284" i="4"/>
  <c r="K284" i="4"/>
  <c r="N284" i="4"/>
  <c r="H284" i="4"/>
  <c r="O284" i="4"/>
  <c r="Q284" i="4"/>
  <c r="N250" i="4"/>
  <c r="O250" i="4"/>
  <c r="K250" i="4"/>
  <c r="C250" i="4"/>
  <c r="L250" i="4"/>
  <c r="I250" i="4"/>
  <c r="Q250" i="4"/>
  <c r="P250" i="4"/>
  <c r="M250" i="4"/>
  <c r="G250" i="4"/>
  <c r="H250" i="4"/>
  <c r="E250" i="4"/>
  <c r="F250" i="4"/>
  <c r="D250" i="4"/>
  <c r="J250" i="4"/>
  <c r="O299" i="4"/>
  <c r="Q299" i="4"/>
  <c r="J299" i="4"/>
  <c r="H299" i="4"/>
  <c r="M299" i="4"/>
  <c r="P299" i="4"/>
  <c r="I299" i="4"/>
  <c r="K299" i="4"/>
  <c r="B299" i="4"/>
  <c r="N299" i="4"/>
  <c r="L299" i="4"/>
  <c r="H117" i="4"/>
  <c r="J117" i="4"/>
  <c r="I117" i="4"/>
  <c r="Q117" i="4"/>
  <c r="N117" i="4"/>
  <c r="M117" i="4"/>
  <c r="K117" i="4"/>
  <c r="P117" i="4"/>
  <c r="O117" i="4"/>
  <c r="L117" i="4"/>
  <c r="O281" i="4"/>
  <c r="Q281" i="4"/>
  <c r="M281" i="4"/>
  <c r="N281" i="4"/>
  <c r="P281" i="4"/>
  <c r="L281" i="4"/>
  <c r="K281" i="4"/>
  <c r="P239" i="4"/>
  <c r="I239" i="4"/>
  <c r="Q239" i="4"/>
  <c r="N239" i="4"/>
  <c r="J239" i="4"/>
  <c r="H239" i="4"/>
  <c r="K239" i="4"/>
  <c r="O239" i="4"/>
  <c r="M239" i="4"/>
  <c r="L239" i="4"/>
  <c r="Q219" i="4"/>
  <c r="P219" i="4"/>
  <c r="O219" i="4"/>
  <c r="Q229" i="4"/>
  <c r="O220" i="4"/>
  <c r="P220" i="4"/>
  <c r="Q220" i="4"/>
  <c r="P120" i="4"/>
  <c r="Q120" i="4"/>
  <c r="N120" i="4"/>
  <c r="K120" i="4"/>
  <c r="M120" i="4"/>
  <c r="I120" i="4"/>
  <c r="H120" i="4"/>
  <c r="L120" i="4"/>
  <c r="O120" i="4"/>
  <c r="J120" i="4"/>
  <c r="G138" i="4"/>
  <c r="H138" i="4"/>
  <c r="Q138" i="4"/>
  <c r="O138" i="4"/>
  <c r="E138" i="4"/>
  <c r="J138" i="4"/>
  <c r="F138" i="4"/>
  <c r="L138" i="4"/>
  <c r="P138" i="4"/>
  <c r="C138" i="4"/>
  <c r="I138" i="4"/>
  <c r="M138" i="4"/>
  <c r="K138" i="4"/>
  <c r="N138" i="4"/>
  <c r="D138" i="4"/>
  <c r="H169" i="4"/>
  <c r="N169" i="4"/>
  <c r="L169" i="4"/>
  <c r="P169" i="4"/>
  <c r="J169" i="4"/>
  <c r="M169" i="4"/>
  <c r="Q169" i="4"/>
  <c r="O169" i="4"/>
  <c r="K169" i="4"/>
  <c r="I169" i="4"/>
  <c r="M282" i="4"/>
  <c r="N282" i="4"/>
  <c r="O282" i="4"/>
  <c r="P282" i="4"/>
  <c r="L282" i="4"/>
  <c r="K282" i="4"/>
  <c r="L273" i="4"/>
  <c r="K273" i="4"/>
  <c r="J273" i="4"/>
  <c r="I273" i="4"/>
  <c r="N165" i="4"/>
  <c r="O165" i="4"/>
  <c r="Q165" i="4"/>
  <c r="I165" i="4"/>
  <c r="J165" i="4"/>
  <c r="L165" i="4"/>
  <c r="M165" i="4"/>
  <c r="H165" i="4"/>
  <c r="P165" i="4"/>
  <c r="K165" i="4"/>
  <c r="I185" i="4"/>
  <c r="K185" i="4"/>
  <c r="J185" i="4"/>
  <c r="H185" i="4"/>
  <c r="M185" i="4"/>
  <c r="L185" i="4"/>
  <c r="I113" i="4"/>
  <c r="K113" i="4"/>
  <c r="J113" i="4"/>
  <c r="Q113" i="4"/>
  <c r="N113" i="4"/>
  <c r="M113" i="4"/>
  <c r="O113" i="4"/>
  <c r="H113" i="4"/>
  <c r="P113" i="4"/>
  <c r="L113" i="4"/>
  <c r="H101" i="4"/>
  <c r="N101" i="4"/>
  <c r="J101" i="4"/>
  <c r="O101" i="4"/>
  <c r="K101" i="4"/>
  <c r="Q101" i="4"/>
  <c r="M101" i="4"/>
  <c r="I101" i="4"/>
  <c r="P101" i="4"/>
  <c r="L101" i="4"/>
  <c r="L198" i="4"/>
  <c r="K198" i="4"/>
  <c r="N198" i="4"/>
  <c r="P198" i="4"/>
  <c r="O198" i="4"/>
  <c r="Q198" i="4"/>
  <c r="M198" i="4"/>
  <c r="H99" i="4"/>
  <c r="P99" i="4"/>
  <c r="L99" i="4"/>
  <c r="M99" i="4"/>
  <c r="Q99" i="4"/>
  <c r="I99" i="4"/>
  <c r="K99" i="4"/>
  <c r="J99" i="4"/>
  <c r="O99" i="4"/>
  <c r="N99" i="4"/>
  <c r="I157" i="4"/>
  <c r="K157" i="4"/>
  <c r="J157" i="4"/>
  <c r="L157" i="4"/>
  <c r="Q157" i="4"/>
  <c r="H157" i="4"/>
  <c r="O157" i="4"/>
  <c r="P157" i="4"/>
  <c r="M157" i="4"/>
  <c r="N157" i="4"/>
  <c r="M156" i="4"/>
  <c r="J156" i="4"/>
  <c r="K156" i="4"/>
  <c r="O156" i="4"/>
  <c r="N156" i="4"/>
  <c r="L156" i="4"/>
  <c r="P156" i="4"/>
  <c r="Q156" i="4"/>
  <c r="H156" i="4"/>
  <c r="I156" i="4"/>
  <c r="K44" i="4"/>
  <c r="P44" i="4"/>
  <c r="I44" i="4"/>
  <c r="Q44" i="4"/>
  <c r="M44" i="4"/>
  <c r="D44" i="4"/>
  <c r="A44" i="4"/>
  <c r="C44" i="4"/>
  <c r="H44" i="4"/>
  <c r="L44" i="4"/>
  <c r="J44" i="4"/>
  <c r="O44" i="4"/>
  <c r="E44" i="4"/>
  <c r="G44" i="4"/>
  <c r="N44" i="4"/>
  <c r="F44" i="4"/>
  <c r="Q307" i="4"/>
  <c r="P307" i="4"/>
  <c r="O319" i="4"/>
  <c r="K319" i="4"/>
  <c r="D319" i="4"/>
  <c r="H319" i="4"/>
  <c r="C319" i="4"/>
  <c r="N319" i="4"/>
  <c r="A319" i="4"/>
  <c r="F319" i="4"/>
  <c r="E319" i="4"/>
  <c r="M319" i="4"/>
  <c r="Q319" i="4"/>
  <c r="L319" i="4"/>
  <c r="J319" i="4"/>
  <c r="G319" i="4"/>
  <c r="I319" i="4"/>
  <c r="P319" i="4"/>
  <c r="P116" i="4"/>
  <c r="N116" i="4"/>
  <c r="Q116" i="4"/>
  <c r="I116" i="4"/>
  <c r="K116" i="4"/>
  <c r="H116" i="4"/>
  <c r="J116" i="4"/>
  <c r="L116" i="4"/>
  <c r="O116" i="4"/>
  <c r="M116" i="4"/>
  <c r="P215" i="4"/>
  <c r="N215" i="4"/>
  <c r="Q215" i="4"/>
  <c r="O215" i="4"/>
  <c r="K118" i="4"/>
  <c r="P118" i="4"/>
  <c r="J118" i="4"/>
  <c r="M118" i="4"/>
  <c r="I118" i="4"/>
  <c r="H118" i="4"/>
  <c r="L118" i="4"/>
  <c r="N118" i="4"/>
  <c r="Q118" i="4"/>
  <c r="O118" i="4"/>
  <c r="O164" i="4"/>
  <c r="F164" i="4"/>
  <c r="L164" i="4"/>
  <c r="Q164" i="4"/>
  <c r="K164" i="4"/>
  <c r="M164" i="4"/>
  <c r="C164" i="4"/>
  <c r="I164" i="4"/>
  <c r="E164" i="4"/>
  <c r="P164" i="4"/>
  <c r="H164" i="4"/>
  <c r="G164" i="4"/>
  <c r="J164" i="4"/>
  <c r="D164" i="4"/>
  <c r="N164" i="4"/>
  <c r="D333" i="4"/>
  <c r="K333" i="4"/>
  <c r="L333" i="4"/>
  <c r="C333" i="4"/>
  <c r="H333" i="4"/>
  <c r="J333" i="4"/>
  <c r="Q333" i="4"/>
  <c r="O333" i="4"/>
  <c r="P333" i="4"/>
  <c r="N333" i="4"/>
  <c r="M333" i="4"/>
  <c r="E333" i="4"/>
  <c r="F333" i="4"/>
  <c r="G333" i="4"/>
  <c r="I333" i="4"/>
  <c r="P67" i="4"/>
  <c r="L67" i="4"/>
  <c r="K67" i="4"/>
  <c r="N67" i="4"/>
  <c r="O67" i="4"/>
  <c r="J67" i="4"/>
  <c r="M67" i="4"/>
  <c r="H67" i="4"/>
  <c r="Q67" i="4"/>
  <c r="I67" i="4"/>
  <c r="Q255" i="4"/>
  <c r="O255" i="4"/>
  <c r="K255" i="4"/>
  <c r="J255" i="4"/>
  <c r="I255" i="4"/>
  <c r="H255" i="4"/>
  <c r="L255" i="4"/>
  <c r="P255" i="4"/>
  <c r="M255" i="4"/>
  <c r="N255" i="4"/>
  <c r="K65" i="4"/>
  <c r="G65" i="4"/>
  <c r="H65" i="4"/>
  <c r="L65" i="4"/>
  <c r="J65" i="4"/>
  <c r="I65" i="4"/>
  <c r="M65" i="4"/>
  <c r="P65" i="4"/>
  <c r="N65" i="4"/>
  <c r="Q65" i="4"/>
  <c r="O65" i="4"/>
  <c r="N204" i="4"/>
  <c r="O204" i="4"/>
  <c r="P204" i="4"/>
  <c r="Q204" i="4"/>
  <c r="M204" i="4"/>
  <c r="L204" i="4"/>
  <c r="B187" i="4"/>
  <c r="H187" i="4"/>
  <c r="J187" i="4"/>
  <c r="L187" i="4"/>
  <c r="K187" i="4"/>
  <c r="M187" i="4"/>
  <c r="Q187" i="4"/>
  <c r="N187" i="4"/>
  <c r="O187" i="4"/>
  <c r="I187" i="4"/>
  <c r="P187" i="4"/>
  <c r="O18" i="4"/>
  <c r="M18" i="4"/>
  <c r="N18" i="4"/>
  <c r="Q18" i="4"/>
  <c r="P18" i="4"/>
  <c r="M292" i="4"/>
  <c r="O292" i="4"/>
  <c r="N292" i="4"/>
  <c r="Q292" i="4"/>
  <c r="P292" i="4"/>
  <c r="K178" i="4"/>
  <c r="M178" i="4"/>
  <c r="Q178" i="4"/>
  <c r="J178" i="4"/>
  <c r="O178" i="4"/>
  <c r="P178" i="4"/>
  <c r="I178" i="4"/>
  <c r="N178" i="4"/>
  <c r="L178" i="4"/>
  <c r="H178" i="4"/>
  <c r="Q155" i="4"/>
  <c r="L155" i="4"/>
  <c r="J155" i="4"/>
  <c r="O155" i="4"/>
  <c r="P155" i="4"/>
  <c r="N155" i="4"/>
  <c r="M155" i="4"/>
  <c r="I155" i="4"/>
  <c r="K155" i="4"/>
  <c r="H155" i="4"/>
  <c r="Q208" i="4"/>
  <c r="N208" i="4"/>
  <c r="M208" i="4"/>
  <c r="P208" i="4"/>
  <c r="O208" i="4"/>
  <c r="K217" i="4"/>
  <c r="L217" i="4"/>
  <c r="N217" i="4"/>
  <c r="J217" i="4"/>
  <c r="Q217" i="4"/>
  <c r="B217" i="4"/>
  <c r="H217" i="4"/>
  <c r="P217" i="4"/>
  <c r="O217" i="4"/>
  <c r="M217" i="4"/>
  <c r="I217" i="4"/>
  <c r="L172" i="4"/>
  <c r="P172" i="4"/>
  <c r="M172" i="4"/>
  <c r="N172" i="4"/>
  <c r="H172" i="4"/>
  <c r="K172" i="4"/>
  <c r="O172" i="4"/>
  <c r="Q172" i="4"/>
  <c r="I172" i="4"/>
  <c r="J172" i="4"/>
  <c r="P115" i="4"/>
  <c r="I115" i="4"/>
  <c r="J115" i="4"/>
  <c r="Q115" i="4"/>
  <c r="H115" i="4"/>
  <c r="K115" i="4"/>
  <c r="L115" i="4"/>
  <c r="M115" i="4"/>
  <c r="N115" i="4"/>
  <c r="O115" i="4"/>
  <c r="K268" i="4"/>
  <c r="I268" i="4"/>
  <c r="J268" i="4"/>
  <c r="H268" i="4"/>
  <c r="P305" i="4"/>
  <c r="Q305" i="4"/>
  <c r="D40" i="4"/>
  <c r="O40" i="4"/>
  <c r="J40" i="4"/>
  <c r="H40" i="4"/>
  <c r="K40" i="4"/>
  <c r="M40" i="4"/>
  <c r="L40" i="4"/>
  <c r="N40" i="4"/>
  <c r="C40" i="4"/>
  <c r="E40" i="4"/>
  <c r="F40" i="4"/>
  <c r="I40" i="4"/>
  <c r="P40" i="4"/>
  <c r="Q40" i="4"/>
  <c r="G40" i="4"/>
  <c r="M50" i="4"/>
  <c r="I50" i="4"/>
  <c r="J50" i="4"/>
  <c r="N50" i="4"/>
  <c r="H50" i="4"/>
  <c r="F50" i="4"/>
  <c r="P50" i="4"/>
  <c r="D50" i="4"/>
  <c r="O50" i="4"/>
  <c r="C50" i="4"/>
  <c r="Q50" i="4"/>
  <c r="K50" i="4"/>
  <c r="E50" i="4"/>
  <c r="G50" i="4"/>
  <c r="L50" i="4"/>
  <c r="L286" i="4"/>
  <c r="M286" i="4"/>
  <c r="P286" i="4"/>
  <c r="O286" i="4"/>
  <c r="N286" i="4"/>
  <c r="Q286" i="4"/>
  <c r="K202" i="4"/>
  <c r="Q202" i="4"/>
  <c r="L202" i="4"/>
  <c r="H202" i="4"/>
  <c r="B202" i="4"/>
  <c r="N202" i="4"/>
  <c r="O202" i="4"/>
  <c r="M202" i="4"/>
  <c r="J202" i="4"/>
  <c r="I202" i="4"/>
  <c r="P202" i="4"/>
  <c r="G142" i="4"/>
  <c r="I142" i="4"/>
  <c r="O142" i="4"/>
  <c r="D142" i="4"/>
  <c r="E142" i="4"/>
  <c r="H142" i="4"/>
  <c r="P142" i="4"/>
  <c r="K142" i="4"/>
  <c r="J142" i="4"/>
  <c r="M142" i="4"/>
  <c r="N142" i="4"/>
  <c r="L142" i="4"/>
  <c r="C142" i="4"/>
  <c r="F142" i="4"/>
  <c r="Q142" i="4"/>
  <c r="G137" i="4"/>
  <c r="J137" i="4"/>
  <c r="M137" i="4"/>
  <c r="Q137" i="4"/>
  <c r="O137" i="4"/>
  <c r="D137" i="4"/>
  <c r="H137" i="4"/>
  <c r="P137" i="4"/>
  <c r="A137" i="4"/>
  <c r="K137" i="4"/>
  <c r="L137" i="4"/>
  <c r="F137" i="4"/>
  <c r="N137" i="4"/>
  <c r="E137" i="4"/>
  <c r="I137" i="4"/>
  <c r="C137" i="4"/>
  <c r="M144" i="4"/>
  <c r="K144" i="4"/>
  <c r="O144" i="4"/>
  <c r="H144" i="4"/>
  <c r="D144" i="4"/>
  <c r="Q144" i="4"/>
  <c r="I144" i="4"/>
  <c r="L144" i="4"/>
  <c r="F144" i="4"/>
  <c r="E144" i="4"/>
  <c r="C144" i="4"/>
  <c r="J144" i="4"/>
  <c r="A144" i="4"/>
  <c r="N144" i="4"/>
  <c r="P144" i="4"/>
  <c r="G144" i="4"/>
  <c r="O259" i="4"/>
  <c r="H259" i="4"/>
  <c r="L259" i="4"/>
  <c r="P259" i="4"/>
  <c r="N259" i="4"/>
  <c r="Q259" i="4"/>
  <c r="M259" i="4"/>
  <c r="K259" i="4"/>
  <c r="I259" i="4"/>
  <c r="J259" i="4"/>
  <c r="E145" i="4"/>
  <c r="D145" i="4"/>
  <c r="H145" i="4"/>
  <c r="O145" i="4"/>
  <c r="M145" i="4"/>
  <c r="Q145" i="4"/>
  <c r="F145" i="4"/>
  <c r="I145" i="4"/>
  <c r="L145" i="4"/>
  <c r="K145" i="4"/>
  <c r="N145" i="4"/>
  <c r="G145" i="4"/>
  <c r="C145" i="4"/>
  <c r="J145" i="4"/>
  <c r="P145" i="4"/>
  <c r="E51" i="4"/>
  <c r="J51" i="4"/>
  <c r="K51" i="4"/>
  <c r="M51" i="4"/>
  <c r="D51" i="4"/>
  <c r="H51" i="4"/>
  <c r="O51" i="4"/>
  <c r="G51" i="4"/>
  <c r="C51" i="4"/>
  <c r="P51" i="4"/>
  <c r="I51" i="4"/>
  <c r="Q51" i="4"/>
  <c r="F51" i="4"/>
  <c r="N51" i="4"/>
  <c r="L51" i="4"/>
  <c r="I95" i="4"/>
  <c r="N95" i="4"/>
  <c r="O95" i="4"/>
  <c r="P95" i="4"/>
  <c r="J95" i="4"/>
  <c r="K95" i="4"/>
  <c r="M95" i="4"/>
  <c r="H95" i="4"/>
  <c r="Q95" i="4"/>
  <c r="L95" i="4"/>
  <c r="J342" i="4"/>
  <c r="L342" i="4"/>
  <c r="Q342" i="4"/>
  <c r="N342" i="4"/>
  <c r="G342" i="4"/>
  <c r="D342" i="4"/>
  <c r="O342" i="4"/>
  <c r="I342" i="4"/>
  <c r="K342" i="4"/>
  <c r="M342" i="4"/>
  <c r="P342" i="4"/>
  <c r="F342" i="4"/>
  <c r="A342" i="4"/>
  <c r="C342" i="4"/>
  <c r="H342" i="4"/>
  <c r="E342" i="4"/>
  <c r="K64" i="4"/>
  <c r="J64" i="4"/>
  <c r="M64" i="4"/>
  <c r="O64" i="4"/>
  <c r="I64" i="4"/>
  <c r="N64" i="4"/>
  <c r="L64" i="4"/>
  <c r="H64" i="4"/>
  <c r="G64" i="4"/>
  <c r="P64" i="4"/>
  <c r="Q64" i="4"/>
  <c r="Q214" i="4"/>
  <c r="P214" i="4"/>
  <c r="O214" i="4"/>
  <c r="N214" i="4"/>
  <c r="L287" i="4"/>
  <c r="P287" i="4"/>
  <c r="M287" i="4"/>
  <c r="N287" i="4"/>
  <c r="O287" i="4"/>
  <c r="Q287" i="4"/>
  <c r="B249" i="4"/>
  <c r="F249" i="4"/>
  <c r="C249" i="4"/>
  <c r="D249" i="4"/>
  <c r="G249" i="4"/>
  <c r="E249" i="4"/>
  <c r="E325" i="4"/>
  <c r="Q325" i="4"/>
  <c r="A325" i="4"/>
  <c r="P325" i="4"/>
  <c r="O325" i="4"/>
  <c r="K325" i="4"/>
  <c r="G325" i="4"/>
  <c r="N325" i="4"/>
  <c r="M325" i="4"/>
  <c r="I325" i="4"/>
  <c r="H325" i="4"/>
  <c r="J325" i="4"/>
  <c r="L325" i="4"/>
  <c r="F325" i="4"/>
  <c r="D325" i="4"/>
  <c r="C325" i="4"/>
  <c r="N294" i="4"/>
  <c r="H294" i="4"/>
  <c r="B294" i="4"/>
  <c r="O294" i="4"/>
  <c r="M294" i="4"/>
  <c r="J294" i="4"/>
  <c r="P294" i="4"/>
  <c r="I294" i="4"/>
  <c r="K294" i="4"/>
  <c r="Q294" i="4"/>
  <c r="L294" i="4"/>
  <c r="J94" i="4"/>
  <c r="K94" i="4"/>
  <c r="O94" i="4"/>
  <c r="P94" i="4"/>
  <c r="N94" i="4"/>
  <c r="H94" i="4"/>
  <c r="M94" i="4"/>
  <c r="Q94" i="4"/>
  <c r="I94" i="4"/>
  <c r="L94" i="4"/>
  <c r="H274" i="4"/>
  <c r="Q274" i="4"/>
  <c r="K274" i="4"/>
  <c r="I274" i="4"/>
  <c r="B274" i="4"/>
  <c r="L274" i="4"/>
  <c r="J274" i="4"/>
  <c r="P274" i="4"/>
  <c r="M274" i="4"/>
  <c r="O274" i="4"/>
  <c r="N274" i="4"/>
  <c r="L56" i="4"/>
  <c r="O56" i="4"/>
  <c r="P56" i="4"/>
  <c r="K56" i="4"/>
  <c r="H56" i="4"/>
  <c r="G56" i="4"/>
  <c r="I56" i="4"/>
  <c r="N56" i="4"/>
  <c r="M56" i="4"/>
  <c r="Q56" i="4"/>
  <c r="J56" i="4"/>
  <c r="A146" i="4"/>
  <c r="D146" i="4"/>
  <c r="E146" i="4"/>
  <c r="G146" i="4"/>
  <c r="C146" i="4"/>
  <c r="F146" i="4"/>
  <c r="P203" i="4"/>
  <c r="N203" i="4"/>
  <c r="M203" i="4"/>
  <c r="L203" i="4"/>
  <c r="Q203" i="4"/>
  <c r="O203" i="4"/>
  <c r="H261" i="4"/>
  <c r="I261" i="4"/>
  <c r="K261" i="4"/>
  <c r="N261" i="4"/>
  <c r="P261" i="4"/>
  <c r="O261" i="4"/>
  <c r="M261" i="4"/>
  <c r="Q261" i="4"/>
  <c r="J261" i="4"/>
  <c r="L261" i="4"/>
  <c r="A33" i="4"/>
  <c r="F33" i="4"/>
  <c r="L33" i="4"/>
  <c r="H33" i="4"/>
  <c r="K33" i="4"/>
  <c r="M33" i="4"/>
  <c r="I33" i="4"/>
  <c r="Q33" i="4"/>
  <c r="E33" i="4"/>
  <c r="C33" i="4"/>
  <c r="N33" i="4"/>
  <c r="D33" i="4"/>
  <c r="G33" i="4"/>
  <c r="O33" i="4"/>
  <c r="J33" i="4"/>
  <c r="P33" i="4"/>
  <c r="F39" i="14"/>
  <c r="H39" i="14"/>
  <c r="J39" i="14"/>
  <c r="O39" i="14"/>
  <c r="I39" i="14"/>
  <c r="L39" i="14"/>
  <c r="N39" i="14"/>
  <c r="M39" i="14"/>
  <c r="K39" i="14"/>
  <c r="G39" i="14"/>
  <c r="I30" i="14"/>
  <c r="J30" i="14"/>
  <c r="K30" i="14"/>
  <c r="F30" i="14"/>
  <c r="G30" i="14"/>
  <c r="H30" i="14"/>
  <c r="K23" i="14"/>
  <c r="G23" i="14"/>
  <c r="H23" i="14"/>
  <c r="I23" i="14"/>
  <c r="J23" i="14"/>
  <c r="J33" i="14"/>
  <c r="K33" i="14"/>
  <c r="F33" i="14"/>
  <c r="G33" i="14"/>
  <c r="H33" i="14"/>
  <c r="I33" i="14"/>
  <c r="E6" i="14"/>
  <c r="N6" i="14"/>
  <c r="G6" i="14"/>
  <c r="K6" i="14"/>
  <c r="J6" i="14"/>
  <c r="I6" i="14"/>
  <c r="L6" i="14"/>
  <c r="H6" i="14"/>
  <c r="F6" i="14"/>
  <c r="M6" i="14"/>
  <c r="K24" i="14"/>
  <c r="F24" i="14"/>
  <c r="J24" i="14"/>
  <c r="G24" i="14"/>
  <c r="I24" i="14"/>
  <c r="H24" i="14"/>
  <c r="F25" i="14"/>
  <c r="R25" i="14"/>
  <c r="K25" i="14"/>
  <c r="H25" i="14"/>
  <c r="I25" i="14"/>
  <c r="G25" i="14"/>
  <c r="J25" i="14"/>
  <c r="F31" i="14"/>
  <c r="K31" i="14"/>
  <c r="G31" i="14"/>
  <c r="H31" i="14"/>
  <c r="I31" i="14"/>
  <c r="J31" i="14"/>
  <c r="N42" i="14"/>
  <c r="O42" i="14"/>
  <c r="I42" i="14"/>
  <c r="L42" i="14"/>
  <c r="G42" i="14"/>
  <c r="J42" i="14"/>
  <c r="F42" i="14"/>
  <c r="H42" i="14"/>
  <c r="M42" i="14"/>
  <c r="K42" i="14"/>
  <c r="M41" i="14"/>
  <c r="K41" i="14"/>
  <c r="N41" i="14"/>
  <c r="J41" i="14"/>
  <c r="H41" i="14"/>
  <c r="G41" i="14"/>
  <c r="I41" i="14"/>
  <c r="L41" i="14"/>
  <c r="O41" i="14"/>
  <c r="F41" i="14"/>
  <c r="K47" i="14"/>
  <c r="I47" i="14"/>
  <c r="N47" i="14"/>
  <c r="O47" i="14"/>
  <c r="F47" i="14"/>
  <c r="H47" i="14"/>
  <c r="M47" i="14"/>
  <c r="G47" i="14"/>
  <c r="L47" i="14"/>
  <c r="J47" i="14"/>
  <c r="G40" i="14"/>
  <c r="I40" i="14"/>
  <c r="L40" i="14"/>
  <c r="J40" i="14"/>
  <c r="H40" i="14"/>
  <c r="M40" i="14"/>
  <c r="K40" i="14"/>
  <c r="F40" i="14"/>
  <c r="N40" i="14"/>
  <c r="O40" i="14"/>
  <c r="J3" i="14"/>
  <c r="F3" i="14"/>
  <c r="H3" i="14"/>
  <c r="K3" i="14"/>
  <c r="L3" i="14"/>
  <c r="M3" i="14"/>
  <c r="N3" i="14"/>
  <c r="I3" i="14"/>
  <c r="G3" i="14"/>
  <c r="E3" i="14"/>
  <c r="J43" i="14"/>
  <c r="F43" i="14"/>
  <c r="M43" i="14"/>
  <c r="K43" i="14"/>
  <c r="G43" i="14"/>
  <c r="I43" i="14"/>
  <c r="L43" i="14"/>
  <c r="N43" i="14"/>
  <c r="H43" i="14"/>
  <c r="O43" i="14"/>
  <c r="G38" i="14"/>
  <c r="F38" i="14"/>
  <c r="M38" i="14"/>
  <c r="O38" i="14"/>
  <c r="N38" i="14"/>
  <c r="J38" i="14"/>
  <c r="L38" i="14"/>
  <c r="H38" i="14"/>
  <c r="I38" i="14"/>
  <c r="K38" i="14"/>
  <c r="F29" i="14"/>
  <c r="H29" i="14"/>
  <c r="I29" i="14"/>
  <c r="J29" i="14"/>
  <c r="K29" i="14"/>
  <c r="G29" i="14"/>
  <c r="G26" i="14"/>
  <c r="H26" i="14"/>
  <c r="K26" i="14"/>
  <c r="I26" i="14"/>
  <c r="J26" i="14"/>
  <c r="F26" i="14"/>
  <c r="R26" i="14"/>
  <c r="G27" i="14"/>
  <c r="F27" i="14"/>
  <c r="H27" i="14"/>
  <c r="I27" i="14"/>
  <c r="J27" i="14"/>
  <c r="K27" i="14"/>
  <c r="K46" i="14"/>
  <c r="G46" i="14"/>
  <c r="H46" i="14"/>
  <c r="M46" i="14"/>
  <c r="L46" i="14"/>
  <c r="N46" i="14"/>
  <c r="J46" i="14"/>
  <c r="O46" i="14"/>
  <c r="F46" i="14"/>
  <c r="I46" i="14"/>
  <c r="E5" i="14"/>
  <c r="M5" i="14"/>
  <c r="K5" i="14"/>
  <c r="I5" i="14"/>
  <c r="J5" i="14"/>
  <c r="L5" i="14"/>
  <c r="H5" i="14"/>
  <c r="F5" i="14"/>
  <c r="G5" i="14"/>
  <c r="N5" i="14"/>
  <c r="M15" i="14"/>
  <c r="J15" i="14"/>
  <c r="I15" i="14"/>
  <c r="H15" i="14"/>
  <c r="F15" i="14"/>
  <c r="L15" i="14"/>
  <c r="N15" i="14"/>
  <c r="E15" i="14"/>
  <c r="G15" i="14"/>
  <c r="K15" i="14"/>
  <c r="H32" i="14"/>
  <c r="I32" i="14"/>
  <c r="F32" i="14"/>
  <c r="J32" i="14"/>
  <c r="K32" i="14"/>
  <c r="G32" i="14"/>
  <c r="G28" i="14"/>
  <c r="H28" i="14"/>
  <c r="F28" i="14"/>
  <c r="I28" i="14"/>
  <c r="J28" i="14"/>
  <c r="K28" i="14"/>
  <c r="M45" i="14"/>
  <c r="K45" i="14"/>
  <c r="N45" i="14"/>
  <c r="H45" i="14"/>
  <c r="G45" i="14"/>
  <c r="I45" i="14"/>
  <c r="L45" i="14"/>
  <c r="J45" i="14"/>
  <c r="O45" i="14"/>
  <c r="F45" i="14"/>
  <c r="K44" i="14"/>
  <c r="L44" i="14"/>
  <c r="J44" i="14"/>
  <c r="F44" i="14"/>
  <c r="H44" i="14"/>
  <c r="M44" i="14"/>
  <c r="G44" i="14"/>
  <c r="I44" i="14"/>
  <c r="N44" i="14"/>
  <c r="O44" i="14"/>
  <c r="M8" i="14"/>
  <c r="H8" i="14"/>
  <c r="J8" i="14"/>
  <c r="N8" i="14"/>
  <c r="E8" i="14"/>
  <c r="L8" i="14"/>
  <c r="I8" i="14"/>
  <c r="K8" i="14"/>
  <c r="G8" i="14"/>
  <c r="F8" i="14"/>
  <c r="K174" i="6"/>
  <c r="H174" i="6"/>
  <c r="M174" i="6"/>
  <c r="I174" i="6"/>
  <c r="L174" i="6"/>
  <c r="F174" i="6"/>
  <c r="G174" i="6"/>
  <c r="J174" i="6"/>
  <c r="N174" i="6"/>
  <c r="O174" i="6"/>
  <c r="F156" i="6"/>
  <c r="J156" i="6"/>
  <c r="O156" i="6"/>
  <c r="G156" i="6"/>
  <c r="I156" i="6"/>
  <c r="K156" i="6"/>
  <c r="H156" i="6"/>
  <c r="N156" i="6"/>
  <c r="M156" i="6"/>
  <c r="L156" i="6"/>
  <c r="L179" i="6"/>
  <c r="M179" i="6"/>
  <c r="I179" i="6"/>
  <c r="G179" i="6"/>
  <c r="O179" i="6"/>
  <c r="N179" i="6"/>
  <c r="H179" i="6"/>
  <c r="J179" i="6"/>
  <c r="F179" i="6"/>
  <c r="K179" i="6"/>
  <c r="L103" i="6"/>
  <c r="N103" i="6"/>
  <c r="J103" i="6"/>
  <c r="H103" i="6"/>
  <c r="I103" i="6"/>
  <c r="M103" i="6"/>
  <c r="G103" i="6"/>
  <c r="K103" i="6"/>
  <c r="O103" i="6"/>
  <c r="F103" i="6"/>
  <c r="H75" i="6"/>
  <c r="I75" i="6"/>
  <c r="N75" i="6"/>
  <c r="J75" i="6"/>
  <c r="G75" i="6"/>
  <c r="F75" i="6"/>
  <c r="M75" i="6"/>
  <c r="O75" i="6"/>
  <c r="K75" i="6"/>
  <c r="L75" i="6"/>
  <c r="I35" i="6"/>
  <c r="G35" i="6"/>
  <c r="K35" i="6"/>
  <c r="O35" i="6"/>
  <c r="H35" i="6"/>
  <c r="L35" i="6"/>
  <c r="F35" i="6"/>
  <c r="N35" i="6"/>
  <c r="J35" i="6"/>
  <c r="M35" i="6"/>
  <c r="N148" i="6"/>
  <c r="F148" i="6"/>
  <c r="O148" i="6"/>
  <c r="L148" i="6"/>
  <c r="H148" i="6"/>
  <c r="I148" i="6"/>
  <c r="J148" i="6"/>
  <c r="M148" i="6"/>
  <c r="K148" i="6"/>
  <c r="G148" i="6"/>
  <c r="F66" i="6"/>
  <c r="L66" i="6"/>
  <c r="O66" i="6"/>
  <c r="N66" i="6"/>
  <c r="J66" i="6"/>
  <c r="M66" i="6"/>
  <c r="I66" i="6"/>
  <c r="G66" i="6"/>
  <c r="K66" i="6"/>
  <c r="H66" i="6"/>
  <c r="G67" i="6"/>
  <c r="F67" i="6"/>
  <c r="J67" i="6"/>
  <c r="H67" i="6"/>
  <c r="I67" i="6"/>
  <c r="K67" i="6"/>
  <c r="N67" i="6"/>
  <c r="O67" i="6"/>
  <c r="L67" i="6"/>
  <c r="M67" i="6"/>
  <c r="J141" i="6"/>
  <c r="I141" i="6"/>
  <c r="F141" i="6"/>
  <c r="M141" i="6"/>
  <c r="K141" i="6"/>
  <c r="N141" i="6"/>
  <c r="O141" i="6"/>
  <c r="H141" i="6"/>
  <c r="G141" i="6"/>
  <c r="L141" i="6"/>
  <c r="L64" i="6"/>
  <c r="K64" i="6"/>
  <c r="O64" i="6"/>
  <c r="N64" i="6"/>
  <c r="M64" i="6"/>
  <c r="H64" i="6"/>
  <c r="J64" i="6"/>
  <c r="I64" i="6"/>
  <c r="F64" i="6"/>
  <c r="G64" i="6"/>
  <c r="H46" i="6"/>
  <c r="F46" i="6"/>
  <c r="G46" i="6"/>
  <c r="J112" i="6"/>
  <c r="K112" i="6"/>
  <c r="N112" i="6"/>
  <c r="L112" i="6"/>
  <c r="M112" i="6"/>
  <c r="O112" i="6"/>
  <c r="N123" i="6"/>
  <c r="G123" i="6"/>
  <c r="H123" i="6"/>
  <c r="O123" i="6"/>
  <c r="J123" i="6"/>
  <c r="K123" i="6"/>
  <c r="M123" i="6"/>
  <c r="L123" i="6"/>
  <c r="F123" i="6"/>
  <c r="I123" i="6"/>
  <c r="K157" i="6"/>
  <c r="M157" i="6"/>
  <c r="G157" i="6"/>
  <c r="J157" i="6"/>
  <c r="O157" i="6"/>
  <c r="N157" i="6"/>
  <c r="H157" i="6"/>
  <c r="I157" i="6"/>
  <c r="L157" i="6"/>
  <c r="F157" i="6"/>
  <c r="G185" i="6"/>
  <c r="I185" i="6"/>
  <c r="J185" i="6"/>
  <c r="L185" i="6"/>
  <c r="N185" i="6"/>
  <c r="F185" i="6"/>
  <c r="K185" i="6"/>
  <c r="M185" i="6"/>
  <c r="H185" i="6"/>
  <c r="O185" i="6"/>
  <c r="N128" i="6"/>
  <c r="G128" i="6"/>
  <c r="O128" i="6"/>
  <c r="I128" i="6"/>
  <c r="K128" i="6"/>
  <c r="L128" i="6"/>
  <c r="F128" i="6"/>
  <c r="H128" i="6"/>
  <c r="M128" i="6"/>
  <c r="J128" i="6"/>
  <c r="F130" i="6"/>
  <c r="K130" i="6"/>
  <c r="O130" i="6"/>
  <c r="H130" i="6"/>
  <c r="G130" i="6"/>
  <c r="I130" i="6"/>
  <c r="M130" i="6"/>
  <c r="J130" i="6"/>
  <c r="L130" i="6"/>
  <c r="N130" i="6"/>
  <c r="K73" i="6"/>
  <c r="G73" i="6"/>
  <c r="I73" i="6"/>
  <c r="F73" i="6"/>
  <c r="J73" i="6"/>
  <c r="M73" i="6"/>
  <c r="O73" i="6"/>
  <c r="L73" i="6"/>
  <c r="N73" i="6"/>
  <c r="H73" i="6"/>
  <c r="F159" i="6"/>
  <c r="G159" i="6"/>
  <c r="I159" i="6"/>
  <c r="N159" i="6"/>
  <c r="J159" i="6"/>
  <c r="H159" i="6"/>
  <c r="K159" i="6"/>
  <c r="L159" i="6"/>
  <c r="M159" i="6"/>
  <c r="O159" i="6"/>
  <c r="K176" i="6"/>
  <c r="H176" i="6"/>
  <c r="O176" i="6"/>
  <c r="F176" i="6"/>
  <c r="I176" i="6"/>
  <c r="M176" i="6"/>
  <c r="N176" i="6"/>
  <c r="J176" i="6"/>
  <c r="L176" i="6"/>
  <c r="G176" i="6"/>
  <c r="F119" i="6"/>
  <c r="K119" i="6"/>
  <c r="I119" i="6"/>
  <c r="J119" i="6"/>
  <c r="L119" i="6"/>
  <c r="N119" i="6"/>
  <c r="H119" i="6"/>
  <c r="G119" i="6"/>
  <c r="M119" i="6"/>
  <c r="O119" i="6"/>
  <c r="I152" i="6"/>
  <c r="J152" i="6"/>
  <c r="K152" i="6"/>
  <c r="O152" i="6"/>
  <c r="L152" i="6"/>
  <c r="G152" i="6"/>
  <c r="F152" i="6"/>
  <c r="N152" i="6"/>
  <c r="H152" i="6"/>
  <c r="M152" i="6"/>
  <c r="H34" i="6"/>
  <c r="I34" i="6"/>
  <c r="G34" i="6"/>
  <c r="K34" i="6"/>
  <c r="N34" i="6"/>
  <c r="F34" i="6"/>
  <c r="O34" i="6"/>
  <c r="J34" i="6"/>
  <c r="L34" i="6"/>
  <c r="M34" i="6"/>
  <c r="L138" i="6"/>
  <c r="O138" i="6"/>
  <c r="K138" i="6"/>
  <c r="F138" i="6"/>
  <c r="J138" i="6"/>
  <c r="I138" i="6"/>
  <c r="H138" i="6"/>
  <c r="N138" i="6"/>
  <c r="G138" i="6"/>
  <c r="M138" i="6"/>
  <c r="J173" i="6"/>
  <c r="N173" i="6"/>
  <c r="O173" i="6"/>
  <c r="L173" i="6"/>
  <c r="F173" i="6"/>
  <c r="G173" i="6"/>
  <c r="H173" i="6"/>
  <c r="M173" i="6"/>
  <c r="I173" i="6"/>
  <c r="K173" i="6"/>
  <c r="G122" i="6"/>
  <c r="H122" i="6"/>
  <c r="O122" i="6"/>
  <c r="L122" i="6"/>
  <c r="K122" i="6"/>
  <c r="I122" i="6"/>
  <c r="J122" i="6"/>
  <c r="F122" i="6"/>
  <c r="M122" i="6"/>
  <c r="N122" i="6"/>
  <c r="K135" i="6"/>
  <c r="H135" i="6"/>
  <c r="J135" i="6"/>
  <c r="L135" i="6"/>
  <c r="M135" i="6"/>
  <c r="N135" i="6"/>
  <c r="O135" i="6"/>
  <c r="F135" i="6"/>
  <c r="I135" i="6"/>
  <c r="G135" i="6"/>
  <c r="J161" i="6"/>
  <c r="H161" i="6"/>
  <c r="N161" i="6"/>
  <c r="G161" i="6"/>
  <c r="L161" i="6"/>
  <c r="I161" i="6"/>
  <c r="M161" i="6"/>
  <c r="K161" i="6"/>
  <c r="F161" i="6"/>
  <c r="O161" i="6"/>
  <c r="O18" i="6"/>
  <c r="L18" i="6"/>
  <c r="F18" i="6"/>
  <c r="I18" i="6"/>
  <c r="J18" i="6"/>
  <c r="N18" i="6"/>
  <c r="M18" i="6"/>
  <c r="H18" i="6"/>
  <c r="G18" i="6"/>
  <c r="K18" i="6"/>
  <c r="M68" i="6"/>
  <c r="N68" i="6"/>
  <c r="H68" i="6"/>
  <c r="J68" i="6"/>
  <c r="G68" i="6"/>
  <c r="K68" i="6"/>
  <c r="L68" i="6"/>
  <c r="F68" i="6"/>
  <c r="I68" i="6"/>
  <c r="O68" i="6"/>
  <c r="M114" i="6"/>
  <c r="G114" i="6"/>
  <c r="O114" i="6"/>
  <c r="H114" i="6"/>
  <c r="K114" i="6"/>
  <c r="I114" i="6"/>
  <c r="N114" i="6"/>
  <c r="J114" i="6"/>
  <c r="L114" i="6"/>
  <c r="J158" i="6"/>
  <c r="K158" i="6"/>
  <c r="G158" i="6"/>
  <c r="F158" i="6"/>
  <c r="L158" i="6"/>
  <c r="I158" i="6"/>
  <c r="N158" i="6"/>
  <c r="M158" i="6"/>
  <c r="H158" i="6"/>
  <c r="O158" i="6"/>
  <c r="G48" i="6"/>
  <c r="H48" i="6"/>
  <c r="F48" i="6"/>
  <c r="F181" i="6"/>
  <c r="M181" i="6"/>
  <c r="L181" i="6"/>
  <c r="K181" i="6"/>
  <c r="G181" i="6"/>
  <c r="I181" i="6"/>
  <c r="N181" i="6"/>
  <c r="O181" i="6"/>
  <c r="J181" i="6"/>
  <c r="H181" i="6"/>
  <c r="L6" i="6"/>
  <c r="H6" i="6"/>
  <c r="F6" i="6"/>
  <c r="G6" i="6"/>
  <c r="J6" i="6"/>
  <c r="D6" i="6"/>
  <c r="O6" i="6"/>
  <c r="N6" i="6"/>
  <c r="M6" i="6"/>
  <c r="K6" i="6"/>
  <c r="I6" i="6"/>
  <c r="E6" i="6"/>
  <c r="G76" i="6"/>
  <c r="F76" i="6"/>
  <c r="N76" i="6"/>
  <c r="O76" i="6"/>
  <c r="M76" i="6"/>
  <c r="K76" i="6"/>
  <c r="I76" i="6"/>
  <c r="H76" i="6"/>
  <c r="J76" i="6"/>
  <c r="L76" i="6"/>
  <c r="J83" i="6"/>
  <c r="M83" i="6"/>
  <c r="O83" i="6"/>
  <c r="H83" i="6"/>
  <c r="K83" i="6"/>
  <c r="G83" i="6"/>
  <c r="I83" i="6"/>
  <c r="L83" i="6"/>
  <c r="N83" i="6"/>
  <c r="F83" i="6"/>
  <c r="H65" i="6"/>
  <c r="I65" i="6"/>
  <c r="N65" i="6"/>
  <c r="M65" i="6"/>
  <c r="K65" i="6"/>
  <c r="L65" i="6"/>
  <c r="G65" i="6"/>
  <c r="J65" i="6"/>
  <c r="O65" i="6"/>
  <c r="F65" i="6"/>
  <c r="M124" i="6"/>
  <c r="G124" i="6"/>
  <c r="J124" i="6"/>
  <c r="N124" i="6"/>
  <c r="I124" i="6"/>
  <c r="O124" i="6"/>
  <c r="H124" i="6"/>
  <c r="L124" i="6"/>
  <c r="F124" i="6"/>
  <c r="K124" i="6"/>
  <c r="L147" i="6"/>
  <c r="F147" i="6"/>
  <c r="N147" i="6"/>
  <c r="J147" i="6"/>
  <c r="K147" i="6"/>
  <c r="I147" i="6"/>
  <c r="G147" i="6"/>
  <c r="H147" i="6"/>
  <c r="O147" i="6"/>
  <c r="M147" i="6"/>
  <c r="G155" i="6"/>
  <c r="F155" i="6"/>
  <c r="N155" i="6"/>
  <c r="I155" i="6"/>
  <c r="M155" i="6"/>
  <c r="L155" i="6"/>
  <c r="O155" i="6"/>
  <c r="J155" i="6"/>
  <c r="K155" i="6"/>
  <c r="H155" i="6"/>
  <c r="J146" i="6"/>
  <c r="M146" i="6"/>
  <c r="H146" i="6"/>
  <c r="O146" i="6"/>
  <c r="N146" i="6"/>
  <c r="F146" i="6"/>
  <c r="G146" i="6"/>
  <c r="K146" i="6"/>
  <c r="L146" i="6"/>
  <c r="I146" i="6"/>
  <c r="L132" i="6"/>
  <c r="K132" i="6"/>
  <c r="O132" i="6"/>
  <c r="N132" i="6"/>
  <c r="M132" i="6"/>
  <c r="I132" i="6"/>
  <c r="J132" i="6"/>
  <c r="F132" i="6"/>
  <c r="H132" i="6"/>
  <c r="G132" i="6"/>
  <c r="J23" i="6"/>
  <c r="N23" i="6"/>
  <c r="H23" i="6"/>
  <c r="G23" i="6"/>
  <c r="O23" i="6"/>
  <c r="L23" i="6"/>
  <c r="I23" i="6"/>
  <c r="M23" i="6"/>
  <c r="F23" i="6"/>
  <c r="K23" i="6"/>
  <c r="L137" i="6"/>
  <c r="F137" i="6"/>
  <c r="G137" i="6"/>
  <c r="H137" i="6"/>
  <c r="K137" i="6"/>
  <c r="M137" i="6"/>
  <c r="I137" i="6"/>
  <c r="J137" i="6"/>
  <c r="N137" i="6"/>
  <c r="O137" i="6"/>
  <c r="D139" i="6"/>
  <c r="M125" i="6"/>
  <c r="J125" i="6"/>
  <c r="L125" i="6"/>
  <c r="G125" i="6"/>
  <c r="F125" i="6"/>
  <c r="H125" i="6"/>
  <c r="K125" i="6"/>
  <c r="N125" i="6"/>
  <c r="I125" i="6"/>
  <c r="O125" i="6"/>
  <c r="H82" i="6"/>
  <c r="L82" i="6"/>
  <c r="I82" i="6"/>
  <c r="M82" i="6"/>
  <c r="G82" i="6"/>
  <c r="F82" i="6"/>
  <c r="K82" i="6"/>
  <c r="N82" i="6"/>
  <c r="J82" i="6"/>
  <c r="O82" i="6"/>
  <c r="M19" i="6"/>
  <c r="N19" i="6"/>
  <c r="K19" i="6"/>
  <c r="G19" i="6"/>
  <c r="F19" i="6"/>
  <c r="I19" i="6"/>
  <c r="H19" i="6"/>
  <c r="J19" i="6"/>
  <c r="L19" i="6"/>
  <c r="O19" i="6"/>
  <c r="H192" i="6"/>
  <c r="G192" i="6"/>
  <c r="M192" i="6"/>
  <c r="N192" i="6"/>
  <c r="L192" i="6"/>
  <c r="O192" i="6"/>
  <c r="F192" i="6"/>
  <c r="I192" i="6"/>
  <c r="K192" i="6"/>
  <c r="J192" i="6"/>
  <c r="I78" i="6"/>
  <c r="L78" i="6"/>
  <c r="N78" i="6"/>
  <c r="J78" i="6"/>
  <c r="G78" i="6"/>
  <c r="F78" i="6"/>
  <c r="M78" i="6"/>
  <c r="K78" i="6"/>
  <c r="O78" i="6"/>
  <c r="H78" i="6"/>
  <c r="E78" i="6"/>
  <c r="L149" i="6"/>
  <c r="M149" i="6"/>
  <c r="N149" i="6"/>
  <c r="O149" i="6"/>
  <c r="I149" i="6"/>
  <c r="H149" i="6"/>
  <c r="K149" i="6"/>
  <c r="J149" i="6"/>
  <c r="G149" i="6"/>
  <c r="F149" i="6"/>
  <c r="H47" i="6"/>
  <c r="F47" i="6"/>
  <c r="G47" i="6"/>
  <c r="H150" i="6"/>
  <c r="M150" i="6"/>
  <c r="G150" i="6"/>
  <c r="K150" i="6"/>
  <c r="I150" i="6"/>
  <c r="O150" i="6"/>
  <c r="L150" i="6"/>
  <c r="N150" i="6"/>
  <c r="J150" i="6"/>
  <c r="F150" i="6"/>
  <c r="H90" i="6"/>
  <c r="M90" i="6"/>
  <c r="J90" i="6"/>
  <c r="O90" i="6"/>
  <c r="G90" i="6"/>
  <c r="N90" i="6"/>
  <c r="I90" i="6"/>
  <c r="L90" i="6"/>
  <c r="K90" i="6"/>
  <c r="L111" i="6"/>
  <c r="H111" i="6"/>
  <c r="J111" i="6"/>
  <c r="O111" i="6"/>
  <c r="M111" i="6"/>
  <c r="G111" i="6"/>
  <c r="N111" i="6"/>
  <c r="K111" i="6"/>
  <c r="B3" i="6"/>
  <c r="M187" i="6"/>
  <c r="L187" i="6"/>
  <c r="F187" i="6"/>
  <c r="H187" i="6"/>
  <c r="J187" i="6"/>
  <c r="N187" i="6"/>
  <c r="I187" i="6"/>
  <c r="G187" i="6"/>
  <c r="O187" i="6"/>
  <c r="K187" i="6"/>
  <c r="G94" i="6"/>
  <c r="K94" i="6"/>
  <c r="J94" i="6"/>
  <c r="N94" i="6"/>
  <c r="F94" i="6"/>
  <c r="H94" i="6"/>
  <c r="O94" i="6"/>
  <c r="I94" i="6"/>
  <c r="L94" i="6"/>
  <c r="M94" i="6"/>
  <c r="K118" i="6"/>
  <c r="M118" i="6"/>
  <c r="L118" i="6"/>
  <c r="N118" i="6"/>
  <c r="G118" i="6"/>
  <c r="O118" i="6"/>
  <c r="F118" i="6"/>
  <c r="H118" i="6"/>
  <c r="I118" i="6"/>
  <c r="J118" i="6"/>
  <c r="G99" i="6"/>
  <c r="O99" i="6"/>
  <c r="M99" i="6"/>
  <c r="J99" i="6"/>
  <c r="N99" i="6"/>
  <c r="H99" i="6"/>
  <c r="L99" i="6"/>
  <c r="I99" i="6"/>
  <c r="K99" i="6"/>
  <c r="G164" i="6"/>
  <c r="H164" i="6"/>
  <c r="M164" i="6"/>
  <c r="O164" i="6"/>
  <c r="L164" i="6"/>
  <c r="J164" i="6"/>
  <c r="F164" i="6"/>
  <c r="K164" i="6"/>
  <c r="I164" i="6"/>
  <c r="N164" i="6"/>
  <c r="J191" i="6"/>
  <c r="N191" i="6"/>
  <c r="L191" i="6"/>
  <c r="O191" i="6"/>
  <c r="G191" i="6"/>
  <c r="K191" i="6"/>
  <c r="I191" i="6"/>
  <c r="M191" i="6"/>
  <c r="H191" i="6"/>
  <c r="F191" i="6"/>
  <c r="I120" i="6"/>
  <c r="N120" i="6"/>
  <c r="M120" i="6"/>
  <c r="H120" i="6"/>
  <c r="F120" i="6"/>
  <c r="G120" i="6"/>
  <c r="L120" i="6"/>
  <c r="J120" i="6"/>
  <c r="O120" i="6"/>
  <c r="K120" i="6"/>
  <c r="N113" i="6"/>
  <c r="I113" i="6"/>
  <c r="G113" i="6"/>
  <c r="L113" i="6"/>
  <c r="H113" i="6"/>
  <c r="M113" i="6"/>
  <c r="O113" i="6"/>
  <c r="J113" i="6"/>
  <c r="K113" i="6"/>
  <c r="N74" i="6"/>
  <c r="H74" i="6"/>
  <c r="L74" i="6"/>
  <c r="I74" i="6"/>
  <c r="J74" i="6"/>
  <c r="G74" i="6"/>
  <c r="K74" i="6"/>
  <c r="O74" i="6"/>
  <c r="F74" i="6"/>
  <c r="M74" i="6"/>
  <c r="J69" i="6"/>
  <c r="M69" i="6"/>
  <c r="H69" i="6"/>
  <c r="N69" i="6"/>
  <c r="O69" i="6"/>
  <c r="F69" i="6"/>
  <c r="G69" i="6"/>
  <c r="K69" i="6"/>
  <c r="L69" i="6"/>
  <c r="I69" i="6"/>
  <c r="I95" i="6"/>
  <c r="H95" i="6"/>
  <c r="J95" i="6"/>
  <c r="L95" i="6"/>
  <c r="M95" i="6"/>
  <c r="F95" i="6"/>
  <c r="G95" i="6"/>
  <c r="O95" i="6"/>
  <c r="K95" i="6"/>
  <c r="N95" i="6"/>
  <c r="F151" i="6"/>
  <c r="I151" i="6"/>
  <c r="K151" i="6"/>
  <c r="H151" i="6"/>
  <c r="L151" i="6"/>
  <c r="M151" i="6"/>
  <c r="N151" i="6"/>
  <c r="G151" i="6"/>
  <c r="J151" i="6"/>
  <c r="O151" i="6"/>
  <c r="O72" i="6"/>
  <c r="K72" i="6"/>
  <c r="H72" i="6"/>
  <c r="J72" i="6"/>
  <c r="M72" i="6"/>
  <c r="L72" i="6"/>
  <c r="N72" i="6"/>
  <c r="F72" i="6"/>
  <c r="I72" i="6"/>
  <c r="G72" i="6"/>
  <c r="F162" i="6"/>
  <c r="L162" i="6"/>
  <c r="O162" i="6"/>
  <c r="G162" i="6"/>
  <c r="N162" i="6"/>
  <c r="I162" i="6"/>
  <c r="H162" i="6"/>
  <c r="M162" i="6"/>
  <c r="K162" i="6"/>
  <c r="J162" i="6"/>
  <c r="H186" i="6"/>
  <c r="M186" i="6"/>
  <c r="O186" i="6"/>
  <c r="J186" i="6"/>
  <c r="K186" i="6"/>
  <c r="G186" i="6"/>
  <c r="F186" i="6"/>
  <c r="N186" i="6"/>
  <c r="I186" i="6"/>
  <c r="L186" i="6"/>
  <c r="N175" i="6"/>
  <c r="I175" i="6"/>
  <c r="L175" i="6"/>
  <c r="F175" i="6"/>
  <c r="G175" i="6"/>
  <c r="O175" i="6"/>
  <c r="J175" i="6"/>
  <c r="M175" i="6"/>
  <c r="H175" i="6"/>
  <c r="K175" i="6"/>
  <c r="I177" i="6"/>
  <c r="K177" i="6"/>
  <c r="J177" i="6"/>
  <c r="O177" i="6"/>
  <c r="L177" i="6"/>
  <c r="F177" i="6"/>
  <c r="M177" i="6"/>
  <c r="H177" i="6"/>
  <c r="N177" i="6"/>
  <c r="G177" i="6"/>
  <c r="N39" i="6"/>
  <c r="H39" i="6"/>
  <c r="O39" i="6"/>
  <c r="G39" i="6"/>
  <c r="J39" i="6"/>
  <c r="K39" i="6"/>
  <c r="L39" i="6"/>
  <c r="M39" i="6"/>
  <c r="F39" i="6"/>
  <c r="I39" i="6"/>
  <c r="K110" i="6"/>
  <c r="N110" i="6"/>
  <c r="G110" i="6"/>
  <c r="L110" i="6"/>
  <c r="H110" i="6"/>
  <c r="O110" i="6"/>
  <c r="M110" i="6"/>
  <c r="I110" i="6"/>
  <c r="J110" i="6"/>
  <c r="J131" i="6"/>
  <c r="K131" i="6"/>
  <c r="M131" i="6"/>
  <c r="G131" i="6"/>
  <c r="N131" i="6"/>
  <c r="F131" i="6"/>
  <c r="H131" i="6"/>
  <c r="I131" i="6"/>
  <c r="L131" i="6"/>
  <c r="O131" i="6"/>
  <c r="F168" i="6"/>
  <c r="N168" i="6"/>
  <c r="I168" i="6"/>
  <c r="O168" i="6"/>
  <c r="L168" i="6"/>
  <c r="M168" i="6"/>
  <c r="G168" i="6"/>
  <c r="H168" i="6"/>
  <c r="J168" i="6"/>
  <c r="K168" i="6"/>
  <c r="H30" i="6"/>
  <c r="L30" i="6"/>
  <c r="J30" i="6"/>
  <c r="K30" i="6"/>
  <c r="I30" i="6"/>
  <c r="N30" i="6"/>
  <c r="G30" i="6"/>
  <c r="M30" i="6"/>
  <c r="O30" i="6"/>
  <c r="J189" i="6"/>
  <c r="H189" i="6"/>
  <c r="O189" i="6"/>
  <c r="N189" i="6"/>
  <c r="L189" i="6"/>
  <c r="M189" i="6"/>
  <c r="F189" i="6"/>
  <c r="G189" i="6"/>
  <c r="I189" i="6"/>
  <c r="K189" i="6"/>
  <c r="H169" i="6"/>
  <c r="M169" i="6"/>
  <c r="O169" i="6"/>
  <c r="G169" i="6"/>
  <c r="J169" i="6"/>
  <c r="L169" i="6"/>
  <c r="K169" i="6"/>
  <c r="F169" i="6"/>
  <c r="N169" i="6"/>
  <c r="I169" i="6"/>
  <c r="M129" i="6"/>
  <c r="O129" i="6"/>
  <c r="J129" i="6"/>
  <c r="H129" i="6"/>
  <c r="F129" i="6"/>
  <c r="I129" i="6"/>
  <c r="K129" i="6"/>
  <c r="L129" i="6"/>
  <c r="N129" i="6"/>
  <c r="G129" i="6"/>
  <c r="N14" i="6"/>
  <c r="I14" i="6"/>
  <c r="J14" i="6"/>
  <c r="M14" i="6"/>
  <c r="L14" i="6"/>
  <c r="G14" i="6"/>
  <c r="H14" i="6"/>
  <c r="O14" i="6"/>
  <c r="K14" i="6"/>
  <c r="N63" i="6"/>
  <c r="K63" i="6"/>
  <c r="O63" i="6"/>
  <c r="F63" i="6"/>
  <c r="H63" i="6"/>
  <c r="J63" i="6"/>
  <c r="L63" i="6"/>
  <c r="M63" i="6"/>
  <c r="G63" i="6"/>
  <c r="I63" i="6"/>
  <c r="H136" i="6"/>
  <c r="N136" i="6"/>
  <c r="G136" i="6"/>
  <c r="I136" i="6"/>
  <c r="K136" i="6"/>
  <c r="L136" i="6"/>
  <c r="F136" i="6"/>
  <c r="J136" i="6"/>
  <c r="O136" i="6"/>
  <c r="M136" i="6"/>
  <c r="M170" i="6"/>
  <c r="H170" i="6"/>
  <c r="J170" i="6"/>
  <c r="K170" i="6"/>
  <c r="F170" i="6"/>
  <c r="I170" i="6"/>
  <c r="O170" i="6"/>
  <c r="N170" i="6"/>
  <c r="G170" i="6"/>
  <c r="L170" i="6"/>
</calcChain>
</file>

<file path=xl/sharedStrings.xml><?xml version="1.0" encoding="utf-8"?>
<sst xmlns="http://schemas.openxmlformats.org/spreadsheetml/2006/main" count="1093" uniqueCount="723">
  <si>
    <t>COP Millones</t>
  </si>
  <si>
    <t>COP Miles</t>
  </si>
  <si>
    <t>COP</t>
  </si>
  <si>
    <t>MODELO DE PROYECCIÓN DE LARGO PLAZO - ANALISIS FINANCIERO</t>
  </si>
  <si>
    <t>PROYECTO</t>
  </si>
  <si>
    <t>XX S.A.</t>
  </si>
  <si>
    <t>Fecha Valoración</t>
  </si>
  <si>
    <t>Primer año proyectado</t>
  </si>
  <si>
    <t>Cifras en</t>
  </si>
  <si>
    <t>Convenciones</t>
  </si>
  <si>
    <t>Datos de Entrada</t>
  </si>
  <si>
    <t>Cálculo o Resultado (el contenido de estas celdas no se debe alterar)</t>
  </si>
  <si>
    <t>Verificaciones (el contenido de estas celdas no se debe alterar)</t>
  </si>
  <si>
    <t>::</t>
  </si>
  <si>
    <t>Estado de Resultados</t>
  </si>
  <si>
    <t>Ventas Netas</t>
  </si>
  <si>
    <t>Costo de Ventas </t>
  </si>
  <si>
    <t>Utilidad Bruta</t>
  </si>
  <si>
    <t>Margen Bruto</t>
  </si>
  <si>
    <t>Gastos de Administración</t>
  </si>
  <si>
    <t>Gastos de Ventas</t>
  </si>
  <si>
    <t>Depreciaciones </t>
  </si>
  <si>
    <t>Amortizaciones</t>
  </si>
  <si>
    <t>Utilidad Operativa (EBIT)</t>
  </si>
  <si>
    <t>Margen Operacional</t>
  </si>
  <si>
    <t>EBITDA</t>
  </si>
  <si>
    <t>Margen EBITDA</t>
  </si>
  <si>
    <t>Ingresos Financieros</t>
  </si>
  <si>
    <t>Otros Ingresos</t>
  </si>
  <si>
    <t>Egresos Financieros</t>
  </si>
  <si>
    <t>Otros Egresos </t>
  </si>
  <si>
    <t>Utilidad antes de Impuestos</t>
  </si>
  <si>
    <t>Impuesto de Renta</t>
  </si>
  <si>
    <t>Utilidad Neta</t>
  </si>
  <si>
    <t>Margen Neto</t>
  </si>
  <si>
    <t>Balance General</t>
  </si>
  <si>
    <t>ACTIVOS</t>
  </si>
  <si>
    <t>ACTIVOS CORRIENTES</t>
  </si>
  <si>
    <t>Disponible</t>
  </si>
  <si>
    <t>Inversiones Temporales</t>
  </si>
  <si>
    <t>Cuentas por Cobrar (Deudores)</t>
  </si>
  <si>
    <t>Otras Cuentas por Cobrar</t>
  </si>
  <si>
    <t>Inventarios</t>
  </si>
  <si>
    <t>Pagos x Anticipado</t>
  </si>
  <si>
    <t>Otros Activos Corrientes</t>
  </si>
  <si>
    <t>Activos Corrientes</t>
  </si>
  <si>
    <t>ACTIVOS LARGO PLAZO</t>
  </si>
  <si>
    <t>Propiedad Planta y Equipo, PPE</t>
  </si>
  <si>
    <t>Depreciación Acumulada</t>
  </si>
  <si>
    <t>Propiedad Planta y Equipo, Neto</t>
  </si>
  <si>
    <t>Activos Diferidos e Intangibles</t>
  </si>
  <si>
    <t>Amortización Acumulada</t>
  </si>
  <si>
    <t>Diferidos e Intangibles, neto</t>
  </si>
  <si>
    <t>Otros Activos</t>
  </si>
  <si>
    <t>Valorizaciones</t>
  </si>
  <si>
    <t>Inversiones</t>
  </si>
  <si>
    <t>Activo Largo Plazo</t>
  </si>
  <si>
    <t>Total Activos</t>
  </si>
  <si>
    <t>PASIVOS</t>
  </si>
  <si>
    <t>PASIVOS CORRIENTES</t>
  </si>
  <si>
    <t>Obligaciones Fin. de Corto Plazo</t>
  </si>
  <si>
    <t>Proveedores</t>
  </si>
  <si>
    <t>Impuestos y Retenciones</t>
  </si>
  <si>
    <t>Obligaciones Laborales</t>
  </si>
  <si>
    <t>Otros Acreedores</t>
  </si>
  <si>
    <t>Otros Pasivos Corrientes</t>
  </si>
  <si>
    <t>Pasivos Corrientes</t>
  </si>
  <si>
    <t>PASIVOS LARGO PLAZO</t>
  </si>
  <si>
    <t>Obligaciones Fin. de Largo Plazo</t>
  </si>
  <si>
    <t>Otros Pasivos de Largo Plazo</t>
  </si>
  <si>
    <t>Pasivos Largo Plazo</t>
  </si>
  <si>
    <t>Total Pasivos</t>
  </si>
  <si>
    <t>PATRIMONIO</t>
  </si>
  <si>
    <t>Capital</t>
  </si>
  <si>
    <t>Reservas</t>
  </si>
  <si>
    <t>Revalorización del Patrimonio</t>
  </si>
  <si>
    <t>Utilidades Retenidas</t>
  </si>
  <si>
    <t>Utilidades del Ejercicio</t>
  </si>
  <si>
    <t>Total Patrimonio</t>
  </si>
  <si>
    <t>Pasivos y Patrimonio</t>
  </si>
  <si>
    <t>Check</t>
  </si>
  <si>
    <t>Supuestos de Proyección</t>
  </si>
  <si>
    <t>COMENTARIO</t>
  </si>
  <si>
    <t>SUPUESTOS MACROECONÓMICOS</t>
  </si>
  <si>
    <t>Precios al consumidor (IPC)</t>
  </si>
  <si>
    <t>Precios al Productor (IPP)</t>
  </si>
  <si>
    <t>PIB (variación anual)</t>
  </si>
  <si>
    <t>Devaluación (fin de año)</t>
  </si>
  <si>
    <t>Devaluación (promedio anual)</t>
  </si>
  <si>
    <t>Precio del dólar ($. fin de año)</t>
  </si>
  <si>
    <t>Precio del dólar ($. promedio anual)</t>
  </si>
  <si>
    <t>Tasa de interés (DTF E.A. Promedio)</t>
  </si>
  <si>
    <t>Tasa de interés (DTF promedio anual)</t>
  </si>
  <si>
    <t>Tasa Referencia (TES 10Y Promedio)</t>
  </si>
  <si>
    <t>IBR Overnight (EA. Promedio)</t>
  </si>
  <si>
    <t>SOFR (EA. Promedio)</t>
  </si>
  <si>
    <t>Inflacion USA</t>
  </si>
  <si>
    <t>Fuente: Grupo Bancolombia, DANE, MinHacienda, BanRep.</t>
  </si>
  <si>
    <t>Actualizado Jul - 2025</t>
  </si>
  <si>
    <t>Control</t>
  </si>
  <si>
    <t>SUPUESTOS ESTADO DE RESULTADOS</t>
  </si>
  <si>
    <t>Ventas netas</t>
  </si>
  <si>
    <t>Incremento Ventas Netas</t>
  </si>
  <si>
    <t>Costo de Ventas/Ventas Netas</t>
  </si>
  <si>
    <t>Gastos Generales y de Administración</t>
  </si>
  <si>
    <t>Incremento Gastos de Administración</t>
  </si>
  <si>
    <t>Canon Leasing Operativo</t>
  </si>
  <si>
    <t>Gastos de Ventas/Ventas Netas</t>
  </si>
  <si>
    <t>Depreciaciones  Activos Históricos</t>
  </si>
  <si>
    <t>Depreciaciones Activos Nuevos</t>
  </si>
  <si>
    <t>Amortizaciones Activos Diferidos e Intangibles Históricos</t>
  </si>
  <si>
    <t>Amortizaciones Activos Diferidos e Intangibles Nuevos</t>
  </si>
  <si>
    <t>Disponible e Inversiones Temporales</t>
  </si>
  <si>
    <t>Rendimiento Promedio Anual</t>
  </si>
  <si>
    <t>Otros Ingresos no Operacionales</t>
  </si>
  <si>
    <t>Otros Ingresos no Operacionales/Ventas Netas</t>
  </si>
  <si>
    <t>A. DEUDA ACTUAL LARGO PLAZO (Incluye Leasing Financiero)</t>
  </si>
  <si>
    <t>Deuda Actual Largo Plazo en Pesos</t>
  </si>
  <si>
    <t>Saldo en MM Pesos</t>
  </si>
  <si>
    <t>Amortización en MM Pesos</t>
  </si>
  <si>
    <t>Tasa de interes promedio anual (E.A)</t>
  </si>
  <si>
    <t>Tasa de Interés (T.A)</t>
  </si>
  <si>
    <t>Tasa de referencia IBR </t>
  </si>
  <si>
    <t>Spread (N.A.T.A)</t>
  </si>
  <si>
    <t>Intereses Pagados en MM Pesos</t>
  </si>
  <si>
    <t>Deuda Actual Largo Plazo en USD</t>
  </si>
  <si>
    <t>Saldo en Miles USD</t>
  </si>
  <si>
    <t>Amortización en Miles USD</t>
  </si>
  <si>
    <t>Amortizacion en MM Pesos</t>
  </si>
  <si>
    <t>Tasa de interes promedio anual en USD (E.A)</t>
  </si>
  <si>
    <t>Tasa de Interés (N.A.S.V)</t>
  </si>
  <si>
    <t>Tasa de referencia SOFR </t>
  </si>
  <si>
    <t>Spread  </t>
  </si>
  <si>
    <t>Diferencia en Cambio en MM Pesos</t>
  </si>
  <si>
    <t>B. DEUDA NUEVA LARGO PLAZO (Incluye Leasing Financiero)</t>
  </si>
  <si>
    <t>Deuda Nueva Largo Plazo en Pesos</t>
  </si>
  <si>
    <t>Desembolsos en MM Pesos</t>
  </si>
  <si>
    <t>Tasa de interes promedio anual</t>
  </si>
  <si>
    <t>Tasa de referencia (E.A)</t>
  </si>
  <si>
    <t>Spread (E.A)</t>
  </si>
  <si>
    <t>Deuda Nueva Largo Plazo en USD</t>
  </si>
  <si>
    <t>Desembolsos en Miles USD</t>
  </si>
  <si>
    <t>Tasa de interes promedio anual en USD</t>
  </si>
  <si>
    <t>C. CREDITO DE TESORERÍA</t>
  </si>
  <si>
    <t>D. LEASING</t>
  </si>
  <si>
    <t>Intereses Leasing Financiero Actual</t>
  </si>
  <si>
    <t>Intereses Leasing Financiero Nuevo</t>
  </si>
  <si>
    <t>GMF</t>
  </si>
  <si>
    <t>ICA</t>
  </si>
  <si>
    <t>Impuesto al Patrimonio</t>
  </si>
  <si>
    <t>Otros Egresos (Recurrentes)</t>
  </si>
  <si>
    <t>Otros Egresos/Ventas Netas (Recurrentes)</t>
  </si>
  <si>
    <t>Diferencia en Cambio</t>
  </si>
  <si>
    <t>Corrección Monetaria</t>
  </si>
  <si>
    <t>AXI Activos</t>
  </si>
  <si>
    <t>AXI PPE Histórico</t>
  </si>
  <si>
    <t>AXI PPE Nuevo</t>
  </si>
  <si>
    <t>AXI Depreciación Acumulada PPE histórica</t>
  </si>
  <si>
    <t>AXI Depreciación Acumulada Inversiones Nuevas</t>
  </si>
  <si>
    <t>AXI Inventario</t>
  </si>
  <si>
    <t>AXI Patrimonio</t>
  </si>
  <si>
    <t>SUPUESTOS BALANCE GENERAL</t>
  </si>
  <si>
    <t>Capital de Trabajo</t>
  </si>
  <si>
    <t>Días de Ventas Netas</t>
  </si>
  <si>
    <t>Días de Costo de Ventas</t>
  </si>
  <si>
    <t>AXI</t>
  </si>
  <si>
    <t>No se Considera Capital de Trabajo</t>
  </si>
  <si>
    <t>1. Propiedad Planta y Equipo, PPE Histórico</t>
  </si>
  <si>
    <t>Está multiplicado por CERO por defecto, para no tenerlo en cuenta.</t>
  </si>
  <si>
    <t>2. Propiedad Planta y Equipo, PPE Nuevo</t>
  </si>
  <si>
    <t>Inversiones Nuevas (depreciables y no depreciables)</t>
  </si>
  <si>
    <t>a. Inversiones Nuevas Depreciables</t>
  </si>
  <si>
    <t>Opción 1: Inversiones en Millones de Pesos</t>
  </si>
  <si>
    <t>Opción 2: Inversiones como % de ventas</t>
  </si>
  <si>
    <t>Opción 3: Inversiones como % depreciación</t>
  </si>
  <si>
    <t>b. Inversiones Nuevas no Depreciables</t>
  </si>
  <si>
    <t>A.1 Depreciación Acumulada PPE Histórica</t>
  </si>
  <si>
    <t>AXI Depreciación Acumulada PPE Histórica</t>
  </si>
  <si>
    <t>Depreciación del período</t>
  </si>
  <si>
    <t>% Depreciación Acumulada</t>
  </si>
  <si>
    <t>A.2 Depreciación Acumulada Inversiones Nuevas</t>
  </si>
  <si>
    <t>Depreciación del Período</t>
  </si>
  <si>
    <t>Inversión Nueva Depreciable</t>
  </si>
  <si>
    <t>Inversión Nueva Depreciable a 20 años</t>
  </si>
  <si>
    <t>Inversión Nueva Depreciable a 10 años</t>
  </si>
  <si>
    <t>Inversión Nueva Depreciable a 5 años</t>
  </si>
  <si>
    <t>Inversión Nueva Depreciable a 3 años</t>
  </si>
  <si>
    <t>Depreciación a 20 años</t>
  </si>
  <si>
    <t>Depreciación a 10 años</t>
  </si>
  <si>
    <t>Depreciación a 5 años</t>
  </si>
  <si>
    <t>Depreciación a 3 años</t>
  </si>
  <si>
    <t>A.1 Activos Diferidos e Intangibles Histórico</t>
  </si>
  <si>
    <t>AXI Activos Diferidos e Intangibles Histórico</t>
  </si>
  <si>
    <t>A.2 Activos Diferidos e Intangibles Nuevo</t>
  </si>
  <si>
    <t>AXI Activos Diferidos e Intangibles Nuevo</t>
  </si>
  <si>
    <t>Activos Diferidos e Intangibles Nuevo</t>
  </si>
  <si>
    <t>Opción 1: Gastos y Cargos Diferidos Nuevos en Millones de Pesos</t>
  </si>
  <si>
    <t>Opción 2: Gastos y Cargos Diferidos como % de ventas</t>
  </si>
  <si>
    <t>Opción 3: Gastos y Cargos Diferidos como % depreciación</t>
  </si>
  <si>
    <t>A.1 Amortización Acumulada Histórica</t>
  </si>
  <si>
    <t>AXI Amortización Acumulada PPE Histórica</t>
  </si>
  <si>
    <t>Amortización del período</t>
  </si>
  <si>
    <t>% Amortización Acumulada</t>
  </si>
  <si>
    <t>A.2 Amortización Acumulada Gastos y Cargos Diferidos Nuevas</t>
  </si>
  <si>
    <t>AXI Amortización Acumulada Inversiones Nuevas</t>
  </si>
  <si>
    <t>Amortización del Período</t>
  </si>
  <si>
    <t>Gasto o Cargo Diferido Nuevo Amortizable = Activos Diferidos e Intangibles Nuevo</t>
  </si>
  <si>
    <t>Gasto o Cargo Diferido Nuevo Amortizable a 20 años</t>
  </si>
  <si>
    <t>Gasto o Cargo Diferido Nuevo Amortizable a 10 años</t>
  </si>
  <si>
    <t>Gasto o Cargo Diferido Nuevo Amortizable a 5 años</t>
  </si>
  <si>
    <t>Gasto o Cargo Diferido Nuevo Amortizable a 3 años</t>
  </si>
  <si>
    <t>Amortización a 20 años</t>
  </si>
  <si>
    <t>Amortización a 10 años</t>
  </si>
  <si>
    <t>Amortización a 5 años</t>
  </si>
  <si>
    <t>Amortización a 3 años</t>
  </si>
  <si>
    <t>% Ventas Netas</t>
  </si>
  <si>
    <t>Incremento Valorizaciones</t>
  </si>
  <si>
    <t>Incremento Inversiones</t>
  </si>
  <si>
    <t>Obligaciones Pagadas</t>
  </si>
  <si>
    <t>Capitalizaciones</t>
  </si>
  <si>
    <t>Incremento de reserva</t>
  </si>
  <si>
    <t>% de Utilidad Neta Año Anterior</t>
  </si>
  <si>
    <t>Dividendos pagados</t>
  </si>
  <si>
    <t>Módulo Tesorería</t>
  </si>
  <si>
    <t>Flujo de Caja Operacional</t>
  </si>
  <si>
    <t>Ebitda</t>
  </si>
  <si>
    <t>(-) Inversión en Act Corrientes</t>
  </si>
  <si>
    <t>(+) Financiación Proveed-Pas Corr</t>
  </si>
  <si>
    <t>Necesidades Netas de Capital de trabajo</t>
  </si>
  <si>
    <t>Flujo de Caja Operación</t>
  </si>
  <si>
    <t>Capex</t>
  </si>
  <si>
    <t>Flujo de Caja Inversión</t>
  </si>
  <si>
    <t>Flujo de Caja Libre de la Compañía</t>
  </si>
  <si>
    <t>Financiación</t>
  </si>
  <si>
    <t>(+) Desembolso Crédito CP</t>
  </si>
  <si>
    <t>(-) Amortización</t>
  </si>
  <si>
    <t>(-) Intereses CP</t>
  </si>
  <si>
    <t>Obligaciones Financieras CP</t>
  </si>
  <si>
    <t>(+) Desembolso Crédito LP</t>
  </si>
  <si>
    <t>(-) Intereses LP</t>
  </si>
  <si>
    <t>Obligaciones Financieras LP</t>
  </si>
  <si>
    <t>(+) Ingresos Financieros / Otros Ingresos Neto</t>
  </si>
  <si>
    <t>(+) Aportes de capital</t>
  </si>
  <si>
    <t>Flujo de Caja Financiero</t>
  </si>
  <si>
    <t>Otros pasivos LP</t>
  </si>
  <si>
    <t>Flujo de Caja Generado</t>
  </si>
  <si>
    <t>(+) Caja Inicial</t>
  </si>
  <si>
    <t>(-) Dividendos</t>
  </si>
  <si>
    <t>Caja Final</t>
  </si>
  <si>
    <t>Impuestos</t>
  </si>
  <si>
    <t>Cifras COP Millones</t>
  </si>
  <si>
    <t>SUPERTRANSPORTE</t>
  </si>
  <si>
    <t>Tasa Impositiva</t>
  </si>
  <si>
    <t>Ingresos Operacionales [Corrientes]</t>
  </si>
  <si>
    <t>Ingresos Acumulados [Corrientes]</t>
  </si>
  <si>
    <t>Ingresos Reales [Corrientes]</t>
  </si>
  <si>
    <t>Impuesto Supertransporte</t>
  </si>
  <si>
    <t>Impuesto Supertransporte [Corrientes]</t>
  </si>
  <si>
    <t>INDUSTRIA Y COMERCIO</t>
  </si>
  <si>
    <t>Impuesto de Industria y Comercio</t>
  </si>
  <si>
    <t>Impuesto de Industria y Comercio [Corrientes]</t>
  </si>
  <si>
    <t>IMPUESTO AL PATRIMONIO</t>
  </si>
  <si>
    <t>Valor base fijo</t>
  </si>
  <si>
    <t>Rango Inf</t>
  </si>
  <si>
    <t>Rango Eq</t>
  </si>
  <si>
    <t>-</t>
  </si>
  <si>
    <t>Cálculo del Patrimonio Líquido</t>
  </si>
  <si>
    <t>Cálculo Patrimonio Bruto: </t>
  </si>
  <si>
    <t>Efectivo, bancos y otras inversiones (Disponible + Inversiones Temporales)</t>
  </si>
  <si>
    <t>Acciones y aportes en sociedades nacionales y extranjeras</t>
  </si>
  <si>
    <t>Cuentas por cobrar</t>
  </si>
  <si>
    <t>Inventarios </t>
  </si>
  <si>
    <t>Activos fijos (PPE Neto)</t>
  </si>
  <si>
    <t>Otros activos (Valorizaciones, gastos pagados por anticipado, etc Neto)</t>
  </si>
  <si>
    <t>Patrimonio Bruto</t>
  </si>
  <si>
    <t>Pasivos</t>
  </si>
  <si>
    <t>Otros Pasivos</t>
  </si>
  <si>
    <t>Patrimonio Líquido</t>
  </si>
  <si>
    <t>Impuesto al Patrimonio [Corrientes]</t>
  </si>
  <si>
    <t>Pagos Anuales Impuesto al Patrimonio [Corrientes]</t>
  </si>
  <si>
    <t>GRAVAMEN AL MOVIMIENTO FINANCIERO</t>
  </si>
  <si>
    <t>Efectivo </t>
  </si>
  <si>
    <t>Efectivo (%)</t>
  </si>
  <si>
    <t>Gravamen al Movimiento Financiero</t>
  </si>
  <si>
    <t>Gravamen al Movimiento Financiero [Corrientes]</t>
  </si>
  <si>
    <t>IMPUESTO DE RENTA</t>
  </si>
  <si>
    <t>Tasas Impositivas</t>
  </si>
  <si>
    <t>CREE</t>
  </si>
  <si>
    <t>Sobretasa CREE</t>
  </si>
  <si>
    <t>Renta Presuntiva</t>
  </si>
  <si>
    <t>Deducción GMF</t>
  </si>
  <si>
    <t>Cálculo Renta Ordinaria</t>
  </si>
  <si>
    <t>Depreciaciones y Amortizaciones</t>
  </si>
  <si>
    <t>Utilidad Operativa</t>
  </si>
  <si>
    <t>Otros I/E no Operacionales Neto</t>
  </si>
  <si>
    <t>Utilidad Antes de Impuestos</t>
  </si>
  <si>
    <t>Gastos No Deducibles:</t>
  </si>
  <si>
    <t>Supertransporte</t>
  </si>
  <si>
    <t>Utilidad Fiscal</t>
  </si>
  <si>
    <t>Compensación por Pérdidas:</t>
  </si>
  <si>
    <t>Saldo Inicial Pérdidas Fiscales</t>
  </si>
  <si>
    <t>Nuevas Pérdidas</t>
  </si>
  <si>
    <t>Utilización Pérdidas</t>
  </si>
  <si>
    <t>Saldo Final Pérdidas Fiscales</t>
  </si>
  <si>
    <t>Base Gravable con Compensación Pérdidas por Renta Ordinaria</t>
  </si>
  <si>
    <t>Cálculo Renta Presuntiva</t>
  </si>
  <si>
    <t>Base Gravable por Renta Presuntiva</t>
  </si>
  <si>
    <t>Cálculo Renta Gravable e Impuesto de Renta</t>
  </si>
  <si>
    <t>Base Gravable Antes de Compensación por Exceso Renta Presuntiva</t>
  </si>
  <si>
    <t>Compensación por Exceso de Renta Presuntiva:</t>
  </si>
  <si>
    <t>Saldo Inicial Exceso de Renta Presuntiva</t>
  </si>
  <si>
    <t>Nuevo Exceso de Renta Presuntiva</t>
  </si>
  <si>
    <t>Utilización Exceso de Renta Presuntiva</t>
  </si>
  <si>
    <t>Vencimiento Exceso de Renta Presuntiva</t>
  </si>
  <si>
    <t>Saldo Final Exceso de Renta Presuntiva</t>
  </si>
  <si>
    <t>Renta Gravable para Impuesto de Renta</t>
  </si>
  <si>
    <t>Impuesto de Renta </t>
  </si>
  <si>
    <t>Cálculo Renta Gravable y CREE</t>
  </si>
  <si>
    <t>Base Gravable para CREE</t>
  </si>
  <si>
    <t>Renta Gravable para CREE</t>
  </si>
  <si>
    <t>Flujo de Caja Libre </t>
  </si>
  <si>
    <t>(+) Utilidad Operativa</t>
  </si>
  <si>
    <t>(-) Impuestos Operativos</t>
  </si>
  <si>
    <t>(=) NOPLAT</t>
  </si>
  <si>
    <t>(+) Depreciaciones y Amortizaciones</t>
  </si>
  <si>
    <t>(=) FLUJO DE CAJA BRUTO</t>
  </si>
  <si>
    <t>(-) Inversión Capital de Trabajo</t>
  </si>
  <si>
    <t>Aumento Activos Corrientes</t>
  </si>
  <si>
    <t>Disminución Pasivos Corrientes</t>
  </si>
  <si>
    <t>(-) Capex</t>
  </si>
  <si>
    <t>(-) Inversión Otros Activos</t>
  </si>
  <si>
    <t>(=) Flujo de Caja Libre</t>
  </si>
  <si>
    <t>INDICADORES</t>
  </si>
  <si>
    <t>Crecimiento FCLO real</t>
  </si>
  <si>
    <t>Check crecimiento FCLO</t>
  </si>
  <si>
    <t>Crecimiento FCLO máximo teórico</t>
  </si>
  <si>
    <t>Retorno de Capital Invertido Nuevo</t>
  </si>
  <si>
    <r>
      <rPr>
        <rFont val="Arial Narrow"/>
        <sz val="10.00"/>
        <family val="2"/>
      </rPr>
      <t>∆</t>
    </r>
    <r>
      <rPr>
        <rFont val="Arial Narrow"/>
        <sz val="9.00"/>
        <family val="2"/>
      </rPr>
      <t xml:space="preserve"> NOPLAT ajustado = Flujo de Caja Bruto</t>
    </r>
  </si>
  <si>
    <r>
      <rPr>
        <rFont val="Arial Narrow"/>
        <sz val="10.00"/>
        <family val="2"/>
      </rPr>
      <t>∆</t>
    </r>
    <r>
      <rPr>
        <rFont val="Arial Narrow"/>
        <sz val="9.00"/>
        <family val="2"/>
      </rPr>
      <t xml:space="preserve"> Capital Invertido</t>
    </r>
  </si>
  <si>
    <t>Tasa de Inversión (∆ Capital Invertido/NOPLAT ajustado)</t>
  </si>
  <si>
    <t>ROIC (Retorno del Capital Invertido)</t>
  </si>
  <si>
    <t>NOPLAT </t>
  </si>
  <si>
    <t>Capital Invertido</t>
  </si>
  <si>
    <t>Capital de Trabajo Operativo</t>
  </si>
  <si>
    <t>Propiedad, Planta y Equipo Neto</t>
  </si>
  <si>
    <t>Reinversión (1)</t>
  </si>
  <si>
    <t>Reinversión (2)</t>
  </si>
  <si>
    <t>Supuestos de Valoración</t>
  </si>
  <si>
    <t>1. COSTO DE PATRIMONIO</t>
  </si>
  <si>
    <t>(+) Yield Bonos EE.UU. a 10 años</t>
  </si>
  <si>
    <t>(+) Spread Bonos República Colombia</t>
  </si>
  <si>
    <t>(=) Tasa Libre de Riesgo (en USD)</t>
  </si>
  <si>
    <t>Beta Desapalancado Sector</t>
  </si>
  <si>
    <t>Deuda Financiera/Patrimonio</t>
  </si>
  <si>
    <t>(X) Prima Mercado Accionario USA</t>
  </si>
  <si>
    <t>(+) Prima Riesgo Compañía</t>
  </si>
  <si>
    <t>(=) Costo de Patrimonio (Nominal en USD)</t>
  </si>
  <si>
    <t>(+) Devaluación (Diferencial Inflación COP/USA)</t>
  </si>
  <si>
    <t>(=) Costo de Patrimonio (Nominal en Pesos)</t>
  </si>
  <si>
    <t>(=) Costo de Patrimonio (Real en Pesos)</t>
  </si>
  <si>
    <t>2. COSTO DEUDA</t>
  </si>
  <si>
    <t>Costo de Mercado Deuda en Pesos (E.A.)</t>
  </si>
  <si>
    <t>Tasa de referencia (EA)</t>
  </si>
  <si>
    <t>Spread (EA)</t>
  </si>
  <si>
    <t>Beneficio Tributario</t>
  </si>
  <si>
    <t>Costo Promedio Deuda en Pesos, con Beneficio Tributario (E.A.)</t>
  </si>
  <si>
    <t>Costo de Mercado Deuda en USD</t>
  </si>
  <si>
    <t>Tasa de Referencia (NASV)</t>
  </si>
  <si>
    <t>Spread (NASV)</t>
  </si>
  <si>
    <t>Costo Promedio Deuda en USD, en Pesos, con Beneficio Tributario (E.A.)</t>
  </si>
  <si>
    <t>3. ESTRUCTURA DE CAPITAL</t>
  </si>
  <si>
    <t>Patrimonio</t>
  </si>
  <si>
    <t>Deuda en Pesos</t>
  </si>
  <si>
    <t>Deuda en USD</t>
  </si>
  <si>
    <t>COSTO PROMEDIO PONDERADO DE CAPITAL-WACC (Nominal en Pesos)</t>
  </si>
  <si>
    <t>4. PRIMA RIESGO COMPAÑÍA</t>
  </si>
  <si>
    <t>Factor</t>
  </si>
  <si>
    <t>Puntaje 0-4</t>
  </si>
  <si>
    <t>Menor Riesgo &lt;&lt;&lt;&lt;&lt;&lt;&lt;&lt;&lt;&lt;&lt;&lt;&lt;&lt;&lt;&lt;&lt;&lt;&lt;&lt;&lt;&lt;&lt;&lt;&lt;&lt;&lt;&lt;&lt;&lt;&lt;&lt;&lt;&lt;&lt;&lt;&lt;&lt;&lt;&lt;&lt;&lt;&lt;&lt;&lt;&lt;&lt;&lt;&lt;&lt;&lt;&lt; Mayor Riesgo</t>
  </si>
  <si>
    <t>Tamaño de la compañía</t>
  </si>
  <si>
    <t>Multinacional</t>
  </si>
  <si>
    <t>Muy grande</t>
  </si>
  <si>
    <t>Grande</t>
  </si>
  <si>
    <t>Mediana</t>
  </si>
  <si>
    <t>Pequeña</t>
  </si>
  <si>
    <t>Acceso a capital patrimonial</t>
  </si>
  <si>
    <t>Transa en Bolsa</t>
  </si>
  <si>
    <t>Grupo Ec.</t>
  </si>
  <si>
    <t>S.A.</t>
  </si>
  <si>
    <t>Limitada</t>
  </si>
  <si>
    <t>Unipersonal</t>
  </si>
  <si>
    <t>Acceso a capital financiero</t>
  </si>
  <si>
    <t>Muy fácil</t>
  </si>
  <si>
    <t>Fácil</t>
  </si>
  <si>
    <t>Dificil</t>
  </si>
  <si>
    <t>Muy Dificil</t>
  </si>
  <si>
    <t>Imposible</t>
  </si>
  <si>
    <t>Participación de mercado</t>
  </si>
  <si>
    <t>Monopolio</t>
  </si>
  <si>
    <t>Oligopolio</t>
  </si>
  <si>
    <t>Lider</t>
  </si>
  <si>
    <t>Medio</t>
  </si>
  <si>
    <t>Pequeño</t>
  </si>
  <si>
    <t>Nivel de la gerencia</t>
  </si>
  <si>
    <t>Muy preparado</t>
  </si>
  <si>
    <t>Experiencial</t>
  </si>
  <si>
    <t>Dependencia de empleados claves</t>
  </si>
  <si>
    <t>Atomización</t>
  </si>
  <si>
    <t>Único gerente</t>
  </si>
  <si>
    <t>Capacidad de acceso a publicidad y mercadeo</t>
  </si>
  <si>
    <t>Disponibilidad ilimitada</t>
  </si>
  <si>
    <t>No disponibilidad</t>
  </si>
  <si>
    <t>Flexibilidad líneas de producción</t>
  </si>
  <si>
    <t>Muy flexible</t>
  </si>
  <si>
    <t>Rigidez absoluta</t>
  </si>
  <si>
    <t>Producción propia</t>
  </si>
  <si>
    <t>Concentración proveedores</t>
  </si>
  <si>
    <t>Unico proveedor</t>
  </si>
  <si>
    <t>Concentración de clientes</t>
  </si>
  <si>
    <t>Unico cliente</t>
  </si>
  <si>
    <t>Posibilidad de economías de escala</t>
  </si>
  <si>
    <t>Alta</t>
  </si>
  <si>
    <t>Nula</t>
  </si>
  <si>
    <t>Capacidad de distribución</t>
  </si>
  <si>
    <t>Cobertura ilimitada</t>
  </si>
  <si>
    <t>Dificil cobertura</t>
  </si>
  <si>
    <t>Manejo de información integrada</t>
  </si>
  <si>
    <t>SI Integrado</t>
  </si>
  <si>
    <t>Información manual</t>
  </si>
  <si>
    <t>Sistema de auditoría</t>
  </si>
  <si>
    <t>Permanente</t>
  </si>
  <si>
    <t>Inexistente</t>
  </si>
  <si>
    <t>Sistemas de Calidad</t>
  </si>
  <si>
    <t>Certificado</t>
  </si>
  <si>
    <t>No existente</t>
  </si>
  <si>
    <t>Riesgo geográfico </t>
  </si>
  <si>
    <t>Zona de alta seguridad</t>
  </si>
  <si>
    <t>Zona de baja seguridad</t>
  </si>
  <si>
    <t>Sistema de manejo ambiental</t>
  </si>
  <si>
    <t>Prima máxima</t>
  </si>
  <si>
    <t>Total prima compañía</t>
  </si>
  <si>
    <t>5. SUPUESTOS VALOR DE PERPETUIDAD</t>
  </si>
  <si>
    <t>Crecimiento Real a Perpetuidad</t>
  </si>
  <si>
    <t>Crecimiento Nominal a Perpetuidad</t>
  </si>
  <si>
    <t>Valoración por FCL</t>
  </si>
  <si>
    <t>Fecha Valoración:</t>
  </si>
  <si>
    <t>WACC</t>
  </si>
  <si>
    <t>g</t>
  </si>
  <si>
    <t>1 de Enero</t>
  </si>
  <si>
    <t>Flujo de Caja Libre Operativo</t>
  </si>
  <si>
    <t>31 de Enero</t>
  </si>
  <si>
    <t>28 de Febrero</t>
  </si>
  <si>
    <t>Costo de Capital</t>
  </si>
  <si>
    <t>30 de Abril</t>
  </si>
  <si>
    <t>Factor de Descuento</t>
  </si>
  <si>
    <t>31 de Mayo</t>
  </si>
  <si>
    <t>Valor Presente Flujo de Caja Libre Anual</t>
  </si>
  <si>
    <t>30 de Junio</t>
  </si>
  <si>
    <t>ROIC Terminal</t>
  </si>
  <si>
    <t>Reinversión Terminal</t>
  </si>
  <si>
    <t>Crecimiento a perpetuidad (Nominal)</t>
  </si>
  <si>
    <r>
      <rPr>
        <rFont val="Arial Narrow"/>
        <sz val="10.00"/>
        <color rgb="FFFFFFFF"/>
        <family val="2"/>
      </rPr>
      <t>´</t>
    </r>
    <r>
      <rPr>
        <rFont val="Arial Narrow"/>
        <sz val="10.00"/>
        <color rgb="FF000000"/>
        <family val="2"/>
      </rPr>
      <t>--&gt; G = ROIC * Reinversión</t>
    </r>
  </si>
  <si>
    <t>Valor Terminal</t>
  </si>
  <si>
    <t>Múltiplo EBITDA Implícito</t>
  </si>
  <si>
    <t>Valor presente Vlr Terminal</t>
  </si>
  <si>
    <t>Valor Presente Flujo de Caja Libre</t>
  </si>
  <si>
    <t>31 de Julio</t>
  </si>
  <si>
    <t>Valor Presente Perpetuidad</t>
  </si>
  <si>
    <t>31 de Agosto</t>
  </si>
  <si>
    <t>30 de Septiembre</t>
  </si>
  <si>
    <t>(+) Valor de la Operación</t>
  </si>
  <si>
    <t>31 de Octubre</t>
  </si>
  <si>
    <t>(+) Inversiones Temporales</t>
  </si>
  <si>
    <t>30 de Noviembre</t>
  </si>
  <si>
    <t>(+) Otros Activos</t>
  </si>
  <si>
    <t>31 de Diciembre</t>
  </si>
  <si>
    <t>(=) Valor Compañía</t>
  </si>
  <si>
    <t>(-) Otros Pasivos</t>
  </si>
  <si>
    <t>(=) Valor Patrimonio por FCLO</t>
  </si>
  <si>
    <t>MULTIPLOS DE VALORACIÓN</t>
  </si>
  <si>
    <t>Múltiplo Patrimonio en Libros</t>
  </si>
  <si>
    <t>Múltiplo Valor Compañía/Ventas</t>
  </si>
  <si>
    <t>Múltiplo Valor Compañía/EBIT</t>
  </si>
  <si>
    <t>Múltiplo Valor Compañía/EBITDA</t>
  </si>
  <si>
    <t>:: Valor Compañía</t>
  </si>
  <si>
    <t>Analisis de Sensibilidad</t>
  </si>
  <si>
    <t>∆ WACC</t>
  </si>
  <si>
    <t>∆ g</t>
  </si>
  <si>
    <t>Ev / Ebitda</t>
  </si>
  <si>
    <t>Min</t>
  </si>
  <si>
    <t>Prom</t>
  </si>
  <si>
    <t>Máx</t>
  </si>
  <si>
    <t>Múltiplos de Bolsa</t>
  </si>
  <si>
    <t>Múltiplo Transacciones</t>
  </si>
  <si>
    <t>Sensibilidad FCL</t>
  </si>
  <si>
    <t>ANEXOS</t>
  </si>
  <si>
    <t>Gráficos</t>
  </si>
  <si>
    <t>Ventas</t>
  </si>
  <si>
    <t>Costos</t>
  </si>
  <si>
    <t>Crecimiento Ventas Netas</t>
  </si>
  <si>
    <t>Crecimiento EBITDA</t>
  </si>
  <si>
    <t>Capex / Ventas</t>
  </si>
  <si>
    <t>FCLO</t>
  </si>
  <si>
    <t>Crecimiento FCLO</t>
  </si>
  <si>
    <t>:: Ingresos</t>
  </si>
  <si>
    <t>:: Costos</t>
  </si>
  <si>
    <t>:: Margen Bruto</t>
  </si>
  <si>
    <t>:: Margen Ebitda</t>
  </si>
  <si>
    <t>:: Ebitda</t>
  </si>
  <si>
    <t>:: Márgenes</t>
  </si>
  <si>
    <t>Rating</t>
  </si>
  <si>
    <t>Unidades</t>
  </si>
  <si>
    <t>INPUT</t>
  </si>
  <si>
    <t>:: Modelo Fitch</t>
  </si>
  <si>
    <t>FCL / Servicio de Deuda</t>
  </si>
  <si>
    <t>Veces</t>
  </si>
  <si>
    <t>FCL / Deuda</t>
  </si>
  <si>
    <t>%</t>
  </si>
  <si>
    <t>Deuda / EBITDA</t>
  </si>
  <si>
    <t>EBITDA / Intereses</t>
  </si>
  <si>
    <t>FFO / Deuda</t>
  </si>
  <si>
    <t>CFO / Deuda</t>
  </si>
  <si>
    <t>:: Modelo Altman</t>
  </si>
  <si>
    <t>(Activos Corriente - Pasivo Corriente) / Activo</t>
  </si>
  <si>
    <r>
      <rPr>
        <rFont val="Arial Narrow"/>
        <sz val="10.00"/>
        <family val="2"/>
      </rPr>
      <t>β1</t>
    </r>
  </si>
  <si>
    <t>Utilidades Retenidas / Activos</t>
  </si>
  <si>
    <r>
      <rPr>
        <rFont val="Arial Narrow"/>
        <sz val="10.00"/>
        <family val="2"/>
      </rPr>
      <t>β2</t>
    </r>
  </si>
  <si>
    <t>EBIT / Activos</t>
  </si>
  <si>
    <r>
      <rPr>
        <rFont val="Arial Narrow"/>
        <sz val="10.00"/>
        <family val="2"/>
      </rPr>
      <t>β3</t>
    </r>
  </si>
  <si>
    <t>Equity / Pasivos</t>
  </si>
  <si>
    <r>
      <rPr>
        <rFont val="Arial Narrow"/>
        <sz val="10.00"/>
        <family val="2"/>
      </rPr>
      <t>β4</t>
    </r>
  </si>
  <si>
    <t>OUTPUT</t>
  </si>
  <si>
    <t>Riesgo</t>
  </si>
  <si>
    <t>Modelo Altman</t>
  </si>
  <si>
    <t>CÁLCULOS MODELO Fitch</t>
  </si>
  <si>
    <t>:: Paso 1: Score con Tabla</t>
  </si>
  <si>
    <t>Weights</t>
  </si>
  <si>
    <t>Score</t>
  </si>
  <si>
    <t>Spread Adicional</t>
  </si>
  <si>
    <t>pbs</t>
  </si>
  <si>
    <t>PARÁMETROS MODELO Fitch</t>
  </si>
  <si>
    <t>:: Rangos Tabla</t>
  </si>
  <si>
    <t>Calificación</t>
  </si>
  <si>
    <t>&gt; a</t>
  </si>
  <si>
    <t>Puntos</t>
  </si>
  <si>
    <t>A-</t>
  </si>
  <si>
    <t>Alto</t>
  </si>
  <si>
    <t>A</t>
  </si>
  <si>
    <t>A+</t>
  </si>
  <si>
    <t>Medio Alto</t>
  </si>
  <si>
    <t>AA-</t>
  </si>
  <si>
    <t>AA</t>
  </si>
  <si>
    <t>Medio Bajo</t>
  </si>
  <si>
    <t>AA+</t>
  </si>
  <si>
    <t>Bajo</t>
  </si>
  <si>
    <t>AAA</t>
  </si>
  <si>
    <t>Spread (pb)</t>
  </si>
  <si>
    <t>CÁLCULOS MODELO ALTMAN</t>
  </si>
  <si>
    <t>PARÁMETROS MODELO ALTMAN</t>
  </si>
  <si>
    <t>Estimación Regresión</t>
  </si>
  <si>
    <r>
      <rPr>
        <rFont val="Arial Narrow"/>
        <sz val="10.00"/>
        <family val="2"/>
      </rPr>
      <t>β0</t>
    </r>
  </si>
  <si>
    <t>Intnal</t>
  </si>
  <si>
    <t>Local</t>
  </si>
  <si>
    <r>
      <rPr>
        <rFont val="Arial Narrow"/>
        <sz val="10.00"/>
        <family val="2"/>
      </rPr>
      <t>β1</t>
    </r>
  </si>
  <si>
    <t>CC/D</t>
  </si>
  <si>
    <t>BBB-</t>
  </si>
  <si>
    <r>
      <rPr>
        <rFont val="Arial Narrow"/>
        <sz val="10.00"/>
        <family val="2"/>
      </rPr>
      <t>β2</t>
    </r>
  </si>
  <si>
    <t>CCC-</t>
  </si>
  <si>
    <t>BBB</t>
  </si>
  <si>
    <r>
      <rPr>
        <rFont val="Arial Narrow"/>
        <sz val="10.00"/>
        <family val="2"/>
      </rPr>
      <t>β3</t>
    </r>
  </si>
  <si>
    <t>CCC</t>
  </si>
  <si>
    <t>BBB+</t>
  </si>
  <si>
    <r>
      <rPr>
        <rFont val="Arial Narrow"/>
        <sz val="10.00"/>
        <family val="2"/>
      </rPr>
      <t>β4</t>
    </r>
  </si>
  <si>
    <t>CCC+</t>
  </si>
  <si>
    <t>B-</t>
  </si>
  <si>
    <t>B</t>
  </si>
  <si>
    <t>B+</t>
  </si>
  <si>
    <t>BB-</t>
  </si>
  <si>
    <t>BB</t>
  </si>
  <si>
    <t>BB+</t>
  </si>
  <si>
    <t>AA/AA-</t>
  </si>
  <si>
    <t>AAA/AA+</t>
  </si>
  <si>
    <t>Covenants</t>
  </si>
  <si>
    <t>Flujo de Caja Libre</t>
  </si>
  <si>
    <t>Servicio de la Deuda (SD)</t>
  </si>
  <si>
    <t>Amortización</t>
  </si>
  <si>
    <t>Intereses</t>
  </si>
  <si>
    <t>Saldo de la Deuda</t>
  </si>
  <si>
    <t>FCL / SD</t>
  </si>
  <si>
    <t>Ind. Referencia</t>
  </si>
  <si>
    <t>Flujo a Descontar</t>
  </si>
  <si>
    <t>Costo de la Deuda</t>
  </si>
  <si>
    <t>Plazo (Años)</t>
  </si>
  <si>
    <t>Bonos</t>
  </si>
  <si>
    <t>Spread (DTF / IPC)</t>
  </si>
  <si>
    <t>Tasa EA</t>
  </si>
  <si>
    <t>Plazo</t>
  </si>
  <si>
    <t>Tasa de</t>
  </si>
  <si>
    <t>Colocación</t>
  </si>
  <si>
    <t>Covenant</t>
  </si>
  <si>
    <t>3 años</t>
  </si>
  <si>
    <t>DTF + 1,25%</t>
  </si>
  <si>
    <t>DTF + 1,75%</t>
  </si>
  <si>
    <t>5 años</t>
  </si>
  <si>
    <t>IPC + 3,10%</t>
  </si>
  <si>
    <t>IPC + 3,60%</t>
  </si>
  <si>
    <t>7 años</t>
  </si>
  <si>
    <t>IPC + 3,70%</t>
  </si>
  <si>
    <t>IPC + 4,20%</t>
  </si>
  <si>
    <t>10 años</t>
  </si>
  <si>
    <t>IPC + 4,50%</t>
  </si>
  <si>
    <t>IPC + 5,00%</t>
  </si>
  <si>
    <t>Diagrama de Deuda</t>
  </si>
  <si>
    <t>15 años</t>
  </si>
  <si>
    <t>IPC + 4,70%</t>
  </si>
  <si>
    <t>IPC + 5,20%</t>
  </si>
  <si>
    <t>Probabilidad FCL</t>
  </si>
  <si>
    <t>20 años</t>
  </si>
  <si>
    <t>IPC + 5,10%</t>
  </si>
  <si>
    <t>IPC + 5,60%</t>
  </si>
  <si>
    <t>Plazo Deuda</t>
  </si>
  <si>
    <t>DTF</t>
  </si>
  <si>
    <t>IPC</t>
  </si>
  <si>
    <t>BETAS POR SECTOR PARA MERCADOS EMERGENTES</t>
  </si>
  <si>
    <t>FUENTE: DAMODARAN ON LINE - http://pages.stern.nyu.edu/~adamodar/</t>
  </si>
  <si>
    <t>Sector</t>
  </si>
  <si>
    <t>Beta Desapalancado</t>
  </si>
  <si>
    <t>Total Market</t>
  </si>
  <si>
    <t>Total Market (without financials)</t>
  </si>
  <si>
    <t>Advertising</t>
  </si>
  <si>
    <t>Aerospace/Defense</t>
  </si>
  <si>
    <t>Air Transport</t>
  </si>
  <si>
    <t>Apparel</t>
  </si>
  <si>
    <t>Auto &amp; Truck</t>
  </si>
  <si>
    <t>Auto Parts</t>
  </si>
  <si>
    <t>Bank (Money Center)</t>
  </si>
  <si>
    <t>Banks (Regional)</t>
  </si>
  <si>
    <t>Beverage (Alcoholic)</t>
  </si>
  <si>
    <t>Beverage (Soft)</t>
  </si>
  <si>
    <t>Broadcasting</t>
  </si>
  <si>
    <t>Brokerage &amp; Investment Banking</t>
  </si>
  <si>
    <t>Building Materials</t>
  </si>
  <si>
    <t>Business &amp; Consumer Services</t>
  </si>
  <si>
    <t>Cable TV</t>
  </si>
  <si>
    <t>Chemical (Basic)</t>
  </si>
  <si>
    <t>Chemical (Diversified)</t>
  </si>
  <si>
    <t>Chemical (Specialty)</t>
  </si>
  <si>
    <t>Coal &amp; Related Energy</t>
  </si>
  <si>
    <t>Computer Services</t>
  </si>
  <si>
    <t>Computers/Peripherals</t>
  </si>
  <si>
    <t>Construction Supplies</t>
  </si>
  <si>
    <t>Diversified</t>
  </si>
  <si>
    <t>Drugs (Biotechnology)</t>
  </si>
  <si>
    <t>Drugs (Pharmaceutical)</t>
  </si>
  <si>
    <t>Education</t>
  </si>
  <si>
    <t>Electrical Equipment</t>
  </si>
  <si>
    <t>Electronics (Consumer &amp; Office)</t>
  </si>
  <si>
    <t>Electronics (General)</t>
  </si>
  <si>
    <t>Engineering/Construction</t>
  </si>
  <si>
    <t>Entertainment</t>
  </si>
  <si>
    <t>Environmental &amp; Waste Services</t>
  </si>
  <si>
    <t>Farming/Agriculture</t>
  </si>
  <si>
    <t>Financial Svcs. (Non-bank &amp; Insurance)</t>
  </si>
  <si>
    <t>Food Processing</t>
  </si>
  <si>
    <t>Food Wholesalers</t>
  </si>
  <si>
    <t>Furn/Home Furnishings</t>
  </si>
  <si>
    <t>Green &amp; Renewable Energy</t>
  </si>
  <si>
    <t>Healthcare Products</t>
  </si>
  <si>
    <t>Healthcare Support Services</t>
  </si>
  <si>
    <t>Heathcare Information and Technology</t>
  </si>
  <si>
    <t>Homebuilding</t>
  </si>
  <si>
    <t>Hospitals/Healthcare Facilities</t>
  </si>
  <si>
    <t>Hotel/Gaming</t>
  </si>
  <si>
    <t>Household Products</t>
  </si>
  <si>
    <t>Information Services</t>
  </si>
  <si>
    <t>Insurance (General)</t>
  </si>
  <si>
    <t>Insurance (Life)</t>
  </si>
  <si>
    <t>Insurance (Prop/Cas.)</t>
  </si>
  <si>
    <t>Investments &amp; Asset Management</t>
  </si>
  <si>
    <t>Machinery</t>
  </si>
  <si>
    <t>Metals &amp; Mining</t>
  </si>
  <si>
    <t>Office Equipment &amp; Services</t>
  </si>
  <si>
    <t>Oil/Gas (Integrated)</t>
  </si>
  <si>
    <t>Oil/Gas (Production and Exploration)</t>
  </si>
  <si>
    <t>Oil/Gas Distribution</t>
  </si>
  <si>
    <t>Oilfield Svcs/Equip.</t>
  </si>
  <si>
    <t>Packaging &amp; Container</t>
  </si>
  <si>
    <t>Paper/Forest Products</t>
  </si>
  <si>
    <t>Power</t>
  </si>
  <si>
    <t>Precious Metals</t>
  </si>
  <si>
    <t>Publishing &amp; Newspapers</t>
  </si>
  <si>
    <t>R.E.I.T.</t>
  </si>
  <si>
    <t>Real Estate (Development)</t>
  </si>
  <si>
    <t>Real Estate (General/Diversified)</t>
  </si>
  <si>
    <t>Real Estate (Operations &amp; Services)</t>
  </si>
  <si>
    <t>Recreation</t>
  </si>
  <si>
    <t>Reinsurance</t>
  </si>
  <si>
    <t>Restaurant/Dining</t>
  </si>
  <si>
    <t>Retail (Automotive)</t>
  </si>
  <si>
    <t>Retail (Building Supply)</t>
  </si>
  <si>
    <t>Retail (Distributors)</t>
  </si>
  <si>
    <t>Retail (General)</t>
  </si>
  <si>
    <t>Retail (Grocery and Food)</t>
  </si>
  <si>
    <t>Retail (REITs)</t>
  </si>
  <si>
    <t>Retail (Special Lines)</t>
  </si>
  <si>
    <t>Rubber&amp; Tires</t>
  </si>
  <si>
    <t>Semiconductor</t>
  </si>
  <si>
    <t>Semiconductor Equip</t>
  </si>
  <si>
    <t>Shipbuilding &amp; Marine</t>
  </si>
  <si>
    <t>Shoe</t>
  </si>
  <si>
    <t>Software (Entertainment)</t>
  </si>
  <si>
    <t>Software (Internet)</t>
  </si>
  <si>
    <t>Software (System &amp; Application)</t>
  </si>
  <si>
    <t>Steel</t>
  </si>
  <si>
    <t>Telecom (Wireless)</t>
  </si>
  <si>
    <t>Telecom. Equipment</t>
  </si>
  <si>
    <t>Telecom. Services</t>
  </si>
  <si>
    <t>Tobacco</t>
  </si>
  <si>
    <t>Transportation</t>
  </si>
  <si>
    <t>Transportation (Railroads)</t>
  </si>
  <si>
    <t>Trucking</t>
  </si>
  <si>
    <t>Utility (General)</t>
  </si>
  <si>
    <t>Utility (Water)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</si>
</sst>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>
    <font>
      <sz val="11"/>
      <color theme="1"/>
      <name val="Arial"/>
      <family val="2"/>
      <scheme val="minor"/>
    </font>
    <font>
      <name val="Arial Narrow"/>
      <sz val="10.00"/>
      <b/>
      <family val="2"/>
    </font>
    <font>
      <name val="Arial Narrow"/>
      <sz val="10.00"/>
      <b/>
      <color rgb="FF808080"/>
      <family val="2"/>
    </font>
    <font>
      <name val="Arial Narrow"/>
      <sz val="10.00"/>
      <color rgb="FFFFFFFF"/>
      <family val="2"/>
    </font>
    <font>
      <name val="Arial Narrow"/>
      <sz val="8.00"/>
      <color rgb="FF808080"/>
      <family val="2"/>
    </font>
    <font>
      <name val="Arial Narrow"/>
      <sz val="10.00"/>
      <color rgb="FF808080"/>
      <family val="2"/>
    </font>
    <font>
      <name val="Arial Narrow"/>
      <sz val="10.00"/>
      <family val="2"/>
    </font>
    <font>
      <name val="Arial Narrow"/>
      <sz val="10.00"/>
      <color rgb="FF000000"/>
      <family val="2"/>
    </font>
    <font>
      <name val="Arial Narrow"/>
      <sz val="10.00"/>
      <color rgb="FF0000FF"/>
      <family val="2"/>
    </font>
    <font>
      <name val="Arial Narrow"/>
      <sz val="10.00"/>
      <color rgb="FF595959"/>
      <family val="2"/>
    </font>
    <font>
      <name val="Arial Narrow"/>
      <sz val="10.00"/>
      <color rgb="FF558ED5"/>
      <family val="2"/>
    </font>
    <font>
      <name val="Arial Narrow"/>
      <sz val="10.00"/>
      <color rgb="FFA6A6A6"/>
      <family val="2"/>
    </font>
    <font>
      <name val="Arial Narrow"/>
      <sz val="10.00"/>
      <i/>
      <b/>
      <color rgb="FFFF0000"/>
      <family val="2"/>
    </font>
    <font>
      <name val="Arial Narrow"/>
      <sz val="10.00"/>
      <color rgb="FF17375E"/>
      <family val="2"/>
    </font>
    <font>
      <name val="Arial Narrow"/>
      <sz val="10.00"/>
      <b/>
      <color rgb="FF595959"/>
      <family val="2"/>
    </font>
    <font>
      <name val="Arial Narrow"/>
      <sz val="10.00"/>
      <i/>
      <color rgb="FFC00000"/>
      <family val="2"/>
    </font>
    <font>
      <name val="Arial Narrow"/>
      <sz val="10.00"/>
      <b/>
      <color rgb="FFFF0000"/>
      <family val="2"/>
    </font>
    <font>
      <name val="Arial Narrow"/>
      <sz val="10.00"/>
      <i/>
      <color rgb="FFFF0000"/>
      <family val="2"/>
    </font>
    <font>
      <name val="Arial Narrow"/>
      <sz val="10.00"/>
      <color rgb="FF7F7F7F"/>
      <family val="2"/>
    </font>
    <font>
      <name val="Arial Narrow"/>
      <sz val="10.00"/>
      <color rgb="FFFF0000"/>
      <family val="2"/>
    </font>
    <font>
      <name val="Arial Narrow"/>
      <sz val="10.00"/>
      <i/>
      <color rgb="FF632523"/>
      <family val="2"/>
    </font>
    <font>
      <name val="Arial Narrow"/>
      <sz val="10.00"/>
      <color rgb="FF4F81BD"/>
      <family val="2"/>
    </font>
    <font>
      <name val="Arial Narrow"/>
      <sz val="10.00"/>
      <b/>
      <color rgb="FF000000"/>
      <family val="2"/>
    </font>
    <font>
      <name val="Arial Narrow"/>
      <sz val="10.00"/>
      <b/>
      <color rgb="FFFFFFFF"/>
      <family val="2"/>
    </font>
    <font>
      <name val="Arial Narrow"/>
      <sz val="10.00"/>
      <i/>
      <color rgb="FF808080"/>
      <family val="2"/>
    </font>
    <font>
      <name val="Arial Narrow"/>
      <sz val="10.00"/>
      <i/>
      <b/>
      <color rgb="FF333333"/>
      <family val="2"/>
    </font>
    <font>
      <name val="Arial Narrow"/>
      <sz val="10.00"/>
      <b/>
      <color rgb="FF0000FF"/>
      <family val="2"/>
    </font>
    <font>
      <name val="Arial Narrow"/>
      <sz val="20.00"/>
      <b/>
      <color rgb="FFFFFFFF"/>
      <family val="2"/>
    </font>
    <font>
      <name val="Arial Narrow"/>
      <sz val="10.00"/>
      <color rgb="FF333333"/>
      <family val="2"/>
    </font>
    <font>
      <name val="Arial Narrow"/>
      <sz val="10.00"/>
      <i/>
      <family val="2"/>
    </font>
    <font>
      <name val="Arial Narrow"/>
      <sz val="10.00"/>
      <i/>
      <color rgb="FF7F7F7F"/>
      <family val="2"/>
    </font>
    <font>
      <name val="Arial Narrow"/>
      <sz val="10.00"/>
      <color rgb="FF969696"/>
      <family val="2"/>
    </font>
    <font>
      <name val="Arial Narrow"/>
      <sz val="10.00"/>
      <color rgb="FF0070C0"/>
      <family val="2"/>
    </font>
    <font>
      <name val="Arial Narrow"/>
      <sz val="8.00"/>
      <color rgb="FF558ED5"/>
      <family val="2"/>
    </font>
    <font>
      <name val="Arial Narrow"/>
      <sz val="10.00"/>
      <b/>
      <color rgb="FF333399"/>
      <family val="2"/>
    </font>
    <font>
      <name val="Arial Narrow"/>
      <sz val="10.00"/>
      <color rgb="FF632523"/>
      <family val="2"/>
    </font>
    <font>
      <name val="Arial Narrow"/>
      <sz val="10.00"/>
      <i/>
      <b/>
      <u val="single"/>
      <family val="2"/>
    </font>
    <font>
      <name val="Arial Narrow"/>
      <sz val="10.00"/>
      <color rgb="FF008000"/>
      <family val="2"/>
    </font>
    <font>
      <name val="Arial Narrow"/>
      <sz val="10.00"/>
      <color rgb="FF00B050"/>
      <family val="2"/>
    </font>
    <font>
      <name val="Arial Narrow"/>
      <sz val="10.00"/>
      <i/>
      <b/>
      <u val="single"/>
      <color rgb="FF808080"/>
      <family val="2"/>
    </font>
    <font>
      <name val="Arial Narrow"/>
      <sz val="8.00"/>
      <color rgb="FF0000FF"/>
      <family val="2"/>
    </font>
    <font>
      <name val="Arial Narrow"/>
      <sz val="10.00"/>
      <u val="single"/>
      <color rgb="FF7F7F7F"/>
      <family val="2"/>
    </font>
    <font>
      <name val="Arial Narrow"/>
      <sz val="10.00"/>
      <i/>
      <b/>
      <u val="single"/>
      <color rgb="FF7F7F7F"/>
      <family val="2"/>
    </font>
    <font>
      <name val="Arial Narrow"/>
      <sz val="10.00"/>
      <i/>
      <b/>
      <color rgb="FF000000"/>
      <family val="2"/>
    </font>
    <font>
      <name val="Arial Narrow"/>
      <sz val="10.00"/>
      <b/>
      <color rgb="FF333333"/>
      <family val="2"/>
    </font>
    <font>
      <name val="Arial Narrow"/>
      <sz val="8.00"/>
      <color rgb="FF000000"/>
      <family val="2"/>
    </font>
  </fonts>
  <fills count="12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7F7F7F"/>
        <bgColor indexed="64"/>
      </patternFill>
    </fill>
  </fills>
  <borders count="153">
    <border>
      <left/>
      <right/>
      <top/>
      <bottom/>
      <diagonal/>
    </border>
    <border>
      <left/>
      <right/>
      <top/>
      <bottom style="dashed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dashed">
        <color rgb="FF00000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dashed">
        <color rgb="FF000000"/>
      </bottom>
      <diagonal/>
    </border>
    <border>
      <left/>
      <right/>
      <top style="dashed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dashed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 style="thin">
        <color rgb="FFFFFFFF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dashed">
        <color rgb="FF00000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ck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 style="dashed">
        <color rgb="FF000000"/>
      </top>
      <bottom/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dashed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ashed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/>
      <right/>
      <top style="dashed">
        <color rgb="FF000000"/>
      </top>
      <bottom/>
      <diagonal/>
    </border>
    <border>
      <left/>
      <right/>
      <top/>
      <bottom style="thick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dashed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ck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dashed">
        <color rgb="FF000000"/>
      </top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ck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dashed">
        <color rgb="FF000000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dashed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dashed">
        <color rgb="FF000000"/>
      </top>
      <bottom/>
      <diagonal/>
    </border>
    <border>
      <left/>
      <right/>
      <top/>
      <bottom style="thick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/>
      <right/>
      <top/>
      <bottom style="dashed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dashed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dash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n">
        <color rgb="FFFFFFFF"/>
      </right>
      <top/>
      <bottom/>
      <diagonal/>
    </border>
    <border>
      <left/>
      <right/>
      <top style="dashed">
        <color rgb="FF000000"/>
      </top>
      <bottom/>
      <diagonal/>
    </border>
    <border>
      <left/>
      <right/>
      <top/>
      <bottom style="thick">
        <color rgb="FF000000"/>
      </bottom>
      <diagonal/>
    </border>
    <border>
      <left/>
      <right/>
      <top style="dashed">
        <color rgb="FF00000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/>
      <top style="dashed">
        <color rgb="FF000000"/>
      </top>
      <bottom/>
      <diagonal/>
    </border>
    <border>
      <left/>
      <right style="thin">
        <color rgb="FFFFFFFF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dashed">
        <color rgb="FF000000"/>
      </bottom>
      <diagonal/>
    </border>
  </borders>
  <cellStyleXfs count="282">
    <xf numFmtId="0" fontId="0" fillId="0" borderId="0"/>
    <xf fontId="1" applyFont="1" fillId="2" applyFill="1" applyAlignment="1">
      <alignment horizontal="left"/>
    </xf>
    <xf fontId="1" applyFont="1" borderId="1" applyBorder="1"/>
    <xf fontId="2" applyFont="1" applyAlignment="1">
      <alignment horizontal="left"/>
    </xf>
    <xf fontId="2" applyFont="1"/>
    <xf fontId="3" applyFont="1" fillId="3" applyFill="1" applyAlignment="1">
      <alignment horizontal="center"/>
    </xf>
    <xf fontId="1" applyFont="1" borderId="2" applyBorder="1"/>
    <xf fontId="4" applyFont="1" fillId="4" applyFill="1" applyAlignment="1">
      <alignment horizontal="center"/>
    </xf>
    <xf fontId="5" applyFont="1" borderId="3" applyBorder="1"/>
    <xf fontId="5" applyFont="1" fillId="5" applyFill="1"/>
    <xf fontId="4" applyFont="1" applyAlignment="1">
      <alignment horizontal="center"/>
    </xf>
    <xf fontId="6" applyFont="1" borderId="4" applyBorder="1"/>
    <xf fontId="1" applyFont="1" applyAlignment="1">
      <alignment horizontal="center"/>
    </xf>
    <xf fontId="7" applyFont="1" fillId="6" applyFill="1" borderId="5" applyBorder="1" applyAlignment="1">
      <alignment vertical="center" horizontal="center"/>
    </xf>
    <xf fontId="5" applyFont="1" applyAlignment="1">
      <alignment horizontal="center"/>
    </xf>
    <xf fontId="8" applyFont="1" fillId="7" applyFill="1" borderId="6" applyBorder="1" applyAlignment="1">
      <alignment horizontal="center"/>
    </xf>
    <xf fontId="9" applyFont="1" borderId="7" applyBorder="1" applyAlignment="1">
      <alignment horizontal="center"/>
    </xf>
    <xf fontId="10" applyFont="1" borderId="8" applyBorder="1" applyAlignment="1">
      <alignment horizontal="center"/>
    </xf>
    <xf fontId="11" applyFont="1" fillId="8" applyFill="1" applyAlignment="1">
      <alignment vertical="center" horizontal="center"/>
    </xf>
    <xf fontId="12" applyFont="1" fillId="9" applyFill="1" applyAlignment="1">
      <alignment horizontal="center"/>
    </xf>
    <xf fontId="8" applyFont="1"/>
    <xf fontId="13" applyFont="1" applyAlignment="1">
      <alignment vertical="center" horizontal="center"/>
    </xf>
    <xf fontId="6" applyFont="1" fillId="10" applyFill="1" borderId="9" applyBorder="1" applyAlignment="1">
      <alignment horizontal="left"/>
    </xf>
    <xf fontId="5" applyFont="1" fillId="11" applyFill="1" borderId="10" applyBorder="1"/>
    <xf fontId="7" applyFont="1" borderId="11" applyBorder="1"/>
    <xf fontId="6" applyFont="1" fillId="12" applyFill="1" borderId="12" applyBorder="1" applyAlignment="1">
      <alignment horizontal="center"/>
    </xf>
    <xf fontId="1" applyFont="1" fillId="13" applyFill="1" applyAlignment="1">
      <alignment horizontal="center"/>
    </xf>
    <xf fontId="5" applyFont="1" borderId="13" applyBorder="1" applyAlignment="1">
      <alignment horizontal="center"/>
    </xf>
    <xf fontId="14" applyFont="1" applyAlignment="1">
      <alignment horizontal="center"/>
    </xf>
    <xf fontId="1" applyFont="1"/>
    <xf fontId="2" applyFont="1" applyAlignment="1">
      <alignment vertical="center" horizontal="center"/>
    </xf>
    <xf fontId="1" applyFont="1" borderId="14" applyBorder="1" applyAlignment="1">
      <alignment vertical="center" horizontal="right"/>
    </xf>
    <xf fontId="15" applyFont="1" applyAlignment="1">
      <alignment horizontal="center"/>
    </xf>
    <xf fontId="16" applyFont="1" fillId="14" applyFill="1" applyAlignment="1">
      <alignment horizontal="center"/>
    </xf>
    <xf fontId="1" applyFont="1" borderId="15" applyBorder="1" applyAlignment="1">
      <alignment vertical="top" horizontal="center" wrapText="1"/>
    </xf>
    <xf fontId="5" applyFont="1" applyAlignment="1">
      <alignment vertical="top" horizontal="left"/>
    </xf>
    <xf fontId="1" applyFont="1" fillId="15" applyFill="1" borderId="16" applyBorder="1" applyAlignment="1">
      <alignment vertical="center" horizontal="center"/>
    </xf>
    <xf fontId="8" applyFont="1" borderId="17" applyBorder="1" applyAlignment="1">
      <alignment horizontal="center"/>
    </xf>
    <xf fontId="17" applyFont="1" applyAlignment="1">
      <alignment horizontal="left"/>
    </xf>
    <xf fontId="18" applyFont="1" applyAlignment="1">
      <alignment horizontal="left"/>
    </xf>
    <xf fontId="19" applyFont="1" applyAlignment="1">
      <alignment horizontal="center"/>
    </xf>
    <xf fontId="10" applyFont="1" fillId="16" applyFill="1" borderId="18" applyBorder="1" applyAlignment="1">
      <alignment horizontal="center"/>
    </xf>
    <xf fontId="7" applyFont="1" borderId="19" applyBorder="1" applyAlignment="1">
      <alignment vertical="center" horizontal="center"/>
    </xf>
    <xf fontId="20" applyFont="1" applyAlignment="1">
      <alignment horizontal="center"/>
    </xf>
    <xf fontId="6" applyFont="1" fillId="17" applyFill="1" borderId="20" applyBorder="1"/>
    <xf fontId="3" applyFont="1" fillId="18" applyFill="1" borderId="21" applyBorder="1" applyAlignment="1">
      <alignment horizontal="center"/>
    </xf>
    <xf fontId="1" applyFont="1" borderId="22" applyBorder="1" applyAlignment="1">
      <alignment horizontal="center"/>
    </xf>
    <xf fontId="5" applyFont="1" borderId="23" applyBorder="1" applyAlignment="1">
      <alignment horizontal="center"/>
    </xf>
    <xf fontId="1" applyFont="1" fillId="19" applyFill="1" borderId="24" applyBorder="1" applyAlignment="1">
      <alignment horizontal="center"/>
    </xf>
    <xf fontId="1" applyFont="1" fillId="20" applyFill="1" borderId="25" applyBorder="1" applyAlignment="1">
      <alignment horizontal="left"/>
    </xf>
    <xf fontId="21" applyFont="1"/>
    <xf fontId="6" applyFont="1" applyAlignment="1">
      <alignment horizontal="left"/>
    </xf>
    <xf fontId="1" applyFont="1" fillId="21" applyFill="1" applyAlignment="1">
      <alignment vertical="center" horizontal="center"/>
    </xf>
    <xf fontId="1" applyFont="1" applyAlignment="1">
      <alignment horizontal="right"/>
    </xf>
    <xf fontId="1" applyFont="1" fillId="22" applyFill="1" borderId="26" applyBorder="1" applyAlignment="1">
      <alignment horizontal="center"/>
    </xf>
    <xf fontId="1" applyFont="1" fillId="23" applyFill="1" borderId="27" applyBorder="1" applyAlignment="1">
      <alignment horizontal="center"/>
    </xf>
    <xf fontId="6" applyFont="1" borderId="28" applyBorder="1" applyAlignment="1">
      <alignment horizontal="left"/>
    </xf>
    <xf fontId="22" applyFont="1" borderId="29" applyBorder="1" applyAlignment="1">
      <alignment horizontal="center"/>
    </xf>
    <xf fontId="6" applyFont="1" fillId="24" applyFill="1" borderId="30" applyBorder="1" applyAlignment="1">
      <alignment horizontal="center"/>
    </xf>
    <xf fontId="7" applyFont="1" fillId="25" applyFill="1"/>
    <xf fontId="5" applyFont="1" borderId="31" applyBorder="1" applyAlignment="1">
      <alignment horizontal="center"/>
    </xf>
    <xf fontId="23" applyFont="1" applyAlignment="1">
      <alignment horizontal="center"/>
    </xf>
    <xf fontId="22" applyFont="1" fillId="26" applyFill="1" borderId="32" applyBorder="1" applyAlignment="1">
      <alignment horizontal="left"/>
    </xf>
    <xf fontId="1" applyFont="1" fillId="27" applyFill="1" borderId="33" applyBorder="1"/>
    <xf fontId="6" applyFont="1" fillId="28" applyFill="1" borderId="34" applyBorder="1" applyAlignment="1">
      <alignment horizontal="center"/>
    </xf>
    <xf fontId="6" applyFont="1" fillId="29" applyFill="1" borderId="35" applyBorder="1" applyAlignment="1">
      <alignment horizontal="center"/>
    </xf>
    <xf fontId="23" applyFont="1" fillId="30" applyFill="1" applyAlignment="1">
      <alignment horizontal="center"/>
    </xf>
    <xf fontId="23" applyFont="1" fillId="31" applyFill="1" applyAlignment="1">
      <alignment vertical="center" horizontal="center"/>
    </xf>
    <xf fontId="5" applyFont="1"/>
    <xf fontId="6" applyFont="1" fillId="32" applyFill="1" applyAlignment="1">
      <alignment horizontal="center"/>
    </xf>
    <xf fontId="6" applyFont="1" fillId="33" applyFill="1" borderId="36" applyBorder="1" applyAlignment="1">
      <alignment horizontal="left"/>
    </xf>
    <xf fontId="24" applyFont="1" fillId="34" applyFill="1"/>
    <xf fontId="5" applyFont="1" applyAlignment="1">
      <alignment vertical="center" horizontal="left"/>
    </xf>
    <xf fontId="1" applyFont="1" borderId="37" applyBorder="1" applyAlignment="1">
      <alignment horizontal="left"/>
    </xf>
    <xf fontId="7" applyFont="1" borderId="38" applyBorder="1" applyAlignment="1">
      <alignment vertical="center" horizontal="center"/>
    </xf>
    <xf fontId="6" applyFont="1" fillId="35" applyFill="1" borderId="39" applyBorder="1" applyAlignment="1">
      <alignment horizontal="center"/>
    </xf>
    <xf fontId="1" applyFont="1" borderId="40" applyBorder="1"/>
    <xf fontId="6" applyFont="1" fillId="36" applyFill="1" borderId="41" applyBorder="1" applyAlignment="1">
      <alignment horizontal="center"/>
    </xf>
    <xf fontId="5" applyFont="1" borderId="42" applyBorder="1" applyAlignment="1">
      <alignment vertical="center" horizontal="right"/>
    </xf>
    <xf fontId="23" applyFont="1" fillId="37" applyFill="1" applyAlignment="1">
      <alignment horizontal="left"/>
    </xf>
    <xf fontId="10" applyFont="1" applyAlignment="1">
      <alignment horizontal="center"/>
    </xf>
    <xf fontId="1" applyFont="1" fillId="38" applyFill="1" borderId="43" applyBorder="1" applyAlignment="1">
      <alignment horizontal="center"/>
    </xf>
    <xf fontId="7" applyFont="1" borderId="44" applyBorder="1"/>
    <xf fontId="6" applyFont="1" fillId="39" applyFill="1" applyAlignment="1">
      <alignment vertical="center" horizontal="center"/>
    </xf>
    <xf fontId="6" applyFont="1" fillId="40" applyFill="1" borderId="45" applyBorder="1" applyAlignment="1">
      <alignment horizontal="center"/>
    </xf>
    <xf fontId="1" applyFont="1" borderId="46" applyBorder="1" applyAlignment="1">
      <alignment horizontal="center"/>
    </xf>
    <xf fontId="3" applyFont="1" applyAlignment="1">
      <alignment horizontal="center"/>
    </xf>
    <xf fontId="6" applyFont="1" applyAlignment="1">
      <alignment horizontal="right"/>
    </xf>
    <xf fontId="6" applyFont="1" fillId="41" applyFill="1" applyAlignment="1">
      <alignment vertical="center" horizontal="center"/>
    </xf>
    <xf fontId="18" applyFont="1" borderId="47" applyBorder="1"/>
    <xf fontId="8" applyFont="1" applyAlignment="1">
      <alignment horizontal="left"/>
    </xf>
    <xf fontId="10" applyFont="1"/>
    <xf fontId="3" applyFont="1"/>
    <xf fontId="1" applyFont="1" fillId="42" applyFill="1" borderId="48" applyBorder="1" applyAlignment="1">
      <alignment horizontal="left"/>
    </xf>
    <xf fontId="6" applyFont="1" fillId="43" applyFill="1" borderId="49" applyBorder="1" applyAlignment="1">
      <alignment horizontal="left"/>
    </xf>
    <xf fontId="1" applyFont="1" borderId="50" applyBorder="1" applyAlignment="1">
      <alignment vertical="top" horizontal="left" wrapText="1"/>
    </xf>
    <xf fontId="6" applyFont="1" fillId="44" applyFill="1" applyAlignment="1">
      <alignment horizontal="center"/>
    </xf>
    <xf fontId="6" applyFont="1" fillId="45" applyFill="1" borderId="51" applyBorder="1" applyAlignment="1">
      <alignment horizontal="left"/>
    </xf>
    <xf fontId="1" applyFont="1" fillId="46" applyFill="1"/>
    <xf fontId="6" applyFont="1" fillId="47" applyFill="1" borderId="52" applyBorder="1" applyAlignment="1">
      <alignment horizontal="center"/>
    </xf>
    <xf fontId="8" applyFont="1" borderId="53" applyBorder="1" applyAlignment="1">
      <alignment horizontal="center"/>
    </xf>
    <xf fontId="6" applyFont="1" fillId="48" applyFill="1" borderId="54" applyBorder="1" applyAlignment="1">
      <alignment horizontal="right"/>
    </xf>
    <xf fontId="19" applyFont="1" applyAlignment="1">
      <alignment horizontal="left"/>
    </xf>
    <xf fontId="6" applyFont="1" fillId="49" applyFill="1"/>
    <xf fontId="6" applyFont="1" fillId="50" applyFill="1" borderId="55" applyBorder="1" applyAlignment="1">
      <alignment vertical="center" horizontal="center"/>
    </xf>
    <xf fontId="1" applyFont="1" applyAlignment="1">
      <alignment horizontal="left"/>
    </xf>
    <xf fontId="25" applyFont="1" fillId="51" applyFill="1" applyAlignment="1">
      <alignment horizontal="left"/>
    </xf>
    <xf fontId="1" applyFont="1" fillId="52" applyFill="1" borderId="56" applyBorder="1" applyAlignment="1">
      <alignment horizontal="center"/>
    </xf>
    <xf fontId="6" applyFont="1" fillId="53" applyFill="1" borderId="57" applyBorder="1" applyAlignment="1">
      <alignment horizontal="left"/>
    </xf>
    <xf fontId="6" applyFont="1" borderId="58" applyBorder="1" applyAlignment="1">
      <alignment horizontal="left"/>
    </xf>
    <xf fontId="5" applyFont="1" applyAlignment="1">
      <alignment vertical="center" horizontal="center"/>
    </xf>
    <xf fontId="22" applyFont="1" fillId="54" applyFill="1" borderId="59" applyBorder="1" applyAlignment="1">
      <alignment horizontal="center"/>
    </xf>
    <xf fontId="26" applyFont="1" borderId="60" applyBorder="1" applyAlignment="1">
      <alignment horizontal="center"/>
    </xf>
    <xf fontId="6" applyFont="1" applyAlignment="1">
      <alignment vertical="center" horizontal="center"/>
    </xf>
    <xf fontId="6" applyFont="1" borderId="61" applyBorder="1"/>
    <xf fontId="21" applyFont="1" fillId="55" applyFill="1"/>
    <xf fontId="7" applyFont="1" borderId="62" applyBorder="1"/>
    <xf fontId="5" applyFont="1" fillId="56" applyFill="1" applyAlignment="1">
      <alignment horizontal="left"/>
    </xf>
    <xf fontId="6" applyFont="1" borderId="63" applyBorder="1" applyAlignment="1">
      <alignment horizontal="left"/>
    </xf>
    <xf fontId="1" applyFont="1" borderId="64" applyBorder="1" applyAlignment="1">
      <alignment horizontal="center"/>
    </xf>
    <xf fontId="6" applyFont="1" fillId="57" applyFill="1" borderId="65" applyBorder="1" applyAlignment="1">
      <alignment horizontal="center"/>
    </xf>
    <xf fontId="27" applyFont="1" applyAlignment="1">
      <alignment vertical="center"/>
    </xf>
    <xf fontId="7" applyFont="1" borderId="66" applyBorder="1"/>
    <xf fontId="6" applyFont="1" borderId="67" applyBorder="1" applyAlignment="1">
      <alignment horizontal="center"/>
    </xf>
    <xf fontId="26" applyFont="1" applyAlignment="1">
      <alignment horizontal="center"/>
    </xf>
    <xf fontId="6" applyFont="1" fillId="58" applyFill="1" borderId="68" applyBorder="1" applyAlignment="1">
      <alignment horizontal="center"/>
    </xf>
    <xf fontId="28" applyFont="1" fillId="59" applyFill="1" applyAlignment="1">
      <alignment horizontal="center"/>
    </xf>
    <xf fontId="6" applyFont="1" fillId="60" applyFill="1" borderId="69" applyBorder="1" applyAlignment="1">
      <alignment horizontal="center"/>
    </xf>
    <xf fontId="29" applyFont="1"/>
    <xf fontId="7" applyFont="1" applyAlignment="1">
      <alignment horizontal="right"/>
    </xf>
    <xf fontId="6" applyFont="1" borderId="70" applyBorder="1" applyAlignment="1">
      <alignment horizontal="center"/>
    </xf>
    <xf fontId="17" applyFont="1" applyAlignment="1">
      <alignment horizontal="center"/>
    </xf>
    <xf fontId="1" applyFont="1" fillId="61" applyFill="1" applyAlignment="1">
      <alignment horizontal="left"/>
    </xf>
    <xf fontId="1" applyFont="1" borderId="71" applyBorder="1"/>
    <xf fontId="7" applyFont="1" applyAlignment="1">
      <alignment vertical="center" horizontal="right" textRotation="90"/>
    </xf>
    <xf fontId="5" applyFont="1" borderId="72" applyBorder="1"/>
    <xf fontId="2" applyFont="1" fillId="62" applyFill="1" applyAlignment="1">
      <alignment horizontal="center"/>
    </xf>
    <xf fontId="22" applyFont="1" fillId="63" applyFill="1" borderId="73" applyBorder="1" applyAlignment="1">
      <alignment horizontal="center"/>
    </xf>
    <xf fontId="6" applyFont="1" applyAlignment="1">
      <alignment vertical="center" horizontal="right"/>
    </xf>
    <xf fontId="30" applyFont="1"/>
    <xf fontId="8" applyFont="1" borderId="74" applyBorder="1"/>
    <xf fontId="31" applyFont="1" applyAlignment="1">
      <alignment vertical="center" horizontal="right"/>
    </xf>
    <xf fontId="1" applyFont="1" fillId="64" applyFill="1" borderId="75" applyBorder="1" applyAlignment="1">
      <alignment horizontal="left"/>
    </xf>
    <xf fontId="5" applyFont="1" applyAlignment="1">
      <alignment horizontal="left"/>
    </xf>
    <xf fontId="12" applyFont="1" applyAlignment="1">
      <alignment horizontal="center"/>
    </xf>
    <xf fontId="6" applyFont="1" borderId="76" applyBorder="1" applyAlignment="1">
      <alignment horizontal="center"/>
    </xf>
    <xf fontId="6" applyFont="1" fillId="65" applyFill="1" borderId="77" applyBorder="1" applyAlignment="1">
      <alignment horizontal="center"/>
    </xf>
    <xf fontId="6" applyFont="1" fillId="66" applyFill="1" borderId="78" applyBorder="1" applyAlignment="1">
      <alignment horizontal="center"/>
    </xf>
    <xf fontId="1" applyFont="1" borderId="79" applyBorder="1" applyAlignment="1">
      <alignment horizontal="center"/>
    </xf>
    <xf fontId="6" applyFont="1" fillId="67" applyFill="1" borderId="80" applyBorder="1" applyAlignment="1">
      <alignment horizontal="left"/>
    </xf>
    <xf fontId="6" applyFont="1" fillId="68" applyFill="1" borderId="81" applyBorder="1" applyAlignment="1">
      <alignment horizontal="center"/>
    </xf>
    <xf fontId="6" applyFont="1" fillId="69" applyFill="1" borderId="82" applyBorder="1" applyAlignment="1">
      <alignment horizontal="left"/>
    </xf>
    <xf fontId="6" applyFont="1" borderId="83" applyBorder="1" applyAlignment="1">
      <alignment horizontal="left"/>
    </xf>
    <xf fontId="1" applyFont="1" borderId="84" applyBorder="1"/>
    <xf fontId="6" applyFont="1" fillId="70" applyFill="1" borderId="85" applyBorder="1" applyAlignment="1">
      <alignment horizontal="center"/>
    </xf>
    <xf fontId="6" applyFont="1" fillId="71" applyFill="1" borderId="86" applyBorder="1" applyAlignment="1">
      <alignment horizontal="center"/>
    </xf>
    <xf fontId="28" applyFont="1"/>
    <xf fontId="5" applyFont="1" fillId="72" applyFill="1" applyAlignment="1">
      <alignment horizontal="center"/>
    </xf>
    <xf fontId="32" applyFont="1" applyAlignment="1">
      <alignment vertical="center" horizontal="right"/>
    </xf>
    <xf fontId="25" applyFont="1" fillId="73" applyFill="1"/>
    <xf fontId="1" applyFont="1" fillId="74" applyFill="1" borderId="87" applyBorder="1" applyAlignment="1">
      <alignment horizontal="right"/>
    </xf>
    <xf fontId="7" applyFont="1" borderId="88" applyBorder="1"/>
    <xf fontId="6" applyFont="1" fillId="75" applyFill="1" borderId="89" applyBorder="1" applyAlignment="1">
      <alignment horizontal="center"/>
    </xf>
    <xf fontId="1" applyFont="1" borderId="90" applyBorder="1"/>
    <xf fontId="14" applyFont="1"/>
    <xf fontId="33" applyFont="1"/>
    <xf fontId="1" applyFont="1" fillId="76" applyFill="1" borderId="91" applyBorder="1" applyAlignment="1">
      <alignment horizontal="center"/>
    </xf>
    <xf fontId="34" applyFont="1" fillId="77" applyFill="1" borderId="92" applyBorder="1" applyAlignment="1">
      <alignment horizontal="center"/>
    </xf>
    <xf fontId="6" applyFont="1" borderId="93" applyBorder="1" applyAlignment="1">
      <alignment vertical="center" horizontal="right"/>
    </xf>
    <xf fontId="6" applyFont="1" borderId="94" applyBorder="1" applyAlignment="1">
      <alignment horizontal="center"/>
    </xf>
    <xf fontId="1" applyFont="1" borderId="95" applyBorder="1"/>
    <xf fontId="6" applyFont="1" borderId="96" applyBorder="1" applyAlignment="1">
      <alignment horizontal="center"/>
    </xf>
    <xf fontId="1" applyFont="1" fillId="78" applyFill="1" borderId="97" applyBorder="1" applyAlignment="1">
      <alignment horizontal="left"/>
    </xf>
    <xf fontId="18" applyFont="1" borderId="98" applyBorder="1"/>
    <xf fontId="8" applyFont="1" applyAlignment="1">
      <alignment horizontal="center"/>
    </xf>
    <xf fontId="6" applyFont="1" applyAlignment="1">
      <alignment horizontal="center"/>
    </xf>
    <xf fontId="6" applyFont="1" borderId="99" applyBorder="1"/>
    <xf fontId="6" applyFont="1" borderId="100" applyBorder="1"/>
    <xf fontId="11" applyFont="1" applyAlignment="1">
      <alignment horizontal="center"/>
    </xf>
    <xf fontId="7" applyFont="1" fillId="79" applyFill="1" applyAlignment="1">
      <alignment horizontal="center"/>
    </xf>
    <xf fontId="6" applyFont="1" fillId="80" applyFill="1" borderId="101" applyBorder="1" applyAlignment="1">
      <alignment horizontal="center"/>
    </xf>
    <xf fontId="6" applyFont="1" fillId="81" applyFill="1" borderId="102" applyBorder="1" applyAlignment="1">
      <alignment horizontal="left"/>
    </xf>
    <xf fontId="6" applyFont="1" fillId="82" applyFill="1" borderId="103" applyBorder="1" applyAlignment="1">
      <alignment vertical="center" horizontal="center"/>
    </xf>
    <xf fontId="2" applyFont="1" borderId="104" applyBorder="1" applyAlignment="1">
      <alignment horizontal="center"/>
    </xf>
    <xf fontId="6" applyFont="1"/>
    <xf fontId="6" applyFont="1" borderId="105" applyBorder="1" applyAlignment="1">
      <alignment horizontal="center"/>
    </xf>
    <xf fontId="1" applyFont="1" borderId="106" applyBorder="1" applyAlignment="1">
      <alignment horizontal="center"/>
    </xf>
    <xf fontId="17" applyFont="1"/>
    <xf fontId="20" applyFont="1"/>
    <xf fontId="15" applyFont="1" applyAlignment="1">
      <alignment horizontal="left"/>
    </xf>
    <xf fontId="5" applyFont="1" borderId="107" applyBorder="1" applyAlignment="1">
      <alignment horizontal="center"/>
    </xf>
    <xf fontId="1" applyFont="1" fillId="83" applyFill="1" applyAlignment="1">
      <alignment vertical="center"/>
    </xf>
    <xf fontId="35" applyFont="1"/>
    <xf fontId="6" applyFont="1" fillId="84" applyFill="1" applyAlignment="1">
      <alignment horizontal="center"/>
    </xf>
    <xf fontId="2" applyFont="1" borderId="108" applyBorder="1" applyAlignment="1">
      <alignment vertical="center" horizontal="center"/>
    </xf>
    <xf fontId="36" applyFont="1"/>
    <xf fontId="2" applyFont="1" applyAlignment="1">
      <alignment horizontal="center"/>
    </xf>
    <xf fontId="6" applyFont="1" fillId="85" applyFill="1" borderId="109" applyBorder="1" applyAlignment="1">
      <alignment horizontal="center"/>
    </xf>
    <xf fontId="1" applyFont="1" applyAlignment="1">
      <alignment vertical="center" horizontal="center"/>
    </xf>
    <xf fontId="1" applyFont="1" borderId="110" applyBorder="1" applyAlignment="1">
      <alignment horizontal="left"/>
    </xf>
    <xf fontId="17" applyFont="1" applyAlignment="1">
      <alignment horizontal="right"/>
    </xf>
    <xf fontId="6" applyFont="1" fillId="86" applyFill="1" borderId="111" applyBorder="1" applyAlignment="1">
      <alignment horizontal="center"/>
    </xf>
    <xf fontId="4" applyFont="1" fillId="87" applyFill="1"/>
    <xf fontId="6" applyFont="1" fillId="88" applyFill="1" applyAlignment="1">
      <alignment horizontal="left"/>
    </xf>
    <xf fontId="14" applyFont="1" borderId="112" applyBorder="1" applyAlignment="1">
      <alignment horizontal="center"/>
    </xf>
    <xf fontId="1" applyFont="1" fillId="89" applyFill="1"/>
    <xf fontId="37" applyFont="1" applyAlignment="1">
      <alignment horizontal="center"/>
    </xf>
    <xf fontId="26" applyFont="1"/>
    <xf fontId="1" applyFont="1" fillId="90" applyFill="1" borderId="113" applyBorder="1" applyAlignment="1">
      <alignment horizontal="center"/>
    </xf>
    <xf fontId="6" applyFont="1" borderId="114" applyBorder="1" applyAlignment="1">
      <alignment horizontal="left"/>
    </xf>
    <xf fontId="7" applyFont="1" borderId="115" applyBorder="1"/>
    <xf fontId="8" applyFont="1" fillId="91" applyFill="1" applyAlignment="1">
      <alignment horizontal="center"/>
    </xf>
    <xf fontId="1" applyFont="1" borderId="116" applyBorder="1" applyAlignment="1">
      <alignment horizontal="center"/>
    </xf>
    <xf fontId="6" applyFont="1" fillId="92" applyFill="1"/>
    <xf fontId="1" applyFont="1" fillId="93" applyFill="1" borderId="117" applyBorder="1" applyAlignment="1">
      <alignment horizontal="left"/>
    </xf>
    <xf fontId="6" applyFont="1" borderId="118" applyBorder="1" applyAlignment="1">
      <alignment vertical="center" horizontal="center"/>
    </xf>
    <xf fontId="5" applyFont="1" borderId="119" applyBorder="1" applyAlignment="1">
      <alignment horizontal="center"/>
    </xf>
    <xf fontId="17" applyFont="1" fillId="94" applyFill="1" applyAlignment="1">
      <alignment horizontal="center"/>
    </xf>
    <xf fontId="19" applyFont="1"/>
    <xf fontId="38" applyFont="1" applyAlignment="1">
      <alignment horizontal="center"/>
    </xf>
    <xf fontId="1" applyFont="1" fillId="95" applyFill="1" borderId="120" applyBorder="1" applyAlignment="1">
      <alignment horizontal="center"/>
    </xf>
    <xf fontId="27" applyFont="1" fillId="96" applyFill="1" applyAlignment="1">
      <alignment vertical="center" horizontal="center"/>
    </xf>
    <xf fontId="39" applyFont="1"/>
    <xf fontId="40" applyFont="1" fillId="97" applyFill="1"/>
    <xf fontId="8" applyFont="1" fillId="98" applyFill="1" applyAlignment="1">
      <alignment horizontal="center"/>
    </xf>
    <xf fontId="1" applyFont="1" fillId="99" applyFill="1"/>
    <xf fontId="1" applyFont="1" borderId="121" applyBorder="1" applyAlignment="1">
      <alignment vertical="center" horizontal="center"/>
    </xf>
    <xf fontId="6" applyFont="1" borderId="122" applyBorder="1"/>
    <xf fontId="7" applyFont="1" borderId="123" applyBorder="1"/>
    <xf fontId="1" applyFont="1" fillId="100" applyFill="1" borderId="124" applyBorder="1" applyAlignment="1">
      <alignment horizontal="center"/>
    </xf>
    <xf fontId="23" applyFont="1" fillId="101" applyFill="1" borderId="125" applyBorder="1" applyAlignment="1">
      <alignment vertical="center" horizontal="center"/>
    </xf>
    <xf fontId="6" applyFont="1" borderId="126" applyBorder="1" applyAlignment="1">
      <alignment horizontal="left"/>
    </xf>
    <xf fontId="1" applyFont="1" borderId="127" applyBorder="1" applyAlignment="1">
      <alignment horizontal="left"/>
    </xf>
    <xf fontId="11" applyFont="1"/>
    <xf fontId="41" applyFont="1"/>
    <xf fontId="18" applyFont="1"/>
    <xf fontId="6" applyFont="1" fillId="102" applyFill="1"/>
    <xf fontId="36" applyFont="1" borderId="128" applyBorder="1"/>
    <xf fontId="22" applyFont="1" applyAlignment="1">
      <alignment horizontal="center"/>
    </xf>
    <xf fontId="6" applyFont="1" borderId="129" applyBorder="1" applyAlignment="1">
      <alignment horizontal="center"/>
    </xf>
    <xf fontId="6" applyFont="1" fillId="103" applyFill="1" borderId="130" applyBorder="1" applyAlignment="1">
      <alignment horizontal="center"/>
    </xf>
    <xf fontId="38" applyFont="1" fillId="104" applyFill="1" borderId="131" applyBorder="1" applyAlignment="1">
      <alignment vertical="center" horizontal="center"/>
    </xf>
    <xf fontId="1" applyFont="1" fillId="105" applyFill="1" borderId="132" applyBorder="1" applyAlignment="1">
      <alignment horizontal="center"/>
    </xf>
    <xf fontId="6" applyFont="1" fillId="106" applyFill="1" borderId="133" applyBorder="1" applyAlignment="1">
      <alignment horizontal="center"/>
    </xf>
    <xf fontId="6" applyFont="1" fillId="107" applyFill="1" borderId="134" applyBorder="1"/>
    <xf fontId="42" applyFont="1"/>
    <xf fontId="17" applyFont="1" fillId="108" applyFill="1" applyAlignment="1">
      <alignment horizontal="right"/>
    </xf>
    <xf fontId="7" applyFont="1" borderId="135" applyBorder="1"/>
    <xf fontId="5" applyFont="1" applyAlignment="1">
      <alignment vertical="center"/>
    </xf>
    <xf fontId="6" applyFont="1" fillId="109" applyFill="1" applyAlignment="1">
      <alignment horizontal="center"/>
    </xf>
    <xf fontId="6" applyFont="1" fillId="110" applyFill="1" borderId="136" applyBorder="1" applyAlignment="1">
      <alignment horizontal="center"/>
    </xf>
    <xf fontId="2" applyFont="1" borderId="137" applyBorder="1"/>
    <xf fontId="6" applyFont="1" fillId="111" applyFill="1" borderId="138" applyBorder="1" applyAlignment="1">
      <alignment horizontal="left"/>
    </xf>
    <xf fontId="5" applyFont="1" fillId="112" applyFill="1" applyAlignment="1">
      <alignment horizontal="center"/>
    </xf>
    <xf fontId="7" applyFont="1" borderId="139" applyBorder="1"/>
    <xf fontId="6" applyFont="1" fillId="113" applyFill="1" borderId="140" applyBorder="1" applyAlignment="1">
      <alignment horizontal="center"/>
    </xf>
    <xf fontId="10" applyFont="1" borderId="141" applyBorder="1" applyAlignment="1">
      <alignment horizontal="center"/>
    </xf>
    <xf fontId="17" applyFont="1" fillId="114" applyFill="1" applyAlignment="1">
      <alignment horizontal="left"/>
    </xf>
    <xf fontId="23" applyFont="1" fillId="115" applyFill="1" borderId="142" applyBorder="1" applyAlignment="1">
      <alignment vertical="center" horizontal="center"/>
    </xf>
    <xf fontId="1" applyFont="1" borderId="143" applyBorder="1"/>
    <xf fontId="10" applyFont="1" fillId="116" applyFill="1" applyAlignment="1">
      <alignment horizontal="center"/>
    </xf>
    <xf fontId="43" applyFont="1" applyAlignment="1">
      <alignment horizontal="right"/>
    </xf>
    <xf fontId="44" applyFont="1" fillId="117" applyFill="1" borderId="144" applyBorder="1"/>
    <xf fontId="38" applyFont="1" fillId="118" applyFill="1" applyAlignment="1">
      <alignment horizontal="center"/>
    </xf>
    <xf fontId="6" applyFont="1" borderId="145" applyBorder="1" applyAlignment="1">
      <alignment horizontal="center"/>
    </xf>
    <xf fontId="22" applyFont="1"/>
    <xf fontId="6" applyFont="1" fillId="119" applyFill="1"/>
    <xf fontId="14" applyFont="1" applyAlignment="1">
      <alignment horizontal="left"/>
    </xf>
    <xf fontId="10" applyFont="1" fillId="120" applyFill="1" borderId="146" applyBorder="1" applyAlignment="1">
      <alignment vertical="center" horizontal="center"/>
    </xf>
    <xf fontId="7" applyFont="1"/>
    <xf fontId="5" applyFont="1" applyAlignment="1">
      <alignment horizontal="right"/>
    </xf>
    <xf fontId="18" applyFont="1" applyAlignment="1">
      <alignment horizontal="center"/>
    </xf>
    <xf fontId="1" applyFont="1" fillId="121" applyFill="1" borderId="147" applyBorder="1"/>
    <xf fontId="8" applyFont="1" borderId="148" applyBorder="1" applyAlignment="1">
      <alignment horizontal="center"/>
    </xf>
    <xf fontId="1" applyFont="1" fillId="122" applyFill="1" applyAlignment="1">
      <alignment horizontal="center"/>
    </xf>
    <xf fontId="7" applyFont="1" applyAlignment="1">
      <alignment horizontal="center"/>
    </xf>
    <xf fontId="6" applyFont="1" fillId="123" applyFill="1" borderId="149" applyBorder="1" applyAlignment="1">
      <alignment horizontal="left"/>
    </xf>
    <xf fontId="7" applyFont="1" fillId="124" applyFill="1" borderId="150" applyBorder="1" applyAlignment="1">
      <alignment vertical="center" horizontal="center"/>
    </xf>
    <xf fontId="5" applyFont="1" fillId="125" applyFill="1"/>
    <xf fontId="1" applyFont="1" borderId="151" applyBorder="1" applyAlignment="1">
      <alignment horizontal="center"/>
    </xf>
    <xf fontId="5" applyFont="1" borderId="152" applyBorder="1"/>
    <xf fontId="45" applyFont="1"/>
  </cellStyleXfs>
  <cellXfs count="282">
    <xf numFmtId="0" fontId="0" fillId="0" borderId="0" xfId="0"/>
    <xf xfId="92" quotePrefix="0" pivotButton="0" fontId="3" applyFont="1"/>
    <xf xfId="221" quotePrefix="0" pivotButton="0" fontId="27" applyFont="1" fillId="96" applyFill="1" applyAlignment="1">
      <alignment vertical="center" horizontal="center"/>
    </xf>
    <xf xfId="121" quotePrefix="0" pivotButton="0" fontId="27" applyFont="1" applyAlignment="1">
      <alignment vertical="center"/>
    </xf>
    <xf xfId="105" quotePrefix="0" pivotButton="0" fontId="1" applyFont="1" applyAlignment="1">
      <alignment horizontal="left"/>
    </xf>
    <xf xfId="28" quotePrefix="0" pivotButton="0" fontId="14" applyFont="1" applyAlignment="1">
      <alignment horizontal="center"/>
    </xf>
    <xf xfId="103" quotePrefix="0" pivotButton="0" fontId="6" applyFont="1" fillId="49" applyFill="1"/>
    <xf xfId="278" quotePrefix="0" pivotButton="0" fontId="5" applyFont="1" fillId="125" applyFill="1"/>
    <xf xfId="184" quotePrefix="0" pivotButton="0" fontId="6" applyFont="1"/>
    <xf xfId="51" quotePrefix="0" pivotButton="0" fontId="6" applyFont="1" applyAlignment="1">
      <alignment horizontal="left"/>
    </xf>
    <xf xfId="90" quotePrefix="0" pivotButton="0" fontId="8" applyFont="1" applyAlignment="1">
      <alignment horizontal="left"/>
    </xf>
    <xf xfId="68" quotePrefix="0" pivotButton="0" fontId="5" applyFont="1"/>
    <xf xfId="195" quotePrefix="0" pivotButton="0" fontId="36" applyFont="1"/>
    <xf xfId="115" quotePrefix="0" pivotButton="0" fontId="21" applyFont="1" fillId="55" applyFill="1"/>
    <xf xfId="236" quotePrefix="0" pivotButton="0" fontId="6" applyFont="1" fillId="102" applyFill="1"/>
    <xf xfId="266" quotePrefix="0" pivotButton="0" fontId="6" applyFont="1" fillId="119" applyFill="1"/>
    <xf xfId="139" quotePrefix="0" pivotButton="0" fontId="30" applyFont="1"/>
    <xf xfId="261" quotePrefix="0" pivotButton="0" fontId="43" applyFont="1" applyAlignment="1">
      <alignment horizontal="right"/>
    </xf>
    <xf xfId="14" quotePrefix="0" pivotButton="0" fontId="5" applyFont="1" applyAlignment="1">
      <alignment horizontal="center"/>
    </xf>
    <xf xfId="172" quotePrefix="0" pivotButton="0" fontId="1" applyFont="1" fillId="78" applyFill="1" borderId="97" applyBorder="1" applyAlignment="1">
      <alignment horizontal="left"/>
    </xf>
    <xf xfId="220" quotePrefix="0" pivotButton="0" fontId="1" applyFont="1" fillId="95" applyFill="1" borderId="120" applyBorder="1" applyAlignment="1">
      <alignment horizontal="center"/>
    </xf>
    <xf xfId="29" quotePrefix="0" pivotButton="0" fontId="1" applyFont="1"/>
    <xf xfId="196" quotePrefix="0" pivotButton="0" fontId="2" applyFont="1" applyAlignment="1">
      <alignment horizontal="center"/>
    </xf>
    <xf xfId="124" quotePrefix="0" pivotButton="0" fontId="26" applyFont="1" applyAlignment="1">
      <alignment horizontal="center"/>
    </xf>
    <xf xfId="12" quotePrefix="0" pivotButton="0" fontId="1" applyFont="1" applyAlignment="1">
      <alignment horizontal="center"/>
    </xf>
    <xf xfId="176" quotePrefix="0" pivotButton="0" fontId="6" applyFont="1" borderId="99" applyBorder="1"/>
    <xf xfId="37" quotePrefix="0" pivotButton="0" fontId="8" applyFont="1" borderId="17" applyBorder="1" applyAlignment="1">
      <alignment horizontal="center"/>
    </xf>
    <xf xfId="169" quotePrefix="0" pivotButton="0" fontId="6" applyFont="1" borderId="94" applyBorder="1" applyAlignment="1">
      <alignment horizontal="center"/>
    </xf>
    <xf xfId="39" quotePrefix="0" pivotButton="0" fontId="18" applyFont="1" applyAlignment="1">
      <alignment horizontal="left"/>
    </xf>
    <xf xfId="271" quotePrefix="0" pivotButton="0" fontId="18" applyFont="1" applyAlignment="1">
      <alignment horizontal="center"/>
    </xf>
    <xf xfId="174" quotePrefix="0" pivotButton="0" fontId="8" applyFont="1" applyAlignment="1">
      <alignment horizontal="center"/>
    </xf>
    <xf xfId="175" quotePrefix="0" pivotButton="0" fontId="6" applyFont="1" applyAlignment="1">
      <alignment horizontal="center"/>
    </xf>
    <xf xfId="163" quotePrefix="0" pivotButton="0" fontId="1" applyFont="1" borderId="90" applyBorder="1"/>
    <xf xfId="46" quotePrefix="0" pivotButton="0" fontId="1" applyFont="1" borderId="22" applyBorder="1" applyAlignment="1">
      <alignment horizontal="center"/>
    </xf>
    <xf xfId="207" quotePrefix="0" pivotButton="0" fontId="26" applyFont="1"/>
    <xf xfId="109" quotePrefix="0" pivotButton="0" fontId="6" applyFont="1" borderId="58" applyBorder="1" applyAlignment="1">
      <alignment horizontal="left"/>
    </xf>
    <xf xfId="157" quotePrefix="0" pivotButton="0" fontId="5" applyFont="1" fillId="72" applyFill="1" applyAlignment="1">
      <alignment horizontal="center"/>
    </xf>
    <xf xfId="203" quotePrefix="0" pivotButton="0" fontId="6" applyFont="1" fillId="88" applyFill="1" applyAlignment="1">
      <alignment horizontal="left"/>
    </xf>
    <xf xfId="193" quotePrefix="0" pivotButton="0" fontId="6" applyFont="1" fillId="84" applyFill="1" applyAlignment="1">
      <alignment horizontal="center"/>
    </xf>
    <xf xfId="232" quotePrefix="0" pivotButton="0" fontId="1" applyFont="1" borderId="127" applyBorder="1" applyAlignment="1">
      <alignment horizontal="left"/>
    </xf>
    <xf xfId="199" quotePrefix="0" pivotButton="0" fontId="1" applyFont="1" borderId="110" applyBorder="1" applyAlignment="1">
      <alignment horizontal="left"/>
    </xf>
    <xf xfId="279" quotePrefix="0" pivotButton="0" fontId="1" applyFont="1" borderId="151" applyBorder="1" applyAlignment="1">
      <alignment horizontal="center"/>
    </xf>
    <xf xfId="40" quotePrefix="0" pivotButton="0" fontId="19" applyFont="1" applyAlignment="1">
      <alignment horizontal="center"/>
    </xf>
    <xf xfId="188" quotePrefix="0" pivotButton="0" fontId="20" applyFont="1"/>
    <xf xfId="43" quotePrefix="0" pivotButton="0" fontId="20" applyFont="1" applyAlignment="1">
      <alignment horizontal="center"/>
    </xf>
    <xf xfId="3" quotePrefix="0" pivotButton="0" fontId="2" applyFont="1" applyAlignment="1">
      <alignment horizontal="left"/>
    </xf>
    <xf xfId="262" quotePrefix="0" pivotButton="0" fontId="44" applyFont="1" fillId="117" applyFill="1" borderId="144" applyBorder="1"/>
    <xf xfId="167" quotePrefix="0" pivotButton="0" fontId="34" applyFont="1" fillId="77" applyFill="1" borderId="92" applyBorder="1" applyAlignment="1">
      <alignment horizontal="center"/>
    </xf>
    <xf xfId="225" quotePrefix="0" pivotButton="0" fontId="1" applyFont="1" fillId="99" applyFill="1"/>
    <xf xfId="263" quotePrefix="0" pivotButton="0" fontId="38" applyFont="1" fillId="118" applyFill="1" applyAlignment="1">
      <alignment horizontal="center"/>
    </xf>
    <xf xfId="219" quotePrefix="0" pivotButton="0" fontId="38" applyFont="1" applyAlignment="1">
      <alignment horizontal="center"/>
    </xf>
    <xf xfId="211" quotePrefix="0" pivotButton="0" fontId="8" applyFont="1" fillId="91" applyFill="1" applyAlignment="1">
      <alignment horizontal="center"/>
    </xf>
    <xf xfId="249" quotePrefix="0" pivotButton="0" fontId="6" applyFont="1" fillId="109" applyFill="1" applyAlignment="1">
      <alignment horizontal="center"/>
    </xf>
    <xf xfId="227" quotePrefix="0" pivotButton="0" fontId="6" applyFont="1" borderId="122" applyBorder="1"/>
    <xf xfId="123" quotePrefix="0" pivotButton="0" fontId="6" applyFont="1" borderId="67" applyBorder="1" applyAlignment="1">
      <alignment horizontal="center"/>
    </xf>
    <xf xfId="273" quotePrefix="0" pivotButton="0" fontId="8" applyFont="1" borderId="148" applyBorder="1" applyAlignment="1">
      <alignment horizontal="center"/>
    </xf>
    <xf xfId="240" quotePrefix="0" pivotButton="0" fontId="6" applyFont="1" fillId="103" applyFill="1" borderId="130" applyBorder="1" applyAlignment="1">
      <alignment horizontal="center"/>
    </xf>
    <xf xfId="128" quotePrefix="0" pivotButton="0" fontId="29" applyFont="1"/>
    <xf xfId="63" quotePrefix="0" pivotButton="0" fontId="1" applyFont="1" fillId="27" applyFill="1" borderId="33" applyBorder="1"/>
    <xf xfId="107" quotePrefix="0" pivotButton="0" fontId="1" applyFont="1" fillId="52" applyFill="1" borderId="56" applyBorder="1" applyAlignment="1">
      <alignment horizontal="center"/>
    </xf>
    <xf xfId="20" quotePrefix="0" pivotButton="0" fontId="8" applyFont="1"/>
    <xf xfId="259" quotePrefix="0" pivotButton="0" fontId="1" applyFont="1" borderId="143" applyBorder="1"/>
    <xf xfId="148" quotePrefix="0" pivotButton="0" fontId="1" applyFont="1" borderId="79" applyBorder="1" applyAlignment="1">
      <alignment horizontal="center"/>
    </xf>
    <xf xfId="118" quotePrefix="0" pivotButton="0" fontId="6" applyFont="1" borderId="63" applyBorder="1" applyAlignment="1">
      <alignment horizontal="left"/>
    </xf>
    <xf xfId="117" quotePrefix="0" pivotButton="0" fontId="5" applyFont="1" fillId="56" applyFill="1" applyAlignment="1">
      <alignment horizontal="left"/>
    </xf>
    <xf xfId="274" quotePrefix="0" pivotButton="0" fontId="1" applyFont="1" fillId="122" applyFill="1" applyAlignment="1">
      <alignment horizontal="center"/>
    </xf>
    <xf xfId="270" quotePrefix="0" pivotButton="0" fontId="5" applyFont="1" applyAlignment="1">
      <alignment horizontal="right"/>
    </xf>
    <xf xfId="73" quotePrefix="0" pivotButton="0" fontId="1" applyFont="1" borderId="37" applyBorder="1" applyAlignment="1">
      <alignment horizontal="left"/>
    </xf>
    <xf xfId="132" quotePrefix="0" pivotButton="0" fontId="1" applyFont="1" fillId="61" applyFill="1" applyAlignment="1">
      <alignment horizontal="left"/>
    </xf>
    <xf xfId="224" quotePrefix="0" pivotButton="0" fontId="8" applyFont="1" fillId="98" applyFill="1" applyAlignment="1">
      <alignment horizontal="center"/>
    </xf>
    <xf xfId="108" quotePrefix="0" pivotButton="0" fontId="6" applyFont="1" fillId="53" applyFill="1" borderId="57" applyBorder="1" applyAlignment="1">
      <alignment horizontal="left"/>
    </xf>
    <xf xfId="15" quotePrefix="0" pivotButton="0" fontId="8" applyFont="1" fillId="7" applyFill="1" borderId="6" applyBorder="1" applyAlignment="1">
      <alignment horizontal="center"/>
    </xf>
    <xf xfId="112" quotePrefix="0" pivotButton="0" fontId="26" applyFont="1" borderId="60" applyBorder="1" applyAlignment="1">
      <alignment horizontal="center"/>
    </xf>
    <xf xfId="38" quotePrefix="0" pivotButton="0" fontId="17" applyFont="1" applyAlignment="1">
      <alignment horizontal="left"/>
    </xf>
    <xf xfId="209" quotePrefix="0" pivotButton="0" fontId="6" applyFont="1" borderId="114" applyBorder="1" applyAlignment="1">
      <alignment horizontal="left"/>
    </xf>
    <xf xfId="264" quotePrefix="0" pivotButton="0" fontId="6" applyFont="1" borderId="145" applyBorder="1" applyAlignment="1">
      <alignment horizontal="center"/>
    </xf>
    <xf xfId="143" quotePrefix="0" pivotButton="0" fontId="5" applyFont="1" applyAlignment="1">
      <alignment horizontal="left"/>
    </xf>
    <xf xfId="152" quotePrefix="0" pivotButton="0" fontId="6" applyFont="1" borderId="83" applyBorder="1" applyAlignment="1">
      <alignment horizontal="left"/>
    </xf>
    <xf xfId="239" quotePrefix="0" pivotButton="0" fontId="6" applyFont="1" borderId="129" applyBorder="1" applyAlignment="1">
      <alignment horizontal="center"/>
    </xf>
    <xf xfId="100" quotePrefix="0" pivotButton="0" fontId="8" applyFont="1" borderId="53" applyBorder="1" applyAlignment="1">
      <alignment horizontal="center"/>
    </xf>
    <xf xfId="102" quotePrefix="0" pivotButton="0" fontId="19" applyFont="1" applyAlignment="1">
      <alignment horizontal="left"/>
    </xf>
    <xf xfId="5" quotePrefix="0" pivotButton="0" fontId="3" applyFont="1" fillId="3" applyFill="1" applyAlignment="1">
      <alignment horizontal="center"/>
    </xf>
    <xf xfId="131" quotePrefix="0" pivotButton="0" fontId="17" applyFont="1" applyAlignment="1">
      <alignment horizontal="center"/>
    </xf>
    <xf xfId="200" quotePrefix="0" pivotButton="0" fontId="17" applyFont="1" applyAlignment="1">
      <alignment horizontal="right"/>
    </xf>
    <xf xfId="144" quotePrefix="0" pivotButton="0" fontId="12" applyFont="1" applyAlignment="1">
      <alignment horizontal="center"/>
    </xf>
    <xf xfId="217" quotePrefix="0" pivotButton="0" fontId="17" applyFont="1" fillId="94" applyFill="1" applyAlignment="1">
      <alignment horizontal="center"/>
    </xf>
    <xf xfId="257" quotePrefix="0" pivotButton="0" fontId="17" applyFont="1" fillId="114" applyFill="1" applyAlignment="1">
      <alignment horizontal="left"/>
    </xf>
    <xf xfId="246" quotePrefix="0" pivotButton="0" fontId="17" applyFont="1" fillId="108" applyFill="1" applyAlignment="1">
      <alignment horizontal="right"/>
    </xf>
    <xf xfId="19" quotePrefix="0" pivotButton="0" fontId="12" applyFont="1" fillId="9" applyFill="1" applyAlignment="1">
      <alignment horizontal="center"/>
    </xf>
    <xf xfId="213" quotePrefix="0" pivotButton="0" fontId="6" applyFont="1" fillId="92" applyFill="1"/>
    <xf xfId="136" quotePrefix="0" pivotButton="0" fontId="2" applyFont="1" fillId="62" applyFill="1" applyAlignment="1">
      <alignment horizontal="center"/>
    </xf>
    <xf xfId="276" quotePrefix="0" pivotButton="0" fontId="6" applyFont="1" fillId="123" applyFill="1" borderId="149" applyBorder="1" applyAlignment="1">
      <alignment horizontal="left"/>
    </xf>
    <xf xfId="162" quotePrefix="0" pivotButton="0" fontId="6" applyFont="1" fillId="75" applyFill="1" borderId="89" applyBorder="1" applyAlignment="1">
      <alignment horizontal="center"/>
    </xf>
    <xf xfId="243" quotePrefix="0" pivotButton="0" fontId="6" applyFont="1" fillId="106" applyFill="1" borderId="133" applyBorder="1" applyAlignment="1">
      <alignment horizontal="center"/>
    </xf>
    <xf xfId="70" quotePrefix="0" pivotButton="0" fontId="6" applyFont="1" fillId="33" applyFill="1" borderId="36" applyBorder="1" applyAlignment="1">
      <alignment horizontal="left"/>
    </xf>
    <xf xfId="265" quotePrefix="0" pivotButton="0" fontId="22" applyFont="1"/>
    <xf xfId="269" quotePrefix="0" pivotButton="0" fontId="7" applyFont="1"/>
    <xf xfId="153" quotePrefix="0" pivotButton="0" fontId="1" applyFont="1" borderId="84" applyBorder="1"/>
    <xf xfId="140" quotePrefix="0" pivotButton="0" fontId="8" applyFont="1" borderId="74" applyBorder="1"/>
    <xf xfId="205" quotePrefix="0" pivotButton="0" fontId="1" applyFont="1" fillId="89" applyFill="1"/>
    <xf xfId="62" quotePrefix="0" pivotButton="0" fontId="22" applyFont="1" fillId="26" applyFill="1" borderId="32" applyBorder="1" applyAlignment="1">
      <alignment horizontal="left"/>
    </xf>
    <xf xfId="137" quotePrefix="0" pivotButton="0" fontId="22" applyFont="1" fillId="63" applyFill="1" borderId="73" applyBorder="1" applyAlignment="1">
      <alignment horizontal="center"/>
    </xf>
    <xf xfId="72" quotePrefix="0" pivotButton="0" fontId="5" applyFont="1" applyAlignment="1">
      <alignment vertical="center" horizontal="left"/>
    </xf>
    <xf xfId="45" quotePrefix="0" pivotButton="0" fontId="3" applyFont="1" fillId="18" applyFill="1" borderId="21" applyBorder="1" applyAlignment="1">
      <alignment horizontal="center"/>
    </xf>
    <xf xfId="76" quotePrefix="0" pivotButton="0" fontId="1" applyFont="1" borderId="40" applyBorder="1"/>
    <xf xfId="8" quotePrefix="0" pivotButton="0" fontId="5" applyFont="1" borderId="3" applyBorder="1"/>
    <xf xfId="30" quotePrefix="0" pivotButton="0" fontId="2" applyFont="1" applyAlignment="1">
      <alignment vertical="center" horizontal="center"/>
    </xf>
    <xf xfId="110" quotePrefix="0" pivotButton="0" fontId="5" applyFont="1" applyAlignment="1">
      <alignment vertical="center" horizontal="center"/>
    </xf>
    <xf xfId="96" quotePrefix="0" pivotButton="0" fontId="6" applyFont="1" fillId="44" applyFill="1" applyAlignment="1">
      <alignment horizontal="center"/>
    </xf>
    <xf xfId="183" quotePrefix="0" pivotButton="0" fontId="2" applyFont="1" borderId="104" applyBorder="1" applyAlignment="1">
      <alignment horizontal="center"/>
    </xf>
    <xf xfId="226" quotePrefix="0" pivotButton="0" fontId="1" applyFont="1" borderId="121" applyBorder="1" applyAlignment="1">
      <alignment vertical="center" horizontal="center"/>
    </xf>
    <xf xfId="198" quotePrefix="0" pivotButton="0" fontId="1" applyFont="1" applyAlignment="1">
      <alignment vertical="center" horizontal="center"/>
    </xf>
    <xf xfId="194" quotePrefix="0" pivotButton="0" fontId="2" applyFont="1" borderId="108" applyBorder="1" applyAlignment="1">
      <alignment vertical="center" horizontal="center"/>
    </xf>
    <xf xfId="185" quotePrefix="0" pivotButton="0" fontId="6" applyFont="1" borderId="105" applyBorder="1" applyAlignment="1">
      <alignment horizontal="center"/>
    </xf>
    <xf xfId="6" quotePrefix="0" pivotButton="0" fontId="1" applyFont="1" borderId="2" applyBorder="1"/>
    <xf xfId="190" quotePrefix="0" pivotButton="0" fontId="5" applyFont="1" borderId="107" applyBorder="1" applyAlignment="1">
      <alignment horizontal="center"/>
    </xf>
    <xf xfId="212" quotePrefix="0" pivotButton="0" fontId="1" applyFont="1" borderId="116" applyBorder="1" applyAlignment="1">
      <alignment horizontal="center"/>
    </xf>
    <xf xfId="253" quotePrefix="0" pivotButton="0" fontId="5" applyFont="1" fillId="112" applyFill="1" applyAlignment="1">
      <alignment horizontal="center"/>
    </xf>
    <xf xfId="189" quotePrefix="0" pivotButton="0" fontId="15" applyFont="1" applyAlignment="1">
      <alignment horizontal="left"/>
    </xf>
    <xf xfId="32" quotePrefix="0" pivotButton="0" fontId="15" applyFont="1" applyAlignment="1">
      <alignment horizontal="center"/>
    </xf>
    <xf xfId="170" quotePrefix="0" pivotButton="0" fontId="1" applyFont="1" borderId="95" applyBorder="1"/>
    <xf xfId="47" quotePrefix="0" pivotButton="0" fontId="5" applyFont="1" borderId="23" applyBorder="1" applyAlignment="1">
      <alignment horizontal="center"/>
    </xf>
    <xf xfId="119" quotePrefix="0" pivotButton="0" fontId="1" applyFont="1" borderId="64" applyBorder="1" applyAlignment="1">
      <alignment horizontal="center"/>
    </xf>
    <xf xfId="44" quotePrefix="0" pivotButton="0" fontId="6" applyFont="1" fillId="17" applyFill="1" borderId="20" applyBorder="1"/>
    <xf xfId="120" quotePrefix="0" pivotButton="0" fontId="6" applyFont="1" fillId="57" applyFill="1" borderId="65" applyBorder="1" applyAlignment="1">
      <alignment horizontal="center"/>
    </xf>
    <xf xfId="267" quotePrefix="0" pivotButton="0" fontId="14" applyFont="1" applyAlignment="1">
      <alignment horizontal="left"/>
    </xf>
    <xf xfId="164" quotePrefix="0" pivotButton="0" fontId="14" applyFont="1"/>
    <xf xfId="235" quotePrefix="0" pivotButton="0" fontId="18" applyFont="1"/>
    <xf xfId="98" quotePrefix="0" pivotButton="0" fontId="1" applyFont="1" fillId="46" applyFill="1"/>
    <xf xfId="26" quotePrefix="0" pivotButton="0" fontId="1" applyFont="1" fillId="13" applyFill="1" applyAlignment="1">
      <alignment horizontal="center"/>
    </xf>
    <xf xfId="216" quotePrefix="0" pivotButton="0" fontId="5" applyFont="1" borderId="119" applyBorder="1" applyAlignment="1">
      <alignment horizontal="center"/>
    </xf>
    <xf xfId="187" quotePrefix="0" pivotButton="0" fontId="17" applyFont="1"/>
    <xf xfId="53" quotePrefix="0" pivotButton="0" fontId="1" applyFont="1" applyAlignment="1">
      <alignment horizontal="right"/>
    </xf>
    <xf xfId="1" quotePrefix="0" pivotButton="0" fontId="1" applyFont="1" fillId="2" applyFill="1" applyAlignment="1">
      <alignment horizontal="left"/>
    </xf>
    <xf xfId="87" quotePrefix="0" pivotButton="0" fontId="6" applyFont="1" applyAlignment="1">
      <alignment horizontal="right"/>
    </xf>
    <xf xfId="10" quotePrefix="0" pivotButton="0" fontId="4" applyFont="1" applyAlignment="1">
      <alignment horizontal="center"/>
    </xf>
    <xf xfId="4" quotePrefix="0" pivotButton="0" fontId="2" applyFont="1"/>
    <xf xfId="206" quotePrefix="0" pivotButton="0" fontId="37" applyFont="1" applyAlignment="1">
      <alignment horizontal="center"/>
    </xf>
    <xf xfId="71" quotePrefix="0" pivotButton="0" fontId="24" applyFont="1" fillId="34" applyFill="1"/>
    <xf xfId="86" quotePrefix="0" pivotButton="0" fontId="3" applyFont="1" applyAlignment="1">
      <alignment horizontal="center"/>
    </xf>
    <xf xfId="244" quotePrefix="0" pivotButton="0" fontId="6" applyFont="1" fillId="107" applyFill="1" borderId="134" applyBorder="1"/>
    <xf xfId="23" quotePrefix="0" pivotButton="0" fontId="5" applyFont="1" fillId="11" applyFill="1" borderId="10" applyBorder="1"/>
    <xf xfId="2" quotePrefix="0" pivotButton="0" fontId="1" applyFont="1" borderId="1" applyBorder="1"/>
    <xf xfId="251" quotePrefix="0" pivotButton="0" fontId="2" applyFont="1" borderId="137" applyBorder="1"/>
    <xf xfId="85" quotePrefix="0" pivotButton="0" fontId="1" applyFont="1" borderId="46" applyBorder="1" applyAlignment="1">
      <alignment horizontal="center"/>
    </xf>
    <xf xfId="280" quotePrefix="0" pivotButton="0" fontId="5" applyFont="1" borderId="152" applyBorder="1"/>
    <xf xfId="11" quotePrefix="0" pivotButton="0" fontId="6" applyFont="1" borderId="4" applyBorder="1"/>
    <xf xfId="135" quotePrefix="0" pivotButton="0" fontId="5" applyFont="1" borderId="72" applyBorder="1"/>
    <xf xfId="204" quotePrefix="0" pivotButton="0" fontId="14" applyFont="1" borderId="112" applyBorder="1" applyAlignment="1">
      <alignment horizontal="center"/>
    </xf>
    <xf xfId="16" quotePrefix="0" pivotButton="0" fontId="9" applyFont="1" borderId="7" applyBorder="1" applyAlignment="1">
      <alignment horizontal="center"/>
    </xf>
    <xf xfId="95" quotePrefix="0" pivotButton="0" fontId="1" applyFont="1" borderId="50" applyBorder="1" applyAlignment="1">
      <alignment vertical="top" horizontal="left" wrapText="1"/>
    </xf>
    <xf xfId="34" quotePrefix="0" pivotButton="0" fontId="1" applyFont="1" borderId="15" applyBorder="1" applyAlignment="1">
      <alignment vertical="top" horizontal="center" wrapText="1"/>
    </xf>
    <xf xfId="27" quotePrefix="0" pivotButton="0" fontId="5" applyFont="1" borderId="13" applyBorder="1" applyAlignment="1">
      <alignment horizontal="center"/>
    </xf>
    <xf xfId="114" quotePrefix="0" pivotButton="0" fontId="6" applyFont="1" borderId="61" applyBorder="1"/>
    <xf xfId="60" quotePrefix="0" pivotButton="0" fontId="5" applyFont="1" borderId="31" applyBorder="1" applyAlignment="1">
      <alignment horizontal="center"/>
    </xf>
    <xf xfId="133" quotePrefix="0" pivotButton="0" fontId="1" applyFont="1" borderId="71" applyBorder="1"/>
    <xf xfId="186" quotePrefix="0" pivotButton="0" fontId="1" applyFont="1" borderId="106" applyBorder="1" applyAlignment="1">
      <alignment horizontal="center"/>
    </xf>
    <xf xfId="202" quotePrefix="0" pivotButton="0" fontId="4" applyFont="1" fillId="87" applyFill="1"/>
    <xf xfId="7" quotePrefix="0" pivotButton="0" fontId="4" applyFont="1" fillId="4" applyFill="1" applyAlignment="1">
      <alignment horizontal="center"/>
    </xf>
    <xf xfId="223" quotePrefix="0" pivotButton="0" fontId="40" applyFont="1" fillId="97" applyFill="1"/>
    <xf xfId="101" quotePrefix="0" pivotButton="0" fontId="6" applyFont="1" fillId="48" applyFill="1" borderId="54" applyBorder="1" applyAlignment="1">
      <alignment horizontal="right"/>
    </xf>
    <xf xfId="233" quotePrefix="0" pivotButton="0" fontId="11" applyFont="1"/>
    <xf xfId="272" quotePrefix="0" pivotButton="0" fontId="1" applyFont="1" fillId="121" applyFill="1" borderId="147" applyBorder="1"/>
    <xf xfId="57" quotePrefix="0" pivotButton="0" fontId="22" applyFont="1" borderId="29" applyBorder="1" applyAlignment="1">
      <alignment horizontal="center"/>
    </xf>
    <xf xfId="245" quotePrefix="0" pivotButton="0" fontId="42" applyFont="1"/>
    <xf xfId="275" quotePrefix="0" pivotButton="0" fontId="7" applyFont="1" applyAlignment="1">
      <alignment horizontal="center"/>
    </xf>
    <xf xfId="238" quotePrefix="0" pivotButton="0" fontId="22" applyFont="1" applyAlignment="1">
      <alignment horizontal="center"/>
    </xf>
    <xf xfId="9" quotePrefix="0" pivotButton="0" fontId="5" applyFont="1" fillId="5" applyFill="1"/>
    <xf xfId="59" quotePrefix="0" pivotButton="0" fontId="7" applyFont="1" fillId="25" applyFill="1"/>
    <xf xfId="179" quotePrefix="0" pivotButton="0" fontId="7" applyFont="1" fillId="79" applyFill="1" applyAlignment="1">
      <alignment horizontal="center"/>
    </xf>
    <xf xfId="82" quotePrefix="0" pivotButton="0" fontId="7" applyFont="1" borderId="44" applyBorder="1"/>
    <xf xfId="116" quotePrefix="0" pivotButton="0" fontId="7" applyFont="1" borderId="62" applyBorder="1"/>
    <xf xfId="24" quotePrefix="0" pivotButton="0" fontId="7" applyFont="1" borderId="11" applyBorder="1"/>
    <xf xfId="129" quotePrefix="0" pivotButton="0" fontId="7" applyFont="1" applyAlignment="1">
      <alignment horizontal="right"/>
    </xf>
    <xf xfId="122" quotePrefix="0" pivotButton="0" fontId="7" applyFont="1" borderId="66" applyBorder="1"/>
    <xf xfId="161" quotePrefix="0" pivotButton="0" fontId="7" applyFont="1" borderId="88" applyBorder="1"/>
    <xf xfId="210" quotePrefix="0" pivotButton="0" fontId="7" applyFont="1" borderId="115" applyBorder="1"/>
    <xf xfId="254" quotePrefix="0" pivotButton="0" fontId="7" applyFont="1" borderId="139" applyBorder="1"/>
    <xf xfId="228" quotePrefix="0" pivotButton="0" fontId="7" applyFont="1" borderId="123" applyBorder="1"/>
    <xf xfId="247" quotePrefix="0" pivotButton="0" fontId="7" applyFont="1" borderId="135" applyBorder="1"/>
    <xf xfId="222" quotePrefix="0" pivotButton="0" fontId="39" applyFont="1"/>
    <xf xfId="197" quotePrefix="0" pivotButton="0" fontId="6" applyFont="1" fillId="85" applyFill="1" borderId="109" applyBorder="1" applyAlignment="1">
      <alignment horizontal="center"/>
    </xf>
    <xf xfId="155" quotePrefix="0" pivotButton="0" fontId="6" applyFont="1" fillId="71" applyFill="1" borderId="86" applyBorder="1" applyAlignment="1">
      <alignment horizontal="center"/>
    </xf>
    <xf xfId="180" quotePrefix="0" pivotButton="0" fontId="6" applyFont="1" fillId="80" applyFill="1" borderId="101" applyBorder="1" applyAlignment="1">
      <alignment horizontal="center"/>
    </xf>
    <xf xfId="75" quotePrefix="0" pivotButton="0" fontId="6" applyFont="1" fillId="35" applyFill="1" borderId="39" applyBorder="1" applyAlignment="1">
      <alignment horizontal="center"/>
    </xf>
    <xf xfId="58" quotePrefix="0" pivotButton="0" fontId="6" applyFont="1" fillId="24" applyFill="1" borderId="30" applyBorder="1" applyAlignment="1">
      <alignment horizontal="center"/>
    </xf>
    <xf xfId="250" quotePrefix="0" pivotButton="0" fontId="6" applyFont="1" fillId="110" applyFill="1" borderId="136" applyBorder="1" applyAlignment="1">
      <alignment horizontal="center"/>
    </xf>
    <xf xfId="84" quotePrefix="0" pivotButton="0" fontId="6" applyFont="1" fillId="40" applyFill="1" borderId="45" applyBorder="1" applyAlignment="1">
      <alignment horizontal="center"/>
    </xf>
    <xf xfId="65" quotePrefix="0" pivotButton="0" fontId="6" applyFont="1" fillId="29" applyFill="1" borderId="35" applyBorder="1" applyAlignment="1">
      <alignment horizontal="center"/>
    </xf>
    <xf xfId="234" quotePrefix="0" pivotButton="0" fontId="41" applyFont="1"/>
    <xf xfId="173" quotePrefix="0" pivotButton="0" fontId="18" applyFont="1" borderId="98" applyBorder="1"/>
    <xf xfId="41" quotePrefix="0" pivotButton="0" fontId="10" applyFont="1" fillId="16" applyFill="1" borderId="18" applyBorder="1" applyAlignment="1">
      <alignment horizontal="center"/>
    </xf>
    <xf xfId="260" quotePrefix="0" pivotButton="0" fontId="10" applyFont="1" fillId="116" applyFill="1" applyAlignment="1">
      <alignment horizontal="center"/>
    </xf>
    <xf xfId="89" quotePrefix="0" pivotButton="0" fontId="18" applyFont="1" borderId="47" applyBorder="1"/>
    <xf xfId="64" quotePrefix="0" pivotButton="0" fontId="6" applyFont="1" fillId="28" applyFill="1" borderId="34" applyBorder="1" applyAlignment="1">
      <alignment horizontal="center"/>
    </xf>
    <xf xfId="248" quotePrefix="0" pivotButton="0" fontId="5" applyFont="1" applyAlignment="1">
      <alignment vertical="center"/>
    </xf>
    <xf xfId="21" quotePrefix="0" pivotButton="0" fontId="13" applyFont="1" applyAlignment="1">
      <alignment vertical="center" horizontal="center"/>
    </xf>
    <xf xfId="50" quotePrefix="0" pivotButton="0" fontId="21" applyFont="1"/>
    <xf xfId="192" quotePrefix="0" pivotButton="0" fontId="35" applyFont="1"/>
    <xf xfId="35" quotePrefix="0" pivotButton="0" fontId="5" applyFont="1" applyAlignment="1">
      <alignment vertical="top" horizontal="left"/>
    </xf>
    <xf xfId="141" quotePrefix="0" pivotButton="0" fontId="31" applyFont="1" applyAlignment="1">
      <alignment vertical="center" horizontal="right"/>
    </xf>
    <xf xfId="138" quotePrefix="0" pivotButton="0" fontId="6" applyFont="1" applyAlignment="1">
      <alignment vertical="center" horizontal="right"/>
    </xf>
    <xf xfId="158" quotePrefix="0" pivotButton="0" fontId="32" applyFont="1" applyAlignment="1">
      <alignment vertical="center" horizontal="right"/>
    </xf>
    <xf xfId="168" quotePrefix="0" pivotButton="0" fontId="6" applyFont="1" borderId="93" applyBorder="1" applyAlignment="1">
      <alignment vertical="center" horizontal="right"/>
    </xf>
    <xf xfId="78" quotePrefix="0" pivotButton="0" fontId="5" applyFont="1" borderId="42" applyBorder="1" applyAlignment="1">
      <alignment vertical="center" horizontal="right"/>
    </xf>
    <xf xfId="31" quotePrefix="0" pivotButton="0" fontId="1" applyFont="1" borderId="14" applyBorder="1" applyAlignment="1">
      <alignment vertical="center" horizontal="right"/>
    </xf>
    <xf xfId="52" quotePrefix="0" pivotButton="0" fontId="1" applyFont="1" fillId="21" applyFill="1" applyAlignment="1">
      <alignment vertical="center" horizontal="center"/>
    </xf>
    <xf xfId="237" quotePrefix="0" pivotButton="0" fontId="36" applyFont="1" borderId="128" applyBorder="1"/>
    <xf xfId="191" quotePrefix="0" pivotButton="0" fontId="1" applyFont="1" fillId="83" applyFill="1" applyAlignment="1">
      <alignment vertical="center"/>
    </xf>
    <xf xfId="79" quotePrefix="0" pivotButton="0" fontId="23" applyFont="1" fillId="37" applyFill="1" applyAlignment="1">
      <alignment horizontal="left"/>
    </xf>
    <xf xfId="111" quotePrefix="0" pivotButton="0" fontId="22" applyFont="1" fillId="54" applyFill="1" borderId="59" applyBorder="1" applyAlignment="1">
      <alignment horizontal="center"/>
    </xf>
    <xf xfId="67" quotePrefix="0" pivotButton="0" fontId="23" applyFont="1" fillId="31" applyFill="1" applyAlignment="1">
      <alignment vertical="center" horizontal="center"/>
    </xf>
    <xf xfId="66" quotePrefix="0" pivotButton="0" fontId="23" applyFont="1" fillId="30" applyFill="1" applyAlignment="1">
      <alignment horizontal="center"/>
    </xf>
    <xf xfId="83" quotePrefix="0" pivotButton="0" fontId="6" applyFont="1" fillId="39" applyFill="1" applyAlignment="1">
      <alignment vertical="center" horizontal="center"/>
    </xf>
    <xf xfId="159" quotePrefix="0" pivotButton="0" fontId="25" applyFont="1" fillId="73" applyFill="1"/>
    <xf xfId="88" quotePrefix="0" pivotButton="0" fontId="6" applyFont="1" fillId="41" applyFill="1" applyAlignment="1">
      <alignment vertical="center" horizontal="center"/>
    </xf>
    <xf xfId="126" quotePrefix="0" pivotButton="0" fontId="28" applyFont="1" fillId="59" applyFill="1" applyAlignment="1">
      <alignment horizontal="center"/>
    </xf>
    <xf xfId="106" quotePrefix="0" pivotButton="0" fontId="25" applyFont="1" fillId="51" applyFill="1" applyAlignment="1">
      <alignment horizontal="left"/>
    </xf>
    <xf xfId="61" quotePrefix="0" pivotButton="0" fontId="23" applyFont="1" applyAlignment="1">
      <alignment horizontal="center"/>
    </xf>
    <xf xfId="231" quotePrefix="0" pivotButton="0" fontId="6" applyFont="1" borderId="126" applyBorder="1" applyAlignment="1">
      <alignment horizontal="left"/>
    </xf>
    <xf xfId="178" quotePrefix="0" pivotButton="0" fontId="11" applyFont="1" applyAlignment="1">
      <alignment horizontal="center"/>
    </xf>
    <xf xfId="171" quotePrefix="0" pivotButton="0" fontId="6" applyFont="1" borderId="96" applyBorder="1" applyAlignment="1">
      <alignment horizontal="center"/>
    </xf>
    <xf xfId="56" quotePrefix="0" pivotButton="0" fontId="6" applyFont="1" borderId="28" applyBorder="1" applyAlignment="1">
      <alignment horizontal="left"/>
    </xf>
    <xf xfId="130" quotePrefix="0" pivotButton="0" fontId="6" applyFont="1" borderId="70" applyBorder="1" applyAlignment="1">
      <alignment horizontal="center"/>
    </xf>
    <xf xfId="156" quotePrefix="0" pivotButton="0" fontId="28" applyFont="1"/>
    <xf xfId="22" quotePrefix="0" pivotButton="0" fontId="6" applyFont="1" fillId="10" applyFill="1" borderId="9" applyBorder="1" applyAlignment="1">
      <alignment horizontal="left"/>
    </xf>
    <xf xfId="18" quotePrefix="0" pivotButton="0" fontId="11" applyFont="1" fillId="8" applyFill="1" applyAlignment="1">
      <alignment vertical="center" horizontal="center"/>
    </xf>
    <xf xfId="113" quotePrefix="0" pivotButton="0" fontId="6" applyFont="1" applyAlignment="1">
      <alignment vertical="center" horizontal="center"/>
    </xf>
    <xf xfId="149" quotePrefix="0" pivotButton="0" fontId="6" applyFont="1" fillId="67" applyFill="1" borderId="80" applyBorder="1" applyAlignment="1">
      <alignment horizontal="left"/>
    </xf>
    <xf xfId="181" quotePrefix="0" pivotButton="0" fontId="6" applyFont="1" fillId="81" applyFill="1" borderId="102" applyBorder="1" applyAlignment="1">
      <alignment horizontal="left"/>
    </xf>
    <xf xfId="242" quotePrefix="0" pivotButton="0" fontId="1" applyFont="1" fillId="105" applyFill="1" borderId="132" applyBorder="1" applyAlignment="1">
      <alignment horizontal="center"/>
    </xf>
    <xf xfId="94" quotePrefix="0" pivotButton="0" fontId="6" applyFont="1" fillId="43" applyFill="1" borderId="49" applyBorder="1" applyAlignment="1">
      <alignment horizontal="left"/>
    </xf>
    <xf xfId="25" quotePrefix="0" pivotButton="0" fontId="6" applyFont="1" fillId="12" applyFill="1" borderId="12" applyBorder="1" applyAlignment="1">
      <alignment horizontal="center"/>
    </xf>
    <xf xfId="252" quotePrefix="0" pivotButton="0" fontId="6" applyFont="1" fillId="111" applyFill="1" borderId="138" applyBorder="1" applyAlignment="1">
      <alignment horizontal="left"/>
    </xf>
    <xf xfId="36" quotePrefix="0" pivotButton="0" fontId="1" applyFont="1" fillId="15" applyFill="1" borderId="16" applyBorder="1" applyAlignment="1">
      <alignment vertical="center" horizontal="center"/>
    </xf>
    <xf xfId="256" quotePrefix="0" pivotButton="0" fontId="10" applyFont="1" borderId="141" applyBorder="1" applyAlignment="1">
      <alignment horizontal="center"/>
    </xf>
    <xf xfId="146" quotePrefix="0" pivotButton="0" fontId="6" applyFont="1" fillId="65" applyFill="1" borderId="77" applyBorder="1" applyAlignment="1">
      <alignment horizontal="center"/>
    </xf>
    <xf xfId="201" quotePrefix="0" pivotButton="0" fontId="6" applyFont="1" fillId="86" applyFill="1" borderId="111" applyBorder="1" applyAlignment="1">
      <alignment horizontal="center"/>
    </xf>
    <xf xfId="255" quotePrefix="0" pivotButton="0" fontId="6" applyFont="1" fillId="113" applyFill="1" borderId="140" applyBorder="1" applyAlignment="1">
      <alignment horizontal="center"/>
    </xf>
    <xf xfId="151" quotePrefix="0" pivotButton="0" fontId="6" applyFont="1" fillId="69" applyFill="1" borderId="82" applyBorder="1" applyAlignment="1">
      <alignment horizontal="left"/>
    </xf>
    <xf xfId="17" quotePrefix="0" pivotButton="0" fontId="10" applyFont="1" borderId="8" applyBorder="1" applyAlignment="1">
      <alignment horizontal="center"/>
    </xf>
    <xf xfId="125" quotePrefix="0" pivotButton="0" fontId="6" applyFont="1" fillId="58" applyFill="1" borderId="68" applyBorder="1" applyAlignment="1">
      <alignment horizontal="center"/>
    </xf>
    <xf xfId="69" quotePrefix="0" pivotButton="0" fontId="6" applyFont="1" fillId="32" applyFill="1" applyAlignment="1">
      <alignment horizontal="center"/>
    </xf>
    <xf xfId="127" quotePrefix="0" pivotButton="0" fontId="6" applyFont="1" fillId="60" applyFill="1" borderId="69" applyBorder="1" applyAlignment="1">
      <alignment horizontal="center"/>
    </xf>
    <xf xfId="142" quotePrefix="0" pivotButton="0" fontId="1" applyFont="1" fillId="64" applyFill="1" borderId="75" applyBorder="1" applyAlignment="1">
      <alignment horizontal="left"/>
    </xf>
    <xf xfId="93" quotePrefix="0" pivotButton="0" fontId="1" applyFont="1" fillId="42" applyFill="1" borderId="48" applyBorder="1" applyAlignment="1">
      <alignment horizontal="left"/>
    </xf>
    <xf xfId="55" quotePrefix="0" pivotButton="0" fontId="1" applyFont="1" fillId="23" applyFill="1" borderId="27" applyBorder="1" applyAlignment="1">
      <alignment horizontal="center"/>
    </xf>
    <xf xfId="48" quotePrefix="0" pivotButton="0" fontId="1" applyFont="1" fillId="19" applyFill="1" borderId="24" applyBorder="1" applyAlignment="1">
      <alignment horizontal="center"/>
    </xf>
    <xf xfId="229" quotePrefix="0" pivotButton="0" fontId="1" applyFont="1" fillId="100" applyFill="1" borderId="124" applyBorder="1" applyAlignment="1">
      <alignment horizontal="center"/>
    </xf>
    <xf xfId="166" quotePrefix="0" pivotButton="0" fontId="1" applyFont="1" fillId="76" applyFill="1" borderId="91" applyBorder="1" applyAlignment="1">
      <alignment horizontal="center"/>
    </xf>
    <xf xfId="97" quotePrefix="0" pivotButton="0" fontId="6" applyFont="1" fillId="45" applyFill="1" borderId="51" applyBorder="1" applyAlignment="1">
      <alignment horizontal="left"/>
    </xf>
    <xf xfId="49" quotePrefix="0" pivotButton="0" fontId="1" applyFont="1" fillId="20" applyFill="1" borderId="25" applyBorder="1" applyAlignment="1">
      <alignment horizontal="left"/>
    </xf>
    <xf xfId="150" quotePrefix="0" pivotButton="0" fontId="6" applyFont="1" fillId="68" applyFill="1" borderId="81" applyBorder="1" applyAlignment="1">
      <alignment horizontal="center"/>
    </xf>
    <xf xfId="154" quotePrefix="0" pivotButton="0" fontId="6" applyFont="1" fillId="70" applyFill="1" borderId="85" applyBorder="1" applyAlignment="1">
      <alignment horizontal="center"/>
    </xf>
    <xf xfId="145" quotePrefix="0" pivotButton="0" fontId="6" applyFont="1" borderId="76" applyBorder="1" applyAlignment="1">
      <alignment horizontal="center"/>
    </xf>
    <xf xfId="182" quotePrefix="0" pivotButton="0" fontId="6" applyFont="1" fillId="82" applyFill="1" borderId="103" applyBorder="1" applyAlignment="1">
      <alignment vertical="center" horizontal="center"/>
    </xf>
    <xf xfId="104" quotePrefix="0" pivotButton="0" fontId="6" applyFont="1" fillId="50" applyFill="1" borderId="55" applyBorder="1" applyAlignment="1">
      <alignment vertical="center" horizontal="center"/>
    </xf>
    <xf xfId="77" quotePrefix="0" pivotButton="0" fontId="6" applyFont="1" fillId="36" applyFill="1" borderId="41" applyBorder="1" applyAlignment="1">
      <alignment horizontal="center"/>
    </xf>
    <xf xfId="215" quotePrefix="0" pivotButton="0" fontId="6" applyFont="1" borderId="118" applyBorder="1" applyAlignment="1">
      <alignment vertical="center" horizontal="center"/>
    </xf>
    <xf xfId="268" quotePrefix="0" pivotButton="0" fontId="10" applyFont="1" fillId="120" applyFill="1" borderId="146" applyBorder="1" applyAlignment="1">
      <alignment vertical="center" horizontal="center"/>
    </xf>
    <xf xfId="33" quotePrefix="0" pivotButton="0" fontId="16" applyFont="1" fillId="14" applyFill="1" applyAlignment="1">
      <alignment horizontal="center"/>
    </xf>
    <xf xfId="214" quotePrefix="0" pivotButton="0" fontId="1" applyFont="1" fillId="93" applyFill="1" borderId="117" applyBorder="1" applyAlignment="1">
      <alignment horizontal="left"/>
    </xf>
    <xf xfId="147" quotePrefix="0" pivotButton="0" fontId="6" applyFont="1" fillId="66" applyFill="1" borderId="78" applyBorder="1" applyAlignment="1">
      <alignment horizontal="center"/>
    </xf>
    <xf xfId="99" quotePrefix="0" pivotButton="0" fontId="6" applyFont="1" fillId="47" applyFill="1" borderId="52" applyBorder="1" applyAlignment="1">
      <alignment horizontal="center"/>
    </xf>
    <xf xfId="208" quotePrefix="0" pivotButton="0" fontId="1" applyFont="1" fillId="90" applyFill="1" borderId="113" applyBorder="1" applyAlignment="1">
      <alignment horizontal="center"/>
    </xf>
    <xf xfId="81" quotePrefix="0" pivotButton="0" fontId="1" applyFont="1" fillId="38" applyFill="1" borderId="43" applyBorder="1" applyAlignment="1">
      <alignment horizontal="center"/>
    </xf>
    <xf xfId="54" quotePrefix="0" pivotButton="0" fontId="1" applyFont="1" fillId="22" applyFill="1" borderId="26" applyBorder="1" applyAlignment="1">
      <alignment horizontal="center"/>
    </xf>
    <xf xfId="241" quotePrefix="0" pivotButton="0" fontId="38" applyFont="1" fillId="104" applyFill="1" borderId="131" applyBorder="1" applyAlignment="1">
      <alignment vertical="center" horizontal="center"/>
    </xf>
    <xf xfId="160" quotePrefix="0" pivotButton="0" fontId="1" applyFont="1" fillId="74" applyFill="1" borderId="87" applyBorder="1" applyAlignment="1">
      <alignment horizontal="right"/>
    </xf>
    <xf xfId="177" quotePrefix="0" pivotButton="0" fontId="6" applyFont="1" borderId="100" applyBorder="1"/>
    <xf xfId="80" quotePrefix="0" pivotButton="0" fontId="10" applyFont="1" applyAlignment="1">
      <alignment horizontal="center"/>
    </xf>
    <xf xfId="165" quotePrefix="0" pivotButton="0" fontId="33" applyFont="1"/>
    <xf xfId="281" quotePrefix="0" pivotButton="0" fontId="45" applyFont="1"/>
    <xf xfId="258" quotePrefix="0" pivotButton="0" fontId="23" applyFont="1" fillId="115" applyFill="1" borderId="142" applyBorder="1" applyAlignment="1">
      <alignment vertical="center" horizontal="center"/>
    </xf>
    <xf xfId="230" quotePrefix="0" pivotButton="0" fontId="23" applyFont="1" fillId="101" applyFill="1" borderId="125" applyBorder="1" applyAlignment="1">
      <alignment vertical="center" horizontal="center"/>
    </xf>
    <xf xfId="218" quotePrefix="0" pivotButton="0" fontId="19" applyFont="1"/>
    <xf xfId="91" quotePrefix="0" pivotButton="0" fontId="10" applyFont="1"/>
    <xf xfId="74" quotePrefix="0" pivotButton="0" fontId="7" applyFont="1" borderId="38" applyBorder="1" applyAlignment="1">
      <alignment vertical="center" horizontal="center"/>
    </xf>
    <xf xfId="42" quotePrefix="0" pivotButton="0" fontId="7" applyFont="1" borderId="19" applyBorder="1" applyAlignment="1">
      <alignment vertical="center" horizontal="center"/>
    </xf>
    <xf xfId="277" quotePrefix="0" pivotButton="0" fontId="7" applyFont="1" fillId="124" applyFill="1" borderId="150" applyBorder="1" applyAlignment="1">
      <alignment vertical="center" horizontal="center"/>
    </xf>
    <xf xfId="13" quotePrefix="0" pivotButton="0" fontId="7" applyFont="1" fillId="6" applyFill="1" borderId="5" applyBorder="1" applyAlignment="1">
      <alignment vertical="center" horizontal="center"/>
    </xf>
    <xf xfId="134" quotePrefix="0" pivotButton="0" fontId="7" applyFont="1" applyAlignment="1">
      <alignment vertical="center" horizontal="right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
<Relationship Id="rId1" Type="http://schemas.openxmlformats.org/officeDocument/2006/relationships/worksheet" Target="worksheets/sheet1.xml"/>
<Relationship Id="rId2" Type="http://schemas.openxmlformats.org/officeDocument/2006/relationships/worksheet" Target="worksheets/sheet2.xml"/>
<Relationship Id="rId3" Type="http://schemas.openxmlformats.org/officeDocument/2006/relationships/worksheet" Target="worksheets/sheet3.xml"/>
<Relationship Id="rId4" Type="http://schemas.openxmlformats.org/officeDocument/2006/relationships/worksheet" Target="worksheets/sheet4.xml"/>
<Relationship Id="rId5" Type="http://schemas.openxmlformats.org/officeDocument/2006/relationships/worksheet" Target="worksheets/sheet5.xml"/>
<Relationship Id="rId6" Type="http://schemas.openxmlformats.org/officeDocument/2006/relationships/worksheet" Target="worksheets/sheet6.xml"/>
<Relationship Id="rId7" Type="http://schemas.openxmlformats.org/officeDocument/2006/relationships/worksheet" Target="worksheets/sheet7.xml"/>
<Relationship Id="rId8" Type="http://schemas.openxmlformats.org/officeDocument/2006/relationships/worksheet" Target="worksheets/sheet8.xml"/>
<Relationship Id="rId9" Type="http://schemas.openxmlformats.org/officeDocument/2006/relationships/worksheet" Target="worksheets/sheet9.xml"/>
<Relationship Id="rId10" Type="http://schemas.openxmlformats.org/officeDocument/2006/relationships/worksheet" Target="worksheets/sheet10.xml"/>
<Relationship Id="rId11" Type="http://schemas.openxmlformats.org/officeDocument/2006/relationships/worksheet" Target="worksheets/sheet11.xml"/>
<Relationship Id="rId12" Type="http://schemas.openxmlformats.org/officeDocument/2006/relationships/worksheet" Target="worksheets/sheet12.xml"/>
<Relationship Id="rId13" Type="http://schemas.openxmlformats.org/officeDocument/2006/relationships/worksheet" Target="worksheets/sheet13.xml"/>
<Relationship Id="rId14" Type="http://schemas.openxmlformats.org/officeDocument/2006/relationships/worksheet" Target="worksheets/sheet14.xml"/>
<Relationship Id="rId15" Type="http://schemas.openxmlformats.org/officeDocument/2006/relationships/worksheet" Target="worksheets/sheet15.xml"/>
<Relationship Id="rId16" Type="http://schemas.openxmlformats.org/officeDocument/2006/relationships/theme" Target="theme/theme1.xml"/>
<Relationship Id="rId17" Type="http://schemas.openxmlformats.org/officeDocument/2006/relationships/sharedStrings" Target="sharedStrings.xml"/>
<Relationship Id="rId18" Type="http://schemas.openxmlformats.org/officeDocument/2006/relationships/styles" Target="styles.xml"/>
<Relationship Id="rId19" Type="http://schemas.openxmlformats.org/officeDocument/2006/relationships/calcChain" Target="calcChain.xml"/>
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102000"/>
                <a:satMod val="103000"/>
                <a:tint val="94000"/>
              </a:schemeClr>
            </a:gs>
            <a:gs pos="50000">
              <a:schemeClr val="phClr">
                <a:lumMod val="100000"/>
                <a:satMod val="11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satMod val="170000"/>
            <a:tint val="95000"/>
          </a:schemeClr>
        </a:solidFill>
        <a:gradFill rotWithShape="1">
          <a:gsLst>
            <a:gs pos="0">
              <a:schemeClr val="phClr">
                <a:lumMod val="102000"/>
                <a:satMod val="150000"/>
                <a:tint val="93000"/>
                <a:shade val="98000"/>
              </a:schemeClr>
            </a:gs>
            <a:gs pos="50000">
              <a:schemeClr val="phClr">
                <a:lumMod val="103000"/>
                <a:satMod val="130000"/>
                <a:tint val="98000"/>
                <a:shade val="90000"/>
              </a:schemeClr>
            </a:gs>
            <a:gs pos="100000">
              <a:schemeClr val="phClr">
                <a:satMod val="120000"/>
                <a:shade val="63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/>
  <dimension ref="A1"/>
  <sheetViews>
    <sheetView showGridLines="0" tabSelected="0" workbookViewId="0">
      <selection activeCell="A1" sqref="A1"/>
    </sheetView>
  </sheetViews>
  <sheetFormatPr defaultRowHeight="14.25" customHeight="1" defaultColWidth="8.34"/>
  <cols>
    <col min="1" max="1" width="3.07" customWidth="1" hidden="0"/>
    <col min="2" max="2" width="3.43" customWidth="1" hidden="0"/>
    <col min="3" max="3" width="19.26" customWidth="1" hidden="0"/>
    <col min="4" max="4" width="22.57" customWidth="1" hidden="0"/>
    <col min="5" max="17" width="8.34" customWidth="1" hidden="0"/>
    <col min="18" max="27" width="2.33" customWidth="1" hidden="1"/>
  </cols>
  <sheetData>
    <row r="2" ht="14.25" customHeight="true">
      <c r="AA2" s="1" t="s">
        <v>0</v>
      </c>
    </row>
    <row r="3" ht="14.25" customHeight="true">
      <c r="AA3" s="1" t="s">
        <v>1</v>
      </c>
    </row>
    <row r="4" ht="14.25" customHeight="true">
      <c r="AA4" s="1" t="s">
        <v>2</v>
      </c>
    </row>
    <row r="7" ht="14.25" customHeight="true">
      <c r="B7" s="2" t="s">
        <v>3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3"/>
    </row>
    <row r="8" ht="14.25" customHeight="true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3"/>
    </row>
    <row r="9" ht="14.25" customHeight="true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3"/>
    </row>
    <row r="10" ht="14.25" customHeight="true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3"/>
    </row>
    <row r="14" ht="14.25" customHeight="true">
      <c r="H14" s="4" t="s">
        <v>4</v>
      </c>
    </row>
    <row r="15" ht="14.25" customHeight="true">
      <c r="H15" s="5" t="s">
        <v>5</v>
      </c>
    </row>
    <row r="18" ht="5.25" customHeight="true">
      <c r="B18" s="6"/>
      <c r="C18" s="6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20" ht="14.25" customHeight="true">
      <c r="B20" s="8" t="s">
        <v>6</v>
      </c>
      <c r="C20" s="9"/>
      <c r="D20" s="10">
        <f>=+TODAY()</f>
      </c>
    </row>
    <row r="21" ht="14.25" customHeight="true">
      <c r="B21" s="8" t="s">
        <v>7</v>
      </c>
      <c r="D21" s="10">
        <v>2025</v>
      </c>
    </row>
    <row r="22" ht="14.25" customHeight="true">
      <c r="B22" s="8" t="s">
        <v>8</v>
      </c>
      <c r="D22" s="9" t="s">
        <v>0</v>
      </c>
    </row>
    <row r="23" ht="14.25" customHeight="true">
      <c r="B23" s="11"/>
      <c r="D23" s="10"/>
    </row>
    <row r="24" ht="14.25" customHeight="true">
      <c r="B24" s="12" t="s">
        <v>9</v>
      </c>
    </row>
    <row r="25" ht="9.00" customHeight="true">
      <c r="C25" s="9"/>
    </row>
    <row r="26" ht="14.25" customHeight="true">
      <c r="B26" s="13"/>
      <c r="C26" s="8" t="s">
        <v>10</v>
      </c>
    </row>
    <row r="27" ht="3.00" customHeight="true">
      <c r="C27" s="9"/>
    </row>
    <row r="28" ht="14.25" customHeight="true">
      <c r="B28" s="14"/>
      <c r="C28" s="8" t="s">
        <v>11</v>
      </c>
    </row>
    <row r="29" ht="3.00" customHeight="true">
      <c r="C29" s="9"/>
    </row>
    <row r="30" ht="14.25" customHeight="true">
      <c r="B30" s="15"/>
      <c r="C30" s="8" t="s">
        <v>12</v>
      </c>
    </row>
    <row r="31" ht="14.25" customHeight="true">
      <c r="B31" s="11"/>
      <c r="C31" s="11"/>
    </row>
    <row r="32" ht="14.25" customHeight="true">
      <c r="B32" s="16">
        <f>=+CONCATENATE("Modelo actualizado ",MONTH(TODAY()),"-",YEAR(TODAY()))</f>
      </c>
      <c r="C32" s="11"/>
    </row>
  </sheetData>
  <mergeCells count="1">
    <mergeCell ref="B7:O10"/>
  </mergeCells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/>
  <dimension ref="A1"/>
  <sheetViews>
    <sheetView showGridLines="0" tabSelected="0" workbookViewId="0">
      <pane xSplit="2" ySplit="5" topLeftCell="C6" activePane="bottomRight" state="frozen"/>
      <selection activeCell="A1" sqref="A1"/>
    </sheetView>
  </sheetViews>
  <sheetFormatPr defaultRowHeight="14.25" customHeight="1" defaultColWidth="8.34"/>
  <cols>
    <col min="1" max="1" width="3.43" customWidth="1" hidden="0"/>
    <col min="2" max="2" width="30.05" customWidth="1" hidden="0"/>
    <col min="3" max="17" width="10.67" customWidth="1" hidden="0"/>
    <col min="18" max="16384" width="8.34" customWidth="1" hidden="0"/>
  </cols>
  <sheetData>
    <row r="2" ht="14.25" customHeight="true">
      <c r="A2" s="17" t="s">
        <v>13</v>
      </c>
      <c r="B2" s="12" t="s">
        <v>14</v>
      </c>
    </row>
    <row r="3" ht="14.25" customHeight="true">
      <c r="B3" s="8">
        <f>=COVER!H15</f>
      </c>
    </row>
    <row r="5" ht="14.25" customHeight="true">
      <c r="A5" s="18"/>
      <c r="B5" s="19">
        <f>="Cifras "&amp;COVER!D22</f>
      </c>
      <c r="C5" s="20">
        <f>=D5-1</f>
      </c>
      <c r="D5" s="20">
        <f>=E5-1</f>
      </c>
      <c r="E5" s="20">
        <f>=F5-1</f>
      </c>
      <c r="F5" s="20">
        <f>=G5-1</f>
      </c>
      <c r="G5" s="20">
        <f>=COVER!D21-1</f>
      </c>
      <c r="H5" s="20">
        <f>=CONCATENATE(COVER!$D$21,"p")</f>
      </c>
      <c r="I5" s="20">
        <f>=CONCATENATE(COVER!$D$21+1,"p")</f>
      </c>
      <c r="J5" s="20">
        <f>=CONCATENATE(COVER!$D$21+2,"p")</f>
      </c>
      <c r="K5" s="20">
        <f>=CONCATENATE(COVER!$D$21+3,"p")</f>
      </c>
      <c r="L5" s="20">
        <f>=CONCATENATE(COVER!$D$21+4,"p")</f>
      </c>
      <c r="M5" s="20">
        <f>=CONCATENATE(COVER!$D$21+5,"p")</f>
      </c>
      <c r="N5" s="20">
        <f>=CONCATENATE(COVER!$D$21+6,"p")</f>
      </c>
      <c r="O5" s="20">
        <f>=CONCATENATE(COVER!$D$21+7,"p")</f>
      </c>
      <c r="P5" s="20">
        <f>=CONCATENATE(COVER!$D$21+8,"p")</f>
      </c>
      <c r="Q5" s="20">
        <f>=CONCATENATE(COVER!$D$21+9,"p")</f>
      </c>
    </row>
    <row r="6" ht="14.25" customHeight="true">
      <c r="A6" s="18"/>
      <c r="B6" s="21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</row>
    <row r="7" ht="14.25" customHeight="true">
      <c r="B7" s="21" t="s">
        <v>15</v>
      </c>
      <c r="C7" s="23">
        <v>100</v>
      </c>
      <c r="D7" s="23">
        <v>100</v>
      </c>
      <c r="E7" s="23">
        <v>100</v>
      </c>
      <c r="F7" s="23">
        <v>100</v>
      </c>
      <c r="G7" s="23">
        <v>100</v>
      </c>
      <c r="H7" s="24">
        <f>='Supuestos Proyeccion'!H31</f>
      </c>
      <c r="I7" s="24">
        <f>='Supuestos Proyeccion'!I31</f>
      </c>
      <c r="J7" s="24">
        <f>='Supuestos Proyeccion'!J31</f>
      </c>
      <c r="K7" s="24">
        <f>='Supuestos Proyeccion'!K31</f>
      </c>
      <c r="L7" s="24">
        <f>='Supuestos Proyeccion'!L31</f>
      </c>
      <c r="M7" s="24">
        <f>='Supuestos Proyeccion'!M31</f>
      </c>
      <c r="N7" s="24">
        <f>='Supuestos Proyeccion'!N31</f>
      </c>
      <c r="O7" s="24">
        <f>='Supuestos Proyeccion'!O31</f>
      </c>
      <c r="P7" s="24">
        <f>='Supuestos Proyeccion'!P31</f>
      </c>
      <c r="Q7" s="24">
        <f>='Supuestos Proyeccion'!Q31</f>
      </c>
    </row>
    <row r="8" ht="14.25" customHeight="true">
      <c r="B8" s="25" t="s">
        <v>16</v>
      </c>
      <c r="C8" s="26">
        <v>60</v>
      </c>
      <c r="D8" s="26">
        <v>60</v>
      </c>
      <c r="E8" s="26">
        <v>60</v>
      </c>
      <c r="F8" s="26">
        <v>60</v>
      </c>
      <c r="G8" s="26">
        <v>60</v>
      </c>
      <c r="H8" s="27">
        <f>='Supuestos Proyeccion'!H33</f>
      </c>
      <c r="I8" s="27">
        <f>='Supuestos Proyeccion'!I33</f>
      </c>
      <c r="J8" s="27">
        <f>='Supuestos Proyeccion'!J33</f>
      </c>
      <c r="K8" s="27">
        <f>='Supuestos Proyeccion'!K33</f>
      </c>
      <c r="L8" s="27">
        <f>='Supuestos Proyeccion'!L33</f>
      </c>
      <c r="M8" s="27">
        <f>='Supuestos Proyeccion'!M33</f>
      </c>
      <c r="N8" s="27">
        <f>='Supuestos Proyeccion'!N33</f>
      </c>
      <c r="O8" s="27">
        <f>='Supuestos Proyeccion'!O33</f>
      </c>
      <c r="P8" s="27">
        <f>='Supuestos Proyeccion'!P33</f>
      </c>
      <c r="Q8" s="27">
        <f>='Supuestos Proyeccion'!Q33</f>
      </c>
    </row>
    <row r="9" ht="14.25" customHeight="true">
      <c r="A9" s="18"/>
      <c r="B9" s="21" t="s">
        <v>17</v>
      </c>
      <c r="C9" s="24">
        <f ref="C9:Q9" t="shared" si="242">=C7-C8</f>
      </c>
      <c r="D9" s="24">
        <f t="shared" si="242"/>
      </c>
      <c r="E9" s="24">
        <f t="shared" si="242"/>
      </c>
      <c r="F9" s="24">
        <f t="shared" si="242"/>
      </c>
      <c r="G9" s="24">
        <f t="shared" si="242"/>
      </c>
      <c r="H9" s="24">
        <f t="shared" si="242"/>
      </c>
      <c r="I9" s="24">
        <f t="shared" si="242"/>
      </c>
      <c r="J9" s="24">
        <f t="shared" si="242"/>
      </c>
      <c r="K9" s="24">
        <f t="shared" si="242"/>
      </c>
      <c r="L9" s="24">
        <f t="shared" si="242"/>
      </c>
      <c r="M9" s="24">
        <f t="shared" si="242"/>
      </c>
      <c r="N9" s="24">
        <f t="shared" si="242"/>
      </c>
      <c r="O9" s="24">
        <f t="shared" si="242"/>
      </c>
      <c r="P9" s="24">
        <f t="shared" si="242"/>
      </c>
      <c r="Q9" s="24">
        <f t="shared" si="242"/>
      </c>
    </row>
    <row r="10" ht="14.25" customHeight="true">
      <c r="A10" s="18"/>
      <c r="B10" s="28" t="s">
        <v>18</v>
      </c>
      <c r="C10" s="29">
        <f ref="C10:Q10" t="shared" si="238">=C9/C7</f>
      </c>
      <c r="D10" s="29">
        <f t="shared" si="238"/>
      </c>
      <c r="E10" s="29">
        <f t="shared" si="238"/>
      </c>
      <c r="F10" s="29">
        <f t="shared" si="238"/>
      </c>
      <c r="G10" s="29">
        <f t="shared" si="238"/>
      </c>
      <c r="H10" s="29">
        <f t="shared" si="238"/>
      </c>
      <c r="I10" s="29">
        <f t="shared" si="238"/>
      </c>
      <c r="J10" s="29">
        <f t="shared" si="238"/>
      </c>
      <c r="K10" s="29">
        <f t="shared" si="238"/>
      </c>
      <c r="L10" s="29">
        <f t="shared" si="238"/>
      </c>
      <c r="M10" s="29">
        <f t="shared" si="238"/>
      </c>
      <c r="N10" s="29">
        <f t="shared" si="238"/>
      </c>
      <c r="O10" s="29">
        <f t="shared" si="238"/>
      </c>
      <c r="P10" s="29">
        <f t="shared" si="238"/>
      </c>
      <c r="Q10" s="29">
        <f t="shared" si="238"/>
      </c>
    </row>
    <row r="11" ht="14.25" customHeight="true"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</row>
    <row r="12" ht="14.25" customHeight="true">
      <c r="B12" s="8" t="s">
        <v>19</v>
      </c>
      <c r="C12" s="30">
        <v>10</v>
      </c>
      <c r="D12" s="30">
        <v>10</v>
      </c>
      <c r="E12" s="30">
        <v>10</v>
      </c>
      <c r="F12" s="30">
        <v>10</v>
      </c>
      <c r="G12" s="30">
        <v>10</v>
      </c>
      <c r="H12" s="31">
        <f>='Supuestos Proyeccion'!H35</f>
      </c>
      <c r="I12" s="31">
        <f>='Supuestos Proyeccion'!I35</f>
      </c>
      <c r="J12" s="31">
        <f>='Supuestos Proyeccion'!J35</f>
      </c>
      <c r="K12" s="31">
        <f>='Supuestos Proyeccion'!K35</f>
      </c>
      <c r="L12" s="31">
        <f>='Supuestos Proyeccion'!L35</f>
      </c>
      <c r="M12" s="31">
        <f>='Supuestos Proyeccion'!M35</f>
      </c>
      <c r="N12" s="31">
        <f>='Supuestos Proyeccion'!N35</f>
      </c>
      <c r="O12" s="31">
        <f>='Supuestos Proyeccion'!O35</f>
      </c>
      <c r="P12" s="31">
        <f>='Supuestos Proyeccion'!P35</f>
      </c>
      <c r="Q12" s="31">
        <f>='Supuestos Proyeccion'!Q35</f>
      </c>
    </row>
    <row r="13" ht="14.25" customHeight="true">
      <c r="B13" s="8" t="s">
        <v>20</v>
      </c>
      <c r="C13" s="30">
        <v>5</v>
      </c>
      <c r="D13" s="30">
        <v>5</v>
      </c>
      <c r="E13" s="30">
        <v>5</v>
      </c>
      <c r="F13" s="30">
        <v>5</v>
      </c>
      <c r="G13" s="30">
        <v>5</v>
      </c>
      <c r="H13" s="31">
        <f>='Supuestos Proyeccion'!H39</f>
      </c>
      <c r="I13" s="31">
        <f>='Supuestos Proyeccion'!I39</f>
      </c>
      <c r="J13" s="31">
        <f>='Supuestos Proyeccion'!J39</f>
      </c>
      <c r="K13" s="31">
        <f>='Supuestos Proyeccion'!K39</f>
      </c>
      <c r="L13" s="31">
        <f>='Supuestos Proyeccion'!L39</f>
      </c>
      <c r="M13" s="31">
        <f>='Supuestos Proyeccion'!M39</f>
      </c>
      <c r="N13" s="31">
        <f>='Supuestos Proyeccion'!N39</f>
      </c>
      <c r="O13" s="31">
        <f>='Supuestos Proyeccion'!O39</f>
      </c>
      <c r="P13" s="31">
        <f>='Supuestos Proyeccion'!P39</f>
      </c>
      <c r="Q13" s="31">
        <f>='Supuestos Proyeccion'!Q39</f>
      </c>
    </row>
    <row r="14" ht="14.25" customHeight="true">
      <c r="B14" s="8" t="s">
        <v>21</v>
      </c>
      <c r="C14" s="30">
        <v>5</v>
      </c>
      <c r="D14" s="30">
        <v>5</v>
      </c>
      <c r="E14" s="30">
        <v>5</v>
      </c>
      <c r="F14" s="30">
        <v>5</v>
      </c>
      <c r="G14" s="30">
        <v>5</v>
      </c>
      <c r="H14" s="31">
        <f>='Supuestos Proyeccion'!H41</f>
      </c>
      <c r="I14" s="31">
        <f>='Supuestos Proyeccion'!I41</f>
      </c>
      <c r="J14" s="31">
        <f>='Supuestos Proyeccion'!J41</f>
      </c>
      <c r="K14" s="31">
        <f>='Supuestos Proyeccion'!K41</f>
      </c>
      <c r="L14" s="31">
        <f>='Supuestos Proyeccion'!L41</f>
      </c>
      <c r="M14" s="31">
        <f>='Supuestos Proyeccion'!M41</f>
      </c>
      <c r="N14" s="31">
        <f>='Supuestos Proyeccion'!N41</f>
      </c>
      <c r="O14" s="31">
        <f>='Supuestos Proyeccion'!O41</f>
      </c>
      <c r="P14" s="31">
        <f>='Supuestos Proyeccion'!P41</f>
      </c>
      <c r="Q14" s="31">
        <f>='Supuestos Proyeccion'!Q41</f>
      </c>
    </row>
    <row r="15" ht="14.25" customHeight="true">
      <c r="B15" s="25" t="s">
        <v>22</v>
      </c>
      <c r="C15" s="26">
        <v>0</v>
      </c>
      <c r="D15" s="26">
        <v>0</v>
      </c>
      <c r="E15" s="26">
        <v>0</v>
      </c>
      <c r="F15" s="26">
        <v>0</v>
      </c>
      <c r="G15" s="26">
        <v>0</v>
      </c>
      <c r="H15" s="27">
        <f>='Supuestos Proyeccion'!H44</f>
      </c>
      <c r="I15" s="27">
        <f>='Supuestos Proyeccion'!I44</f>
      </c>
      <c r="J15" s="27">
        <f>='Supuestos Proyeccion'!J44</f>
      </c>
      <c r="K15" s="27">
        <f>='Supuestos Proyeccion'!K44</f>
      </c>
      <c r="L15" s="27">
        <f>='Supuestos Proyeccion'!L44</f>
      </c>
      <c r="M15" s="27">
        <f>='Supuestos Proyeccion'!M44</f>
      </c>
      <c r="N15" s="27">
        <f>='Supuestos Proyeccion'!N44</f>
      </c>
      <c r="O15" s="27">
        <f>='Supuestos Proyeccion'!O44</f>
      </c>
      <c r="P15" s="27">
        <f>='Supuestos Proyeccion'!P44</f>
      </c>
      <c r="Q15" s="27">
        <f>='Supuestos Proyeccion'!Q44</f>
      </c>
    </row>
    <row r="16" ht="14.25" customHeight="true">
      <c r="A16" s="18"/>
      <c r="B16" s="21" t="s">
        <v>23</v>
      </c>
      <c r="C16" s="24">
        <f ref="C16:Q16" t="shared" si="244">=C9-C12-C13-C14-C15</f>
      </c>
      <c r="D16" s="24">
        <f t="shared" si="244"/>
      </c>
      <c r="E16" s="24">
        <f t="shared" si="244"/>
      </c>
      <c r="F16" s="24">
        <f t="shared" si="244"/>
      </c>
      <c r="G16" s="24">
        <f t="shared" si="244"/>
      </c>
      <c r="H16" s="24">
        <f t="shared" si="244"/>
      </c>
      <c r="I16" s="24">
        <f t="shared" si="244"/>
      </c>
      <c r="J16" s="24">
        <f t="shared" si="244"/>
      </c>
      <c r="K16" s="24">
        <f t="shared" si="244"/>
      </c>
      <c r="L16" s="24">
        <f t="shared" si="244"/>
      </c>
      <c r="M16" s="24">
        <f t="shared" si="244"/>
      </c>
      <c r="N16" s="24">
        <f t="shared" si="244"/>
      </c>
      <c r="O16" s="24">
        <f t="shared" si="244"/>
      </c>
      <c r="P16" s="24">
        <f t="shared" si="244"/>
      </c>
      <c r="Q16" s="24">
        <f t="shared" si="244"/>
      </c>
    </row>
    <row r="17" ht="14.25" customHeight="true">
      <c r="A17" s="18"/>
      <c r="B17" s="28" t="s">
        <v>24</v>
      </c>
      <c r="C17" s="29">
        <f ref="C17:Q17" t="shared" si="239">=C16/C7</f>
      </c>
      <c r="D17" s="29">
        <f t="shared" si="239"/>
      </c>
      <c r="E17" s="29">
        <f t="shared" si="239"/>
      </c>
      <c r="F17" s="29">
        <f t="shared" si="239"/>
      </c>
      <c r="G17" s="29">
        <f t="shared" si="239"/>
      </c>
      <c r="H17" s="29">
        <f t="shared" si="239"/>
      </c>
      <c r="I17" s="29">
        <f t="shared" si="239"/>
      </c>
      <c r="J17" s="29">
        <f t="shared" si="239"/>
      </c>
      <c r="K17" s="29">
        <f t="shared" si="239"/>
      </c>
      <c r="L17" s="29">
        <f t="shared" si="239"/>
      </c>
      <c r="M17" s="29">
        <f t="shared" si="239"/>
      </c>
      <c r="N17" s="29">
        <f t="shared" si="239"/>
      </c>
      <c r="O17" s="29">
        <f t="shared" si="239"/>
      </c>
      <c r="P17" s="29">
        <f t="shared" si="239"/>
      </c>
      <c r="Q17" s="29">
        <f t="shared" si="239"/>
      </c>
    </row>
    <row r="18" ht="14.25" customHeight="true">
      <c r="A18" s="18"/>
      <c r="B18" s="21" t="s">
        <v>25</v>
      </c>
      <c r="C18" s="24">
        <f ref="C18:Q18" t="shared" si="243">=C16+C14+C15</f>
      </c>
      <c r="D18" s="24">
        <f t="shared" si="243"/>
      </c>
      <c r="E18" s="24">
        <f t="shared" si="243"/>
      </c>
      <c r="F18" s="24">
        <f t="shared" si="243"/>
      </c>
      <c r="G18" s="24">
        <f t="shared" si="243"/>
      </c>
      <c r="H18" s="24">
        <f t="shared" si="243"/>
      </c>
      <c r="I18" s="24">
        <f t="shared" si="243"/>
      </c>
      <c r="J18" s="24">
        <f t="shared" si="243"/>
      </c>
      <c r="K18" s="24">
        <f t="shared" si="243"/>
      </c>
      <c r="L18" s="24">
        <f t="shared" si="243"/>
      </c>
      <c r="M18" s="24">
        <f t="shared" si="243"/>
      </c>
      <c r="N18" s="24">
        <f t="shared" si="243"/>
      </c>
      <c r="O18" s="24">
        <f t="shared" si="243"/>
      </c>
      <c r="P18" s="24">
        <f t="shared" si="243"/>
      </c>
      <c r="Q18" s="24">
        <f t="shared" si="243"/>
      </c>
    </row>
    <row r="19" ht="14.25" customHeight="true">
      <c r="A19" s="18"/>
      <c r="B19" s="28" t="s">
        <v>26</v>
      </c>
      <c r="C19" s="29">
        <f ref="C19:Q19" t="shared" si="245">=C18/C7</f>
      </c>
      <c r="D19" s="29">
        <f t="shared" si="245"/>
      </c>
      <c r="E19" s="29">
        <f t="shared" si="245"/>
      </c>
      <c r="F19" s="29">
        <f t="shared" si="245"/>
      </c>
      <c r="G19" s="29">
        <f t="shared" si="245"/>
      </c>
      <c r="H19" s="29">
        <f t="shared" si="245"/>
      </c>
      <c r="I19" s="29">
        <f t="shared" si="245"/>
      </c>
      <c r="J19" s="29">
        <f t="shared" si="245"/>
      </c>
      <c r="K19" s="29">
        <f t="shared" si="245"/>
      </c>
      <c r="L19" s="29">
        <f t="shared" si="245"/>
      </c>
      <c r="M19" s="29">
        <f t="shared" si="245"/>
      </c>
      <c r="N19" s="29">
        <f t="shared" si="245"/>
      </c>
      <c r="O19" s="29">
        <f t="shared" si="245"/>
      </c>
      <c r="P19" s="29">
        <f t="shared" si="245"/>
      </c>
      <c r="Q19" s="29">
        <f t="shared" si="245"/>
      </c>
    </row>
    <row r="20" ht="14.25" customHeight="true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</row>
    <row r="21" ht="14.25" customHeight="true">
      <c r="B21" s="8" t="s">
        <v>27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1">
        <f>='Supuestos Proyeccion'!H47</f>
      </c>
      <c r="I21" s="31">
        <f>='Supuestos Proyeccion'!I47</f>
      </c>
      <c r="J21" s="31">
        <f>='Supuestos Proyeccion'!J47</f>
      </c>
      <c r="K21" s="31">
        <f>='Supuestos Proyeccion'!K47</f>
      </c>
      <c r="L21" s="31">
        <f>='Supuestos Proyeccion'!L47</f>
      </c>
      <c r="M21" s="31">
        <f>='Supuestos Proyeccion'!M47</f>
      </c>
      <c r="N21" s="31">
        <f>='Supuestos Proyeccion'!N47</f>
      </c>
      <c r="O21" s="31">
        <f>='Supuestos Proyeccion'!O47</f>
      </c>
      <c r="P21" s="31">
        <f>='Supuestos Proyeccion'!P47</f>
      </c>
      <c r="Q21" s="31">
        <f>='Supuestos Proyeccion'!Q47</f>
      </c>
    </row>
    <row r="22" ht="14.25" customHeight="true">
      <c r="B22" s="8" t="s">
        <v>28</v>
      </c>
      <c r="C22" s="30">
        <v>0</v>
      </c>
      <c r="D22" s="30">
        <v>0</v>
      </c>
      <c r="E22" s="30">
        <v>0</v>
      </c>
      <c r="F22" s="30">
        <v>0</v>
      </c>
      <c r="G22" s="30">
        <v>0</v>
      </c>
      <c r="H22" s="31">
        <f>='Supuestos Proyeccion'!H50</f>
      </c>
      <c r="I22" s="31">
        <f>='Supuestos Proyeccion'!I50</f>
      </c>
      <c r="J22" s="31">
        <f>='Supuestos Proyeccion'!J50</f>
      </c>
      <c r="K22" s="31">
        <f>='Supuestos Proyeccion'!K50</f>
      </c>
      <c r="L22" s="31">
        <f>='Supuestos Proyeccion'!L50</f>
      </c>
      <c r="M22" s="31">
        <f>='Supuestos Proyeccion'!M50</f>
      </c>
      <c r="N22" s="31">
        <f>='Supuestos Proyeccion'!N50</f>
      </c>
      <c r="O22" s="31">
        <f>='Supuestos Proyeccion'!O50</f>
      </c>
      <c r="P22" s="31">
        <f>='Supuestos Proyeccion'!P50</f>
      </c>
      <c r="Q22" s="31">
        <f>='Supuestos Proyeccion'!Q50</f>
      </c>
    </row>
    <row r="23" ht="14.25" customHeight="true">
      <c r="B23" s="8" t="s">
        <v>29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1">
        <f>='Supuestos Proyeccion'!H52</f>
      </c>
      <c r="I23" s="31">
        <f>='Supuestos Proyeccion'!I52</f>
      </c>
      <c r="J23" s="31">
        <f>='Supuestos Proyeccion'!J52</f>
      </c>
      <c r="K23" s="31">
        <f>='Supuestos Proyeccion'!K52</f>
      </c>
      <c r="L23" s="31">
        <f>='Supuestos Proyeccion'!L52</f>
      </c>
      <c r="M23" s="31">
        <f>='Supuestos Proyeccion'!M52</f>
      </c>
      <c r="N23" s="31">
        <f>='Supuestos Proyeccion'!N52</f>
      </c>
      <c r="O23" s="31">
        <f>='Supuestos Proyeccion'!O52</f>
      </c>
      <c r="P23" s="31">
        <f>='Supuestos Proyeccion'!P52</f>
      </c>
      <c r="Q23" s="31">
        <f>='Supuestos Proyeccion'!Q52</f>
      </c>
    </row>
    <row r="24" ht="14.25" customHeight="true">
      <c r="B24" s="25" t="s">
        <v>30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7">
        <f>='Supuestos Proyeccion'!H106</f>
      </c>
      <c r="I24" s="27">
        <f>='Supuestos Proyeccion'!I106</f>
      </c>
      <c r="J24" s="27">
        <f>='Supuestos Proyeccion'!J106</f>
      </c>
      <c r="K24" s="27">
        <f>='Supuestos Proyeccion'!K106</f>
      </c>
      <c r="L24" s="27">
        <f>='Supuestos Proyeccion'!L106</f>
      </c>
      <c r="M24" s="27">
        <f>='Supuestos Proyeccion'!M106</f>
      </c>
      <c r="N24" s="27">
        <f>='Supuestos Proyeccion'!N106</f>
      </c>
      <c r="O24" s="27">
        <f>='Supuestos Proyeccion'!O106</f>
      </c>
      <c r="P24" s="27">
        <f>='Supuestos Proyeccion'!P106</f>
      </c>
      <c r="Q24" s="27">
        <f>='Supuestos Proyeccion'!Q106</f>
      </c>
    </row>
    <row r="25" hidden="1" ht="14.25" customHeight="true">
      <c r="C25" s="30"/>
      <c r="D25" s="30"/>
      <c r="E25" s="30"/>
      <c r="F25" s="30"/>
      <c r="G25" s="30"/>
      <c r="H25" s="31"/>
      <c r="I25" s="31"/>
      <c r="J25" s="31"/>
      <c r="K25" s="31"/>
      <c r="L25" s="31"/>
      <c r="M25" s="31"/>
      <c r="N25" s="31"/>
      <c r="O25" s="31"/>
      <c r="P25" s="31"/>
      <c r="Q25" s="31"/>
    </row>
    <row r="26" hidden="1" ht="14.25" customHeight="true">
      <c r="B26" s="25"/>
      <c r="C26" s="26"/>
      <c r="D26" s="26"/>
      <c r="E26" s="26"/>
      <c r="F26" s="26"/>
      <c r="G26" s="26"/>
      <c r="H26" s="27"/>
      <c r="I26" s="27"/>
      <c r="J26" s="27"/>
      <c r="K26" s="27"/>
      <c r="L26" s="27"/>
      <c r="M26" s="27"/>
      <c r="N26" s="27"/>
      <c r="O26" s="27"/>
      <c r="P26" s="27"/>
      <c r="Q26" s="27"/>
    </row>
    <row r="27" ht="14.25" customHeight="true">
      <c r="A27" s="18"/>
      <c r="B27" s="21" t="s">
        <v>31</v>
      </c>
      <c r="C27" s="24">
        <f ref="C27:Q27" t="shared" si="240">=C16+C21+C22-C23-C24+C25+C26</f>
      </c>
      <c r="D27" s="24">
        <f t="shared" si="240"/>
      </c>
      <c r="E27" s="24">
        <f t="shared" si="240"/>
      </c>
      <c r="F27" s="24">
        <f t="shared" si="240"/>
      </c>
      <c r="G27" s="24">
        <f t="shared" si="240"/>
      </c>
      <c r="H27" s="24">
        <f t="shared" si="240"/>
      </c>
      <c r="I27" s="24">
        <f t="shared" si="240"/>
      </c>
      <c r="J27" s="24">
        <f t="shared" si="240"/>
      </c>
      <c r="K27" s="24">
        <f t="shared" si="240"/>
      </c>
      <c r="L27" s="24">
        <f t="shared" si="240"/>
      </c>
      <c r="M27" s="24">
        <f t="shared" si="240"/>
      </c>
      <c r="N27" s="24">
        <f t="shared" si="240"/>
      </c>
      <c r="O27" s="24">
        <f t="shared" si="240"/>
      </c>
      <c r="P27" s="24">
        <f t="shared" si="240"/>
      </c>
      <c r="Q27" s="24">
        <f t="shared" si="240"/>
      </c>
    </row>
    <row r="28" ht="14.25" customHeight="true"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</row>
    <row r="29" ht="14.25" customHeight="true">
      <c r="B29" s="8" t="s">
        <v>32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1">
        <f>='Supuestos Proyeccion'!H121</f>
      </c>
      <c r="I29" s="31">
        <f>='Supuestos Proyeccion'!I121</f>
      </c>
      <c r="J29" s="31">
        <f>='Supuestos Proyeccion'!J121</f>
      </c>
      <c r="K29" s="31">
        <f>='Supuestos Proyeccion'!K121</f>
      </c>
      <c r="L29" s="31">
        <f>='Supuestos Proyeccion'!L121</f>
      </c>
      <c r="M29" s="31">
        <f>='Supuestos Proyeccion'!M121</f>
      </c>
      <c r="N29" s="31">
        <f>='Supuestos Proyeccion'!N121</f>
      </c>
      <c r="O29" s="31">
        <f>='Supuestos Proyeccion'!O121</f>
      </c>
      <c r="P29" s="31">
        <f>='Supuestos Proyeccion'!P121</f>
      </c>
      <c r="Q29" s="31">
        <f>='Supuestos Proyeccion'!Q121</f>
      </c>
    </row>
    <row r="30" ht="14.25" customHeight="true">
      <c r="A30" s="18"/>
      <c r="B30" s="32" t="s">
        <v>33</v>
      </c>
      <c r="C30" s="33">
        <f ref="C30:Q30" t="shared" si="241">=C27-C29</f>
      </c>
      <c r="D30" s="33">
        <f t="shared" si="241"/>
      </c>
      <c r="E30" s="33">
        <f t="shared" si="241"/>
      </c>
      <c r="F30" s="33">
        <f t="shared" si="241"/>
      </c>
      <c r="G30" s="33">
        <f t="shared" si="241"/>
      </c>
      <c r="H30" s="33">
        <f t="shared" si="241"/>
      </c>
      <c r="I30" s="33">
        <f t="shared" si="241"/>
      </c>
      <c r="J30" s="33">
        <f t="shared" si="241"/>
      </c>
      <c r="K30" s="33">
        <f t="shared" si="241"/>
      </c>
      <c r="L30" s="33">
        <f t="shared" si="241"/>
      </c>
      <c r="M30" s="33">
        <f t="shared" si="241"/>
      </c>
      <c r="N30" s="33">
        <f t="shared" si="241"/>
      </c>
      <c r="O30" s="33">
        <f t="shared" si="241"/>
      </c>
      <c r="P30" s="33">
        <f t="shared" si="241"/>
      </c>
      <c r="Q30" s="33">
        <f t="shared" si="241"/>
      </c>
    </row>
    <row r="31" ht="14.25" customHeight="true">
      <c r="A31" s="18"/>
      <c r="B31" s="28" t="s">
        <v>34</v>
      </c>
      <c r="C31" s="29">
        <f ref="C31:Q31" t="shared" si="237">=C30/C7</f>
      </c>
      <c r="D31" s="29">
        <f t="shared" si="237"/>
      </c>
      <c r="E31" s="29">
        <f t="shared" si="237"/>
      </c>
      <c r="F31" s="29">
        <f t="shared" si="237"/>
      </c>
      <c r="G31" s="29">
        <f t="shared" si="237"/>
      </c>
      <c r="H31" s="29">
        <f t="shared" si="237"/>
      </c>
      <c r="I31" s="29">
        <f t="shared" si="237"/>
      </c>
      <c r="J31" s="29">
        <f t="shared" si="237"/>
      </c>
      <c r="K31" s="29">
        <f t="shared" si="237"/>
      </c>
      <c r="L31" s="29">
        <f t="shared" si="237"/>
      </c>
      <c r="M31" s="29">
        <f t="shared" si="237"/>
      </c>
      <c r="N31" s="29">
        <f t="shared" si="237"/>
      </c>
      <c r="O31" s="29">
        <f t="shared" si="237"/>
      </c>
      <c r="P31" s="29">
        <f t="shared" si="237"/>
      </c>
      <c r="Q31" s="29">
        <f t="shared" si="237"/>
      </c>
    </row>
  </sheetData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/>
  <dimension ref="A1"/>
  <sheetViews>
    <sheetView showGridLines="0" tabSelected="0" workbookViewId="0">
      <pane xSplit="2" ySplit="5" topLeftCell="C6" activePane="bottomRight" state="frozen"/>
      <selection activeCell="A1" sqref="A1"/>
    </sheetView>
  </sheetViews>
  <sheetFormatPr defaultRowHeight="14.25" customHeight="1" defaultColWidth="8.34"/>
  <cols>
    <col min="1" max="1" width="3.43" customWidth="1" hidden="0"/>
    <col min="2" max="2" width="41.58" customWidth="1" hidden="0"/>
    <col min="3" max="17" width="10.67" customWidth="1" hidden="0"/>
    <col min="18" max="16384" width="8.34" customWidth="1" hidden="0"/>
  </cols>
  <sheetData>
    <row r="2" ht="14.25" customHeight="true">
      <c r="A2" s="17" t="s">
        <v>13</v>
      </c>
      <c r="B2" s="12" t="s">
        <v>35</v>
      </c>
    </row>
    <row r="3" ht="14.25" customHeight="true">
      <c r="B3" s="8">
        <f>=COVER!H15</f>
      </c>
      <c r="H3" s="11"/>
      <c r="I3" s="11"/>
      <c r="J3" s="11"/>
      <c r="K3" s="11"/>
      <c r="L3" s="11"/>
      <c r="M3" s="11"/>
      <c r="N3" s="11"/>
      <c r="O3" s="11"/>
      <c r="P3" s="11"/>
      <c r="Q3" s="11"/>
    </row>
    <row r="5" ht="14.25" customHeight="true">
      <c r="A5" s="18"/>
      <c r="B5" s="19">
        <f>=+ERI!B5</f>
      </c>
      <c r="C5" s="20">
        <f>=D5-1</f>
      </c>
      <c r="D5" s="20">
        <f>=E5-1</f>
      </c>
      <c r="E5" s="20">
        <f>=F5-1</f>
      </c>
      <c r="F5" s="20">
        <f>=G5-1</f>
      </c>
      <c r="G5" s="20">
        <f>=COVER!D21-1</f>
      </c>
      <c r="H5" s="20">
        <f>=CONCATENATE(COVER!$D$21,"p")</f>
      </c>
      <c r="I5" s="20">
        <f>=CONCATENATE(COVER!$D$21+1,"p")</f>
      </c>
      <c r="J5" s="20">
        <f>=CONCATENATE(COVER!$D$21+2,"p")</f>
      </c>
      <c r="K5" s="20">
        <f>=CONCATENATE(COVER!$D$21+3,"p")</f>
      </c>
      <c r="L5" s="20">
        <f>=CONCATENATE(COVER!$D$21+4,"p")</f>
      </c>
      <c r="M5" s="20">
        <f>=CONCATENATE(COVER!$D$21+5,"p")</f>
      </c>
      <c r="N5" s="20">
        <f>=CONCATENATE(COVER!$D$21+6,"p")</f>
      </c>
      <c r="O5" s="20">
        <f>=CONCATENATE(COVER!$D$21+7,"p")</f>
      </c>
      <c r="P5" s="20">
        <f>=CONCATENATE(COVER!$D$21+8,"p")</f>
      </c>
      <c r="Q5" s="20">
        <f>=CONCATENATE(COVER!$D$21+9,"p")</f>
      </c>
    </row>
    <row r="6" ht="14.25" customHeight="true">
      <c r="A6" s="18"/>
      <c r="B6" s="21"/>
    </row>
    <row r="7" ht="14.25" customHeight="true">
      <c r="A7" s="18"/>
      <c r="B7" s="21" t="s">
        <v>36</v>
      </c>
      <c r="C7" s="34"/>
      <c r="D7" s="34"/>
      <c r="E7" s="34"/>
      <c r="F7" s="34"/>
      <c r="G7" s="34"/>
      <c r="H7" s="21"/>
      <c r="I7" s="21"/>
      <c r="J7" s="21"/>
      <c r="K7" s="21"/>
      <c r="L7" s="21"/>
      <c r="M7" s="21"/>
      <c r="N7" s="21"/>
      <c r="O7" s="21"/>
      <c r="P7" s="21"/>
      <c r="Q7" s="21"/>
    </row>
    <row r="8" ht="14.25" customHeight="true">
      <c r="A8" s="18"/>
      <c r="B8" s="21" t="s">
        <v>37</v>
      </c>
      <c r="C8" s="34"/>
      <c r="D8" s="34"/>
      <c r="E8" s="34"/>
      <c r="F8" s="34"/>
      <c r="G8" s="34"/>
      <c r="H8" s="21"/>
      <c r="I8" s="21"/>
      <c r="J8" s="21"/>
      <c r="K8" s="21"/>
      <c r="L8" s="21"/>
      <c r="M8" s="21"/>
      <c r="N8" s="21"/>
      <c r="O8" s="21"/>
      <c r="P8" s="21"/>
      <c r="Q8" s="21"/>
    </row>
    <row r="9" ht="14.25" customHeight="true">
      <c r="A9" s="18">
        <v>1</v>
      </c>
      <c r="B9" s="9" t="s">
        <v>38</v>
      </c>
      <c r="C9" s="30">
        <v>5</v>
      </c>
      <c r="D9" s="30">
        <v>5</v>
      </c>
      <c r="E9" s="30">
        <v>5</v>
      </c>
      <c r="F9" s="30">
        <v>5</v>
      </c>
      <c r="G9" s="30">
        <v>5</v>
      </c>
      <c r="H9" s="31">
        <f>='Supuestos Proyeccion'!H135</f>
      </c>
      <c r="I9" s="31">
        <f>='Supuestos Proyeccion'!I135</f>
      </c>
      <c r="J9" s="31">
        <f>='Supuestos Proyeccion'!J135</f>
      </c>
      <c r="K9" s="31">
        <f>='Supuestos Proyeccion'!K135</f>
      </c>
      <c r="L9" s="31">
        <f>='Supuestos Proyeccion'!L135</f>
      </c>
      <c r="M9" s="31">
        <f>='Supuestos Proyeccion'!M135</f>
      </c>
      <c r="N9" s="31">
        <f>='Supuestos Proyeccion'!N135</f>
      </c>
      <c r="O9" s="31">
        <f>='Supuestos Proyeccion'!O135</f>
      </c>
      <c r="P9" s="31">
        <f>='Supuestos Proyeccion'!P135</f>
      </c>
      <c r="Q9" s="31">
        <f>='Supuestos Proyeccion'!Q135</f>
      </c>
    </row>
    <row r="10" ht="14.25" customHeight="true">
      <c r="A10" s="18">
        <f ref="A10:A15" t="shared" si="301">=A9+1</f>
      </c>
      <c r="B10" s="9" t="s">
        <v>39</v>
      </c>
      <c r="C10" s="30">
        <v>0</v>
      </c>
      <c r="D10" s="30">
        <v>0</v>
      </c>
      <c r="E10" s="30">
        <v>0</v>
      </c>
      <c r="F10" s="30">
        <v>0</v>
      </c>
      <c r="G10" s="30">
        <v>0</v>
      </c>
      <c r="H10" s="31">
        <f>=+'Modulo Tesoreria'!F45</f>
      </c>
      <c r="I10" s="31">
        <f>=+'Modulo Tesoreria'!G45</f>
      </c>
      <c r="J10" s="31">
        <f>=+'Modulo Tesoreria'!H45</f>
      </c>
      <c r="K10" s="31">
        <f>=+'Modulo Tesoreria'!I45</f>
      </c>
      <c r="L10" s="31">
        <f>=+'Modulo Tesoreria'!J45</f>
      </c>
      <c r="M10" s="31">
        <f>=+'Modulo Tesoreria'!K45</f>
      </c>
      <c r="N10" s="31">
        <f>=+'Modulo Tesoreria'!L45</f>
      </c>
      <c r="O10" s="31">
        <f>=+'Modulo Tesoreria'!M45</f>
      </c>
      <c r="P10" s="31">
        <f>=+'Modulo Tesoreria'!N45</f>
      </c>
      <c r="Q10" s="31">
        <f>=+'Modulo Tesoreria'!O45</f>
      </c>
    </row>
    <row r="11" ht="14.25" customHeight="true">
      <c r="A11" s="18">
        <f t="shared" si="301"/>
      </c>
      <c r="B11" s="9" t="s">
        <v>40</v>
      </c>
      <c r="C11" s="30">
        <v>10</v>
      </c>
      <c r="D11" s="30">
        <v>10</v>
      </c>
      <c r="E11" s="30">
        <v>10</v>
      </c>
      <c r="F11" s="30">
        <v>10</v>
      </c>
      <c r="G11" s="30">
        <v>10</v>
      </c>
      <c r="H11" s="31">
        <f>='Supuestos Proyeccion'!H137</f>
      </c>
      <c r="I11" s="31">
        <f>='Supuestos Proyeccion'!I137</f>
      </c>
      <c r="J11" s="31">
        <f>='Supuestos Proyeccion'!J137</f>
      </c>
      <c r="K11" s="31">
        <f>='Supuestos Proyeccion'!K137</f>
      </c>
      <c r="L11" s="31">
        <f>='Supuestos Proyeccion'!L137</f>
      </c>
      <c r="M11" s="31">
        <f>='Supuestos Proyeccion'!M137</f>
      </c>
      <c r="N11" s="31">
        <f>='Supuestos Proyeccion'!N137</f>
      </c>
      <c r="O11" s="31">
        <f>='Supuestos Proyeccion'!O137</f>
      </c>
      <c r="P11" s="31">
        <f>='Supuestos Proyeccion'!P137</f>
      </c>
      <c r="Q11" s="31">
        <f>='Supuestos Proyeccion'!Q137</f>
      </c>
    </row>
    <row r="12" ht="14.25" customHeight="true">
      <c r="A12" s="18">
        <f t="shared" si="301"/>
      </c>
      <c r="B12" s="9" t="s">
        <v>41</v>
      </c>
      <c r="C12" s="30">
        <v>0</v>
      </c>
      <c r="D12" s="30">
        <v>0</v>
      </c>
      <c r="E12" s="30">
        <v>0</v>
      </c>
      <c r="F12" s="30">
        <v>0</v>
      </c>
      <c r="G12" s="30">
        <v>0</v>
      </c>
      <c r="H12" s="31">
        <f>='Supuestos Proyeccion'!H139</f>
      </c>
      <c r="I12" s="31">
        <f>='Supuestos Proyeccion'!I139</f>
      </c>
      <c r="J12" s="31">
        <f>='Supuestos Proyeccion'!J139</f>
      </c>
      <c r="K12" s="31">
        <f>='Supuestos Proyeccion'!K139</f>
      </c>
      <c r="L12" s="31">
        <f>='Supuestos Proyeccion'!L139</f>
      </c>
      <c r="M12" s="31">
        <f>='Supuestos Proyeccion'!M139</f>
      </c>
      <c r="N12" s="31">
        <f>='Supuestos Proyeccion'!N139</f>
      </c>
      <c r="O12" s="31">
        <f>='Supuestos Proyeccion'!O139</f>
      </c>
      <c r="P12" s="31">
        <f>='Supuestos Proyeccion'!P139</f>
      </c>
      <c r="Q12" s="31">
        <f>='Supuestos Proyeccion'!Q139</f>
      </c>
    </row>
    <row r="13" ht="14.25" customHeight="true">
      <c r="A13" s="18">
        <f t="shared" si="301"/>
      </c>
      <c r="B13" s="9" t="s">
        <v>42</v>
      </c>
      <c r="C13" s="30">
        <v>10</v>
      </c>
      <c r="D13" s="30">
        <v>10</v>
      </c>
      <c r="E13" s="30">
        <v>10</v>
      </c>
      <c r="F13" s="30">
        <v>10</v>
      </c>
      <c r="G13" s="30">
        <v>10</v>
      </c>
      <c r="H13" s="31">
        <f>='Supuestos Proyeccion'!H141</f>
      </c>
      <c r="I13" s="31">
        <f>='Supuestos Proyeccion'!I141</f>
      </c>
      <c r="J13" s="31">
        <f>='Supuestos Proyeccion'!J141</f>
      </c>
      <c r="K13" s="31">
        <f>='Supuestos Proyeccion'!K141</f>
      </c>
      <c r="L13" s="31">
        <f>='Supuestos Proyeccion'!L141</f>
      </c>
      <c r="M13" s="31">
        <f>='Supuestos Proyeccion'!M141</f>
      </c>
      <c r="N13" s="31">
        <f>='Supuestos Proyeccion'!N141</f>
      </c>
      <c r="O13" s="31">
        <f>='Supuestos Proyeccion'!O141</f>
      </c>
      <c r="P13" s="31">
        <f>='Supuestos Proyeccion'!P141</f>
      </c>
      <c r="Q13" s="31">
        <f>='Supuestos Proyeccion'!Q141</f>
      </c>
    </row>
    <row r="14" ht="14.25" customHeight="true">
      <c r="A14" s="18">
        <f t="shared" si="301"/>
      </c>
      <c r="B14" s="9" t="s">
        <v>43</v>
      </c>
      <c r="C14" s="30">
        <v>0</v>
      </c>
      <c r="D14" s="30">
        <v>0</v>
      </c>
      <c r="E14" s="30">
        <v>0</v>
      </c>
      <c r="F14" s="30">
        <v>0</v>
      </c>
      <c r="G14" s="30">
        <v>0</v>
      </c>
      <c r="H14" s="31">
        <f>='Supuestos Proyeccion'!H144</f>
      </c>
      <c r="I14" s="31">
        <f>='Supuestos Proyeccion'!I144</f>
      </c>
      <c r="J14" s="31">
        <f>='Supuestos Proyeccion'!J144</f>
      </c>
      <c r="K14" s="31">
        <f>='Supuestos Proyeccion'!K144</f>
      </c>
      <c r="L14" s="31">
        <f>='Supuestos Proyeccion'!L144</f>
      </c>
      <c r="M14" s="31">
        <f>='Supuestos Proyeccion'!M144</f>
      </c>
      <c r="N14" s="31">
        <f>='Supuestos Proyeccion'!N144</f>
      </c>
      <c r="O14" s="31">
        <f>='Supuestos Proyeccion'!O144</f>
      </c>
      <c r="P14" s="31">
        <f>='Supuestos Proyeccion'!P144</f>
      </c>
      <c r="Q14" s="31">
        <f>='Supuestos Proyeccion'!Q144</f>
      </c>
    </row>
    <row r="15" ht="14.25" customHeight="true">
      <c r="A15" s="18">
        <f t="shared" si="301"/>
      </c>
      <c r="B15" s="35" t="s">
        <v>44</v>
      </c>
      <c r="C15" s="26">
        <v>0</v>
      </c>
      <c r="D15" s="26">
        <v>0</v>
      </c>
      <c r="E15" s="26">
        <v>0</v>
      </c>
      <c r="F15" s="26">
        <v>0</v>
      </c>
      <c r="G15" s="26">
        <v>0</v>
      </c>
      <c r="H15" s="27">
        <f>='Supuestos Proyeccion'!H146</f>
      </c>
      <c r="I15" s="27">
        <f>='Supuestos Proyeccion'!I146</f>
      </c>
      <c r="J15" s="27">
        <f>='Supuestos Proyeccion'!J146</f>
      </c>
      <c r="K15" s="27">
        <f>='Supuestos Proyeccion'!K146</f>
      </c>
      <c r="L15" s="27">
        <f>='Supuestos Proyeccion'!L146</f>
      </c>
      <c r="M15" s="27">
        <f>='Supuestos Proyeccion'!M146</f>
      </c>
      <c r="N15" s="27">
        <f>='Supuestos Proyeccion'!N146</f>
      </c>
      <c r="O15" s="27">
        <f>='Supuestos Proyeccion'!O146</f>
      </c>
      <c r="P15" s="27">
        <f>='Supuestos Proyeccion'!P146</f>
      </c>
      <c r="Q15" s="27">
        <f>='Supuestos Proyeccion'!Q146</f>
      </c>
    </row>
    <row r="16" ht="14.25" customHeight="true">
      <c r="A16" s="18"/>
      <c r="B16" s="4" t="s">
        <v>45</v>
      </c>
      <c r="C16" s="24">
        <f ref="C16:Q16" t="shared" si="309">=C9+C10+C11+C12+C13+C14+C15</f>
      </c>
      <c r="D16" s="24">
        <f t="shared" si="309"/>
      </c>
      <c r="E16" s="24">
        <f t="shared" si="309"/>
      </c>
      <c r="F16" s="24">
        <f t="shared" si="309"/>
      </c>
      <c r="G16" s="24">
        <f t="shared" si="309"/>
      </c>
      <c r="H16" s="24">
        <f t="shared" si="309"/>
      </c>
      <c r="I16" s="24">
        <f t="shared" si="309"/>
      </c>
      <c r="J16" s="24">
        <f t="shared" si="309"/>
      </c>
      <c r="K16" s="24">
        <f t="shared" si="309"/>
      </c>
      <c r="L16" s="24">
        <f t="shared" si="309"/>
      </c>
      <c r="M16" s="24">
        <f t="shared" si="309"/>
      </c>
      <c r="N16" s="24">
        <f t="shared" si="309"/>
      </c>
      <c r="O16" s="24">
        <f t="shared" si="309"/>
      </c>
      <c r="P16" s="24">
        <f t="shared" si="309"/>
      </c>
      <c r="Q16" s="24">
        <f t="shared" si="309"/>
      </c>
    </row>
    <row r="17" ht="14.25" customHeight="true"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</row>
    <row r="18" ht="14.25" customHeight="true">
      <c r="A18" s="18"/>
      <c r="B18" s="21" t="s">
        <v>46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</row>
    <row r="19" ht="14.25" customHeight="true">
      <c r="A19" s="18">
        <f>=A15+1</f>
      </c>
      <c r="B19" s="9" t="s">
        <v>47</v>
      </c>
      <c r="C19" s="30">
        <v>100</v>
      </c>
      <c r="D19" s="30">
        <v>100</v>
      </c>
      <c r="E19" s="30">
        <v>100</v>
      </c>
      <c r="F19" s="30">
        <v>100</v>
      </c>
      <c r="G19" s="30">
        <v>100</v>
      </c>
      <c r="H19" s="31">
        <f>='Supuestos Proyeccion'!H149</f>
      </c>
      <c r="I19" s="31">
        <f>='Supuestos Proyeccion'!I149</f>
      </c>
      <c r="J19" s="31">
        <f>='Supuestos Proyeccion'!J149</f>
      </c>
      <c r="K19" s="31">
        <f>='Supuestos Proyeccion'!K149</f>
      </c>
      <c r="L19" s="31">
        <f>='Supuestos Proyeccion'!L149</f>
      </c>
      <c r="M19" s="31">
        <f>='Supuestos Proyeccion'!M149</f>
      </c>
      <c r="N19" s="31">
        <f>='Supuestos Proyeccion'!N149</f>
      </c>
      <c r="O19" s="31">
        <f>='Supuestos Proyeccion'!O149</f>
      </c>
      <c r="P19" s="31">
        <f>='Supuestos Proyeccion'!P149</f>
      </c>
      <c r="Q19" s="31">
        <f>='Supuestos Proyeccion'!Q149</f>
      </c>
    </row>
    <row r="20" ht="14.25" customHeight="true">
      <c r="A20" s="18">
        <f>=A19+1</f>
      </c>
      <c r="B20" s="9" t="s">
        <v>48</v>
      </c>
      <c r="C20" s="30">
        <v>0</v>
      </c>
      <c r="D20" s="30">
        <v>5</v>
      </c>
      <c r="E20" s="30">
        <v>10</v>
      </c>
      <c r="F20" s="30">
        <v>15</v>
      </c>
      <c r="G20" s="30">
        <v>20</v>
      </c>
      <c r="H20" s="31">
        <f>='Supuestos Proyeccion'!H162</f>
      </c>
      <c r="I20" s="31">
        <f>='Supuestos Proyeccion'!I162</f>
      </c>
      <c r="J20" s="31">
        <f>='Supuestos Proyeccion'!J162</f>
      </c>
      <c r="K20" s="31">
        <f>='Supuestos Proyeccion'!K162</f>
      </c>
      <c r="L20" s="31">
        <f>='Supuestos Proyeccion'!L162</f>
      </c>
      <c r="M20" s="31">
        <f>='Supuestos Proyeccion'!M162</f>
      </c>
      <c r="N20" s="31">
        <f>='Supuestos Proyeccion'!N162</f>
      </c>
      <c r="O20" s="31">
        <f>='Supuestos Proyeccion'!O162</f>
      </c>
      <c r="P20" s="31">
        <f>='Supuestos Proyeccion'!P162</f>
      </c>
      <c r="Q20" s="31">
        <f>='Supuestos Proyeccion'!Q162</f>
      </c>
    </row>
    <row r="21" ht="14.25" customHeight="true">
      <c r="A21" s="18"/>
      <c r="B21" s="9" t="s">
        <v>49</v>
      </c>
      <c r="C21" s="31">
        <f ref="C21:Q21" t="shared" si="306">=C19-C20</f>
      </c>
      <c r="D21" s="31">
        <f t="shared" si="306"/>
      </c>
      <c r="E21" s="31">
        <f t="shared" si="306"/>
      </c>
      <c r="F21" s="31">
        <f t="shared" si="306"/>
      </c>
      <c r="G21" s="31">
        <f t="shared" si="306"/>
      </c>
      <c r="H21" s="31">
        <f t="shared" si="306"/>
      </c>
      <c r="I21" s="31">
        <f t="shared" si="306"/>
      </c>
      <c r="J21" s="31">
        <f t="shared" si="306"/>
      </c>
      <c r="K21" s="31">
        <f t="shared" si="306"/>
      </c>
      <c r="L21" s="31">
        <f t="shared" si="306"/>
      </c>
      <c r="M21" s="31">
        <f t="shared" si="306"/>
      </c>
      <c r="N21" s="31">
        <f t="shared" si="306"/>
      </c>
      <c r="O21" s="31">
        <f t="shared" si="306"/>
      </c>
      <c r="P21" s="31">
        <f t="shared" si="306"/>
      </c>
      <c r="Q21" s="31">
        <f t="shared" si="306"/>
      </c>
      <c r="R21" s="8"/>
    </row>
    <row r="22" ht="14.25" customHeight="true">
      <c r="A22" s="18">
        <f>=A20+1</f>
      </c>
      <c r="B22" s="9" t="s">
        <v>50</v>
      </c>
      <c r="C22" s="30">
        <v>0</v>
      </c>
      <c r="D22" s="30">
        <v>0</v>
      </c>
      <c r="E22" s="30">
        <v>0</v>
      </c>
      <c r="F22" s="30">
        <v>0</v>
      </c>
      <c r="G22" s="30">
        <v>0</v>
      </c>
      <c r="H22" s="31">
        <f>='Supuestos Proyeccion'!H232</f>
      </c>
      <c r="I22" s="31">
        <f>='Supuestos Proyeccion'!I232</f>
      </c>
      <c r="J22" s="31">
        <f>='Supuestos Proyeccion'!J232</f>
      </c>
      <c r="K22" s="31">
        <f>='Supuestos Proyeccion'!K232</f>
      </c>
      <c r="L22" s="31">
        <f>='Supuestos Proyeccion'!L232</f>
      </c>
      <c r="M22" s="31">
        <f>='Supuestos Proyeccion'!M232</f>
      </c>
      <c r="N22" s="31">
        <f>='Supuestos Proyeccion'!N232</f>
      </c>
      <c r="O22" s="31">
        <f>='Supuestos Proyeccion'!O232</f>
      </c>
      <c r="P22" s="31">
        <f>='Supuestos Proyeccion'!P232</f>
      </c>
      <c r="Q22" s="31">
        <f>='Supuestos Proyeccion'!Q232</f>
      </c>
      <c r="R22" s="8"/>
    </row>
    <row r="23" ht="14.25" customHeight="true">
      <c r="A23" s="18">
        <f>=A22+1</f>
      </c>
      <c r="B23" s="9" t="s">
        <v>51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1">
        <f>='Supuestos Proyeccion'!H244</f>
      </c>
      <c r="I23" s="31">
        <f>='Supuestos Proyeccion'!I244</f>
      </c>
      <c r="J23" s="31">
        <f>='Supuestos Proyeccion'!J244</f>
      </c>
      <c r="K23" s="31">
        <f>='Supuestos Proyeccion'!K244</f>
      </c>
      <c r="L23" s="31">
        <f>='Supuestos Proyeccion'!L244</f>
      </c>
      <c r="M23" s="31">
        <f>='Supuestos Proyeccion'!M244</f>
      </c>
      <c r="N23" s="31">
        <f>='Supuestos Proyeccion'!N244</f>
      </c>
      <c r="O23" s="31">
        <f>='Supuestos Proyeccion'!O244</f>
      </c>
      <c r="P23" s="31">
        <f>='Supuestos Proyeccion'!P244</f>
      </c>
      <c r="Q23" s="31">
        <f>='Supuestos Proyeccion'!Q244</f>
      </c>
      <c r="R23" s="8"/>
    </row>
    <row r="24" ht="14.25" customHeight="true">
      <c r="A24" s="36"/>
      <c r="B24" s="37" t="s">
        <v>52</v>
      </c>
      <c r="C24" s="38">
        <f ref="C24:Q24" t="shared" si="305">=C22-C23</f>
      </c>
      <c r="D24" s="38">
        <f t="shared" si="305"/>
      </c>
      <c r="E24" s="38">
        <f t="shared" si="305"/>
      </c>
      <c r="F24" s="38">
        <f t="shared" si="305"/>
      </c>
      <c r="G24" s="38">
        <f t="shared" si="305"/>
      </c>
      <c r="H24" s="38">
        <f t="shared" si="305"/>
      </c>
      <c r="I24" s="38">
        <f t="shared" si="305"/>
      </c>
      <c r="J24" s="38">
        <f t="shared" si="305"/>
      </c>
      <c r="K24" s="38">
        <f t="shared" si="305"/>
      </c>
      <c r="L24" s="38">
        <f t="shared" si="305"/>
      </c>
      <c r="M24" s="38">
        <f t="shared" si="305"/>
      </c>
      <c r="N24" s="38">
        <f t="shared" si="305"/>
      </c>
      <c r="O24" s="38">
        <f t="shared" si="305"/>
      </c>
      <c r="P24" s="38">
        <f t="shared" si="305"/>
      </c>
      <c r="Q24" s="38">
        <f t="shared" si="305"/>
      </c>
    </row>
    <row r="25" ht="14.25" customHeight="true">
      <c r="A25" s="18">
        <f>=A23+1</f>
      </c>
      <c r="B25" s="9" t="s">
        <v>53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1">
        <f>='Supuestos Proyeccion'!H315</f>
      </c>
      <c r="I25" s="31">
        <f>='Supuestos Proyeccion'!I315</f>
      </c>
      <c r="J25" s="31">
        <f>='Supuestos Proyeccion'!J315</f>
      </c>
      <c r="K25" s="31">
        <f>='Supuestos Proyeccion'!K315</f>
      </c>
      <c r="L25" s="31">
        <f>='Supuestos Proyeccion'!L315</f>
      </c>
      <c r="M25" s="31">
        <f>='Supuestos Proyeccion'!M315</f>
      </c>
      <c r="N25" s="31">
        <f>='Supuestos Proyeccion'!N315</f>
      </c>
      <c r="O25" s="31">
        <f>='Supuestos Proyeccion'!O315</f>
      </c>
      <c r="P25" s="31">
        <f>='Supuestos Proyeccion'!P315</f>
      </c>
      <c r="Q25" s="31">
        <f>='Supuestos Proyeccion'!Q315</f>
      </c>
    </row>
    <row r="26" ht="14.25" customHeight="true">
      <c r="A26" s="18">
        <f>=A25+1</f>
      </c>
      <c r="B26" s="9" t="s">
        <v>54</v>
      </c>
      <c r="C26" s="30">
        <v>0</v>
      </c>
      <c r="D26" s="30">
        <v>0</v>
      </c>
      <c r="E26" s="30">
        <v>0</v>
      </c>
      <c r="F26" s="30">
        <v>0</v>
      </c>
      <c r="G26" s="30">
        <v>0</v>
      </c>
      <c r="H26" s="31">
        <f>='Supuestos Proyeccion'!H317</f>
      </c>
      <c r="I26" s="31">
        <f>='Supuestos Proyeccion'!I317</f>
      </c>
      <c r="J26" s="31">
        <f>='Supuestos Proyeccion'!J317</f>
      </c>
      <c r="K26" s="31">
        <f>='Supuestos Proyeccion'!K317</f>
      </c>
      <c r="L26" s="31">
        <f>='Supuestos Proyeccion'!L317</f>
      </c>
      <c r="M26" s="31">
        <f>='Supuestos Proyeccion'!M317</f>
      </c>
      <c r="N26" s="31">
        <f>='Supuestos Proyeccion'!N317</f>
      </c>
      <c r="O26" s="31">
        <f>='Supuestos Proyeccion'!O317</f>
      </c>
      <c r="P26" s="31">
        <f>='Supuestos Proyeccion'!P317</f>
      </c>
      <c r="Q26" s="31">
        <f>='Supuestos Proyeccion'!Q317</f>
      </c>
    </row>
    <row r="27" ht="14.25" customHeight="true">
      <c r="A27" s="18">
        <f>=A26+1</f>
      </c>
      <c r="B27" s="35" t="s">
        <v>55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7">
        <f>='Supuestos Proyeccion'!H319</f>
      </c>
      <c r="I27" s="27">
        <f>='Supuestos Proyeccion'!I319</f>
      </c>
      <c r="J27" s="27">
        <f>='Supuestos Proyeccion'!J319</f>
      </c>
      <c r="K27" s="27">
        <f>='Supuestos Proyeccion'!K319</f>
      </c>
      <c r="L27" s="27">
        <f>='Supuestos Proyeccion'!L319</f>
      </c>
      <c r="M27" s="27">
        <f>='Supuestos Proyeccion'!M319</f>
      </c>
      <c r="N27" s="27">
        <f>='Supuestos Proyeccion'!N319</f>
      </c>
      <c r="O27" s="27">
        <f>='Supuestos Proyeccion'!O319</f>
      </c>
      <c r="P27" s="27">
        <f>='Supuestos Proyeccion'!P319</f>
      </c>
      <c r="Q27" s="27">
        <f>='Supuestos Proyeccion'!Q319</f>
      </c>
    </row>
    <row r="28" ht="14.25" customHeight="true">
      <c r="A28" s="18"/>
      <c r="B28" s="4" t="s">
        <v>56</v>
      </c>
      <c r="C28" s="24">
        <f ref="C28:Q28" t="shared" si="307">=C21+C24+C25+C26+C27</f>
      </c>
      <c r="D28" s="24">
        <f t="shared" si="307"/>
      </c>
      <c r="E28" s="24">
        <f t="shared" si="307"/>
      </c>
      <c r="F28" s="24">
        <f t="shared" si="307"/>
      </c>
      <c r="G28" s="24">
        <f t="shared" si="307"/>
      </c>
      <c r="H28" s="24">
        <f t="shared" si="307"/>
      </c>
      <c r="I28" s="24">
        <f t="shared" si="307"/>
      </c>
      <c r="J28" s="24">
        <f t="shared" si="307"/>
      </c>
      <c r="K28" s="24">
        <f t="shared" si="307"/>
      </c>
      <c r="L28" s="24">
        <f t="shared" si="307"/>
      </c>
      <c r="M28" s="24">
        <f t="shared" si="307"/>
      </c>
      <c r="N28" s="24">
        <f t="shared" si="307"/>
      </c>
      <c r="O28" s="24">
        <f t="shared" si="307"/>
      </c>
      <c r="P28" s="24">
        <f t="shared" si="307"/>
      </c>
      <c r="Q28" s="24">
        <f t="shared" si="307"/>
      </c>
    </row>
    <row r="29" ht="14.25" customHeight="true"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</row>
    <row r="30" ht="14.25" customHeight="true">
      <c r="A30" s="18"/>
      <c r="B30" s="39" t="s">
        <v>57</v>
      </c>
      <c r="C30" s="33">
        <f ref="C30:Q30" t="shared" si="303">=C16+C28</f>
      </c>
      <c r="D30" s="33">
        <f t="shared" si="303"/>
      </c>
      <c r="E30" s="33">
        <f t="shared" si="303"/>
      </c>
      <c r="F30" s="33">
        <f t="shared" si="303"/>
      </c>
      <c r="G30" s="33">
        <f t="shared" si="303"/>
      </c>
      <c r="H30" s="33">
        <f t="shared" si="303"/>
      </c>
      <c r="I30" s="33">
        <f t="shared" si="303"/>
      </c>
      <c r="J30" s="33">
        <f t="shared" si="303"/>
      </c>
      <c r="K30" s="33">
        <f t="shared" si="303"/>
      </c>
      <c r="L30" s="33">
        <f t="shared" si="303"/>
      </c>
      <c r="M30" s="33">
        <f t="shared" si="303"/>
      </c>
      <c r="N30" s="33">
        <f t="shared" si="303"/>
      </c>
      <c r="O30" s="33">
        <f t="shared" si="303"/>
      </c>
      <c r="P30" s="33">
        <f t="shared" si="303"/>
      </c>
      <c r="Q30" s="33">
        <f t="shared" si="303"/>
      </c>
    </row>
    <row r="31" ht="14.25" customHeight="true"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</row>
    <row r="32" ht="14.25" customHeight="true"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</row>
    <row r="33" ht="14.25" customHeight="true">
      <c r="A33" s="18"/>
      <c r="B33" s="21" t="s">
        <v>58</v>
      </c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</row>
    <row r="34" ht="14.25" customHeight="true">
      <c r="A34" s="18"/>
      <c r="B34" s="4" t="s">
        <v>59</v>
      </c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</row>
    <row r="35" ht="14.25" customHeight="true">
      <c r="A35" s="18">
        <f>=A26+1</f>
      </c>
      <c r="B35" s="9" t="s">
        <v>60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1">
        <f>=+'Modulo Tesoreria'!F25</f>
      </c>
      <c r="I35" s="31">
        <f>=+'Modulo Tesoreria'!G25</f>
      </c>
      <c r="J35" s="31">
        <f>=+'Modulo Tesoreria'!H25</f>
      </c>
      <c r="K35" s="31">
        <f>=+'Modulo Tesoreria'!I25</f>
      </c>
      <c r="L35" s="31">
        <f>=+'Modulo Tesoreria'!J25</f>
      </c>
      <c r="M35" s="31">
        <f>=+'Modulo Tesoreria'!K25</f>
      </c>
      <c r="N35" s="31">
        <f>=+'Modulo Tesoreria'!L25</f>
      </c>
      <c r="O35" s="31">
        <f>=+'Modulo Tesoreria'!M25</f>
      </c>
      <c r="P35" s="31">
        <f>=+'Modulo Tesoreria'!N25</f>
      </c>
      <c r="Q35" s="31">
        <f>=+'Modulo Tesoreria'!O25</f>
      </c>
    </row>
    <row r="36" ht="14.25" customHeight="true">
      <c r="A36" s="18">
        <f>=A35+1</f>
      </c>
      <c r="B36" s="9" t="s">
        <v>61</v>
      </c>
      <c r="C36" s="30">
        <v>0</v>
      </c>
      <c r="D36" s="30">
        <v>0</v>
      </c>
      <c r="E36" s="30">
        <v>0</v>
      </c>
      <c r="F36" s="30">
        <v>0</v>
      </c>
      <c r="G36" s="30">
        <v>0</v>
      </c>
      <c r="H36" s="31">
        <f>='Supuestos Proyeccion'!H325</f>
      </c>
      <c r="I36" s="31">
        <f>='Supuestos Proyeccion'!I325</f>
      </c>
      <c r="J36" s="31">
        <f>='Supuestos Proyeccion'!J325</f>
      </c>
      <c r="K36" s="31">
        <f>='Supuestos Proyeccion'!K325</f>
      </c>
      <c r="L36" s="31">
        <f>='Supuestos Proyeccion'!L325</f>
      </c>
      <c r="M36" s="31">
        <f>='Supuestos Proyeccion'!M325</f>
      </c>
      <c r="N36" s="31">
        <f>='Supuestos Proyeccion'!N325</f>
      </c>
      <c r="O36" s="31">
        <f>='Supuestos Proyeccion'!O325</f>
      </c>
      <c r="P36" s="31">
        <f>='Supuestos Proyeccion'!P325</f>
      </c>
      <c r="Q36" s="31">
        <f>='Supuestos Proyeccion'!Q325</f>
      </c>
    </row>
    <row r="37" ht="14.25" customHeight="true">
      <c r="A37" s="18">
        <f>=A36+1</f>
      </c>
      <c r="B37" s="9" t="s">
        <v>62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1">
        <f>='Supuestos Proyeccion'!H327</f>
      </c>
      <c r="I37" s="31">
        <f>='Supuestos Proyeccion'!I327</f>
      </c>
      <c r="J37" s="31">
        <f>='Supuestos Proyeccion'!J327</f>
      </c>
      <c r="K37" s="31">
        <f>='Supuestos Proyeccion'!K327</f>
      </c>
      <c r="L37" s="31">
        <f>='Supuestos Proyeccion'!L327</f>
      </c>
      <c r="M37" s="31">
        <f>='Supuestos Proyeccion'!M327</f>
      </c>
      <c r="N37" s="31">
        <f>='Supuestos Proyeccion'!N327</f>
      </c>
      <c r="O37" s="31">
        <f>='Supuestos Proyeccion'!O327</f>
      </c>
      <c r="P37" s="31">
        <f>='Supuestos Proyeccion'!P327</f>
      </c>
      <c r="Q37" s="31">
        <f>='Supuestos Proyeccion'!Q327</f>
      </c>
    </row>
    <row r="38" ht="14.25" customHeight="true">
      <c r="A38" s="18">
        <f>=A37+1</f>
      </c>
      <c r="B38" s="9" t="s">
        <v>63</v>
      </c>
      <c r="C38" s="30">
        <v>0</v>
      </c>
      <c r="D38" s="30">
        <v>0</v>
      </c>
      <c r="E38" s="30">
        <v>0</v>
      </c>
      <c r="F38" s="30">
        <v>0</v>
      </c>
      <c r="G38" s="30">
        <v>0</v>
      </c>
      <c r="H38" s="31">
        <f>='Supuestos Proyeccion'!H328</f>
      </c>
      <c r="I38" s="31">
        <f>='Supuestos Proyeccion'!I328</f>
      </c>
      <c r="J38" s="31">
        <f>='Supuestos Proyeccion'!J328</f>
      </c>
      <c r="K38" s="31">
        <f>='Supuestos Proyeccion'!K328</f>
      </c>
      <c r="L38" s="31">
        <f>='Supuestos Proyeccion'!L328</f>
      </c>
      <c r="M38" s="31">
        <f>='Supuestos Proyeccion'!M328</f>
      </c>
      <c r="N38" s="31">
        <f>='Supuestos Proyeccion'!N328</f>
      </c>
      <c r="O38" s="31">
        <f>='Supuestos Proyeccion'!O328</f>
      </c>
      <c r="P38" s="31">
        <f>='Supuestos Proyeccion'!P328</f>
      </c>
      <c r="Q38" s="31">
        <f>='Supuestos Proyeccion'!Q328</f>
      </c>
    </row>
    <row r="39" ht="14.25" customHeight="true">
      <c r="A39" s="18">
        <f>=A38+1</f>
      </c>
      <c r="B39" s="9" t="s">
        <v>64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1">
        <f>='Supuestos Proyeccion'!H330</f>
      </c>
      <c r="I39" s="31">
        <f>='Supuestos Proyeccion'!I330</f>
      </c>
      <c r="J39" s="31">
        <f>='Supuestos Proyeccion'!J330</f>
      </c>
      <c r="K39" s="31">
        <f>='Supuestos Proyeccion'!K330</f>
      </c>
      <c r="L39" s="31">
        <f>='Supuestos Proyeccion'!L330</f>
      </c>
      <c r="M39" s="31">
        <f>='Supuestos Proyeccion'!M330</f>
      </c>
      <c r="N39" s="31">
        <f>='Supuestos Proyeccion'!N330</f>
      </c>
      <c r="O39" s="31">
        <f>='Supuestos Proyeccion'!O330</f>
      </c>
      <c r="P39" s="31">
        <f>='Supuestos Proyeccion'!P330</f>
      </c>
      <c r="Q39" s="31">
        <f>='Supuestos Proyeccion'!Q330</f>
      </c>
    </row>
    <row r="40" ht="14.25" customHeight="true">
      <c r="A40" s="18">
        <f>=A39+1</f>
      </c>
      <c r="B40" s="35" t="s">
        <v>65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7">
        <f>='Supuestos Proyeccion'!H332</f>
      </c>
      <c r="I40" s="27">
        <f>='Supuestos Proyeccion'!I332</f>
      </c>
      <c r="J40" s="27">
        <f>='Supuestos Proyeccion'!J332</f>
      </c>
      <c r="K40" s="27">
        <f>='Supuestos Proyeccion'!K332</f>
      </c>
      <c r="L40" s="27">
        <f>='Supuestos Proyeccion'!L332</f>
      </c>
      <c r="M40" s="27">
        <f>='Supuestos Proyeccion'!M332</f>
      </c>
      <c r="N40" s="27">
        <f>='Supuestos Proyeccion'!N332</f>
      </c>
      <c r="O40" s="27">
        <f>='Supuestos Proyeccion'!O332</f>
      </c>
      <c r="P40" s="27">
        <f>='Supuestos Proyeccion'!P332</f>
      </c>
      <c r="Q40" s="27">
        <f>='Supuestos Proyeccion'!Q332</f>
      </c>
    </row>
    <row r="41" ht="14.25" customHeight="true">
      <c r="A41" s="18"/>
      <c r="B41" s="4" t="s">
        <v>66</v>
      </c>
      <c r="C41" s="24">
        <f ref="C41:Q41" t="shared" si="308">=C35+C36+C37+C38+C39+C40</f>
      </c>
      <c r="D41" s="24">
        <f t="shared" si="308"/>
      </c>
      <c r="E41" s="24">
        <f t="shared" si="308"/>
      </c>
      <c r="F41" s="24">
        <f t="shared" si="308"/>
      </c>
      <c r="G41" s="24">
        <f t="shared" si="308"/>
      </c>
      <c r="H41" s="24">
        <f t="shared" si="308"/>
      </c>
      <c r="I41" s="24">
        <f t="shared" si="308"/>
      </c>
      <c r="J41" s="24">
        <f t="shared" si="308"/>
      </c>
      <c r="K41" s="24">
        <f t="shared" si="308"/>
      </c>
      <c r="L41" s="24">
        <f t="shared" si="308"/>
      </c>
      <c r="M41" s="24">
        <f t="shared" si="308"/>
      </c>
      <c r="N41" s="24">
        <f t="shared" si="308"/>
      </c>
      <c r="O41" s="24">
        <f t="shared" si="308"/>
      </c>
      <c r="P41" s="24">
        <f t="shared" si="308"/>
      </c>
      <c r="Q41" s="24">
        <f t="shared" si="308"/>
      </c>
    </row>
    <row r="42" ht="14.25" customHeight="true"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</row>
    <row r="43" ht="14.25" customHeight="true">
      <c r="A43" s="18"/>
      <c r="B43" s="4" t="s">
        <v>67</v>
      </c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</row>
    <row r="44" ht="14.25" customHeight="true">
      <c r="A44" s="18">
        <f>=A40+1</f>
      </c>
      <c r="B44" s="9" t="s">
        <v>68</v>
      </c>
      <c r="C44" s="30">
        <v>80</v>
      </c>
      <c r="D44" s="30">
        <v>75</v>
      </c>
      <c r="E44" s="30">
        <v>70</v>
      </c>
      <c r="F44" s="30">
        <v>65</v>
      </c>
      <c r="G44" s="30">
        <v>60</v>
      </c>
      <c r="H44" s="31">
        <f>='Supuestos Proyeccion'!H336</f>
      </c>
      <c r="I44" s="31">
        <f>='Supuestos Proyeccion'!I336</f>
      </c>
      <c r="J44" s="31">
        <f>='Supuestos Proyeccion'!J336</f>
      </c>
      <c r="K44" s="31">
        <f>='Supuestos Proyeccion'!K336</f>
      </c>
      <c r="L44" s="31">
        <f>='Supuestos Proyeccion'!L336</f>
      </c>
      <c r="M44" s="31">
        <f>='Supuestos Proyeccion'!M336</f>
      </c>
      <c r="N44" s="31">
        <f>='Supuestos Proyeccion'!N336</f>
      </c>
      <c r="O44" s="31">
        <f>='Supuestos Proyeccion'!O336</f>
      </c>
      <c r="P44" s="31">
        <f>='Supuestos Proyeccion'!P336</f>
      </c>
      <c r="Q44" s="31">
        <f>='Supuestos Proyeccion'!Q336</f>
      </c>
    </row>
    <row r="45" ht="14.25" customHeight="true">
      <c r="A45" s="18">
        <f>=A44+1</f>
      </c>
      <c r="B45" s="35" t="s">
        <v>69</v>
      </c>
      <c r="C45" s="26">
        <v>0</v>
      </c>
      <c r="D45" s="26">
        <v>0</v>
      </c>
      <c r="E45" s="26">
        <v>0</v>
      </c>
      <c r="F45" s="26">
        <v>0</v>
      </c>
      <c r="G45" s="26">
        <v>0</v>
      </c>
      <c r="H45" s="27">
        <f>='Supuestos Proyeccion'!H337</f>
      </c>
      <c r="I45" s="27">
        <f>='Supuestos Proyeccion'!I337</f>
      </c>
      <c r="J45" s="27">
        <f>='Supuestos Proyeccion'!J337</f>
      </c>
      <c r="K45" s="27">
        <f>='Supuestos Proyeccion'!K337</f>
      </c>
      <c r="L45" s="27">
        <f>='Supuestos Proyeccion'!L337</f>
      </c>
      <c r="M45" s="27">
        <f>='Supuestos Proyeccion'!M337</f>
      </c>
      <c r="N45" s="27">
        <f>='Supuestos Proyeccion'!N337</f>
      </c>
      <c r="O45" s="27">
        <f>='Supuestos Proyeccion'!O337</f>
      </c>
      <c r="P45" s="27">
        <f>='Supuestos Proyeccion'!P337</f>
      </c>
      <c r="Q45" s="27">
        <f>='Supuestos Proyeccion'!Q337</f>
      </c>
    </row>
    <row r="46" ht="14.25" customHeight="true">
      <c r="A46" s="18"/>
      <c r="B46" s="4" t="s">
        <v>70</v>
      </c>
      <c r="C46" s="24">
        <f ref="C46:Q46" t="shared" si="302">=C44+C45</f>
      </c>
      <c r="D46" s="24">
        <f t="shared" si="302"/>
      </c>
      <c r="E46" s="24">
        <f t="shared" si="302"/>
      </c>
      <c r="F46" s="24">
        <f t="shared" si="302"/>
      </c>
      <c r="G46" s="24">
        <f t="shared" si="302"/>
      </c>
      <c r="H46" s="24">
        <f t="shared" si="302"/>
      </c>
      <c r="I46" s="24">
        <f t="shared" si="302"/>
      </c>
      <c r="J46" s="24">
        <f t="shared" si="302"/>
      </c>
      <c r="K46" s="24">
        <f t="shared" si="302"/>
      </c>
      <c r="L46" s="24">
        <f t="shared" si="302"/>
      </c>
      <c r="M46" s="24">
        <f t="shared" si="302"/>
      </c>
      <c r="N46" s="24">
        <f t="shared" si="302"/>
      </c>
      <c r="O46" s="24">
        <f t="shared" si="302"/>
      </c>
      <c r="P46" s="24">
        <f t="shared" si="302"/>
      </c>
      <c r="Q46" s="24">
        <f t="shared" si="302"/>
      </c>
    </row>
    <row r="47" ht="14.25" customHeight="true">
      <c r="A47" s="18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</row>
    <row r="48" ht="14.25" customHeight="true">
      <c r="A48" s="18"/>
      <c r="B48" s="40" t="s">
        <v>71</v>
      </c>
      <c r="C48" s="41">
        <f ref="C48:Q48" t="shared" si="298">=C41+C46</f>
      </c>
      <c r="D48" s="41">
        <f t="shared" si="298"/>
      </c>
      <c r="E48" s="41">
        <f t="shared" si="298"/>
      </c>
      <c r="F48" s="41">
        <f t="shared" si="298"/>
      </c>
      <c r="G48" s="41">
        <f t="shared" si="298"/>
      </c>
      <c r="H48" s="41">
        <f t="shared" si="298"/>
      </c>
      <c r="I48" s="41">
        <f t="shared" si="298"/>
      </c>
      <c r="J48" s="41">
        <f t="shared" si="298"/>
      </c>
      <c r="K48" s="41">
        <f t="shared" si="298"/>
      </c>
      <c r="L48" s="41">
        <f t="shared" si="298"/>
      </c>
      <c r="M48" s="41">
        <f t="shared" si="298"/>
      </c>
      <c r="N48" s="41">
        <f t="shared" si="298"/>
      </c>
      <c r="O48" s="41">
        <f t="shared" si="298"/>
      </c>
      <c r="P48" s="41">
        <f t="shared" si="298"/>
      </c>
      <c r="Q48" s="41">
        <f t="shared" si="298"/>
      </c>
    </row>
    <row r="49" ht="14.25" customHeight="true">
      <c r="A49" s="18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</row>
    <row r="50" ht="14.25" customHeight="true">
      <c r="A50" s="18"/>
      <c r="B50" s="21" t="s">
        <v>72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</row>
    <row r="51" ht="14.25" customHeight="true">
      <c r="A51" s="18">
        <f>=A45+1</f>
      </c>
      <c r="B51" s="9" t="s">
        <v>73</v>
      </c>
      <c r="C51" s="30">
        <v>25</v>
      </c>
      <c r="D51" s="30">
        <v>25</v>
      </c>
      <c r="E51" s="30">
        <v>25</v>
      </c>
      <c r="F51" s="30">
        <v>25</v>
      </c>
      <c r="G51" s="30">
        <v>25</v>
      </c>
      <c r="H51" s="31">
        <f>='Supuestos Proyeccion'!H340</f>
      </c>
      <c r="I51" s="31">
        <f>='Supuestos Proyeccion'!I340</f>
      </c>
      <c r="J51" s="31">
        <f>='Supuestos Proyeccion'!J340</f>
      </c>
      <c r="K51" s="31">
        <f>='Supuestos Proyeccion'!K340</f>
      </c>
      <c r="L51" s="31">
        <f>='Supuestos Proyeccion'!L340</f>
      </c>
      <c r="M51" s="31">
        <f>='Supuestos Proyeccion'!M340</f>
      </c>
      <c r="N51" s="31">
        <f>='Supuestos Proyeccion'!N340</f>
      </c>
      <c r="O51" s="31">
        <f>='Supuestos Proyeccion'!O340</f>
      </c>
      <c r="P51" s="31">
        <f>='Supuestos Proyeccion'!P340</f>
      </c>
      <c r="Q51" s="31">
        <f>='Supuestos Proyeccion'!Q340</f>
      </c>
    </row>
    <row r="52" ht="14.25" customHeight="true">
      <c r="A52" s="18">
        <f>=A51+1</f>
      </c>
      <c r="B52" s="9" t="s">
        <v>74</v>
      </c>
      <c r="C52" s="30">
        <v>0</v>
      </c>
      <c r="D52" s="30">
        <v>0</v>
      </c>
      <c r="E52" s="30">
        <v>0</v>
      </c>
      <c r="F52" s="30">
        <v>0</v>
      </c>
      <c r="G52" s="30">
        <v>0</v>
      </c>
      <c r="H52" s="31">
        <f>='Supuestos Proyeccion'!H342</f>
      </c>
      <c r="I52" s="31">
        <f>='Supuestos Proyeccion'!I342</f>
      </c>
      <c r="J52" s="31">
        <f>='Supuestos Proyeccion'!J342</f>
      </c>
      <c r="K52" s="31">
        <f>='Supuestos Proyeccion'!K342</f>
      </c>
      <c r="L52" s="31">
        <f>='Supuestos Proyeccion'!L342</f>
      </c>
      <c r="M52" s="31">
        <f>='Supuestos Proyeccion'!M342</f>
      </c>
      <c r="N52" s="31">
        <f>='Supuestos Proyeccion'!N342</f>
      </c>
      <c r="O52" s="31">
        <f>='Supuestos Proyeccion'!O342</f>
      </c>
      <c r="P52" s="31">
        <f>='Supuestos Proyeccion'!P342</f>
      </c>
      <c r="Q52" s="31">
        <f>='Supuestos Proyeccion'!Q342</f>
      </c>
    </row>
    <row r="53" ht="14.25" customHeight="true">
      <c r="A53" s="18">
        <f>=A52+1</f>
      </c>
      <c r="B53" s="9" t="s">
        <v>75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1">
        <f>='Supuestos Proyeccion'!H345</f>
      </c>
      <c r="I53" s="31">
        <f>='Supuestos Proyeccion'!I345</f>
      </c>
      <c r="J53" s="31">
        <f>='Supuestos Proyeccion'!J345</f>
      </c>
      <c r="K53" s="31">
        <f>='Supuestos Proyeccion'!K345</f>
      </c>
      <c r="L53" s="31">
        <f>='Supuestos Proyeccion'!L345</f>
      </c>
      <c r="M53" s="31">
        <f>='Supuestos Proyeccion'!M345</f>
      </c>
      <c r="N53" s="31">
        <f>='Supuestos Proyeccion'!N345</f>
      </c>
      <c r="O53" s="31">
        <f>='Supuestos Proyeccion'!O345</f>
      </c>
      <c r="P53" s="31">
        <f>='Supuestos Proyeccion'!P345</f>
      </c>
      <c r="Q53" s="31">
        <f>='Supuestos Proyeccion'!Q345</f>
      </c>
    </row>
    <row r="54" ht="14.25" customHeight="true">
      <c r="A54" s="18">
        <f>=A53+1</f>
      </c>
      <c r="B54" s="9" t="s">
        <v>76</v>
      </c>
      <c r="C54" s="30">
        <v>0</v>
      </c>
      <c r="D54" s="30">
        <v>0</v>
      </c>
      <c r="E54" s="30">
        <v>0</v>
      </c>
      <c r="F54" s="30">
        <v>0</v>
      </c>
      <c r="G54" s="30">
        <v>0</v>
      </c>
      <c r="H54" s="31">
        <f>='Supuestos Proyeccion'!H346</f>
      </c>
      <c r="I54" s="31">
        <f>='Supuestos Proyeccion'!I346</f>
      </c>
      <c r="J54" s="31">
        <f>='Supuestos Proyeccion'!J346</f>
      </c>
      <c r="K54" s="31">
        <f>='Supuestos Proyeccion'!K346</f>
      </c>
      <c r="L54" s="31">
        <f>='Supuestos Proyeccion'!L346</f>
      </c>
      <c r="M54" s="31">
        <f>='Supuestos Proyeccion'!M346</f>
      </c>
      <c r="N54" s="31">
        <f>='Supuestos Proyeccion'!N346</f>
      </c>
      <c r="O54" s="31">
        <f>='Supuestos Proyeccion'!O346</f>
      </c>
      <c r="P54" s="31">
        <f>='Supuestos Proyeccion'!P346</f>
      </c>
      <c r="Q54" s="31">
        <f>='Supuestos Proyeccion'!Q346</f>
      </c>
    </row>
    <row r="55" ht="14.25" customHeight="true">
      <c r="A55" s="18">
        <f>=A54+1</f>
      </c>
      <c r="B55" s="9" t="s">
        <v>77</v>
      </c>
      <c r="C55" s="31">
        <f>=ERI!C30</f>
      </c>
      <c r="D55" s="31">
        <f>=ERI!D30</f>
      </c>
      <c r="E55" s="31">
        <f>=ERI!E30</f>
      </c>
      <c r="F55" s="31">
        <f>=ERI!F30</f>
      </c>
      <c r="G55" s="31">
        <f>=ERI!G30</f>
      </c>
      <c r="H55" s="31">
        <f>='Supuestos Proyeccion'!H348</f>
      </c>
      <c r="I55" s="31">
        <f>='Supuestos Proyeccion'!I348</f>
      </c>
      <c r="J55" s="31">
        <f>='Supuestos Proyeccion'!J348</f>
      </c>
      <c r="K55" s="31">
        <f>='Supuestos Proyeccion'!K348</f>
      </c>
      <c r="L55" s="31">
        <f>='Supuestos Proyeccion'!L348</f>
      </c>
      <c r="M55" s="31">
        <f>='Supuestos Proyeccion'!M348</f>
      </c>
      <c r="N55" s="31">
        <f>='Supuestos Proyeccion'!N348</f>
      </c>
      <c r="O55" s="31">
        <f>='Supuestos Proyeccion'!O348</f>
      </c>
      <c r="P55" s="31">
        <f>='Supuestos Proyeccion'!P348</f>
      </c>
      <c r="Q55" s="31">
        <f>='Supuestos Proyeccion'!Q348</f>
      </c>
    </row>
    <row r="56" ht="14.25" customHeight="true">
      <c r="A56" s="18">
        <f>=A55+1</f>
      </c>
      <c r="B56" s="35" t="s">
        <v>54</v>
      </c>
      <c r="C56" s="27">
        <f ref="C56:Q56" t="shared" si="300">=C26</f>
      </c>
      <c r="D56" s="27">
        <f t="shared" si="300"/>
      </c>
      <c r="E56" s="27">
        <f t="shared" si="300"/>
      </c>
      <c r="F56" s="27">
        <f t="shared" si="300"/>
      </c>
      <c r="G56" s="27">
        <f t="shared" si="300"/>
      </c>
      <c r="H56" s="27">
        <f t="shared" si="300"/>
      </c>
      <c r="I56" s="27">
        <f t="shared" si="300"/>
      </c>
      <c r="J56" s="27">
        <f t="shared" si="300"/>
      </c>
      <c r="K56" s="27">
        <f t="shared" si="300"/>
      </c>
      <c r="L56" s="27">
        <f t="shared" si="300"/>
      </c>
      <c r="M56" s="27">
        <f t="shared" si="300"/>
      </c>
      <c r="N56" s="27">
        <f t="shared" si="300"/>
      </c>
      <c r="O56" s="27">
        <f t="shared" si="300"/>
      </c>
      <c r="P56" s="27">
        <f t="shared" si="300"/>
      </c>
      <c r="Q56" s="27">
        <f t="shared" si="300"/>
      </c>
    </row>
    <row r="57" ht="14.25" customHeight="true">
      <c r="A57" s="18"/>
      <c r="B57" s="4" t="s">
        <v>78</v>
      </c>
      <c r="C57" s="24">
        <f ref="C57:Q57" t="shared" si="304">=C51+C52+C53+C54+C55+C56</f>
      </c>
      <c r="D57" s="24">
        <f t="shared" si="304"/>
      </c>
      <c r="E57" s="24">
        <f t="shared" si="304"/>
      </c>
      <c r="F57" s="24">
        <f t="shared" si="304"/>
      </c>
      <c r="G57" s="24">
        <f t="shared" si="304"/>
      </c>
      <c r="H57" s="24">
        <f t="shared" si="304"/>
      </c>
      <c r="I57" s="24">
        <f t="shared" si="304"/>
      </c>
      <c r="J57" s="24">
        <f t="shared" si="304"/>
      </c>
      <c r="K57" s="24">
        <f t="shared" si="304"/>
      </c>
      <c r="L57" s="24">
        <f t="shared" si="304"/>
      </c>
      <c r="M57" s="24">
        <f t="shared" si="304"/>
      </c>
      <c r="N57" s="24">
        <f t="shared" si="304"/>
      </c>
      <c r="O57" s="24">
        <f t="shared" si="304"/>
      </c>
      <c r="P57" s="24">
        <f t="shared" si="304"/>
      </c>
      <c r="Q57" s="24">
        <f t="shared" si="304"/>
      </c>
    </row>
    <row r="58" ht="14.25" customHeight="true">
      <c r="A58" s="18"/>
      <c r="B58" s="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</row>
    <row r="59" ht="14.25" customHeight="true">
      <c r="A59" s="18"/>
      <c r="B59" s="39" t="s">
        <v>79</v>
      </c>
      <c r="C59" s="33">
        <f ref="C59:Q59" t="shared" si="299">=C48+C57</f>
      </c>
      <c r="D59" s="33">
        <f t="shared" si="299"/>
      </c>
      <c r="E59" s="33">
        <f t="shared" si="299"/>
      </c>
      <c r="F59" s="33">
        <f t="shared" si="299"/>
      </c>
      <c r="G59" s="33">
        <f t="shared" si="299"/>
      </c>
      <c r="H59" s="33">
        <f t="shared" si="299"/>
      </c>
      <c r="I59" s="33">
        <f t="shared" si="299"/>
      </c>
      <c r="J59" s="33">
        <f t="shared" si="299"/>
      </c>
      <c r="K59" s="33">
        <f t="shared" si="299"/>
      </c>
      <c r="L59" s="33">
        <f t="shared" si="299"/>
      </c>
      <c r="M59" s="33">
        <f t="shared" si="299"/>
      </c>
      <c r="N59" s="33">
        <f t="shared" si="299"/>
      </c>
      <c r="O59" s="33">
        <f t="shared" si="299"/>
      </c>
      <c r="P59" s="33">
        <f t="shared" si="299"/>
      </c>
      <c r="Q59" s="33">
        <f t="shared" si="299"/>
      </c>
    </row>
    <row r="60" ht="14.25" customHeight="true">
      <c r="A60" s="18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</row>
    <row r="61" ht="14.25" customHeight="true">
      <c r="A61" s="42"/>
      <c r="B61" s="43" t="s">
        <v>80</v>
      </c>
      <c r="C61" s="44">
        <f ref="C61:Q61" t="shared" si="310">=C30-C48-C57</f>
      </c>
      <c r="D61" s="44">
        <f t="shared" si="310"/>
      </c>
      <c r="E61" s="44">
        <f t="shared" si="310"/>
      </c>
      <c r="F61" s="44">
        <f t="shared" si="310"/>
      </c>
      <c r="G61" s="44">
        <f t="shared" si="310"/>
      </c>
      <c r="H61" s="44">
        <f t="shared" si="310"/>
      </c>
      <c r="I61" s="44">
        <f t="shared" si="310"/>
      </c>
      <c r="J61" s="44">
        <f t="shared" si="310"/>
      </c>
      <c r="K61" s="44">
        <f t="shared" si="310"/>
      </c>
      <c r="L61" s="44">
        <f t="shared" si="310"/>
      </c>
      <c r="M61" s="44">
        <f t="shared" si="310"/>
      </c>
      <c r="N61" s="44">
        <f t="shared" si="310"/>
      </c>
      <c r="O61" s="44">
        <f t="shared" si="310"/>
      </c>
      <c r="P61" s="44">
        <f t="shared" si="310"/>
      </c>
      <c r="Q61" s="44">
        <f t="shared" si="310"/>
      </c>
    </row>
    <row r="62" ht="14.25" customHeight="true">
      <c r="A62" s="18"/>
      <c r="H62" s="8"/>
    </row>
    <row r="63" ht="14.25" customHeight="true">
      <c r="A63" s="18"/>
    </row>
    <row r="64" ht="14.25" customHeight="true">
      <c r="A64" s="18"/>
    </row>
  </sheetData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/>
  <dimension ref="A1"/>
  <sheetViews>
    <sheetView showGridLines="0" tabSelected="0" workbookViewId="0">
      <pane xSplit="2" ySplit="5" topLeftCell="C6" activePane="bottomRight" state="frozen"/>
      <selection activeCell="A1" sqref="A1"/>
    </sheetView>
  </sheetViews>
  <sheetFormatPr defaultRowHeight="14.25" customHeight="1" defaultColWidth="8.34"/>
  <cols>
    <col min="1" max="1" width="3.43" customWidth="1" hidden="0"/>
    <col min="2" max="2" width="41.58" customWidth="1" hidden="0"/>
    <col min="3" max="17" width="10.67" customWidth="1" hidden="0"/>
    <col min="18" max="19" width="8.34" customWidth="1" hidden="0"/>
    <col min="20" max="20" width="8.34" customWidth="1" hidden="1"/>
    <col min="21" max="16384" width="8.34" customWidth="1" hidden="0"/>
  </cols>
  <sheetData>
    <row r="2" ht="14.25" customHeight="true">
      <c r="A2" s="17" t="s">
        <v>13</v>
      </c>
      <c r="B2" s="12" t="s">
        <v>81</v>
      </c>
    </row>
    <row r="3" ht="14.25" customHeight="true">
      <c r="B3" s="8">
        <f>=COVER!$H$15</f>
      </c>
      <c r="H3" s="18"/>
      <c r="I3" s="18"/>
      <c r="J3" s="18"/>
      <c r="K3" s="18"/>
      <c r="L3" s="18"/>
      <c r="M3" s="18"/>
      <c r="N3" s="18"/>
      <c r="O3" s="18"/>
      <c r="P3" s="18"/>
      <c r="Q3" s="18"/>
    </row>
    <row r="5" ht="14.25" customHeight="true">
      <c r="A5" s="18"/>
      <c r="B5" s="19">
        <f>=+ERI!B5</f>
      </c>
      <c r="C5" s="20">
        <f>=ERI!C5</f>
      </c>
      <c r="D5" s="20">
        <f>=ERI!D5</f>
      </c>
      <c r="E5" s="20">
        <f>=ERI!E5</f>
      </c>
      <c r="F5" s="20">
        <f>=ERI!F5</f>
      </c>
      <c r="G5" s="20">
        <f>=ERI!G5</f>
      </c>
      <c r="H5" s="20">
        <f>=ERI!H5</f>
      </c>
      <c r="I5" s="20">
        <f>=ERI!I5</f>
      </c>
      <c r="J5" s="20">
        <f>=ERI!J5</f>
      </c>
      <c r="K5" s="20">
        <f>=ERI!K5</f>
      </c>
      <c r="L5" s="20">
        <f>=ERI!L5</f>
      </c>
      <c r="M5" s="20">
        <f>=ERI!M5</f>
      </c>
      <c r="N5" s="20">
        <f>=ERI!N5</f>
      </c>
      <c r="O5" s="20">
        <f>=ERI!O5</f>
      </c>
      <c r="P5" s="20">
        <f>=ERI!P5</f>
      </c>
      <c r="Q5" s="20">
        <f>=ERI!Q5</f>
      </c>
      <c r="S5" s="45" t="s">
        <v>82</v>
      </c>
    </row>
    <row r="6" ht="14.25" customHeight="true">
      <c r="A6" s="18"/>
      <c r="B6" s="21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</row>
    <row r="7" ht="14.25" customHeight="true">
      <c r="A7" s="38"/>
      <c r="B7" s="46" t="s">
        <v>83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8"/>
    </row>
    <row r="8" ht="14.25" customHeight="true">
      <c r="A8" s="18"/>
      <c r="B8" s="21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</row>
    <row r="9" ht="14.25" customHeight="true">
      <c r="B9" s="8" t="s">
        <v>84</v>
      </c>
      <c r="C9" s="31">
        <v>0.01618497109826</v>
      </c>
      <c r="D9" s="31">
        <v>0.05621918847174</v>
      </c>
      <c r="E9" s="31">
        <v>0.13122699937169</v>
      </c>
      <c r="F9" s="31">
        <v>0.09275569308894</v>
      </c>
      <c r="G9" s="31">
        <v>0.05198954400232</v>
      </c>
      <c r="H9" s="30">
        <v>0.05066815975955</v>
      </c>
      <c r="I9" s="30">
        <v>0.03941119476035</v>
      </c>
      <c r="J9" s="30">
        <v>0.03669489573936</v>
      </c>
      <c r="K9" s="30">
        <v>0.03630262988838</v>
      </c>
      <c r="L9" s="30">
        <v>0.03557130334606</v>
      </c>
      <c r="M9" s="49">
        <v>0.03</v>
      </c>
      <c r="N9" s="31">
        <f ref="N9:Q11" t="shared" si="226">=+M9</f>
      </c>
      <c r="O9" s="31">
        <f t="shared" si="226"/>
      </c>
      <c r="P9" s="31">
        <f t="shared" si="226"/>
      </c>
      <c r="Q9" s="31">
        <f t="shared" si="226"/>
      </c>
    </row>
    <row r="10" ht="14.25" customHeight="true">
      <c r="B10" s="8" t="s">
        <v>85</v>
      </c>
      <c r="C10" s="31">
        <v>0.01650866296175</v>
      </c>
      <c r="D10" s="31">
        <v>0.18628396848367</v>
      </c>
      <c r="E10" s="31">
        <v>0.19179939003727</v>
      </c>
      <c r="F10" s="31">
        <v>-0.0079044640318</v>
      </c>
      <c r="G10" s="31">
        <v>0.05760632809813</v>
      </c>
      <c r="H10" s="30">
        <v>0.04828619142336</v>
      </c>
      <c r="I10" s="30">
        <v>0.03813226033977</v>
      </c>
      <c r="J10" s="30">
        <v>0.03557285880112</v>
      </c>
      <c r="K10" s="30">
        <v>0.03520291032371</v>
      </c>
      <c r="L10" s="30">
        <v>0.03447528466385</v>
      </c>
      <c r="M10" s="49">
        <v>0.0285</v>
      </c>
      <c r="N10" s="50">
        <f ref="N10:Q10" t="shared" si="166">=+((AVERAGE($C$10:$G$10))/(AVERAGE($C$9:$G$9)))*N9</f>
      </c>
      <c r="O10" s="50">
        <f t="shared" si="166"/>
      </c>
      <c r="P10" s="50">
        <f t="shared" si="166"/>
      </c>
      <c r="Q10" s="50">
        <f t="shared" si="166"/>
      </c>
    </row>
    <row r="11" ht="14.25" customHeight="true">
      <c r="B11" s="8" t="s">
        <v>86</v>
      </c>
      <c r="C11" s="31">
        <v>-0.058106649762</v>
      </c>
      <c r="D11" s="31">
        <v>0.19446032989947</v>
      </c>
      <c r="E11" s="31">
        <v>0.23347062029618</v>
      </c>
      <c r="F11" s="31">
        <v>0.07714269606089</v>
      </c>
      <c r="G11" s="31">
        <v>0.07692042671667</v>
      </c>
      <c r="H11" s="30">
        <v>0.08530231092881</v>
      </c>
      <c r="I11" s="30">
        <v>0.07528235330769</v>
      </c>
      <c r="J11" s="30">
        <v>0.07030539891798</v>
      </c>
      <c r="K11" s="30">
        <v>0.0685548930086</v>
      </c>
      <c r="L11" s="30">
        <v>0.06833469343798</v>
      </c>
      <c r="M11" s="49">
        <v>0.05</v>
      </c>
      <c r="N11" s="31">
        <f t="shared" si="226"/>
      </c>
      <c r="O11" s="31">
        <f t="shared" si="226"/>
      </c>
      <c r="P11" s="31">
        <f t="shared" si="226"/>
      </c>
      <c r="Q11" s="31">
        <f t="shared" si="226"/>
      </c>
    </row>
    <row r="12" ht="14.25" customHeight="true">
      <c r="C12" s="30"/>
      <c r="D12" s="31"/>
      <c r="E12" s="31"/>
      <c r="F12" s="31"/>
      <c r="G12" s="31"/>
      <c r="H12" s="30"/>
      <c r="I12" s="30"/>
      <c r="J12" s="30"/>
      <c r="K12" s="30"/>
      <c r="L12" s="30"/>
      <c r="M12" s="51"/>
      <c r="N12" s="31"/>
      <c r="O12" s="31"/>
      <c r="P12" s="31"/>
      <c r="Q12" s="31"/>
    </row>
    <row r="13" hidden="1" ht="14.25" customHeight="true">
      <c r="B13" s="8" t="s">
        <v>87</v>
      </c>
      <c r="C13" s="31">
        <v>0.0084</v>
      </c>
      <c r="D13" s="31">
        <f>=+D15/C15-1</f>
      </c>
      <c r="E13" s="31">
        <f ref="E13:K13" t="shared" si="183">=+E15/D15-1</f>
      </c>
      <c r="F13" s="31">
        <f t="shared" si="183"/>
      </c>
      <c r="G13" s="31">
        <f t="shared" si="183"/>
      </c>
      <c r="H13" s="31">
        <f t="shared" si="183"/>
      </c>
      <c r="I13" s="31">
        <f t="shared" si="183"/>
      </c>
      <c r="J13" s="31">
        <f t="shared" si="183"/>
      </c>
      <c r="K13" s="31">
        <f t="shared" si="183"/>
      </c>
      <c r="L13" s="50">
        <v>0.02</v>
      </c>
      <c r="M13" s="52">
        <f>=+L13</f>
      </c>
      <c r="N13" s="31">
        <f>=+M13</f>
      </c>
      <c r="O13" s="31">
        <f ref="O13:Q13" t="shared" si="184">=+N13</f>
      </c>
      <c r="P13" s="31">
        <f t="shared" si="184"/>
      </c>
      <c r="Q13" s="31">
        <f t="shared" si="184"/>
      </c>
    </row>
    <row r="14" ht="14.25" customHeight="true">
      <c r="B14" s="8" t="s">
        <v>88</v>
      </c>
      <c r="C14" s="31">
        <v>0.086</v>
      </c>
      <c r="D14" s="31">
        <v>0.01380030510402</v>
      </c>
      <c r="E14" s="31">
        <v>0.13672986515079</v>
      </c>
      <c r="F14" s="31">
        <v>0.0163904254838</v>
      </c>
      <c r="G14" s="31">
        <v>-0.0581576784779</v>
      </c>
      <c r="H14" s="31">
        <v>0.03999246619117</v>
      </c>
      <c r="I14" s="31">
        <v>0.01339538744</v>
      </c>
      <c r="J14" s="31">
        <v>0.02428543591359</v>
      </c>
      <c r="K14" s="31">
        <v>0.02022399745407</v>
      </c>
      <c r="L14" s="31">
        <v>0.01955945483369</v>
      </c>
      <c r="M14" s="52">
        <f>=+(1+M9)/(1+M24)-1</f>
      </c>
      <c r="N14" s="31">
        <f ref="N14:Q14" t="shared" si="221">=+(1+N9)/(1+N24)-1</f>
      </c>
      <c r="O14" s="31">
        <f t="shared" si="221"/>
      </c>
      <c r="P14" s="31">
        <f t="shared" si="221"/>
      </c>
      <c r="Q14" s="31">
        <f t="shared" si="221"/>
      </c>
    </row>
    <row r="15" hidden="1" ht="14.25" customHeight="true">
      <c r="B15" s="8" t="s">
        <v>89</v>
      </c>
      <c r="C15" s="31">
        <v>3693.27583333332</v>
      </c>
      <c r="D15" s="31">
        <v>3744.24416666666</v>
      </c>
      <c r="E15" s="31">
        <v>4256.19416666665</v>
      </c>
      <c r="F15" s="31">
        <v>4325.95499999998</v>
      </c>
      <c r="G15" s="31">
        <v>4074.36749999999</v>
      </c>
      <c r="H15" s="30">
        <v>4254.56867535833</v>
      </c>
      <c r="I15" s="30">
        <v>4312.51739237248</v>
      </c>
      <c r="J15" s="30">
        <v>4437.5</v>
      </c>
      <c r="K15" s="30">
        <v>4526.25</v>
      </c>
      <c r="L15" s="31">
        <v>4621.24999999915</v>
      </c>
      <c r="M15" s="52">
        <f ref="M15:Q15" t="shared" si="135">=+L15*(1+M13)</f>
      </c>
      <c r="N15" s="31">
        <f t="shared" si="135"/>
      </c>
      <c r="O15" s="31">
        <f t="shared" si="135"/>
      </c>
      <c r="P15" s="31">
        <f t="shared" si="135"/>
      </c>
      <c r="Q15" s="31">
        <f t="shared" si="135"/>
      </c>
    </row>
    <row r="16" ht="14.25" customHeight="true">
      <c r="B16" s="8" t="s">
        <v>90</v>
      </c>
      <c r="C16" s="31">
        <v>3693.27583333332</v>
      </c>
      <c r="D16" s="31">
        <v>3744.24416666666</v>
      </c>
      <c r="E16" s="31">
        <v>4256.19416666665</v>
      </c>
      <c r="F16" s="31">
        <v>4325.95499999998</v>
      </c>
      <c r="G16" s="31">
        <v>4074.36749999999</v>
      </c>
      <c r="H16" s="30">
        <v>4237.31150449415</v>
      </c>
      <c r="I16" s="30">
        <v>4294.07193380083</v>
      </c>
      <c r="J16" s="30">
        <v>4398.35534255749</v>
      </c>
      <c r="K16" s="30">
        <v>4487.3076698075</v>
      </c>
      <c r="L16" s="30">
        <v>4575.07696149998</v>
      </c>
      <c r="M16" s="52">
        <f ref="M16:Q16" t="shared" si="219">=+L16*(1+M14)</f>
      </c>
      <c r="N16" s="31">
        <f t="shared" si="219"/>
      </c>
      <c r="O16" s="31">
        <f t="shared" si="219"/>
      </c>
      <c r="P16" s="31">
        <f t="shared" si="219"/>
      </c>
      <c r="Q16" s="31">
        <f t="shared" si="219"/>
      </c>
    </row>
    <row r="17" ht="14.25" customHeight="true">
      <c r="C17" s="30"/>
      <c r="D17" s="31"/>
      <c r="E17" s="31"/>
      <c r="F17" s="31"/>
      <c r="G17" s="31"/>
      <c r="H17" s="31"/>
      <c r="I17" s="31"/>
      <c r="J17" s="31"/>
      <c r="K17" s="31"/>
      <c r="L17" s="31"/>
      <c r="M17" s="52"/>
      <c r="N17" s="31"/>
      <c r="O17" s="31"/>
      <c r="P17" s="31"/>
      <c r="Q17" s="31"/>
    </row>
    <row r="18" ht="14.25" customHeight="true">
      <c r="B18" s="8" t="s">
        <v>91</v>
      </c>
      <c r="C18" s="31">
        <v>0.03378333333333</v>
      </c>
      <c r="D18" s="31">
        <v>0.020725</v>
      </c>
      <c r="E18" s="31">
        <v>0.08499166666666</v>
      </c>
      <c r="F18" s="31">
        <v>0.13214166666666</v>
      </c>
      <c r="G18" s="31">
        <v>0.101725</v>
      </c>
      <c r="H18" s="30">
        <v>0.08737471581948</v>
      </c>
      <c r="I18" s="30">
        <v>0.0726184314661</v>
      </c>
      <c r="J18" s="30">
        <v>0.06815671833333</v>
      </c>
      <c r="K18" s="30">
        <v>0.06864123833333</v>
      </c>
      <c r="L18" s="30">
        <v>0.06898834666666</v>
      </c>
      <c r="M18" s="52">
        <f>=+$L$18/$L$9*M9</f>
      </c>
      <c r="N18" s="31">
        <f>=+M18</f>
      </c>
      <c r="O18" s="31">
        <f ref="O18:Q18" t="shared" si="106">=+N18</f>
      </c>
      <c r="P18" s="31">
        <f t="shared" si="106"/>
      </c>
      <c r="Q18" s="31">
        <f t="shared" si="106"/>
      </c>
    </row>
    <row r="19" hidden="1" ht="14.25" customHeight="true">
      <c r="B19" s="8" t="s">
        <v>92</v>
      </c>
      <c r="C19" s="31">
        <v>0.0434</v>
      </c>
      <c r="D19" s="31">
        <v>0.0525</v>
      </c>
      <c r="E19" s="31">
        <v>0.0453</v>
      </c>
      <c r="F19" s="31">
        <v>0.0328</v>
      </c>
      <c r="G19" s="31">
        <v>0.0328</v>
      </c>
      <c r="H19" s="31">
        <f>=H18</f>
      </c>
      <c r="I19" s="31">
        <f ref="I19:M19" t="shared" si="137">=I18</f>
      </c>
      <c r="J19" s="31">
        <f t="shared" si="137"/>
      </c>
      <c r="K19" s="31">
        <f t="shared" si="137"/>
      </c>
      <c r="L19" s="31">
        <f t="shared" si="137"/>
      </c>
      <c r="M19" s="52">
        <f t="shared" si="137"/>
      </c>
      <c r="N19" s="31">
        <f ref="N19:Q19" t="shared" si="138">=+N18</f>
      </c>
      <c r="O19" s="31">
        <f t="shared" si="138"/>
      </c>
      <c r="P19" s="31">
        <f t="shared" si="138"/>
      </c>
      <c r="Q19" s="31">
        <f t="shared" si="138"/>
      </c>
    </row>
    <row r="20" ht="14.25" customHeight="true">
      <c r="B20" s="8" t="s">
        <v>93</v>
      </c>
      <c r="C20" s="31">
        <v>0.06297285963153</v>
      </c>
      <c r="D20" s="31">
        <v>0.07447469632698</v>
      </c>
      <c r="E20" s="31">
        <v>0.11615874590569</v>
      </c>
      <c r="F20" s="31">
        <v>0.11482280879081</v>
      </c>
      <c r="G20" s="31">
        <v>0.10864204021296</v>
      </c>
      <c r="H20" s="30">
        <v>0.12794019636416</v>
      </c>
      <c r="I20" s="30">
        <v>0.10983405192702</v>
      </c>
      <c r="J20" s="30">
        <v>0.10466369758983</v>
      </c>
      <c r="K20" s="30">
        <v>0.10449860484151</v>
      </c>
      <c r="L20" s="31">
        <v>0.10447476453052</v>
      </c>
      <c r="M20" s="52">
        <f ref="M20:Q21" t="shared" si="202">=+L20</f>
      </c>
      <c r="N20" s="31">
        <f t="shared" si="202"/>
      </c>
      <c r="O20" s="31">
        <f t="shared" si="202"/>
      </c>
      <c r="P20" s="31">
        <f t="shared" si="202"/>
      </c>
      <c r="Q20" s="31">
        <f t="shared" si="202"/>
      </c>
    </row>
    <row r="21" ht="14.25" customHeight="true">
      <c r="B21" s="8" t="s">
        <v>94</v>
      </c>
      <c r="C21" s="31">
        <v>0.0174</v>
      </c>
      <c r="D21" s="31">
        <v>0.02989</v>
      </c>
      <c r="E21" s="31">
        <v>0.11954</v>
      </c>
      <c r="F21" s="31">
        <v>0.12981</v>
      </c>
      <c r="G21" s="31">
        <v>0.09506</v>
      </c>
      <c r="H21" s="30">
        <v>0.08261569</v>
      </c>
      <c r="I21" s="30">
        <v>0.06752289</v>
      </c>
      <c r="J21" s="30">
        <v>0.06747529</v>
      </c>
      <c r="K21" s="30">
        <v>0.06745044</v>
      </c>
      <c r="L21" s="31">
        <v>0.06743746</v>
      </c>
      <c r="M21" s="52">
        <f>=+$L$21/$L$9*M9</f>
      </c>
      <c r="N21" s="31">
        <f>=+M21</f>
      </c>
      <c r="O21" s="31">
        <f t="shared" si="202"/>
      </c>
      <c r="P21" s="31">
        <f t="shared" si="202"/>
      </c>
      <c r="Q21" s="31">
        <f t="shared" si="202"/>
      </c>
    </row>
    <row r="22" ht="14.25" customHeight="true">
      <c r="C22" s="31"/>
      <c r="D22" s="31"/>
      <c r="E22" s="31"/>
      <c r="F22" s="31"/>
      <c r="G22" s="31"/>
      <c r="H22" s="30"/>
      <c r="I22" s="30"/>
      <c r="J22" s="30"/>
      <c r="K22" s="30"/>
      <c r="L22" s="31"/>
      <c r="M22" s="52"/>
      <c r="N22" s="31"/>
      <c r="O22" s="31"/>
      <c r="P22" s="31"/>
      <c r="Q22" s="31"/>
    </row>
    <row r="23" ht="14.25" customHeight="true">
      <c r="B23" s="8" t="s">
        <v>95</v>
      </c>
      <c r="C23" s="31">
        <v>0.0007</v>
      </c>
      <c r="D23" s="31">
        <v>0.0005</v>
      </c>
      <c r="E23" s="31">
        <v>0.043</v>
      </c>
      <c r="F23" s="31">
        <v>0.0538</v>
      </c>
      <c r="G23" s="31">
        <v>0.0449</v>
      </c>
      <c r="H23" s="30">
        <v>0.03905</v>
      </c>
      <c r="I23" s="30">
        <v>0.03388272959986</v>
      </c>
      <c r="J23" s="30">
        <v>0.0323264785957</v>
      </c>
      <c r="K23" s="30">
        <v>0.03197864877768</v>
      </c>
      <c r="L23" s="31">
        <v>0.03162444776387</v>
      </c>
      <c r="M23" s="52">
        <f>=+L23</f>
      </c>
      <c r="N23" s="31">
        <f>=+M23</f>
      </c>
      <c r="O23" s="31">
        <f ref="O23:Q23" t="shared" si="212">=+N23</f>
      </c>
      <c r="P23" s="31">
        <f t="shared" si="212"/>
      </c>
      <c r="Q23" s="31">
        <f t="shared" si="212"/>
      </c>
    </row>
    <row r="24" ht="14.25" customHeight="true">
      <c r="B24" s="53" t="s">
        <v>96</v>
      </c>
      <c r="C24" s="54">
        <v>0.01325893755932</v>
      </c>
      <c r="D24" s="54">
        <v>0.06179392563156</v>
      </c>
      <c r="E24" s="54">
        <v>0.05508772867823</v>
      </c>
      <c r="F24" s="54">
        <v>0.027017896506</v>
      </c>
      <c r="G24" s="54">
        <v>0.02604397953981</v>
      </c>
      <c r="H24" s="55">
        <v>0.026</v>
      </c>
      <c r="I24" s="55">
        <v>0.023</v>
      </c>
      <c r="J24" s="55">
        <v>0.022</v>
      </c>
      <c r="K24" s="55">
        <v>0.02</v>
      </c>
      <c r="L24" s="55">
        <v>0.02</v>
      </c>
      <c r="M24" s="56">
        <f>=+L24</f>
      </c>
      <c r="N24" s="54">
        <f>=+M24</f>
      </c>
      <c r="O24" s="54">
        <f ref="O24:Q24" t="shared" si="143">=+N24</f>
      </c>
      <c r="P24" s="54">
        <f t="shared" si="143"/>
      </c>
      <c r="Q24" s="54">
        <f t="shared" si="143"/>
      </c>
    </row>
    <row r="25" ht="14.25" customHeight="true">
      <c r="B25" s="57" t="s">
        <v>97</v>
      </c>
    </row>
    <row r="26" ht="14.25" customHeight="true">
      <c r="B26" s="57" t="s">
        <v>98</v>
      </c>
    </row>
    <row r="28" ht="14.25" customHeight="true">
      <c r="G28" s="42" t="s">
        <v>99</v>
      </c>
      <c r="H28" s="42">
        <f>=ESF!H61</f>
      </c>
      <c r="I28" s="42">
        <f>=ESF!I61</f>
      </c>
      <c r="J28" s="42">
        <f>=ESF!J61</f>
      </c>
      <c r="K28" s="42">
        <f>=ESF!K61</f>
      </c>
      <c r="L28" s="42">
        <f>=ESF!L61</f>
      </c>
      <c r="M28" s="42">
        <f>=ESF!M61</f>
      </c>
      <c r="N28" s="42">
        <f>=ESF!N61</f>
      </c>
      <c r="O28" s="42">
        <f>=ESF!O61</f>
      </c>
      <c r="P28" s="42">
        <f>=ESF!P61</f>
      </c>
      <c r="Q28" s="42">
        <f>=ESF!Q61</f>
      </c>
    </row>
    <row r="29" ht="14.25" customHeight="true">
      <c r="A29" s="38"/>
      <c r="B29" s="58" t="s">
        <v>100</v>
      </c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48"/>
    </row>
    <row r="30" ht="14.25" customHeight="true"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</row>
    <row r="31" ht="14.25" customHeight="true">
      <c r="A31" s="18">
        <f>=ERI!A7</f>
      </c>
      <c r="B31" s="21" t="s">
        <v>101</v>
      </c>
      <c r="C31" s="24">
        <f>=ERI!C7</f>
      </c>
      <c r="D31" s="24">
        <f>=ERI!D7</f>
      </c>
      <c r="E31" s="24">
        <f>=ERI!E7</f>
      </c>
      <c r="F31" s="24">
        <f>=ERI!F7</f>
      </c>
      <c r="G31" s="24">
        <f>=ERI!G7</f>
      </c>
      <c r="H31" s="24">
        <f ref="H31:Q31" t="shared" si="199">=G31*(1+H32)</f>
      </c>
      <c r="I31" s="24">
        <f t="shared" si="199"/>
      </c>
      <c r="J31" s="24">
        <f t="shared" si="199"/>
      </c>
      <c r="K31" s="24">
        <f t="shared" si="199"/>
      </c>
      <c r="L31" s="24">
        <f t="shared" si="199"/>
      </c>
      <c r="M31" s="24">
        <f t="shared" si="199"/>
      </c>
      <c r="N31" s="24">
        <f t="shared" si="199"/>
      </c>
      <c r="O31" s="24">
        <f t="shared" si="199"/>
      </c>
      <c r="P31" s="24">
        <f t="shared" si="199"/>
      </c>
      <c r="Q31" s="24">
        <f t="shared" si="199"/>
      </c>
    </row>
    <row r="32" ht="14.25" customHeight="true">
      <c r="A32" s="18"/>
      <c r="B32" s="9" t="s">
        <v>102</v>
      </c>
      <c r="C32" s="31"/>
      <c r="D32" s="31">
        <f>=D31/C31-1</f>
      </c>
      <c r="E32" s="31">
        <f>=E31/D31-1</f>
      </c>
      <c r="F32" s="31">
        <f>=F31/E31-1</f>
      </c>
      <c r="G32" s="31">
        <f>=G31/F31-1</f>
      </c>
      <c r="H32" s="30">
        <f>=+(1+H9)*(1+H11)-1</f>
      </c>
      <c r="I32" s="30">
        <f ref="I32:Q32" t="shared" si="133">=+(1+I9)*(1+I11)-1</f>
      </c>
      <c r="J32" s="30">
        <f t="shared" si="133"/>
      </c>
      <c r="K32" s="30">
        <f t="shared" si="133"/>
      </c>
      <c r="L32" s="30">
        <f t="shared" si="133"/>
      </c>
      <c r="M32" s="30">
        <f t="shared" si="133"/>
      </c>
      <c r="N32" s="30">
        <f t="shared" si="133"/>
      </c>
      <c r="O32" s="30">
        <f t="shared" si="133"/>
      </c>
      <c r="P32" s="30">
        <f t="shared" si="133"/>
      </c>
      <c r="Q32" s="30">
        <f t="shared" si="133"/>
      </c>
      <c r="R32" s="60"/>
    </row>
    <row r="33" ht="14.25" customHeight="true">
      <c r="A33" s="18">
        <f>=ERI!A8</f>
      </c>
      <c r="B33" s="61" t="s">
        <v>16</v>
      </c>
      <c r="C33" s="62">
        <f>=ERI!C8</f>
      </c>
      <c r="D33" s="62">
        <f>=ERI!D8</f>
      </c>
      <c r="E33" s="62">
        <f>=ERI!E8</f>
      </c>
      <c r="F33" s="62">
        <f>=ERI!F8</f>
      </c>
      <c r="G33" s="62">
        <f>=ERI!G8</f>
      </c>
      <c r="H33" s="62">
        <f ref="H33:Q33" t="shared" si="121">=H34*H31</f>
      </c>
      <c r="I33" s="62">
        <f t="shared" si="121"/>
      </c>
      <c r="J33" s="62">
        <f t="shared" si="121"/>
      </c>
      <c r="K33" s="62">
        <f t="shared" si="121"/>
      </c>
      <c r="L33" s="62">
        <f t="shared" si="121"/>
      </c>
      <c r="M33" s="62">
        <f t="shared" si="121"/>
      </c>
      <c r="N33" s="62">
        <f t="shared" si="121"/>
      </c>
      <c r="O33" s="62">
        <f t="shared" si="121"/>
      </c>
      <c r="P33" s="62">
        <f t="shared" si="121"/>
      </c>
      <c r="Q33" s="62">
        <f t="shared" si="121"/>
      </c>
    </row>
    <row r="34" ht="14.25" customHeight="true">
      <c r="B34" s="9" t="s">
        <v>103</v>
      </c>
      <c r="C34" s="31">
        <f>=C33/C31</f>
      </c>
      <c r="D34" s="31">
        <f>=D33/D31</f>
      </c>
      <c r="E34" s="31">
        <f>=E33/E31</f>
      </c>
      <c r="F34" s="31">
        <f>=F33/F31</f>
      </c>
      <c r="G34" s="31">
        <f>=G33/G31</f>
      </c>
      <c r="H34" s="30">
        <f ref="H34:Q34" t="shared" si="206">=G34</f>
      </c>
      <c r="I34" s="30">
        <f t="shared" si="206"/>
      </c>
      <c r="J34" s="30">
        <f t="shared" si="206"/>
      </c>
      <c r="K34" s="30">
        <f t="shared" si="206"/>
      </c>
      <c r="L34" s="30">
        <f t="shared" si="206"/>
      </c>
      <c r="M34" s="30">
        <f t="shared" si="206"/>
      </c>
      <c r="N34" s="30">
        <f t="shared" si="206"/>
      </c>
      <c r="O34" s="30">
        <f t="shared" si="206"/>
      </c>
      <c r="P34" s="30">
        <f t="shared" si="206"/>
      </c>
      <c r="Q34" s="30">
        <f t="shared" si="206"/>
      </c>
    </row>
    <row r="35" ht="14.25" customHeight="true">
      <c r="A35" s="18">
        <f>=ERI!A12</f>
      </c>
      <c r="B35" s="61" t="s">
        <v>19</v>
      </c>
      <c r="C35" s="62">
        <f ref="C35:Q35" t="shared" si="152">=C36+C38</f>
      </c>
      <c r="D35" s="62">
        <f t="shared" si="152"/>
      </c>
      <c r="E35" s="62">
        <f t="shared" si="152"/>
      </c>
      <c r="F35" s="62">
        <f t="shared" si="152"/>
      </c>
      <c r="G35" s="62">
        <f t="shared" si="152"/>
      </c>
      <c r="H35" s="62">
        <f t="shared" si="152"/>
      </c>
      <c r="I35" s="62">
        <f t="shared" si="152"/>
      </c>
      <c r="J35" s="62">
        <f t="shared" si="152"/>
      </c>
      <c r="K35" s="62">
        <f t="shared" si="152"/>
      </c>
      <c r="L35" s="62">
        <f t="shared" si="152"/>
      </c>
      <c r="M35" s="62">
        <f t="shared" si="152"/>
      </c>
      <c r="N35" s="62">
        <f t="shared" si="152"/>
      </c>
      <c r="O35" s="62">
        <f t="shared" si="152"/>
      </c>
      <c r="P35" s="62">
        <f t="shared" si="152"/>
      </c>
      <c r="Q35" s="62">
        <f t="shared" si="152"/>
      </c>
    </row>
    <row r="36" ht="14.25" customHeight="true">
      <c r="B36" s="9" t="s">
        <v>104</v>
      </c>
      <c r="C36" s="31">
        <f>=ERI!C12</f>
      </c>
      <c r="D36" s="31">
        <f>=ERI!D12</f>
      </c>
      <c r="E36" s="31">
        <f>=ERI!E12</f>
      </c>
      <c r="F36" s="31">
        <f>=ERI!F12</f>
      </c>
      <c r="G36" s="31">
        <f>=ERI!G12</f>
      </c>
      <c r="H36" s="31">
        <f ref="H36:Q36" t="shared" si="145">=G35*(1+H37)</f>
      </c>
      <c r="I36" s="31">
        <f t="shared" si="145"/>
      </c>
      <c r="J36" s="31">
        <f t="shared" si="145"/>
      </c>
      <c r="K36" s="31">
        <f t="shared" si="145"/>
      </c>
      <c r="L36" s="31">
        <f t="shared" si="145"/>
      </c>
      <c r="M36" s="31">
        <f t="shared" si="145"/>
      </c>
      <c r="N36" s="31">
        <f t="shared" si="145"/>
      </c>
      <c r="O36" s="31">
        <f t="shared" si="145"/>
      </c>
      <c r="P36" s="31">
        <f t="shared" si="145"/>
      </c>
      <c r="Q36" s="31">
        <f t="shared" si="145"/>
      </c>
    </row>
    <row r="37" ht="14.25" customHeight="true">
      <c r="B37" s="9" t="s">
        <v>105</v>
      </c>
      <c r="C37" s="31"/>
      <c r="D37" s="31">
        <f>=D35/C35-1</f>
      </c>
      <c r="E37" s="31">
        <f>=E35/D35-1</f>
      </c>
      <c r="F37" s="31">
        <f>=F35/E35-1</f>
      </c>
      <c r="G37" s="31">
        <f>=G35/F35-1</f>
      </c>
      <c r="H37" s="30">
        <f>=+H9</f>
      </c>
      <c r="I37" s="30">
        <f ref="I37:Q37" t="shared" si="189">=+I9</f>
      </c>
      <c r="J37" s="30">
        <f t="shared" si="189"/>
      </c>
      <c r="K37" s="30">
        <f t="shared" si="189"/>
      </c>
      <c r="L37" s="30">
        <f t="shared" si="189"/>
      </c>
      <c r="M37" s="30">
        <f t="shared" si="189"/>
      </c>
      <c r="N37" s="30">
        <f t="shared" si="189"/>
      </c>
      <c r="O37" s="30">
        <f t="shared" si="189"/>
      </c>
      <c r="P37" s="30">
        <f t="shared" si="189"/>
      </c>
      <c r="Q37" s="30">
        <f t="shared" si="189"/>
      </c>
    </row>
    <row r="38" ht="14.25" customHeight="true">
      <c r="B38" s="9" t="s">
        <v>106</v>
      </c>
      <c r="C38" s="30">
        <v>0</v>
      </c>
      <c r="D38" s="30">
        <v>0</v>
      </c>
      <c r="E38" s="30">
        <v>0</v>
      </c>
      <c r="F38" s="30">
        <v>0</v>
      </c>
      <c r="G38" s="30">
        <v>0</v>
      </c>
      <c r="H38" s="30">
        <v>0</v>
      </c>
      <c r="I38" s="30">
        <v>0</v>
      </c>
      <c r="J38" s="30">
        <v>0</v>
      </c>
      <c r="K38" s="30">
        <v>0</v>
      </c>
      <c r="L38" s="30">
        <v>0</v>
      </c>
      <c r="M38" s="30">
        <v>0</v>
      </c>
      <c r="N38" s="30">
        <v>0</v>
      </c>
      <c r="O38" s="30">
        <v>0</v>
      </c>
      <c r="P38" s="30">
        <v>0</v>
      </c>
      <c r="Q38" s="30">
        <v>0</v>
      </c>
    </row>
    <row r="39" ht="14.25" customHeight="true">
      <c r="A39" s="18">
        <f>=ERI!A13</f>
      </c>
      <c r="B39" s="61" t="s">
        <v>20</v>
      </c>
      <c r="C39" s="62">
        <f>=ERI!C13</f>
      </c>
      <c r="D39" s="62">
        <f>=ERI!D13</f>
      </c>
      <c r="E39" s="62">
        <f>=ERI!E13</f>
      </c>
      <c r="F39" s="62">
        <f>=ERI!F13</f>
      </c>
      <c r="G39" s="62">
        <f>=ERI!G13</f>
      </c>
      <c r="H39" s="62">
        <f ref="H39:Q39" t="shared" si="171">=H40*H31</f>
      </c>
      <c r="I39" s="62">
        <f t="shared" si="171"/>
      </c>
      <c r="J39" s="62">
        <f t="shared" si="171"/>
      </c>
      <c r="K39" s="62">
        <f t="shared" si="171"/>
      </c>
      <c r="L39" s="62">
        <f t="shared" si="171"/>
      </c>
      <c r="M39" s="62">
        <f t="shared" si="171"/>
      </c>
      <c r="N39" s="62">
        <f t="shared" si="171"/>
      </c>
      <c r="O39" s="62">
        <f t="shared" si="171"/>
      </c>
      <c r="P39" s="62">
        <f t="shared" si="171"/>
      </c>
      <c r="Q39" s="62">
        <f t="shared" si="171"/>
      </c>
    </row>
    <row r="40" ht="14.25" customHeight="true">
      <c r="B40" s="9" t="s">
        <v>107</v>
      </c>
      <c r="C40" s="31">
        <f>=C39/C31</f>
      </c>
      <c r="D40" s="31">
        <f>=D39/D31</f>
      </c>
      <c r="E40" s="31">
        <f>=E39/E31</f>
      </c>
      <c r="F40" s="31">
        <f>=F39/F31</f>
      </c>
      <c r="G40" s="31">
        <f>=G39/G31</f>
      </c>
      <c r="H40" s="30">
        <f>=+G40</f>
      </c>
      <c r="I40" s="30">
        <f>=+H40</f>
      </c>
      <c r="J40" s="30">
        <f ref="J40:Q40" t="shared" si="110">=+I40</f>
      </c>
      <c r="K40" s="30">
        <f t="shared" si="110"/>
      </c>
      <c r="L40" s="30">
        <f t="shared" si="110"/>
      </c>
      <c r="M40" s="30">
        <f t="shared" si="110"/>
      </c>
      <c r="N40" s="30">
        <f t="shared" si="110"/>
      </c>
      <c r="O40" s="30">
        <f t="shared" si="110"/>
      </c>
      <c r="P40" s="30">
        <f t="shared" si="110"/>
      </c>
      <c r="Q40" s="30">
        <f t="shared" si="110"/>
      </c>
    </row>
    <row r="41" ht="14.25" customHeight="true">
      <c r="A41" s="18">
        <f>=ERI!A14</f>
      </c>
      <c r="B41" s="61" t="s">
        <v>21</v>
      </c>
      <c r="C41" s="62">
        <f>=ERI!C14</f>
      </c>
      <c r="D41" s="62">
        <f>=ERI!D14</f>
      </c>
      <c r="E41" s="62">
        <f>=ERI!E14</f>
      </c>
      <c r="F41" s="62">
        <f>=ERI!F14</f>
      </c>
      <c r="G41" s="62">
        <f>=ERI!G14</f>
      </c>
      <c r="H41" s="62">
        <f ref="H41:Q41" t="shared" si="172">=H42+H43</f>
      </c>
      <c r="I41" s="62">
        <f t="shared" si="172"/>
      </c>
      <c r="J41" s="62">
        <f t="shared" si="172"/>
      </c>
      <c r="K41" s="62">
        <f t="shared" si="172"/>
      </c>
      <c r="L41" s="62">
        <f t="shared" si="172"/>
      </c>
      <c r="M41" s="62">
        <f t="shared" si="172"/>
      </c>
      <c r="N41" s="62">
        <f t="shared" si="172"/>
      </c>
      <c r="O41" s="62">
        <f t="shared" si="172"/>
      </c>
      <c r="P41" s="62">
        <f t="shared" si="172"/>
      </c>
      <c r="Q41" s="62">
        <f t="shared" si="172"/>
      </c>
    </row>
    <row r="42" ht="14.25" customHeight="true">
      <c r="B42" s="9" t="s">
        <v>108</v>
      </c>
      <c r="C42" s="31"/>
      <c r="D42" s="31"/>
      <c r="E42" s="31"/>
      <c r="F42" s="31"/>
      <c r="G42" s="31"/>
      <c r="H42" s="31">
        <f>='Supuestos Proyeccion'!H166</f>
      </c>
      <c r="I42" s="31">
        <f>='Supuestos Proyeccion'!I166</f>
      </c>
      <c r="J42" s="31">
        <f>='Supuestos Proyeccion'!J166</f>
      </c>
      <c r="K42" s="31">
        <f>='Supuestos Proyeccion'!K166</f>
      </c>
      <c r="L42" s="31">
        <f>='Supuestos Proyeccion'!L166</f>
      </c>
      <c r="M42" s="31">
        <f>='Supuestos Proyeccion'!M166</f>
      </c>
      <c r="N42" s="31">
        <f>='Supuestos Proyeccion'!N166</f>
      </c>
      <c r="O42" s="31">
        <f>='Supuestos Proyeccion'!O166</f>
      </c>
      <c r="P42" s="31">
        <f>='Supuestos Proyeccion'!P166</f>
      </c>
      <c r="Q42" s="31">
        <f>='Supuestos Proyeccion'!Q166</f>
      </c>
    </row>
    <row r="43" ht="14.25" customHeight="true">
      <c r="B43" s="63" t="s">
        <v>109</v>
      </c>
      <c r="C43" s="54"/>
      <c r="D43" s="54"/>
      <c r="E43" s="54"/>
      <c r="F43" s="54"/>
      <c r="G43" s="54"/>
      <c r="H43" s="54">
        <f>='Supuestos Proyeccion'!H173</f>
      </c>
      <c r="I43" s="54">
        <f>='Supuestos Proyeccion'!I173</f>
      </c>
      <c r="J43" s="54">
        <f>='Supuestos Proyeccion'!J173</f>
      </c>
      <c r="K43" s="54">
        <f>='Supuestos Proyeccion'!K173</f>
      </c>
      <c r="L43" s="54">
        <f>='Supuestos Proyeccion'!L173</f>
      </c>
      <c r="M43" s="54">
        <f>='Supuestos Proyeccion'!M173</f>
      </c>
      <c r="N43" s="54">
        <f>='Supuestos Proyeccion'!N173</f>
      </c>
      <c r="O43" s="54">
        <f>='Supuestos Proyeccion'!O173</f>
      </c>
      <c r="P43" s="54">
        <f>='Supuestos Proyeccion'!P173</f>
      </c>
      <c r="Q43" s="54">
        <f>='Supuestos Proyeccion'!Q173</f>
      </c>
    </row>
    <row r="44" ht="14.25" customHeight="true">
      <c r="A44" s="18">
        <f>=ERI!A15</f>
      </c>
      <c r="B44" s="21" t="s">
        <v>22</v>
      </c>
      <c r="C44" s="24">
        <f>=ERI!C15</f>
      </c>
      <c r="D44" s="24">
        <f>=ERI!D15</f>
      </c>
      <c r="E44" s="24">
        <f>=ERI!E15</f>
      </c>
      <c r="F44" s="24">
        <f>=ERI!F15</f>
      </c>
      <c r="G44" s="24">
        <f>=ERI!G15</f>
      </c>
      <c r="H44" s="62">
        <f ref="H44:Q44" t="shared" si="96">=H45+H46</f>
      </c>
      <c r="I44" s="62">
        <f t="shared" si="96"/>
      </c>
      <c r="J44" s="62">
        <f t="shared" si="96"/>
      </c>
      <c r="K44" s="62">
        <f t="shared" si="96"/>
      </c>
      <c r="L44" s="62">
        <f t="shared" si="96"/>
      </c>
      <c r="M44" s="62">
        <f t="shared" si="96"/>
      </c>
      <c r="N44" s="62">
        <f t="shared" si="96"/>
      </c>
      <c r="O44" s="62">
        <f t="shared" si="96"/>
      </c>
      <c r="P44" s="62">
        <f t="shared" si="96"/>
      </c>
      <c r="Q44" s="62">
        <f t="shared" si="96"/>
      </c>
    </row>
    <row r="45" ht="14.25" customHeight="true">
      <c r="A45" s="64"/>
      <c r="B45" s="37" t="s">
        <v>110</v>
      </c>
      <c r="C45" s="65"/>
      <c r="D45" s="65"/>
      <c r="E45" s="65"/>
      <c r="F45" s="65"/>
      <c r="G45" s="65"/>
      <c r="H45" s="38">
        <f ref="H45:Q45" t="shared" si="159">=H248</f>
      </c>
      <c r="I45" s="38">
        <f t="shared" si="159"/>
      </c>
      <c r="J45" s="38">
        <f t="shared" si="159"/>
      </c>
      <c r="K45" s="38">
        <f t="shared" si="159"/>
      </c>
      <c r="L45" s="38">
        <f t="shared" si="159"/>
      </c>
      <c r="M45" s="38">
        <f t="shared" si="159"/>
      </c>
      <c r="N45" s="38">
        <f t="shared" si="159"/>
      </c>
      <c r="O45" s="38">
        <f t="shared" si="159"/>
      </c>
      <c r="P45" s="38">
        <f t="shared" si="159"/>
      </c>
      <c r="Q45" s="38">
        <f t="shared" si="159"/>
      </c>
    </row>
    <row r="46" ht="14.25" customHeight="true">
      <c r="B46" s="63" t="s">
        <v>111</v>
      </c>
      <c r="C46" s="54"/>
      <c r="D46" s="54"/>
      <c r="E46" s="54"/>
      <c r="F46" s="54"/>
      <c r="G46" s="54"/>
      <c r="H46" s="54">
        <f ref="H46:Q46" t="shared" si="218">=H255</f>
      </c>
      <c r="I46" s="54">
        <f t="shared" si="218"/>
      </c>
      <c r="J46" s="54">
        <f t="shared" si="218"/>
      </c>
      <c r="K46" s="54">
        <f t="shared" si="218"/>
      </c>
      <c r="L46" s="54">
        <f t="shared" si="218"/>
      </c>
      <c r="M46" s="54">
        <f t="shared" si="218"/>
      </c>
      <c r="N46" s="54">
        <f t="shared" si="218"/>
      </c>
      <c r="O46" s="54">
        <f t="shared" si="218"/>
      </c>
      <c r="P46" s="54">
        <f t="shared" si="218"/>
      </c>
      <c r="Q46" s="54">
        <f t="shared" si="218"/>
      </c>
    </row>
    <row r="47" ht="14.25" customHeight="true">
      <c r="A47" s="18">
        <v>7</v>
      </c>
      <c r="B47" s="21" t="s">
        <v>27</v>
      </c>
      <c r="C47" s="24">
        <f>=ERI!C21</f>
      </c>
      <c r="D47" s="24">
        <f>=ERI!D21</f>
      </c>
      <c r="E47" s="24">
        <f>=ERI!E21</f>
      </c>
      <c r="F47" s="24">
        <f>=ERI!F21</f>
      </c>
      <c r="G47" s="24">
        <f>=ERI!G21</f>
      </c>
      <c r="H47" s="24">
        <f ref="H47:Q47" t="shared" si="227">=IF((H49*G48)&gt;0,(H49*G48),0)</f>
      </c>
      <c r="I47" s="24">
        <f t="shared" si="227"/>
      </c>
      <c r="J47" s="24">
        <f t="shared" si="227"/>
      </c>
      <c r="K47" s="24">
        <f t="shared" si="227"/>
      </c>
      <c r="L47" s="24">
        <f t="shared" si="227"/>
      </c>
      <c r="M47" s="24">
        <f t="shared" si="227"/>
      </c>
      <c r="N47" s="24">
        <f t="shared" si="227"/>
      </c>
      <c r="O47" s="24">
        <f t="shared" si="227"/>
      </c>
      <c r="P47" s="24">
        <f t="shared" si="227"/>
      </c>
      <c r="Q47" s="24">
        <f t="shared" si="227"/>
      </c>
    </row>
    <row r="48" ht="14.25" customHeight="true">
      <c r="B48" s="9" t="s">
        <v>112</v>
      </c>
      <c r="C48" s="31">
        <f>=ESF!C9+ESF!C10</f>
      </c>
      <c r="D48" s="31">
        <f>=ESF!D9+ESF!D10</f>
      </c>
      <c r="E48" s="31">
        <f>=ESF!E9+ESF!E10</f>
      </c>
      <c r="F48" s="31">
        <f>=ESF!F9+ESF!F10</f>
      </c>
      <c r="G48" s="31">
        <f>=ESF!G9+ESF!G10</f>
      </c>
      <c r="H48" s="31">
        <f>=ESF!H9+ESF!H10</f>
      </c>
      <c r="I48" s="31">
        <f>=ESF!I9+ESF!I10</f>
      </c>
      <c r="J48" s="31">
        <f>=ESF!J9+ESF!J10</f>
      </c>
      <c r="K48" s="31">
        <f>=ESF!K9+ESF!K10</f>
      </c>
      <c r="L48" s="31">
        <f>=ESF!L9+ESF!L10</f>
      </c>
      <c r="M48" s="31">
        <f>=ESF!M9+ESF!M10</f>
      </c>
      <c r="N48" s="31">
        <f>=ESF!N9+ESF!N10</f>
      </c>
      <c r="O48" s="31">
        <f>=ESF!O9+ESF!O10</f>
      </c>
      <c r="P48" s="31">
        <f>=ESF!P9+ESF!P10</f>
      </c>
      <c r="Q48" s="31">
        <f>=ESF!Q9+ESF!Q10</f>
      </c>
    </row>
    <row r="49" ht="14.25" customHeight="true">
      <c r="B49" s="63" t="s">
        <v>113</v>
      </c>
      <c r="C49" s="55"/>
      <c r="D49" s="55"/>
      <c r="E49" s="55"/>
      <c r="F49" s="55"/>
      <c r="G49" s="55"/>
      <c r="H49" s="55">
        <f>=+H18</f>
      </c>
      <c r="I49" s="55">
        <f ref="I49:Q49" t="shared" si="144">=+I18</f>
      </c>
      <c r="J49" s="55">
        <f t="shared" si="144"/>
      </c>
      <c r="K49" s="55">
        <f t="shared" si="144"/>
      </c>
      <c r="L49" s="55">
        <f t="shared" si="144"/>
      </c>
      <c r="M49" s="55">
        <f t="shared" si="144"/>
      </c>
      <c r="N49" s="55">
        <f t="shared" si="144"/>
      </c>
      <c r="O49" s="55">
        <f t="shared" si="144"/>
      </c>
      <c r="P49" s="55">
        <f t="shared" si="144"/>
      </c>
      <c r="Q49" s="55">
        <f t="shared" si="144"/>
      </c>
    </row>
    <row r="50" ht="14.25" customHeight="true">
      <c r="A50" s="18">
        <v>8</v>
      </c>
      <c r="B50" s="21" t="s">
        <v>114</v>
      </c>
      <c r="C50" s="24">
        <f>=ERI!C22</f>
      </c>
      <c r="D50" s="24">
        <f>=ERI!D22</f>
      </c>
      <c r="E50" s="24">
        <f>=ERI!E22</f>
      </c>
      <c r="F50" s="24">
        <f>=ERI!F22</f>
      </c>
      <c r="G50" s="24">
        <f>=ERI!G22</f>
      </c>
      <c r="H50" s="24">
        <f ref="H50:Q50" t="shared" si="111">=H51*H$31</f>
      </c>
      <c r="I50" s="24">
        <f t="shared" si="111"/>
      </c>
      <c r="J50" s="24">
        <f t="shared" si="111"/>
      </c>
      <c r="K50" s="24">
        <f t="shared" si="111"/>
      </c>
      <c r="L50" s="24">
        <f t="shared" si="111"/>
      </c>
      <c r="M50" s="24">
        <f t="shared" si="111"/>
      </c>
      <c r="N50" s="24">
        <f t="shared" si="111"/>
      </c>
      <c r="O50" s="24">
        <f t="shared" si="111"/>
      </c>
      <c r="P50" s="24">
        <f t="shared" si="111"/>
      </c>
      <c r="Q50" s="24">
        <f t="shared" si="111"/>
      </c>
    </row>
    <row r="51" ht="14.25" customHeight="true">
      <c r="B51" s="63" t="s">
        <v>115</v>
      </c>
      <c r="C51" s="54">
        <f>=C50/C$31</f>
      </c>
      <c r="D51" s="54">
        <f>=D50/D$31</f>
      </c>
      <c r="E51" s="54">
        <f>=E50/E$31</f>
      </c>
      <c r="F51" s="54">
        <f>=F50/F$31</f>
      </c>
      <c r="G51" s="54">
        <f>=G50/G$31</f>
      </c>
      <c r="H51" s="55">
        <f ref="H51:Q51" t="shared" si="117">=G51</f>
      </c>
      <c r="I51" s="55">
        <f t="shared" si="117"/>
      </c>
      <c r="J51" s="55">
        <f t="shared" si="117"/>
      </c>
      <c r="K51" s="55">
        <f t="shared" si="117"/>
      </c>
      <c r="L51" s="55">
        <f t="shared" si="117"/>
      </c>
      <c r="M51" s="55">
        <f t="shared" si="117"/>
      </c>
      <c r="N51" s="55">
        <f t="shared" si="117"/>
      </c>
      <c r="O51" s="55">
        <f t="shared" si="117"/>
      </c>
      <c r="P51" s="55">
        <f t="shared" si="117"/>
      </c>
      <c r="Q51" s="55">
        <f t="shared" si="117"/>
      </c>
    </row>
    <row r="52" ht="14.25" customHeight="true">
      <c r="A52" s="18">
        <v>9</v>
      </c>
      <c r="B52" s="21" t="s">
        <v>29</v>
      </c>
      <c r="C52" s="24">
        <f>=ERI!C23</f>
      </c>
      <c r="D52" s="24">
        <f>=ERI!D23</f>
      </c>
      <c r="E52" s="24">
        <f>=ERI!E23</f>
      </c>
      <c r="F52" s="24">
        <f>=ERI!F23</f>
      </c>
      <c r="G52" s="24">
        <f>=ERI!G23</f>
      </c>
      <c r="H52" s="24">
        <f ref="H52:Q52" t="shared" si="149">=H62+H72+H83+H94+H101+H104+H105</f>
      </c>
      <c r="I52" s="24">
        <f t="shared" si="149"/>
      </c>
      <c r="J52" s="24">
        <f t="shared" si="149"/>
      </c>
      <c r="K52" s="24">
        <f t="shared" si="149"/>
      </c>
      <c r="L52" s="24">
        <f t="shared" si="149"/>
      </c>
      <c r="M52" s="24">
        <f t="shared" si="149"/>
      </c>
      <c r="N52" s="24">
        <f t="shared" si="149"/>
      </c>
      <c r="O52" s="24">
        <f t="shared" si="149"/>
      </c>
      <c r="P52" s="24">
        <f t="shared" si="149"/>
      </c>
      <c r="Q52" s="24">
        <f t="shared" si="149"/>
      </c>
    </row>
    <row r="53" ht="14.25" customHeight="true">
      <c r="A53" s="18"/>
      <c r="B53" s="21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</row>
    <row r="54" ht="14.25" customHeight="true">
      <c r="A54" s="66" t="s">
        <v>13</v>
      </c>
      <c r="B54" s="4" t="s">
        <v>116</v>
      </c>
      <c r="C54" s="30"/>
      <c r="D54" s="30"/>
      <c r="E54" s="30"/>
      <c r="F54" s="30"/>
      <c r="G54" s="31">
        <f>=ESF!G44</f>
      </c>
      <c r="H54" s="30"/>
      <c r="I54" s="30"/>
      <c r="J54" s="30"/>
      <c r="K54" s="30"/>
      <c r="L54" s="30"/>
      <c r="M54" s="30"/>
      <c r="N54" s="30"/>
      <c r="O54" s="30"/>
      <c r="P54" s="30"/>
      <c r="Q54" s="30"/>
    </row>
    <row r="55" ht="14.25" customHeight="true">
      <c r="B55" s="67" t="s">
        <v>117</v>
      </c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</row>
    <row r="56" ht="14.25" customHeight="true">
      <c r="B56" s="9" t="s">
        <v>118</v>
      </c>
      <c r="C56" s="30"/>
      <c r="D56" s="30"/>
      <c r="E56" s="30"/>
      <c r="F56" s="30"/>
      <c r="G56" s="30">
        <f>=+G54</f>
      </c>
      <c r="H56" s="31">
        <f ref="H56:Q56" t="shared" si="123">=G56-H57</f>
      </c>
      <c r="I56" s="31">
        <f t="shared" si="123"/>
      </c>
      <c r="J56" s="31">
        <f t="shared" si="123"/>
      </c>
      <c r="K56" s="31">
        <f t="shared" si="123"/>
      </c>
      <c r="L56" s="31">
        <f t="shared" si="123"/>
      </c>
      <c r="M56" s="31">
        <f t="shared" si="123"/>
      </c>
      <c r="N56" s="31">
        <f t="shared" si="123"/>
      </c>
      <c r="O56" s="31">
        <f t="shared" si="123"/>
      </c>
      <c r="P56" s="31">
        <f t="shared" si="123"/>
      </c>
      <c r="Q56" s="31">
        <f t="shared" si="123"/>
      </c>
    </row>
    <row r="57" ht="14.25" customHeight="true">
      <c r="B57" s="9" t="s">
        <v>119</v>
      </c>
      <c r="C57" s="30"/>
      <c r="D57" s="30"/>
      <c r="E57" s="30"/>
      <c r="F57" s="30"/>
      <c r="G57" s="30"/>
      <c r="H57" s="30">
        <v>3</v>
      </c>
      <c r="I57" s="30">
        <v>3</v>
      </c>
      <c r="J57" s="30">
        <v>3</v>
      </c>
      <c r="K57" s="30">
        <v>3</v>
      </c>
      <c r="L57" s="30">
        <v>3</v>
      </c>
      <c r="M57" s="30">
        <v>3</v>
      </c>
      <c r="N57" s="30">
        <v>3</v>
      </c>
      <c r="O57" s="30">
        <v>3</v>
      </c>
      <c r="P57" s="30">
        <v>3</v>
      </c>
      <c r="Q57" s="30">
        <v>3</v>
      </c>
      <c r="R57" s="42"/>
    </row>
    <row r="58" ht="14.25" customHeight="true">
      <c r="B58" s="9" t="s">
        <v>120</v>
      </c>
      <c r="C58" s="30"/>
      <c r="D58" s="30"/>
      <c r="E58" s="30"/>
      <c r="F58" s="30"/>
      <c r="G58" s="30"/>
      <c r="H58" s="31">
        <f ref="H58:Q58" t="shared" si="84">=(1/((1-(H59/4))^4)-1)</f>
      </c>
      <c r="I58" s="31">
        <f t="shared" si="84"/>
      </c>
      <c r="J58" s="31">
        <f t="shared" si="84"/>
      </c>
      <c r="K58" s="31">
        <f t="shared" si="84"/>
      </c>
      <c r="L58" s="31">
        <f t="shared" si="84"/>
      </c>
      <c r="M58" s="31">
        <f t="shared" si="84"/>
      </c>
      <c r="N58" s="31">
        <f t="shared" si="84"/>
      </c>
      <c r="O58" s="31">
        <f t="shared" si="84"/>
      </c>
      <c r="P58" s="31">
        <f t="shared" si="84"/>
      </c>
      <c r="Q58" s="31">
        <f t="shared" si="84"/>
      </c>
    </row>
    <row r="59" ht="14.25" customHeight="true">
      <c r="B59" s="9" t="s">
        <v>121</v>
      </c>
      <c r="C59" s="30"/>
      <c r="D59" s="30"/>
      <c r="E59" s="30"/>
      <c r="F59" s="30"/>
      <c r="G59" s="30"/>
      <c r="H59" s="31">
        <f ref="H59:Q59" t="shared" si="215">=H60+H61</f>
      </c>
      <c r="I59" s="31">
        <f t="shared" si="215"/>
      </c>
      <c r="J59" s="31">
        <f t="shared" si="215"/>
      </c>
      <c r="K59" s="31">
        <f t="shared" si="215"/>
      </c>
      <c r="L59" s="31">
        <f t="shared" si="215"/>
      </c>
      <c r="M59" s="31">
        <f t="shared" si="215"/>
      </c>
      <c r="N59" s="31">
        <f t="shared" si="215"/>
      </c>
      <c r="O59" s="31">
        <f t="shared" si="215"/>
      </c>
      <c r="P59" s="31">
        <f t="shared" si="215"/>
      </c>
      <c r="Q59" s="31">
        <f t="shared" si="215"/>
      </c>
    </row>
    <row r="60" ht="14.25" customHeight="true">
      <c r="B60" s="9" t="s">
        <v>122</v>
      </c>
      <c r="C60" s="30"/>
      <c r="D60" s="30"/>
      <c r="E60" s="30"/>
      <c r="F60" s="30"/>
      <c r="G60" s="30"/>
      <c r="H60" s="30">
        <f>=+H21</f>
      </c>
      <c r="I60" s="30">
        <f ref="I60:Q60" t="shared" si="195">=+I21</f>
      </c>
      <c r="J60" s="30">
        <f t="shared" si="195"/>
      </c>
      <c r="K60" s="30">
        <f t="shared" si="195"/>
      </c>
      <c r="L60" s="30">
        <f t="shared" si="195"/>
      </c>
      <c r="M60" s="30">
        <f t="shared" si="195"/>
      </c>
      <c r="N60" s="30">
        <f t="shared" si="195"/>
      </c>
      <c r="O60" s="30">
        <f t="shared" si="195"/>
      </c>
      <c r="P60" s="30">
        <f t="shared" si="195"/>
      </c>
      <c r="Q60" s="30">
        <f t="shared" si="195"/>
      </c>
    </row>
    <row r="61" ht="14.25" customHeight="true">
      <c r="B61" s="9" t="s">
        <v>123</v>
      </c>
      <c r="C61" s="30"/>
      <c r="D61" s="30"/>
      <c r="E61" s="30"/>
      <c r="F61" s="30"/>
      <c r="G61" s="30"/>
      <c r="H61" s="30">
        <v>0.07</v>
      </c>
      <c r="I61" s="30">
        <f>=+H61</f>
      </c>
      <c r="J61" s="30">
        <f ref="J61:Q61" t="shared" si="193">=+I61</f>
      </c>
      <c r="K61" s="30">
        <f t="shared" si="193"/>
      </c>
      <c r="L61" s="30">
        <f t="shared" si="193"/>
      </c>
      <c r="M61" s="30">
        <f t="shared" si="193"/>
      </c>
      <c r="N61" s="30">
        <f t="shared" si="193"/>
      </c>
      <c r="O61" s="30">
        <f t="shared" si="193"/>
      </c>
      <c r="P61" s="30">
        <f t="shared" si="193"/>
      </c>
      <c r="Q61" s="30">
        <f t="shared" si="193"/>
      </c>
    </row>
    <row r="62" ht="14.25" customHeight="true">
      <c r="B62" s="9" t="s">
        <v>124</v>
      </c>
      <c r="C62" s="30"/>
      <c r="D62" s="30"/>
      <c r="E62" s="30"/>
      <c r="F62" s="30"/>
      <c r="G62" s="30"/>
      <c r="H62" s="31">
        <f ref="H62:Q62" t="shared" si="151">=AVERAGE(G56:H56)*H58</f>
      </c>
      <c r="I62" s="31">
        <f t="shared" si="151"/>
      </c>
      <c r="J62" s="31">
        <f t="shared" si="151"/>
      </c>
      <c r="K62" s="31">
        <f t="shared" si="151"/>
      </c>
      <c r="L62" s="31">
        <f t="shared" si="151"/>
      </c>
      <c r="M62" s="31">
        <f t="shared" si="151"/>
      </c>
      <c r="N62" s="31">
        <f t="shared" si="151"/>
      </c>
      <c r="O62" s="31">
        <f t="shared" si="151"/>
      </c>
      <c r="P62" s="31">
        <f t="shared" si="151"/>
      </c>
      <c r="Q62" s="31">
        <f t="shared" si="151"/>
      </c>
    </row>
    <row r="63" ht="14.25" customHeight="true">
      <c r="B63" s="67" t="s">
        <v>125</v>
      </c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</row>
    <row r="64" ht="14.25" customHeight="true">
      <c r="B64" s="9" t="s">
        <v>118</v>
      </c>
      <c r="C64" s="30"/>
      <c r="D64" s="30"/>
      <c r="E64" s="30"/>
      <c r="F64" s="30"/>
      <c r="G64" s="31">
        <f>=G54-G56</f>
      </c>
      <c r="H64" s="31">
        <f>=H65*'Supuestos Proyeccion'!H$15/1000</f>
      </c>
      <c r="I64" s="31">
        <f>=I65*'Supuestos Proyeccion'!I$15/1000</f>
      </c>
      <c r="J64" s="31">
        <f>=J65*'Supuestos Proyeccion'!J$15/1000</f>
      </c>
      <c r="K64" s="31">
        <f>=K65*'Supuestos Proyeccion'!K$15/1000</f>
      </c>
      <c r="L64" s="31">
        <f>=L65*'Supuestos Proyeccion'!L$15/1000</f>
      </c>
      <c r="M64" s="31">
        <f>=M65*'Supuestos Proyeccion'!M$15/1000</f>
      </c>
      <c r="N64" s="31">
        <f>=N65*'Supuestos Proyeccion'!N$15/1000</f>
      </c>
      <c r="O64" s="31">
        <f>=O65*'Supuestos Proyeccion'!O$15/1000</f>
      </c>
      <c r="P64" s="31">
        <f>=P65*'Supuestos Proyeccion'!P$15/1000</f>
      </c>
      <c r="Q64" s="31">
        <f>=Q65*'Supuestos Proyeccion'!Q$15/1000</f>
      </c>
    </row>
    <row r="65" ht="14.25" customHeight="true">
      <c r="B65" s="9" t="s">
        <v>126</v>
      </c>
      <c r="C65" s="30"/>
      <c r="D65" s="30"/>
      <c r="E65" s="30"/>
      <c r="F65" s="30"/>
      <c r="G65" s="31">
        <f>=G64*1000/'Supuestos Proyeccion'!G$15</f>
      </c>
      <c r="H65" s="31">
        <f ref="H65:Q65" t="shared" si="103">=G65-H66</f>
      </c>
      <c r="I65" s="31">
        <f t="shared" si="103"/>
      </c>
      <c r="J65" s="31">
        <f t="shared" si="103"/>
      </c>
      <c r="K65" s="31">
        <f t="shared" si="103"/>
      </c>
      <c r="L65" s="31">
        <f t="shared" si="103"/>
      </c>
      <c r="M65" s="31">
        <f t="shared" si="103"/>
      </c>
      <c r="N65" s="31">
        <f t="shared" si="103"/>
      </c>
      <c r="O65" s="31">
        <f t="shared" si="103"/>
      </c>
      <c r="P65" s="31">
        <f t="shared" si="103"/>
      </c>
      <c r="Q65" s="31">
        <f t="shared" si="103"/>
      </c>
    </row>
    <row r="66" ht="14.25" customHeight="true">
      <c r="B66" s="9" t="s">
        <v>127</v>
      </c>
      <c r="C66" s="30"/>
      <c r="D66" s="30"/>
      <c r="E66" s="30"/>
      <c r="F66" s="30"/>
      <c r="G66" s="30"/>
      <c r="H66" s="30">
        <v>0</v>
      </c>
      <c r="I66" s="30">
        <v>0</v>
      </c>
      <c r="J66" s="30">
        <v>0</v>
      </c>
      <c r="K66" s="30">
        <v>0</v>
      </c>
      <c r="L66" s="30">
        <v>0</v>
      </c>
      <c r="M66" s="30">
        <v>0</v>
      </c>
      <c r="N66" s="30">
        <v>0</v>
      </c>
      <c r="O66" s="30">
        <v>0</v>
      </c>
      <c r="P66" s="30">
        <v>0</v>
      </c>
      <c r="Q66" s="30">
        <v>0</v>
      </c>
      <c r="R66" s="42"/>
    </row>
    <row r="67" ht="14.25" customHeight="true">
      <c r="B67" s="9" t="s">
        <v>128</v>
      </c>
      <c r="C67" s="30"/>
      <c r="D67" s="30"/>
      <c r="E67" s="30"/>
      <c r="F67" s="30"/>
      <c r="G67" s="30"/>
      <c r="H67" s="31">
        <f>=H66*AVERAGE('Supuestos Proyeccion'!G$16:H$16)/1000</f>
      </c>
      <c r="I67" s="31">
        <f>=I66*AVERAGE('Supuestos Proyeccion'!H$16:I$16)/1000</f>
      </c>
      <c r="J67" s="31">
        <f>=J66*AVERAGE('Supuestos Proyeccion'!I$16:J$16)/1000</f>
      </c>
      <c r="K67" s="31">
        <f>=K66*AVERAGE('Supuestos Proyeccion'!J$16:K$16)/1000</f>
      </c>
      <c r="L67" s="31">
        <f>=L66*AVERAGE('Supuestos Proyeccion'!K$16:L$16)/1000</f>
      </c>
      <c r="M67" s="31">
        <f>=M66*AVERAGE('Supuestos Proyeccion'!L$16:M$16)/1000</f>
      </c>
      <c r="N67" s="31">
        <f>=N66*AVERAGE('Supuestos Proyeccion'!M$16:N$16)/1000</f>
      </c>
      <c r="O67" s="31">
        <f>=O66*AVERAGE('Supuestos Proyeccion'!N$16:O$16)/1000</f>
      </c>
      <c r="P67" s="31">
        <f>=P66*AVERAGE('Supuestos Proyeccion'!O$16:P$16)/1000</f>
      </c>
      <c r="Q67" s="31">
        <f>=Q66*AVERAGE('Supuestos Proyeccion'!P$16:Q$16)/1000</f>
      </c>
    </row>
    <row r="68" ht="14.25" customHeight="true">
      <c r="B68" s="9" t="s">
        <v>129</v>
      </c>
      <c r="C68" s="30"/>
      <c r="D68" s="30"/>
      <c r="E68" s="30"/>
      <c r="F68" s="30"/>
      <c r="G68" s="30"/>
      <c r="H68" s="31">
        <f ref="H68:Q68" t="shared" si="168">=((1+H69/2)^2)-1</f>
      </c>
      <c r="I68" s="31">
        <f t="shared" si="168"/>
      </c>
      <c r="J68" s="31">
        <f t="shared" si="168"/>
      </c>
      <c r="K68" s="31">
        <f t="shared" si="168"/>
      </c>
      <c r="L68" s="31">
        <f t="shared" si="168"/>
      </c>
      <c r="M68" s="31">
        <f t="shared" si="168"/>
      </c>
      <c r="N68" s="31">
        <f t="shared" si="168"/>
      </c>
      <c r="O68" s="31">
        <f t="shared" si="168"/>
      </c>
      <c r="P68" s="31">
        <f t="shared" si="168"/>
      </c>
      <c r="Q68" s="31">
        <f t="shared" si="168"/>
      </c>
    </row>
    <row r="69" ht="14.25" customHeight="true">
      <c r="B69" s="9" t="s">
        <v>130</v>
      </c>
      <c r="C69" s="30"/>
      <c r="D69" s="30"/>
      <c r="E69" s="30"/>
      <c r="F69" s="30"/>
      <c r="G69" s="30"/>
      <c r="H69" s="31">
        <f ref="H69:Q69" t="shared" si="81">=H70+H71</f>
      </c>
      <c r="I69" s="31">
        <f t="shared" si="81"/>
      </c>
      <c r="J69" s="31">
        <f t="shared" si="81"/>
      </c>
      <c r="K69" s="31">
        <f t="shared" si="81"/>
      </c>
      <c r="L69" s="31">
        <f t="shared" si="81"/>
      </c>
      <c r="M69" s="31">
        <f t="shared" si="81"/>
      </c>
      <c r="N69" s="31">
        <f t="shared" si="81"/>
      </c>
      <c r="O69" s="31">
        <f t="shared" si="81"/>
      </c>
      <c r="P69" s="31">
        <f t="shared" si="81"/>
      </c>
      <c r="Q69" s="31">
        <f t="shared" si="81"/>
      </c>
    </row>
    <row r="70" ht="14.25" customHeight="true">
      <c r="B70" s="9" t="s">
        <v>131</v>
      </c>
      <c r="C70" s="30"/>
      <c r="D70" s="30"/>
      <c r="E70" s="30"/>
      <c r="F70" s="30"/>
      <c r="G70" s="30"/>
      <c r="H70" s="30">
        <f>=+H23</f>
      </c>
      <c r="I70" s="30">
        <f ref="I70:Q70" t="shared" si="188">=+I23</f>
      </c>
      <c r="J70" s="30">
        <f t="shared" si="188"/>
      </c>
      <c r="K70" s="30">
        <f t="shared" si="188"/>
      </c>
      <c r="L70" s="30">
        <f t="shared" si="188"/>
      </c>
      <c r="M70" s="30">
        <f t="shared" si="188"/>
      </c>
      <c r="N70" s="30">
        <f t="shared" si="188"/>
      </c>
      <c r="O70" s="30">
        <f t="shared" si="188"/>
      </c>
      <c r="P70" s="30">
        <f t="shared" si="188"/>
      </c>
      <c r="Q70" s="30">
        <f t="shared" si="188"/>
      </c>
    </row>
    <row r="71" ht="14.25" customHeight="true">
      <c r="B71" s="9" t="s">
        <v>132</v>
      </c>
      <c r="C71" s="30"/>
      <c r="D71" s="30"/>
      <c r="E71" s="30"/>
      <c r="F71" s="30"/>
      <c r="G71" s="30"/>
      <c r="H71" s="30">
        <v>0.03</v>
      </c>
      <c r="I71" s="30">
        <v>0.03</v>
      </c>
      <c r="J71" s="30">
        <v>0.03</v>
      </c>
      <c r="K71" s="30">
        <v>0.03</v>
      </c>
      <c r="L71" s="30">
        <v>0.03</v>
      </c>
      <c r="M71" s="30">
        <v>0.03</v>
      </c>
      <c r="N71" s="30">
        <v>0.03</v>
      </c>
      <c r="O71" s="30">
        <v>0.03</v>
      </c>
      <c r="P71" s="30">
        <v>0.03</v>
      </c>
      <c r="Q71" s="30">
        <v>0.03</v>
      </c>
    </row>
    <row r="72" ht="14.25" customHeight="true">
      <c r="B72" s="9" t="s">
        <v>124</v>
      </c>
      <c r="C72" s="30"/>
      <c r="D72" s="30"/>
      <c r="E72" s="30"/>
      <c r="F72" s="30"/>
      <c r="G72" s="30"/>
      <c r="H72" s="31">
        <f>=AVERAGE(G65:H65)*H68*AVERAGE('Supuestos Proyeccion'!G$16:H$16)/1000</f>
      </c>
      <c r="I72" s="31">
        <f>=AVERAGE(H65:I65)*I68*AVERAGE('Supuestos Proyeccion'!H$16:I$16)/1000</f>
      </c>
      <c r="J72" s="31">
        <f>=AVERAGE(I65:J65)*J68*AVERAGE('Supuestos Proyeccion'!I$16:J$16)/1000</f>
      </c>
      <c r="K72" s="31">
        <f>=AVERAGE(J65:K65)*K68*AVERAGE('Supuestos Proyeccion'!J$16:K$16)/1000</f>
      </c>
      <c r="L72" s="31">
        <f>=AVERAGE(K65:L65)*L68*AVERAGE('Supuestos Proyeccion'!K$16:L$16)/1000</f>
      </c>
      <c r="M72" s="31">
        <f>=AVERAGE(L65:M65)*M68*AVERAGE('Supuestos Proyeccion'!L$16:M$16)/1000</f>
      </c>
      <c r="N72" s="31">
        <f>=AVERAGE(M65:N65)*N68*AVERAGE('Supuestos Proyeccion'!M$16:N$16)/1000</f>
      </c>
      <c r="O72" s="31">
        <f>=AVERAGE(N65:O65)*O68*AVERAGE('Supuestos Proyeccion'!N$16:O$16)/1000</f>
      </c>
      <c r="P72" s="31">
        <f>=AVERAGE(O65:P65)*P68*AVERAGE('Supuestos Proyeccion'!O$16:P$16)/1000</f>
      </c>
      <c r="Q72" s="31">
        <f>=AVERAGE(P65:Q65)*Q68*AVERAGE('Supuestos Proyeccion'!P$16:Q$16)/1000</f>
      </c>
    </row>
    <row r="73" ht="14.25" customHeight="true">
      <c r="B73" s="9" t="s">
        <v>133</v>
      </c>
      <c r="C73" s="30"/>
      <c r="D73" s="30"/>
      <c r="E73" s="30"/>
      <c r="F73" s="30"/>
      <c r="G73" s="30"/>
      <c r="H73" s="31">
        <f ref="H73:Q73" t="shared" si="175">=H64-G64+H67</f>
      </c>
      <c r="I73" s="31">
        <f t="shared" si="175"/>
      </c>
      <c r="J73" s="31">
        <f t="shared" si="175"/>
      </c>
      <c r="K73" s="31">
        <f t="shared" si="175"/>
      </c>
      <c r="L73" s="31">
        <f t="shared" si="175"/>
      </c>
      <c r="M73" s="31">
        <f t="shared" si="175"/>
      </c>
      <c r="N73" s="31">
        <f t="shared" si="175"/>
      </c>
      <c r="O73" s="31">
        <f t="shared" si="175"/>
      </c>
      <c r="P73" s="31">
        <f t="shared" si="175"/>
      </c>
      <c r="Q73" s="31">
        <f t="shared" si="175"/>
      </c>
    </row>
    <row r="74" ht="14.25" customHeight="true">
      <c r="B74" s="9"/>
      <c r="C74" s="30"/>
      <c r="D74" s="30"/>
      <c r="E74" s="30"/>
      <c r="F74" s="30"/>
      <c r="G74" s="30"/>
      <c r="H74" s="31"/>
      <c r="I74" s="31"/>
      <c r="J74" s="31"/>
      <c r="K74" s="31"/>
      <c r="L74" s="31"/>
      <c r="M74" s="31"/>
      <c r="N74" s="31"/>
      <c r="O74" s="31"/>
      <c r="P74" s="31"/>
      <c r="Q74" s="31"/>
    </row>
    <row r="75" ht="14.25" customHeight="true">
      <c r="A75" s="66" t="s">
        <v>13</v>
      </c>
      <c r="B75" s="4" t="s">
        <v>134</v>
      </c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</row>
    <row r="76" ht="14.25" customHeight="true">
      <c r="A76" s="18"/>
      <c r="B76" s="67" t="s">
        <v>135</v>
      </c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</row>
    <row r="77" ht="14.25" customHeight="true">
      <c r="B77" s="9" t="s">
        <v>136</v>
      </c>
      <c r="C77" s="30"/>
      <c r="D77" s="30"/>
      <c r="E77" s="30"/>
      <c r="F77" s="30"/>
      <c r="G77" s="30"/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</row>
    <row r="78" ht="14.25" customHeight="true">
      <c r="B78" s="9" t="s">
        <v>118</v>
      </c>
      <c r="C78" s="30"/>
      <c r="D78" s="30"/>
      <c r="E78" s="30"/>
      <c r="F78" s="30"/>
      <c r="G78" s="31">
        <v>0</v>
      </c>
      <c r="H78" s="31">
        <f>=H77-H79</f>
      </c>
      <c r="I78" s="31">
        <f ref="I78:Q78" t="shared" si="180">=H78+I77-I79</f>
      </c>
      <c r="J78" s="31">
        <f t="shared" si="180"/>
      </c>
      <c r="K78" s="31">
        <f t="shared" si="180"/>
      </c>
      <c r="L78" s="31">
        <f t="shared" si="180"/>
      </c>
      <c r="M78" s="31">
        <f t="shared" si="180"/>
      </c>
      <c r="N78" s="31">
        <f t="shared" si="180"/>
      </c>
      <c r="O78" s="31">
        <f t="shared" si="180"/>
      </c>
      <c r="P78" s="31">
        <f t="shared" si="180"/>
      </c>
      <c r="Q78" s="31">
        <f t="shared" si="180"/>
      </c>
    </row>
    <row r="79" ht="14.25" customHeight="true">
      <c r="B79" s="9" t="s">
        <v>119</v>
      </c>
      <c r="C79" s="30"/>
      <c r="D79" s="30"/>
      <c r="E79" s="30"/>
      <c r="F79" s="30"/>
      <c r="G79" s="30"/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</row>
    <row r="80" ht="14.25" customHeight="true">
      <c r="B80" s="9" t="s">
        <v>137</v>
      </c>
      <c r="C80" s="30"/>
      <c r="D80" s="30"/>
      <c r="E80" s="30"/>
      <c r="F80" s="30"/>
      <c r="G80" s="30"/>
      <c r="H80" s="31">
        <f ref="H80:Q80" t="shared" si="174">=(1+H81)*(1+H82)-1</f>
      </c>
      <c r="I80" s="31">
        <f t="shared" si="174"/>
      </c>
      <c r="J80" s="31">
        <f t="shared" si="174"/>
      </c>
      <c r="K80" s="31">
        <f t="shared" si="174"/>
      </c>
      <c r="L80" s="31">
        <f t="shared" si="174"/>
      </c>
      <c r="M80" s="31">
        <f t="shared" si="174"/>
      </c>
      <c r="N80" s="31">
        <f t="shared" si="174"/>
      </c>
      <c r="O80" s="31">
        <f t="shared" si="174"/>
      </c>
      <c r="P80" s="31">
        <f t="shared" si="174"/>
      </c>
      <c r="Q80" s="31">
        <f t="shared" si="174"/>
      </c>
    </row>
    <row r="81" ht="14.25" customHeight="true">
      <c r="B81" s="9" t="s">
        <v>138</v>
      </c>
      <c r="C81" s="30"/>
      <c r="D81" s="30"/>
      <c r="E81" s="30"/>
      <c r="F81" s="30"/>
      <c r="G81" s="30"/>
      <c r="H81" s="30">
        <f>=+H21</f>
      </c>
      <c r="I81" s="30">
        <f ref="I81:Q81" t="shared" si="163">=+I21</f>
      </c>
      <c r="J81" s="30">
        <f t="shared" si="163"/>
      </c>
      <c r="K81" s="30">
        <f t="shared" si="163"/>
      </c>
      <c r="L81" s="30">
        <f t="shared" si="163"/>
      </c>
      <c r="M81" s="30">
        <f t="shared" si="163"/>
      </c>
      <c r="N81" s="30">
        <f t="shared" si="163"/>
      </c>
      <c r="O81" s="30">
        <f t="shared" si="163"/>
      </c>
      <c r="P81" s="30">
        <f t="shared" si="163"/>
      </c>
      <c r="Q81" s="30">
        <f t="shared" si="163"/>
      </c>
    </row>
    <row r="82" ht="14.25" customHeight="true">
      <c r="B82" s="9" t="s">
        <v>139</v>
      </c>
      <c r="C82" s="30"/>
      <c r="D82" s="30"/>
      <c r="E82" s="30"/>
      <c r="F82" s="30"/>
      <c r="G82" s="30"/>
      <c r="H82" s="30">
        <v>0.07</v>
      </c>
      <c r="I82" s="30">
        <f>=+H82</f>
      </c>
      <c r="J82" s="30">
        <f ref="J82:Q82" t="shared" si="214">=+I82</f>
      </c>
      <c r="K82" s="30">
        <f t="shared" si="214"/>
      </c>
      <c r="L82" s="30">
        <f t="shared" si="214"/>
      </c>
      <c r="M82" s="30">
        <f t="shared" si="214"/>
      </c>
      <c r="N82" s="30">
        <f t="shared" si="214"/>
      </c>
      <c r="O82" s="30">
        <f t="shared" si="214"/>
      </c>
      <c r="P82" s="30">
        <f t="shared" si="214"/>
      </c>
      <c r="Q82" s="30">
        <f t="shared" si="214"/>
      </c>
    </row>
    <row r="83" ht="14.25" customHeight="true">
      <c r="B83" s="9" t="s">
        <v>124</v>
      </c>
      <c r="C83" s="30"/>
      <c r="D83" s="30"/>
      <c r="E83" s="30"/>
      <c r="F83" s="30"/>
      <c r="G83" s="30"/>
      <c r="H83" s="31">
        <f ref="H83:Q83" t="shared" si="234">=AVERAGE(G78:H78)*H80</f>
      </c>
      <c r="I83" s="31">
        <f t="shared" si="234"/>
      </c>
      <c r="J83" s="31">
        <f t="shared" si="234"/>
      </c>
      <c r="K83" s="31">
        <f t="shared" si="234"/>
      </c>
      <c r="L83" s="31">
        <f t="shared" si="234"/>
      </c>
      <c r="M83" s="31">
        <f t="shared" si="234"/>
      </c>
      <c r="N83" s="31">
        <f t="shared" si="234"/>
      </c>
      <c r="O83" s="31">
        <f t="shared" si="234"/>
      </c>
      <c r="P83" s="31">
        <f t="shared" si="234"/>
      </c>
      <c r="Q83" s="31">
        <f t="shared" si="234"/>
      </c>
    </row>
    <row r="84" ht="14.25" customHeight="true">
      <c r="A84" s="18"/>
      <c r="B84" s="67" t="s">
        <v>140</v>
      </c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</row>
    <row r="85" ht="14.25" customHeight="true">
      <c r="B85" s="9" t="s">
        <v>141</v>
      </c>
      <c r="C85" s="30"/>
      <c r="D85" s="30"/>
      <c r="E85" s="30"/>
      <c r="F85" s="30"/>
      <c r="G85" s="30"/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11"/>
    </row>
    <row r="86" ht="14.25" customHeight="true">
      <c r="B86" s="9" t="s">
        <v>136</v>
      </c>
      <c r="C86" s="30"/>
      <c r="D86" s="30"/>
      <c r="E86" s="30"/>
      <c r="F86" s="30"/>
      <c r="G86" s="30"/>
      <c r="H86" s="31">
        <f>=H85*'Supuestos Proyeccion'!H16/1000</f>
      </c>
      <c r="I86" s="31">
        <f>=I85*'Supuestos Proyeccion'!I16/1000</f>
      </c>
      <c r="J86" s="31">
        <f>=J85*'Supuestos Proyeccion'!J16/1000</f>
      </c>
      <c r="K86" s="31">
        <f>=K85*'Supuestos Proyeccion'!K16/1000</f>
      </c>
      <c r="L86" s="31">
        <f>=L85*'Supuestos Proyeccion'!L16/1000</f>
      </c>
      <c r="M86" s="31">
        <f>=M85*'Supuestos Proyeccion'!M16/1000</f>
      </c>
      <c r="N86" s="31">
        <f>=N85*'Supuestos Proyeccion'!N16/1000</f>
      </c>
      <c r="O86" s="31">
        <f>=O85*'Supuestos Proyeccion'!O16/1000</f>
      </c>
      <c r="P86" s="31">
        <f>=P85*'Supuestos Proyeccion'!P16/1000</f>
      </c>
      <c r="Q86" s="31">
        <f>=Q85*'Supuestos Proyeccion'!Q16/1000</f>
      </c>
      <c r="R86" s="11"/>
    </row>
    <row r="87" ht="14.25" customHeight="true">
      <c r="B87" s="9" t="s">
        <v>118</v>
      </c>
      <c r="C87" s="30"/>
      <c r="D87" s="30"/>
      <c r="E87" s="30"/>
      <c r="F87" s="30"/>
      <c r="G87" s="31">
        <v>0</v>
      </c>
      <c r="H87" s="31">
        <f>=H88*'Supuestos Proyeccion'!H$15/1000</f>
      </c>
      <c r="I87" s="31">
        <f>=I88*'Supuestos Proyeccion'!I$15/1000</f>
      </c>
      <c r="J87" s="31">
        <f>=J88*'Supuestos Proyeccion'!J$15/1000</f>
      </c>
      <c r="K87" s="31">
        <f>=K88*'Supuestos Proyeccion'!K$15/1000</f>
      </c>
      <c r="L87" s="31">
        <f>=L88*'Supuestos Proyeccion'!L$15/1000</f>
      </c>
      <c r="M87" s="31">
        <f>=M88*'Supuestos Proyeccion'!M$15/1000</f>
      </c>
      <c r="N87" s="31">
        <f>=N88*'Supuestos Proyeccion'!N$15/1000</f>
      </c>
      <c r="O87" s="31">
        <f>=O88*'Supuestos Proyeccion'!O$15/1000</f>
      </c>
      <c r="P87" s="31">
        <f>=P88*'Supuestos Proyeccion'!P$15/1000</f>
      </c>
      <c r="Q87" s="31">
        <f>=Q88*'Supuestos Proyeccion'!Q$15/1000</f>
      </c>
      <c r="R87" s="11"/>
    </row>
    <row r="88" ht="14.25" customHeight="true">
      <c r="B88" s="9" t="s">
        <v>126</v>
      </c>
      <c r="C88" s="30"/>
      <c r="D88" s="30"/>
      <c r="E88" s="30"/>
      <c r="F88" s="30"/>
      <c r="G88" s="31"/>
      <c r="H88" s="31">
        <f>=H85-H89</f>
      </c>
      <c r="I88" s="31">
        <f ref="I88:Q88" t="shared" si="173">=H88+I85-I89</f>
      </c>
      <c r="J88" s="31">
        <f t="shared" si="173"/>
      </c>
      <c r="K88" s="31">
        <f t="shared" si="173"/>
      </c>
      <c r="L88" s="31">
        <f t="shared" si="173"/>
      </c>
      <c r="M88" s="31">
        <f t="shared" si="173"/>
      </c>
      <c r="N88" s="31">
        <f t="shared" si="173"/>
      </c>
      <c r="O88" s="31">
        <f t="shared" si="173"/>
      </c>
      <c r="P88" s="31">
        <f t="shared" si="173"/>
      </c>
      <c r="Q88" s="31">
        <f t="shared" si="173"/>
      </c>
      <c r="R88" s="11"/>
    </row>
    <row r="89" ht="14.25" customHeight="true">
      <c r="B89" s="9" t="s">
        <v>127</v>
      </c>
      <c r="C89" s="30"/>
      <c r="D89" s="30"/>
      <c r="E89" s="30"/>
      <c r="F89" s="30"/>
      <c r="G89" s="30"/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11"/>
    </row>
    <row r="90" ht="14.25" customHeight="true">
      <c r="B90" s="9" t="s">
        <v>128</v>
      </c>
      <c r="C90" s="30"/>
      <c r="D90" s="30"/>
      <c r="E90" s="30"/>
      <c r="F90" s="30"/>
      <c r="G90" s="30"/>
      <c r="H90" s="31">
        <f>=H89*'Supuestos Proyeccion'!H$16/1000</f>
      </c>
      <c r="I90" s="31">
        <f>=I89*AVERAGE('Supuestos Proyeccion'!H$16:I$16)/1000</f>
      </c>
      <c r="J90" s="31">
        <f>=J89*AVERAGE('Supuestos Proyeccion'!I$16:J$16)/1000</f>
      </c>
      <c r="K90" s="31">
        <f>=K89*AVERAGE('Supuestos Proyeccion'!J$16:K$16)/1000</f>
      </c>
      <c r="L90" s="31">
        <f>=L89*AVERAGE('Supuestos Proyeccion'!K$16:L$16)/1000</f>
      </c>
      <c r="M90" s="31">
        <f>=M89*AVERAGE('Supuestos Proyeccion'!L$16:M$16)/1000</f>
      </c>
      <c r="N90" s="31">
        <f>=N89*AVERAGE('Supuestos Proyeccion'!M$16:N$16)/1000</f>
      </c>
      <c r="O90" s="31">
        <f>=O89*AVERAGE('Supuestos Proyeccion'!N$16:O$16)/1000</f>
      </c>
      <c r="P90" s="31">
        <f>=P89*AVERAGE('Supuestos Proyeccion'!O$16:P$16)/1000</f>
      </c>
      <c r="Q90" s="31">
        <f>=Q89*AVERAGE('Supuestos Proyeccion'!P$16:Q$16)/1000</f>
      </c>
      <c r="R90" s="11"/>
    </row>
    <row r="91" ht="14.25" customHeight="true">
      <c r="B91" s="9" t="s">
        <v>142</v>
      </c>
      <c r="C91" s="30"/>
      <c r="D91" s="30"/>
      <c r="E91" s="30"/>
      <c r="F91" s="30"/>
      <c r="G91" s="30"/>
      <c r="H91" s="31">
        <f ref="H91:Q91" t="shared" si="198">=(1+H92)*(1+H93)-1</f>
      </c>
      <c r="I91" s="31">
        <f t="shared" si="198"/>
      </c>
      <c r="J91" s="31">
        <f t="shared" si="198"/>
      </c>
      <c r="K91" s="31">
        <f t="shared" si="198"/>
      </c>
      <c r="L91" s="31">
        <f t="shared" si="198"/>
      </c>
      <c r="M91" s="31">
        <f t="shared" si="198"/>
      </c>
      <c r="N91" s="31">
        <f t="shared" si="198"/>
      </c>
      <c r="O91" s="31">
        <f t="shared" si="198"/>
      </c>
      <c r="P91" s="31">
        <f t="shared" si="198"/>
      </c>
      <c r="Q91" s="31">
        <f t="shared" si="198"/>
      </c>
    </row>
    <row r="92" ht="14.25" customHeight="true">
      <c r="B92" s="9" t="s">
        <v>138</v>
      </c>
      <c r="C92" s="30"/>
      <c r="D92" s="30"/>
      <c r="E92" s="30"/>
      <c r="F92" s="30"/>
      <c r="G92" s="30"/>
      <c r="H92" s="30">
        <f>=+H23</f>
      </c>
      <c r="I92" s="30">
        <f ref="I92:Q92" t="shared" si="178">=+I23</f>
      </c>
      <c r="J92" s="30">
        <f t="shared" si="178"/>
      </c>
      <c r="K92" s="30">
        <f t="shared" si="178"/>
      </c>
      <c r="L92" s="30">
        <f t="shared" si="178"/>
      </c>
      <c r="M92" s="30">
        <f t="shared" si="178"/>
      </c>
      <c r="N92" s="30">
        <f t="shared" si="178"/>
      </c>
      <c r="O92" s="30">
        <f t="shared" si="178"/>
      </c>
      <c r="P92" s="30">
        <f t="shared" si="178"/>
      </c>
      <c r="Q92" s="30">
        <f t="shared" si="178"/>
      </c>
    </row>
    <row r="93" ht="14.25" customHeight="true">
      <c r="B93" s="9" t="s">
        <v>139</v>
      </c>
      <c r="C93" s="30"/>
      <c r="D93" s="30"/>
      <c r="E93" s="30"/>
      <c r="F93" s="30"/>
      <c r="G93" s="30"/>
      <c r="H93" s="30">
        <v>0.03</v>
      </c>
      <c r="I93" s="30">
        <v>0.03</v>
      </c>
      <c r="J93" s="30">
        <v>0.03</v>
      </c>
      <c r="K93" s="30">
        <v>0.03</v>
      </c>
      <c r="L93" s="30">
        <v>0.03</v>
      </c>
      <c r="M93" s="30">
        <v>0.03</v>
      </c>
      <c r="N93" s="30">
        <v>0.03</v>
      </c>
      <c r="O93" s="30">
        <v>0.03</v>
      </c>
      <c r="P93" s="30">
        <v>0.03</v>
      </c>
      <c r="Q93" s="30">
        <v>0.03</v>
      </c>
    </row>
    <row r="94" ht="14.25" customHeight="true">
      <c r="B94" s="9" t="s">
        <v>124</v>
      </c>
      <c r="C94" s="30"/>
      <c r="D94" s="30"/>
      <c r="E94" s="30"/>
      <c r="F94" s="30"/>
      <c r="G94" s="30"/>
      <c r="H94" s="31">
        <f>=AVERAGE(G88:H88)*H91*'Supuestos Proyeccion'!H$16/1000</f>
      </c>
      <c r="I94" s="31">
        <f>=AVERAGE(H88:I88)*I91*AVERAGE('Supuestos Proyeccion'!H$16:I$16)/1000</f>
      </c>
      <c r="J94" s="31">
        <f>=AVERAGE(I88:J88)*J91*AVERAGE('Supuestos Proyeccion'!I$16:J$16)/1000</f>
      </c>
      <c r="K94" s="31">
        <f>=AVERAGE(J88:K88)*K91*AVERAGE('Supuestos Proyeccion'!J$16:K$16)/1000</f>
      </c>
      <c r="L94" s="31">
        <f>=AVERAGE(K88:L88)*L91*AVERAGE('Supuestos Proyeccion'!K$16:L$16)/1000</f>
      </c>
      <c r="M94" s="31">
        <f>=AVERAGE(L88:M88)*M91*AVERAGE('Supuestos Proyeccion'!L$16:M$16)/1000</f>
      </c>
      <c r="N94" s="31">
        <f>=AVERAGE(M88:N88)*N91*AVERAGE('Supuestos Proyeccion'!M$16:N$16)/1000</f>
      </c>
      <c r="O94" s="31">
        <f>=AVERAGE(N88:O88)*O91*AVERAGE('Supuestos Proyeccion'!N$16:O$16)/1000</f>
      </c>
      <c r="P94" s="31">
        <f>=AVERAGE(O88:P88)*P91*AVERAGE('Supuestos Proyeccion'!O$16:P$16)/1000</f>
      </c>
      <c r="Q94" s="31">
        <f>=AVERAGE(P88:Q88)*Q91*AVERAGE('Supuestos Proyeccion'!P$16:Q$16)/1000</f>
      </c>
    </row>
    <row r="95" ht="14.25" customHeight="true">
      <c r="B95" s="9" t="s">
        <v>133</v>
      </c>
      <c r="C95" s="30"/>
      <c r="D95" s="30"/>
      <c r="E95" s="30"/>
      <c r="F95" s="30"/>
      <c r="G95" s="30"/>
      <c r="H95" s="31">
        <f ref="H95:Q95" t="shared" si="118">=H87-G87-H86+H90</f>
      </c>
      <c r="I95" s="31">
        <f t="shared" si="118"/>
      </c>
      <c r="J95" s="31">
        <f t="shared" si="118"/>
      </c>
      <c r="K95" s="31">
        <f t="shared" si="118"/>
      </c>
      <c r="L95" s="31">
        <f t="shared" si="118"/>
      </c>
      <c r="M95" s="31">
        <f t="shared" si="118"/>
      </c>
      <c r="N95" s="31">
        <f t="shared" si="118"/>
      </c>
      <c r="O95" s="31">
        <f t="shared" si="118"/>
      </c>
      <c r="P95" s="31">
        <f t="shared" si="118"/>
      </c>
      <c r="Q95" s="31">
        <f t="shared" si="118"/>
      </c>
    </row>
    <row r="96" ht="14.25" customHeight="true">
      <c r="B96" s="9"/>
      <c r="C96" s="30"/>
      <c r="D96" s="30"/>
      <c r="E96" s="30"/>
      <c r="F96" s="30"/>
      <c r="G96" s="30"/>
      <c r="H96" s="31"/>
      <c r="I96" s="31"/>
      <c r="J96" s="31"/>
      <c r="K96" s="31"/>
      <c r="L96" s="31"/>
      <c r="M96" s="31"/>
      <c r="N96" s="31"/>
      <c r="O96" s="31"/>
      <c r="P96" s="31"/>
      <c r="Q96" s="31"/>
    </row>
    <row r="97" ht="14.25" customHeight="true">
      <c r="A97" s="66" t="s">
        <v>13</v>
      </c>
      <c r="B97" s="4" t="s">
        <v>143</v>
      </c>
      <c r="C97" s="30"/>
      <c r="D97" s="30"/>
      <c r="E97" s="30"/>
      <c r="F97" s="30"/>
      <c r="G97" s="31">
        <f>=ESF!G35</f>
      </c>
      <c r="H97" s="31">
        <f>=ESF!H35</f>
      </c>
      <c r="I97" s="31">
        <f>=ESF!I35</f>
      </c>
      <c r="J97" s="31">
        <f>=ESF!J35</f>
      </c>
      <c r="K97" s="31">
        <f>=ESF!K35</f>
      </c>
      <c r="L97" s="31">
        <f>=ESF!L35</f>
      </c>
      <c r="M97" s="31">
        <f>=ESF!M35</f>
      </c>
      <c r="N97" s="31">
        <f>=ESF!N35</f>
      </c>
      <c r="O97" s="31">
        <f>=ESF!O35</f>
      </c>
      <c r="P97" s="31">
        <f>=ESF!P35</f>
      </c>
      <c r="Q97" s="31">
        <f>=ESF!Q35</f>
      </c>
    </row>
    <row r="98" ht="14.25" customHeight="true">
      <c r="B98" s="9" t="s">
        <v>137</v>
      </c>
      <c r="C98" s="30"/>
      <c r="D98" s="30"/>
      <c r="E98" s="30"/>
      <c r="F98" s="30"/>
      <c r="G98" s="30"/>
      <c r="H98" s="31">
        <f ref="H98:Q98" t="shared" si="83">=(1+H99)*(1+H100)-1</f>
      </c>
      <c r="I98" s="31">
        <f t="shared" si="83"/>
      </c>
      <c r="J98" s="31">
        <f t="shared" si="83"/>
      </c>
      <c r="K98" s="31">
        <f t="shared" si="83"/>
      </c>
      <c r="L98" s="31">
        <f t="shared" si="83"/>
      </c>
      <c r="M98" s="31">
        <f t="shared" si="83"/>
      </c>
      <c r="N98" s="31">
        <f t="shared" si="83"/>
      </c>
      <c r="O98" s="31">
        <f t="shared" si="83"/>
      </c>
      <c r="P98" s="31">
        <f t="shared" si="83"/>
      </c>
      <c r="Q98" s="31">
        <f t="shared" si="83"/>
      </c>
    </row>
    <row r="99" ht="14.25" customHeight="true">
      <c r="B99" s="9" t="s">
        <v>138</v>
      </c>
      <c r="C99" s="30"/>
      <c r="D99" s="30"/>
      <c r="E99" s="30"/>
      <c r="F99" s="30"/>
      <c r="G99" s="30"/>
      <c r="H99" s="30">
        <f>=+H21</f>
      </c>
      <c r="I99" s="30">
        <f ref="I99:Q99" t="shared" si="97">=+I21</f>
      </c>
      <c r="J99" s="30">
        <f t="shared" si="97"/>
      </c>
      <c r="K99" s="30">
        <f t="shared" si="97"/>
      </c>
      <c r="L99" s="30">
        <f t="shared" si="97"/>
      </c>
      <c r="M99" s="30">
        <f t="shared" si="97"/>
      </c>
      <c r="N99" s="30">
        <f t="shared" si="97"/>
      </c>
      <c r="O99" s="30">
        <f t="shared" si="97"/>
      </c>
      <c r="P99" s="30">
        <f t="shared" si="97"/>
      </c>
      <c r="Q99" s="30">
        <f t="shared" si="97"/>
      </c>
    </row>
    <row r="100" ht="14.25" customHeight="true">
      <c r="B100" s="9" t="s">
        <v>139</v>
      </c>
      <c r="C100" s="30"/>
      <c r="D100" s="30"/>
      <c r="E100" s="30"/>
      <c r="F100" s="30"/>
      <c r="G100" s="30"/>
      <c r="H100" s="30">
        <v>0.02</v>
      </c>
      <c r="I100" s="30">
        <f>=+H100</f>
      </c>
      <c r="J100" s="30">
        <f ref="J100:Q100" t="shared" si="210">=+I100</f>
      </c>
      <c r="K100" s="30">
        <f t="shared" si="210"/>
      </c>
      <c r="L100" s="30">
        <f t="shared" si="210"/>
      </c>
      <c r="M100" s="30">
        <f t="shared" si="210"/>
      </c>
      <c r="N100" s="30">
        <f t="shared" si="210"/>
      </c>
      <c r="O100" s="30">
        <f t="shared" si="210"/>
      </c>
      <c r="P100" s="30">
        <f t="shared" si="210"/>
      </c>
      <c r="Q100" s="30">
        <f t="shared" si="210"/>
      </c>
    </row>
    <row r="101" ht="14.25" customHeight="true">
      <c r="B101" s="9" t="s">
        <v>124</v>
      </c>
      <c r="C101" s="30"/>
      <c r="D101" s="30"/>
      <c r="E101" s="30"/>
      <c r="F101" s="30"/>
      <c r="G101" s="30"/>
      <c r="H101" s="31">
        <f ref="H101:Q101" t="shared" si="91">=G97*H98</f>
      </c>
      <c r="I101" s="31">
        <f t="shared" si="91"/>
      </c>
      <c r="J101" s="31">
        <f t="shared" si="91"/>
      </c>
      <c r="K101" s="31">
        <f t="shared" si="91"/>
      </c>
      <c r="L101" s="31">
        <f t="shared" si="91"/>
      </c>
      <c r="M101" s="31">
        <f t="shared" si="91"/>
      </c>
      <c r="N101" s="31">
        <f t="shared" si="91"/>
      </c>
      <c r="O101" s="31">
        <f t="shared" si="91"/>
      </c>
      <c r="P101" s="31">
        <f t="shared" si="91"/>
      </c>
      <c r="Q101" s="31">
        <f t="shared" si="91"/>
      </c>
    </row>
    <row r="102" ht="14.25" customHeight="true">
      <c r="B102" s="9"/>
      <c r="C102" s="30"/>
      <c r="D102" s="30"/>
      <c r="E102" s="30"/>
      <c r="F102" s="30"/>
      <c r="G102" s="30"/>
      <c r="H102" s="31"/>
      <c r="I102" s="31"/>
      <c r="J102" s="31"/>
      <c r="K102" s="31"/>
      <c r="L102" s="31"/>
      <c r="M102" s="31"/>
      <c r="N102" s="31"/>
      <c r="O102" s="31"/>
      <c r="P102" s="31"/>
      <c r="Q102" s="31"/>
    </row>
    <row r="103" ht="14.25" customHeight="true">
      <c r="A103" s="66" t="s">
        <v>13</v>
      </c>
      <c r="B103" s="68" t="s">
        <v>144</v>
      </c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</row>
    <row r="104" ht="14.25" customHeight="true">
      <c r="A104" s="36"/>
      <c r="B104" s="37" t="s">
        <v>145</v>
      </c>
      <c r="C104" s="69"/>
      <c r="D104" s="69"/>
      <c r="E104" s="69"/>
      <c r="F104" s="69"/>
      <c r="G104" s="69"/>
      <c r="H104" s="69">
        <v>0</v>
      </c>
      <c r="I104" s="69">
        <v>0</v>
      </c>
      <c r="J104" s="69">
        <v>0</v>
      </c>
      <c r="K104" s="69">
        <v>0</v>
      </c>
      <c r="L104" s="69">
        <v>0</v>
      </c>
      <c r="M104" s="69">
        <v>0</v>
      </c>
      <c r="N104" s="69">
        <v>0</v>
      </c>
      <c r="O104" s="69">
        <v>0</v>
      </c>
      <c r="P104" s="69">
        <v>0</v>
      </c>
      <c r="Q104" s="69">
        <v>0</v>
      </c>
    </row>
    <row r="105" ht="14.25" customHeight="true">
      <c r="A105" s="36"/>
      <c r="B105" s="70" t="s">
        <v>146</v>
      </c>
      <c r="C105" s="71"/>
      <c r="D105" s="71"/>
      <c r="E105" s="71"/>
      <c r="F105" s="71"/>
      <c r="G105" s="71"/>
      <c r="H105" s="71">
        <v>0</v>
      </c>
      <c r="I105" s="71">
        <v>0</v>
      </c>
      <c r="J105" s="71">
        <v>0</v>
      </c>
      <c r="K105" s="71">
        <v>0</v>
      </c>
      <c r="L105" s="71">
        <v>0</v>
      </c>
      <c r="M105" s="71">
        <v>0</v>
      </c>
      <c r="N105" s="71">
        <v>0</v>
      </c>
      <c r="O105" s="71">
        <v>0</v>
      </c>
      <c r="P105" s="71">
        <v>0</v>
      </c>
      <c r="Q105" s="71">
        <v>0</v>
      </c>
    </row>
    <row r="106" ht="14.25" customHeight="true">
      <c r="A106" s="18">
        <v>10</v>
      </c>
      <c r="B106" s="21" t="s">
        <v>30</v>
      </c>
      <c r="C106" s="24">
        <f>=ERI!C24</f>
      </c>
      <c r="D106" s="24">
        <f>=ERI!D24</f>
      </c>
      <c r="E106" s="24">
        <f>=ERI!E24</f>
      </c>
      <c r="F106" s="24">
        <f>=ERI!F24</f>
      </c>
      <c r="G106" s="24">
        <f>=ERI!G24</f>
      </c>
      <c r="H106" s="24">
        <f>=+SUM(H107:H110)</f>
      </c>
      <c r="I106" s="24">
        <f ref="I106:Q106" t="shared" si="125">=+SUM(I107:I110)</f>
      </c>
      <c r="J106" s="24">
        <f t="shared" si="125"/>
      </c>
      <c r="K106" s="24">
        <f t="shared" si="125"/>
      </c>
      <c r="L106" s="24">
        <f t="shared" si="125"/>
      </c>
      <c r="M106" s="24">
        <f t="shared" si="125"/>
      </c>
      <c r="N106" s="24">
        <f t="shared" si="125"/>
      </c>
      <c r="O106" s="24">
        <f t="shared" si="125"/>
      </c>
      <c r="P106" s="24">
        <f t="shared" si="125"/>
      </c>
      <c r="Q106" s="24">
        <f t="shared" si="125"/>
      </c>
    </row>
    <row r="107" ht="14.25" customHeight="true">
      <c r="A107" s="18"/>
      <c r="B107" s="8" t="s">
        <v>147</v>
      </c>
      <c r="C107" s="24"/>
      <c r="D107" s="24"/>
      <c r="E107" s="24"/>
      <c r="F107" s="24"/>
      <c r="G107" s="24"/>
      <c r="H107" s="31">
        <f>=+Impuestos!F103</f>
      </c>
      <c r="I107" s="31">
        <f>=+Impuestos!G103</f>
      </c>
      <c r="J107" s="31">
        <f>=+Impuestos!H103</f>
      </c>
      <c r="K107" s="31">
        <f>=+Impuestos!I103</f>
      </c>
      <c r="L107" s="31">
        <f>=+Impuestos!J103</f>
      </c>
      <c r="M107" s="31">
        <f>=+Impuestos!K103</f>
      </c>
      <c r="N107" s="31">
        <f>=+Impuestos!L103</f>
      </c>
      <c r="O107" s="31">
        <f>=+Impuestos!M103</f>
      </c>
      <c r="P107" s="31">
        <f>=+Impuestos!N103</f>
      </c>
      <c r="Q107" s="31">
        <f>=+Impuestos!O103</f>
      </c>
    </row>
    <row r="108" ht="14.25" customHeight="true">
      <c r="A108" s="18"/>
      <c r="B108" s="8" t="s">
        <v>148</v>
      </c>
      <c r="C108" s="24"/>
      <c r="D108" s="24"/>
      <c r="E108" s="24"/>
      <c r="F108" s="24"/>
      <c r="G108" s="24"/>
      <c r="H108" s="31">
        <f>=+Impuestos!F39</f>
      </c>
      <c r="I108" s="31">
        <f>=+Impuestos!G39</f>
      </c>
      <c r="J108" s="31">
        <f>=+Impuestos!H39</f>
      </c>
      <c r="K108" s="31">
        <f>=+Impuestos!I39</f>
      </c>
      <c r="L108" s="31">
        <f>=+Impuestos!J39</f>
      </c>
      <c r="M108" s="31">
        <f>=+Impuestos!K39</f>
      </c>
      <c r="N108" s="31">
        <f>=+Impuestos!L39</f>
      </c>
      <c r="O108" s="31">
        <f>=+Impuestos!M39</f>
      </c>
      <c r="P108" s="31">
        <f>=+Impuestos!N39</f>
      </c>
      <c r="Q108" s="31">
        <f>=+Impuestos!O39</f>
      </c>
    </row>
    <row r="109" ht="14.25" customHeight="true">
      <c r="A109" s="18"/>
      <c r="B109" s="8" t="s">
        <v>149</v>
      </c>
      <c r="C109" s="24"/>
      <c r="D109" s="24"/>
      <c r="E109" s="24"/>
      <c r="F109" s="24"/>
      <c r="G109" s="24"/>
      <c r="H109" s="31">
        <f>=+Impuestos!F83</f>
      </c>
      <c r="I109" s="31">
        <f>=+Impuestos!G83</f>
      </c>
      <c r="J109" s="31">
        <f>=+Impuestos!H83</f>
      </c>
      <c r="K109" s="31">
        <f>=+Impuestos!I83</f>
      </c>
      <c r="L109" s="31">
        <f>=+Impuestos!J83</f>
      </c>
      <c r="M109" s="31">
        <f>=+Impuestos!K83</f>
      </c>
      <c r="N109" s="31">
        <f>=+Impuestos!L83</f>
      </c>
      <c r="O109" s="31">
        <f>=+Impuestos!M83</f>
      </c>
      <c r="P109" s="31">
        <f>=+Impuestos!N83</f>
      </c>
      <c r="Q109" s="31">
        <f>=+Impuestos!O83</f>
      </c>
    </row>
    <row r="110" ht="14.25" customHeight="true">
      <c r="A110" s="18"/>
      <c r="B110" s="8" t="s">
        <v>150</v>
      </c>
      <c r="C110" s="31">
        <f>=ERI!C24</f>
      </c>
      <c r="D110" s="31">
        <f>=ERI!D24</f>
      </c>
      <c r="E110" s="31">
        <f>=ERI!E24</f>
      </c>
      <c r="F110" s="31">
        <f>=ERI!F24</f>
      </c>
      <c r="G110" s="31">
        <f>=ERI!G24</f>
      </c>
      <c r="H110" s="31">
        <f>=H111*H$31</f>
      </c>
      <c r="I110" s="31">
        <f ref="I110:Q110" t="shared" si="236">=I111*I$31</f>
      </c>
      <c r="J110" s="31">
        <f t="shared" si="236"/>
      </c>
      <c r="K110" s="31">
        <f t="shared" si="236"/>
      </c>
      <c r="L110" s="31">
        <f t="shared" si="236"/>
      </c>
      <c r="M110" s="31">
        <f t="shared" si="236"/>
      </c>
      <c r="N110" s="31">
        <f t="shared" si="236"/>
      </c>
      <c r="O110" s="31">
        <f t="shared" si="236"/>
      </c>
      <c r="P110" s="31">
        <f t="shared" si="236"/>
      </c>
      <c r="Q110" s="31">
        <f t="shared" si="236"/>
      </c>
    </row>
    <row r="111" ht="14.25" customHeight="true">
      <c r="B111" s="53" t="s">
        <v>151</v>
      </c>
      <c r="C111" s="54">
        <f>=C110/C$31</f>
      </c>
      <c r="D111" s="54">
        <f ref="D111:G111" t="shared" si="139">=D110/D$31</f>
      </c>
      <c r="E111" s="54">
        <f t="shared" si="139"/>
      </c>
      <c r="F111" s="54">
        <f t="shared" si="139"/>
      </c>
      <c r="G111" s="54">
        <f t="shared" si="139"/>
      </c>
      <c r="H111" s="55">
        <f>=+G111</f>
      </c>
      <c r="I111" s="55">
        <f>=+H111</f>
      </c>
      <c r="J111" s="55">
        <f ref="J111:Q111" t="shared" si="140">=+I111</f>
      </c>
      <c r="K111" s="55">
        <f t="shared" si="140"/>
      </c>
      <c r="L111" s="55">
        <f t="shared" si="140"/>
      </c>
      <c r="M111" s="55">
        <f t="shared" si="140"/>
      </c>
      <c r="N111" s="55">
        <f t="shared" si="140"/>
      </c>
      <c r="O111" s="55">
        <f t="shared" si="140"/>
      </c>
      <c r="P111" s="55">
        <f t="shared" si="140"/>
      </c>
      <c r="Q111" s="55">
        <f t="shared" si="140"/>
      </c>
    </row>
    <row r="112" hidden="1" ht="14.25" customHeight="true">
      <c r="A112" s="18">
        <v>11</v>
      </c>
      <c r="B112" s="21" t="s">
        <v>152</v>
      </c>
      <c r="C112" s="23">
        <v>0</v>
      </c>
      <c r="D112" s="23">
        <v>0</v>
      </c>
      <c r="E112" s="23">
        <v>0</v>
      </c>
      <c r="F112" s="23">
        <v>0</v>
      </c>
      <c r="G112" s="23">
        <v>0</v>
      </c>
      <c r="H112" s="24">
        <f ref="H112:Q112" t="shared" si="196">=H73+H95</f>
      </c>
      <c r="I112" s="24">
        <f t="shared" si="196"/>
      </c>
      <c r="J112" s="24">
        <f t="shared" si="196"/>
      </c>
      <c r="K112" s="24">
        <f t="shared" si="196"/>
      </c>
      <c r="L112" s="24">
        <f t="shared" si="196"/>
      </c>
      <c r="M112" s="24">
        <f t="shared" si="196"/>
      </c>
      <c r="N112" s="24">
        <f t="shared" si="196"/>
      </c>
      <c r="O112" s="24">
        <f t="shared" si="196"/>
      </c>
      <c r="P112" s="24">
        <f t="shared" si="196"/>
      </c>
      <c r="Q112" s="24">
        <f t="shared" si="196"/>
      </c>
    </row>
    <row r="113" hidden="1" ht="14.25" customHeight="true">
      <c r="A113" s="18">
        <v>12</v>
      </c>
      <c r="B113" s="61" t="s">
        <v>153</v>
      </c>
      <c r="C113" s="72">
        <v>0</v>
      </c>
      <c r="D113" s="72">
        <v>0</v>
      </c>
      <c r="E113" s="72">
        <v>0</v>
      </c>
      <c r="F113" s="72">
        <v>0</v>
      </c>
      <c r="G113" s="72">
        <v>0</v>
      </c>
      <c r="H113" s="62">
        <f ref="H113:Q113" t="shared" si="90">=H114-H120</f>
      </c>
      <c r="I113" s="62">
        <f t="shared" si="90"/>
      </c>
      <c r="J113" s="62">
        <f t="shared" si="90"/>
      </c>
      <c r="K113" s="62">
        <f t="shared" si="90"/>
      </c>
      <c r="L113" s="62">
        <f t="shared" si="90"/>
      </c>
      <c r="M113" s="62">
        <f t="shared" si="90"/>
      </c>
      <c r="N113" s="62">
        <f t="shared" si="90"/>
      </c>
      <c r="O113" s="62">
        <f t="shared" si="90"/>
      </c>
      <c r="P113" s="62">
        <f t="shared" si="90"/>
      </c>
      <c r="Q113" s="62">
        <f t="shared" si="90"/>
      </c>
    </row>
    <row r="114" hidden="1" ht="14.25" customHeight="true">
      <c r="B114" s="8" t="s">
        <v>154</v>
      </c>
      <c r="C114" s="30"/>
      <c r="D114" s="30"/>
      <c r="E114" s="30"/>
      <c r="F114" s="30"/>
      <c r="G114" s="30"/>
      <c r="H114" s="31">
        <f ref="H114:Q114" t="shared" si="203">=H115+H116-H117-H118+H119</f>
      </c>
      <c r="I114" s="31">
        <f t="shared" si="203"/>
      </c>
      <c r="J114" s="31">
        <f t="shared" si="203"/>
      </c>
      <c r="K114" s="31">
        <f t="shared" si="203"/>
      </c>
      <c r="L114" s="31">
        <f t="shared" si="203"/>
      </c>
      <c r="M114" s="31">
        <f t="shared" si="203"/>
      </c>
      <c r="N114" s="31">
        <f t="shared" si="203"/>
      </c>
      <c r="O114" s="31">
        <f t="shared" si="203"/>
      </c>
      <c r="P114" s="31">
        <f t="shared" si="203"/>
      </c>
      <c r="Q114" s="31">
        <f t="shared" si="203"/>
      </c>
    </row>
    <row r="115" hidden="1" ht="14.25" customHeight="true">
      <c r="B115" s="9" t="s">
        <v>155</v>
      </c>
      <c r="C115" s="31"/>
      <c r="D115" s="31"/>
      <c r="E115" s="31"/>
      <c r="F115" s="31"/>
      <c r="G115" s="31"/>
      <c r="H115" s="31">
        <f ref="H115:Q115" t="shared" si="108">=H152</f>
      </c>
      <c r="I115" s="31">
        <f t="shared" si="108"/>
      </c>
      <c r="J115" s="31">
        <f t="shared" si="108"/>
      </c>
      <c r="K115" s="31">
        <f t="shared" si="108"/>
      </c>
      <c r="L115" s="31">
        <f t="shared" si="108"/>
      </c>
      <c r="M115" s="31">
        <f t="shared" si="108"/>
      </c>
      <c r="N115" s="31">
        <f t="shared" si="108"/>
      </c>
      <c r="O115" s="31">
        <f t="shared" si="108"/>
      </c>
      <c r="P115" s="31">
        <f t="shared" si="108"/>
      </c>
      <c r="Q115" s="31">
        <f t="shared" si="108"/>
      </c>
    </row>
    <row r="116" hidden="1" ht="14.25" customHeight="true">
      <c r="B116" s="9" t="s">
        <v>156</v>
      </c>
      <c r="C116" s="31"/>
      <c r="D116" s="31"/>
      <c r="E116" s="31"/>
      <c r="F116" s="31"/>
      <c r="G116" s="31"/>
      <c r="H116" s="31">
        <f ref="H116:Q116" t="shared" si="101">=H155</f>
      </c>
      <c r="I116" s="31">
        <f t="shared" si="101"/>
      </c>
      <c r="J116" s="31">
        <f t="shared" si="101"/>
      </c>
      <c r="K116" s="31">
        <f t="shared" si="101"/>
      </c>
      <c r="L116" s="31">
        <f t="shared" si="101"/>
      </c>
      <c r="M116" s="31">
        <f t="shared" si="101"/>
      </c>
      <c r="N116" s="31">
        <f t="shared" si="101"/>
      </c>
      <c r="O116" s="31">
        <f t="shared" si="101"/>
      </c>
      <c r="P116" s="31">
        <f t="shared" si="101"/>
      </c>
      <c r="Q116" s="31">
        <f t="shared" si="101"/>
      </c>
    </row>
    <row r="117" hidden="1" ht="14.25" customHeight="true">
      <c r="B117" s="9" t="s">
        <v>157</v>
      </c>
      <c r="C117" s="30"/>
      <c r="D117" s="30"/>
      <c r="E117" s="30"/>
      <c r="F117" s="30"/>
      <c r="G117" s="30"/>
      <c r="H117" s="31">
        <f ref="H117:Q117" t="shared" si="87">=H165</f>
      </c>
      <c r="I117" s="31">
        <f t="shared" si="87"/>
      </c>
      <c r="J117" s="31">
        <f t="shared" si="87"/>
      </c>
      <c r="K117" s="31">
        <f t="shared" si="87"/>
      </c>
      <c r="L117" s="31">
        <f t="shared" si="87"/>
      </c>
      <c r="M117" s="31">
        <f t="shared" si="87"/>
      </c>
      <c r="N117" s="31">
        <f t="shared" si="87"/>
      </c>
      <c r="O117" s="31">
        <f t="shared" si="87"/>
      </c>
      <c r="P117" s="31">
        <f t="shared" si="87"/>
      </c>
      <c r="Q117" s="31">
        <f t="shared" si="87"/>
      </c>
    </row>
    <row r="118" hidden="1" ht="14.25" customHeight="true">
      <c r="B118" s="9" t="s">
        <v>158</v>
      </c>
      <c r="C118" s="30"/>
      <c r="D118" s="30"/>
      <c r="E118" s="30"/>
      <c r="F118" s="30"/>
      <c r="G118" s="30"/>
      <c r="H118" s="31">
        <f ref="H118:Q118" t="shared" si="98">=H172</f>
      </c>
      <c r="I118" s="31">
        <f t="shared" si="98"/>
      </c>
      <c r="J118" s="31">
        <f t="shared" si="98"/>
      </c>
      <c r="K118" s="31">
        <f t="shared" si="98"/>
      </c>
      <c r="L118" s="31">
        <f t="shared" si="98"/>
      </c>
      <c r="M118" s="31">
        <f t="shared" si="98"/>
      </c>
      <c r="N118" s="31">
        <f t="shared" si="98"/>
      </c>
      <c r="O118" s="31">
        <f t="shared" si="98"/>
      </c>
      <c r="P118" s="31">
        <f t="shared" si="98"/>
      </c>
      <c r="Q118" s="31">
        <f t="shared" si="98"/>
      </c>
    </row>
    <row r="119" hidden="1" ht="14.25" customHeight="true">
      <c r="B119" s="9" t="s">
        <v>159</v>
      </c>
      <c r="C119" s="30"/>
      <c r="D119" s="30"/>
      <c r="E119" s="30"/>
      <c r="F119" s="30"/>
      <c r="G119" s="30"/>
      <c r="H119" s="31">
        <f ref="H119:Q119" t="shared" si="142">=H143</f>
      </c>
      <c r="I119" s="31">
        <f t="shared" si="142"/>
      </c>
      <c r="J119" s="31">
        <f t="shared" si="142"/>
      </c>
      <c r="K119" s="31">
        <f t="shared" si="142"/>
      </c>
      <c r="L119" s="31">
        <f t="shared" si="142"/>
      </c>
      <c r="M119" s="31">
        <f t="shared" si="142"/>
      </c>
      <c r="N119" s="31">
        <f t="shared" si="142"/>
      </c>
      <c r="O119" s="31">
        <f t="shared" si="142"/>
      </c>
      <c r="P119" s="31">
        <f t="shared" si="142"/>
      </c>
      <c r="Q119" s="31">
        <f t="shared" si="142"/>
      </c>
    </row>
    <row r="120" hidden="1" ht="14.25" customHeight="true">
      <c r="B120" s="53" t="s">
        <v>160</v>
      </c>
      <c r="C120" s="55"/>
      <c r="D120" s="55"/>
      <c r="E120" s="55"/>
      <c r="F120" s="55"/>
      <c r="G120" s="55"/>
      <c r="H120" s="54">
        <f>=((ESF!G57-ESF!G56)*'Supuestos Proyeccion'!H9)*0</f>
      </c>
      <c r="I120" s="54">
        <f>=((ESF!H57-ESF!H56)*'Supuestos Proyeccion'!I9)*0</f>
      </c>
      <c r="J120" s="54">
        <f>=((ESF!I57-ESF!I56)*'Supuestos Proyeccion'!J9)*0</f>
      </c>
      <c r="K120" s="54">
        <f>=((ESF!J57-ESF!J56)*'Supuestos Proyeccion'!K9)*0</f>
      </c>
      <c r="L120" s="54">
        <f>=((ESF!K57-ESF!K56)*'Supuestos Proyeccion'!L9)*0</f>
      </c>
      <c r="M120" s="54">
        <f>=((ESF!L57-ESF!L56)*'Supuestos Proyeccion'!M9)*0</f>
      </c>
      <c r="N120" s="54">
        <f>=((ESF!M57-ESF!M56)*'Supuestos Proyeccion'!N9)*0</f>
      </c>
      <c r="O120" s="54">
        <f>=((ESF!N57-ESF!N56)*'Supuestos Proyeccion'!O9)*0</f>
      </c>
      <c r="P120" s="54">
        <f>=((ESF!O57-ESF!O56)*'Supuestos Proyeccion'!P9)*0</f>
      </c>
      <c r="Q120" s="54">
        <f>=((ESF!P57-ESF!P56)*'Supuestos Proyeccion'!Q9)*0</f>
      </c>
    </row>
    <row r="121" ht="14.25" customHeight="true">
      <c r="A121" s="18">
        <v>13</v>
      </c>
      <c r="B121" s="21" t="s">
        <v>32</v>
      </c>
      <c r="C121" s="24">
        <f>=ERI!C29</f>
      </c>
      <c r="D121" s="24">
        <f>=ERI!D29</f>
      </c>
      <c r="E121" s="24">
        <f>=ERI!E29</f>
      </c>
      <c r="F121" s="24">
        <f>=ERI!F29</f>
      </c>
      <c r="G121" s="24">
        <f>=ERI!G29</f>
      </c>
      <c r="H121" s="24">
        <f>=+Impuestos!F181+Impuestos!F191+Impuestos!F192</f>
      </c>
      <c r="I121" s="24">
        <f>=+Impuestos!G181+Impuestos!G191+Impuestos!G192</f>
      </c>
      <c r="J121" s="24">
        <f>=+Impuestos!H181+Impuestos!H191+Impuestos!H192</f>
      </c>
      <c r="K121" s="24">
        <f>=+Impuestos!I181+Impuestos!I191+Impuestos!I192</f>
      </c>
      <c r="L121" s="24">
        <f>=+Impuestos!J181+Impuestos!J191+Impuestos!J192</f>
      </c>
      <c r="M121" s="24">
        <f>=+Impuestos!K181+Impuestos!K191+Impuestos!K192</f>
      </c>
      <c r="N121" s="24">
        <f>=+Impuestos!L181+Impuestos!L191+Impuestos!L192</f>
      </c>
      <c r="O121" s="24">
        <f>=+Impuestos!M181+Impuestos!M191+Impuestos!M192</f>
      </c>
      <c r="P121" s="24">
        <f>=+Impuestos!N181+Impuestos!N191+Impuestos!N192</f>
      </c>
      <c r="Q121" s="24">
        <f>=+Impuestos!O181+Impuestos!O191+Impuestos!O192</f>
      </c>
    </row>
    <row r="122" hidden="1" ht="14.25" customHeight="true">
      <c r="A122" s="18"/>
      <c r="C122" s="31"/>
      <c r="D122" s="31"/>
      <c r="E122" s="31"/>
      <c r="F122" s="31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</row>
    <row r="123" hidden="1" ht="14.25" customHeight="true">
      <c r="A123" s="18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8"/>
    </row>
    <row r="124" hidden="1" ht="14.25" customHeight="true">
      <c r="A124" s="18"/>
      <c r="B124" s="9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</row>
    <row r="125" hidden="1" ht="14.25" customHeight="true">
      <c r="A125" s="18"/>
      <c r="B125" s="9"/>
      <c r="C125" s="31"/>
      <c r="D125" s="31"/>
      <c r="E125" s="31"/>
      <c r="F125" s="31"/>
      <c r="G125" s="31"/>
      <c r="H125" s="30"/>
      <c r="I125" s="30"/>
      <c r="J125" s="30"/>
      <c r="K125" s="30"/>
      <c r="L125" s="30"/>
      <c r="M125" s="30"/>
      <c r="N125" s="30"/>
      <c r="O125" s="30"/>
      <c r="P125" s="30"/>
      <c r="Q125" s="30"/>
    </row>
    <row r="126" hidden="1" ht="14.25" customHeight="true">
      <c r="A126" s="18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</row>
    <row r="127" hidden="1" ht="14.25" customHeight="true">
      <c r="A127" s="18"/>
      <c r="B127" s="37"/>
      <c r="C127" s="73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</row>
    <row r="128" ht="14.25" customHeight="true">
      <c r="A128" s="18"/>
      <c r="B128" s="63"/>
      <c r="C128" s="54"/>
      <c r="D128" s="54"/>
      <c r="E128" s="54"/>
      <c r="F128" s="54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</row>
    <row r="131" ht="14.25" customHeight="true">
      <c r="A131" s="38"/>
      <c r="B131" s="58" t="s">
        <v>161</v>
      </c>
      <c r="C131" s="59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48"/>
    </row>
    <row r="132" ht="14.25" customHeight="true">
      <c r="A132" s="18"/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S132" s="45"/>
    </row>
    <row r="133" ht="14.25" customHeight="true">
      <c r="A133" s="18"/>
      <c r="B133" s="21" t="s">
        <v>36</v>
      </c>
      <c r="C133" s="23"/>
      <c r="D133" s="23"/>
      <c r="E133" s="23"/>
      <c r="F133" s="23"/>
      <c r="G133" s="23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S133" s="45"/>
    </row>
    <row r="134" ht="14.25" customHeight="true">
      <c r="A134" s="18"/>
      <c r="B134" s="21" t="s">
        <v>37</v>
      </c>
      <c r="C134" s="23"/>
      <c r="D134" s="23"/>
      <c r="E134" s="23"/>
      <c r="F134" s="23"/>
      <c r="G134" s="23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S134" s="45"/>
    </row>
    <row r="135" ht="14.25" customHeight="true">
      <c r="A135" s="18">
        <v>1</v>
      </c>
      <c r="B135" s="74" t="s">
        <v>38</v>
      </c>
      <c r="C135" s="75">
        <f>=ESF!C9</f>
      </c>
      <c r="D135" s="75">
        <f>=ESF!D9</f>
      </c>
      <c r="E135" s="75">
        <f>=ESF!E9</f>
      </c>
      <c r="F135" s="75">
        <f>=ESF!F9</f>
      </c>
      <c r="G135" s="75">
        <f>=ESF!G9</f>
      </c>
      <c r="H135" s="75">
        <f>=H136/365*ERI!H$7</f>
      </c>
      <c r="I135" s="75">
        <f>=I136/365*ERI!I$7</f>
      </c>
      <c r="J135" s="75">
        <f>=J136/365*ERI!J$7</f>
      </c>
      <c r="K135" s="75">
        <f>=K136/365*ERI!K$7</f>
      </c>
      <c r="L135" s="75">
        <f>=L136/365*ERI!L$7</f>
      </c>
      <c r="M135" s="75">
        <f>=M136/365*ERI!M$7</f>
      </c>
      <c r="N135" s="75">
        <f>=N136/365*ERI!N$7</f>
      </c>
      <c r="O135" s="75">
        <f>=O136/365*ERI!O$7</f>
      </c>
      <c r="P135" s="75">
        <f>=P136/365*ERI!P$7</f>
      </c>
      <c r="Q135" s="75">
        <f>=Q136/365*ERI!Q$7</f>
      </c>
      <c r="S135" s="76" t="s">
        <v>162</v>
      </c>
    </row>
    <row r="136" ht="14.25" customHeight="true">
      <c r="B136" s="9" t="s">
        <v>163</v>
      </c>
      <c r="C136" s="31">
        <f>=C135/ERI!C$7*365</f>
      </c>
      <c r="D136" s="31">
        <f>=D135/ERI!D$7*365</f>
      </c>
      <c r="E136" s="31">
        <f>=E135/ERI!E$7*365</f>
      </c>
      <c r="F136" s="31">
        <f>=F135/ERI!F$7*365</f>
      </c>
      <c r="G136" s="31">
        <f>=G135/ERI!G$7*365</f>
      </c>
      <c r="H136" s="30">
        <f ref="H136:Q136" t="shared" si="129">=G136</f>
      </c>
      <c r="I136" s="30">
        <f t="shared" si="129"/>
      </c>
      <c r="J136" s="30">
        <f t="shared" si="129"/>
      </c>
      <c r="K136" s="30">
        <f t="shared" si="129"/>
      </c>
      <c r="L136" s="30">
        <f t="shared" si="129"/>
      </c>
      <c r="M136" s="30">
        <f t="shared" si="129"/>
      </c>
      <c r="N136" s="30">
        <f t="shared" si="129"/>
      </c>
      <c r="O136" s="30">
        <f t="shared" si="129"/>
      </c>
      <c r="P136" s="30">
        <f t="shared" si="129"/>
      </c>
      <c r="Q136" s="30">
        <f t="shared" si="129"/>
      </c>
      <c r="S136" s="76"/>
    </row>
    <row r="137" ht="14.25" customHeight="true">
      <c r="A137" s="18">
        <f>=A135+2</f>
      </c>
      <c r="B137" s="74" t="s">
        <v>40</v>
      </c>
      <c r="C137" s="75">
        <f>=ESF!C11</f>
      </c>
      <c r="D137" s="75">
        <f>=ESF!D11</f>
      </c>
      <c r="E137" s="75">
        <f>=ESF!E11</f>
      </c>
      <c r="F137" s="75">
        <f>=ESF!F11</f>
      </c>
      <c r="G137" s="75">
        <f>=ESF!G11</f>
      </c>
      <c r="H137" s="75">
        <f>=H138/365*ERI!H$7</f>
      </c>
      <c r="I137" s="75">
        <f>=I138/365*ERI!I$7</f>
      </c>
      <c r="J137" s="75">
        <f>=J138/365*ERI!J$7</f>
      </c>
      <c r="K137" s="75">
        <f>=K138/365*ERI!K$7</f>
      </c>
      <c r="L137" s="75">
        <f>=L138/365*ERI!L$7</f>
      </c>
      <c r="M137" s="75">
        <f>=M138/365*ERI!M$7</f>
      </c>
      <c r="N137" s="75">
        <f>=N138/365*ERI!N$7</f>
      </c>
      <c r="O137" s="75">
        <f>=O138/365*ERI!O$7</f>
      </c>
      <c r="P137" s="75">
        <f>=P138/365*ERI!P$7</f>
      </c>
      <c r="Q137" s="75">
        <f>=Q138/365*ERI!Q$7</f>
      </c>
      <c r="S137" s="76" t="s">
        <v>162</v>
      </c>
    </row>
    <row r="138" ht="14.25" customHeight="true">
      <c r="B138" s="9" t="s">
        <v>163</v>
      </c>
      <c r="C138" s="31">
        <f>=C137/ERI!C$7*365</f>
      </c>
      <c r="D138" s="31">
        <f>=D137/ERI!D$7*365</f>
      </c>
      <c r="E138" s="31">
        <f>=E137/ERI!E$7*365</f>
      </c>
      <c r="F138" s="31">
        <f>=F137/ERI!F$7*365</f>
      </c>
      <c r="G138" s="31">
        <f>=G137/ERI!G$7*365</f>
      </c>
      <c r="H138" s="30">
        <f ref="H138:Q138" t="shared" si="92">=G138</f>
      </c>
      <c r="I138" s="30">
        <f t="shared" si="92"/>
      </c>
      <c r="J138" s="30">
        <f t="shared" si="92"/>
      </c>
      <c r="K138" s="30">
        <f t="shared" si="92"/>
      </c>
      <c r="L138" s="30">
        <f t="shared" si="92"/>
      </c>
      <c r="M138" s="30">
        <f t="shared" si="92"/>
      </c>
      <c r="N138" s="30">
        <f t="shared" si="92"/>
      </c>
      <c r="O138" s="30">
        <f t="shared" si="92"/>
      </c>
      <c r="P138" s="30">
        <f t="shared" si="92"/>
      </c>
      <c r="Q138" s="30">
        <f t="shared" si="92"/>
      </c>
      <c r="R138" s="60"/>
      <c r="S138" s="76"/>
    </row>
    <row r="139" ht="14.25" customHeight="true">
      <c r="A139" s="18">
        <f>=A137+1</f>
      </c>
      <c r="B139" s="74" t="s">
        <v>41</v>
      </c>
      <c r="C139" s="75">
        <f>=ESF!C12</f>
      </c>
      <c r="D139" s="75">
        <f>=ESF!D12</f>
      </c>
      <c r="E139" s="75">
        <f>=ESF!E12</f>
      </c>
      <c r="F139" s="75">
        <f>=ESF!F12</f>
      </c>
      <c r="G139" s="75">
        <f>=ESF!G12</f>
      </c>
      <c r="H139" s="75">
        <f>=H140/365*ERI!H$7</f>
      </c>
      <c r="I139" s="75">
        <f>=I140/365*ERI!I$7</f>
      </c>
      <c r="J139" s="75">
        <f>=J140/365*ERI!J$7</f>
      </c>
      <c r="K139" s="75">
        <f>=K140/365*ERI!K$7</f>
      </c>
      <c r="L139" s="75">
        <f>=L140/365*ERI!L$7</f>
      </c>
      <c r="M139" s="75">
        <f>=M140/365*ERI!M$7</f>
      </c>
      <c r="N139" s="75">
        <f>=N140/365*ERI!N$7</f>
      </c>
      <c r="O139" s="75">
        <f>=O140/365*ERI!O$7</f>
      </c>
      <c r="P139" s="75">
        <f>=P140/365*ERI!P$7</f>
      </c>
      <c r="Q139" s="75">
        <f>=Q140/365*ERI!Q$7</f>
      </c>
      <c r="S139" s="76" t="s">
        <v>162</v>
      </c>
    </row>
    <row r="140" ht="14.25" customHeight="true">
      <c r="B140" s="9" t="s">
        <v>163</v>
      </c>
      <c r="C140" s="31">
        <f>=C139/ERI!C$7*365</f>
      </c>
      <c r="D140" s="31">
        <f>=D139/ERI!D$7*365</f>
      </c>
      <c r="E140" s="31">
        <f>=E139/ERI!E$7*365</f>
      </c>
      <c r="F140" s="31">
        <f>=F139/ERI!F$7*365</f>
      </c>
      <c r="G140" s="31">
        <f>=G139/ERI!G$7*365</f>
      </c>
      <c r="H140" s="30">
        <f ref="H140:Q140" t="shared" si="156">=G140</f>
      </c>
      <c r="I140" s="30">
        <f t="shared" si="156"/>
      </c>
      <c r="J140" s="30">
        <f t="shared" si="156"/>
      </c>
      <c r="K140" s="30">
        <f t="shared" si="156"/>
      </c>
      <c r="L140" s="30">
        <f t="shared" si="156"/>
      </c>
      <c r="M140" s="30">
        <f t="shared" si="156"/>
      </c>
      <c r="N140" s="30">
        <f t="shared" si="156"/>
      </c>
      <c r="O140" s="30">
        <f t="shared" si="156"/>
      </c>
      <c r="P140" s="30">
        <f t="shared" si="156"/>
      </c>
      <c r="Q140" s="30">
        <f t="shared" si="156"/>
      </c>
      <c r="S140" s="76"/>
    </row>
    <row r="141" ht="14.25" customHeight="true">
      <c r="A141" s="18">
        <f>=A139+1</f>
      </c>
      <c r="B141" s="74" t="s">
        <v>42</v>
      </c>
      <c r="C141" s="75">
        <f>=ESF!C13</f>
      </c>
      <c r="D141" s="75">
        <f>=ESF!D13</f>
      </c>
      <c r="E141" s="75">
        <f>=ESF!E13</f>
      </c>
      <c r="F141" s="75">
        <f>=ESF!F13</f>
      </c>
      <c r="G141" s="75">
        <f>=ESF!G13</f>
      </c>
      <c r="H141" s="75">
        <f>=H142/365*ERI!H$8+H143</f>
      </c>
      <c r="I141" s="75">
        <f>=I142/365*ERI!I$8+I143</f>
      </c>
      <c r="J141" s="75">
        <f>=J142/365*ERI!J$8+J143</f>
      </c>
      <c r="K141" s="75">
        <f>=K142/365*ERI!K$8+K143</f>
      </c>
      <c r="L141" s="75">
        <f>=L142/365*ERI!L$8+L143</f>
      </c>
      <c r="M141" s="75">
        <f>=M142/365*ERI!M$8+M143</f>
      </c>
      <c r="N141" s="75">
        <f>=N142/365*ERI!N$8+N143</f>
      </c>
      <c r="O141" s="75">
        <f>=O142/365*ERI!O$8+O143</f>
      </c>
      <c r="P141" s="75">
        <f>=P142/365*ERI!P$8+P143</f>
      </c>
      <c r="Q141" s="75">
        <f>=Q142/365*ERI!Q$8+Q143</f>
      </c>
      <c r="S141" s="76" t="s">
        <v>162</v>
      </c>
    </row>
    <row r="142" ht="14.25" customHeight="true">
      <c r="B142" s="9" t="s">
        <v>164</v>
      </c>
      <c r="C142" s="31">
        <f>=C141/ERI!C$8*365</f>
      </c>
      <c r="D142" s="31">
        <f>=D141/ERI!D$8*365</f>
      </c>
      <c r="E142" s="31">
        <f>=E141/ERI!E$8*365</f>
      </c>
      <c r="F142" s="31">
        <f>=F141/ERI!F$8*365</f>
      </c>
      <c r="G142" s="31">
        <f>=G141/ERI!G$8*365</f>
      </c>
      <c r="H142" s="30">
        <f ref="H142:Q142" t="shared" si="113">=G142</f>
      </c>
      <c r="I142" s="30">
        <f t="shared" si="113"/>
      </c>
      <c r="J142" s="30">
        <f t="shared" si="113"/>
      </c>
      <c r="K142" s="30">
        <f t="shared" si="113"/>
      </c>
      <c r="L142" s="30">
        <f t="shared" si="113"/>
      </c>
      <c r="M142" s="30">
        <f t="shared" si="113"/>
      </c>
      <c r="N142" s="30">
        <f t="shared" si="113"/>
      </c>
      <c r="O142" s="30">
        <f t="shared" si="113"/>
      </c>
      <c r="P142" s="30">
        <f t="shared" si="113"/>
      </c>
      <c r="Q142" s="30">
        <f t="shared" si="113"/>
      </c>
      <c r="S142" s="76"/>
    </row>
    <row r="143" ht="14.25" customHeight="true">
      <c r="B143" s="9" t="s">
        <v>165</v>
      </c>
      <c r="C143" s="31"/>
      <c r="D143" s="31"/>
      <c r="E143" s="31"/>
      <c r="F143" s="31"/>
      <c r="G143" s="31"/>
      <c r="H143" s="31">
        <f>=(G141*'Supuestos Proyeccion'!H$9)*0</f>
      </c>
      <c r="I143" s="31">
        <f>=(H141*'Supuestos Proyeccion'!I$9)*0</f>
      </c>
      <c r="J143" s="31">
        <f>=(I141*'Supuestos Proyeccion'!J$9)*0</f>
      </c>
      <c r="K143" s="31">
        <f>=(J141*'Supuestos Proyeccion'!K$9)*0</f>
      </c>
      <c r="L143" s="31">
        <f>=(K141*'Supuestos Proyeccion'!L$9)*0</f>
      </c>
      <c r="M143" s="31">
        <f>=(L141*'Supuestos Proyeccion'!M$9)*0</f>
      </c>
      <c r="N143" s="31">
        <f>=(M141*'Supuestos Proyeccion'!N$9)*0</f>
      </c>
      <c r="O143" s="31">
        <f>=(N141*'Supuestos Proyeccion'!O$9)*0</f>
      </c>
      <c r="P143" s="31">
        <f>=(O141*'Supuestos Proyeccion'!P$9)*0</f>
      </c>
      <c r="Q143" s="31">
        <f>=(P141*'Supuestos Proyeccion'!Q$9)*0</f>
      </c>
      <c r="S143" s="76"/>
    </row>
    <row r="144" ht="14.25" customHeight="true">
      <c r="A144" s="18">
        <f>=A141+1</f>
      </c>
      <c r="B144" s="74" t="s">
        <v>43</v>
      </c>
      <c r="C144" s="75">
        <f>=ESF!C14</f>
      </c>
      <c r="D144" s="75">
        <f>=ESF!D14</f>
      </c>
      <c r="E144" s="75">
        <f>=ESF!E14</f>
      </c>
      <c r="F144" s="75">
        <f>=ESF!F14</f>
      </c>
      <c r="G144" s="75">
        <f>=ESF!G14</f>
      </c>
      <c r="H144" s="75">
        <f>=H145/365*ERI!H$7</f>
      </c>
      <c r="I144" s="75">
        <f>=I145/365*ERI!I$7</f>
      </c>
      <c r="J144" s="75">
        <f>=J145/365*ERI!J$7</f>
      </c>
      <c r="K144" s="75">
        <f>=K145/365*ERI!K$7</f>
      </c>
      <c r="L144" s="75">
        <f>=L145/365*ERI!L$7</f>
      </c>
      <c r="M144" s="75">
        <f>=M145/365*ERI!M$7</f>
      </c>
      <c r="N144" s="75">
        <f>=N145/365*ERI!N$7</f>
      </c>
      <c r="O144" s="75">
        <f>=O145/365*ERI!O$7</f>
      </c>
      <c r="P144" s="75">
        <f>=P145/365*ERI!P$7</f>
      </c>
      <c r="Q144" s="75">
        <f>=Q145/365*ERI!Q$7</f>
      </c>
      <c r="S144" s="76" t="s">
        <v>162</v>
      </c>
    </row>
    <row r="145" ht="14.25" customHeight="true">
      <c r="B145" s="9" t="s">
        <v>163</v>
      </c>
      <c r="C145" s="31">
        <f>=C144/ERI!C$7*365</f>
      </c>
      <c r="D145" s="31">
        <f>=D144/ERI!D$7*365</f>
      </c>
      <c r="E145" s="31">
        <f>=E144/ERI!E$7*365</f>
      </c>
      <c r="F145" s="31">
        <f>=F144/ERI!F$7*365</f>
      </c>
      <c r="G145" s="31">
        <f>=G144/ERI!G$7*365</f>
      </c>
      <c r="H145" s="30">
        <f ref="H145:Q145" t="shared" si="115">=G145</f>
      </c>
      <c r="I145" s="30">
        <f t="shared" si="115"/>
      </c>
      <c r="J145" s="30">
        <f t="shared" si="115"/>
      </c>
      <c r="K145" s="30">
        <f t="shared" si="115"/>
      </c>
      <c r="L145" s="30">
        <f t="shared" si="115"/>
      </c>
      <c r="M145" s="30">
        <f t="shared" si="115"/>
      </c>
      <c r="N145" s="30">
        <f t="shared" si="115"/>
      </c>
      <c r="O145" s="30">
        <f t="shared" si="115"/>
      </c>
      <c r="P145" s="30">
        <f t="shared" si="115"/>
      </c>
      <c r="Q145" s="30">
        <f t="shared" si="115"/>
      </c>
      <c r="S145" s="76"/>
    </row>
    <row r="146" ht="14.25" customHeight="true">
      <c r="A146" s="18">
        <f>=A144+1</f>
      </c>
      <c r="B146" s="77" t="s">
        <v>44</v>
      </c>
      <c r="C146" s="78">
        <f>=ESF!C15</f>
      </c>
      <c r="D146" s="78">
        <f>=ESF!D15</f>
      </c>
      <c r="E146" s="78">
        <f>=ESF!E15</f>
      </c>
      <c r="F146" s="78">
        <f>=ESF!F15</f>
      </c>
      <c r="G146" s="78">
        <f>=ESF!G15</f>
      </c>
      <c r="H146" s="79">
        <v>0</v>
      </c>
      <c r="I146" s="79">
        <v>0</v>
      </c>
      <c r="J146" s="79">
        <v>0</v>
      </c>
      <c r="K146" s="79">
        <v>0</v>
      </c>
      <c r="L146" s="79">
        <v>0</v>
      </c>
      <c r="M146" s="79">
        <v>0</v>
      </c>
      <c r="N146" s="79">
        <v>0</v>
      </c>
      <c r="O146" s="79">
        <v>0</v>
      </c>
      <c r="P146" s="79">
        <v>0</v>
      </c>
      <c r="Q146" s="79">
        <v>0</v>
      </c>
      <c r="S146" s="76" t="s">
        <v>166</v>
      </c>
    </row>
    <row r="147" ht="14.25" customHeight="true">
      <c r="A147" s="18"/>
      <c r="B147" s="9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S147" s="45"/>
    </row>
    <row r="148" ht="14.25" customHeight="true">
      <c r="B148" s="21" t="s">
        <v>46</v>
      </c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S148" s="76"/>
    </row>
    <row r="149" ht="14.25" customHeight="true">
      <c r="A149" s="18">
        <f>=A146+1</f>
      </c>
      <c r="B149" s="74" t="s">
        <v>47</v>
      </c>
      <c r="C149" s="75">
        <f>=ESF!C19</f>
      </c>
      <c r="D149" s="75">
        <f>=ESF!D19</f>
      </c>
      <c r="E149" s="75">
        <f>=ESF!E19</f>
      </c>
      <c r="F149" s="75">
        <f>=ESF!F19</f>
      </c>
      <c r="G149" s="75">
        <f>=ESF!G19</f>
      </c>
      <c r="H149" s="75">
        <f ref="H149:Q149" t="shared" si="177">=H151+H154</f>
      </c>
      <c r="I149" s="75">
        <f t="shared" si="177"/>
      </c>
      <c r="J149" s="75">
        <f t="shared" si="177"/>
      </c>
      <c r="K149" s="75">
        <f t="shared" si="177"/>
      </c>
      <c r="L149" s="75">
        <f t="shared" si="177"/>
      </c>
      <c r="M149" s="75">
        <f t="shared" si="177"/>
      </c>
      <c r="N149" s="75">
        <f t="shared" si="177"/>
      </c>
      <c r="O149" s="75">
        <f t="shared" si="177"/>
      </c>
      <c r="P149" s="75">
        <f t="shared" si="177"/>
      </c>
      <c r="Q149" s="75">
        <f t="shared" si="177"/>
      </c>
      <c r="R149" s="8"/>
      <c r="S149" s="76"/>
    </row>
    <row r="150" ht="14.25" customHeight="true">
      <c r="B150" s="9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8"/>
      <c r="S150" s="76"/>
    </row>
    <row r="151" ht="14.25" customHeight="true">
      <c r="A151" s="18"/>
      <c r="B151" s="9" t="s">
        <v>167</v>
      </c>
      <c r="C151" s="31">
        <f>=ESF!C19</f>
      </c>
      <c r="D151" s="31">
        <f>=ESF!D19</f>
      </c>
      <c r="E151" s="31">
        <f>=ESF!E19</f>
      </c>
      <c r="F151" s="31">
        <f>=ESF!F19</f>
      </c>
      <c r="G151" s="31">
        <f>=ESF!G19</f>
      </c>
      <c r="H151" s="31">
        <f ref="H151:Q151" t="shared" si="160">=G151+H152</f>
      </c>
      <c r="I151" s="31">
        <f t="shared" si="160"/>
      </c>
      <c r="J151" s="31">
        <f t="shared" si="160"/>
      </c>
      <c r="K151" s="31">
        <f t="shared" si="160"/>
      </c>
      <c r="L151" s="31">
        <f t="shared" si="160"/>
      </c>
      <c r="M151" s="31">
        <f t="shared" si="160"/>
      </c>
      <c r="N151" s="31">
        <f t="shared" si="160"/>
      </c>
      <c r="O151" s="31">
        <f t="shared" si="160"/>
      </c>
      <c r="P151" s="31">
        <f t="shared" si="160"/>
      </c>
      <c r="Q151" s="31">
        <f t="shared" si="160"/>
      </c>
    </row>
    <row r="152" ht="14.25" customHeight="true">
      <c r="A152" s="18"/>
      <c r="B152" s="9" t="s">
        <v>155</v>
      </c>
      <c r="C152" s="31"/>
      <c r="D152" s="31"/>
      <c r="E152" s="31"/>
      <c r="F152" s="31"/>
      <c r="G152" s="31"/>
      <c r="H152" s="30">
        <f>=G151*'Supuestos Proyeccion'!H$9*0</f>
      </c>
      <c r="I152" s="30">
        <f>=H151*'Supuestos Proyeccion'!I$9*0</f>
      </c>
      <c r="J152" s="30">
        <f>=I151*'Supuestos Proyeccion'!J$9*0</f>
      </c>
      <c r="K152" s="30">
        <f>=J151*'Supuestos Proyeccion'!K$9*0</f>
      </c>
      <c r="L152" s="30">
        <f>=K151*'Supuestos Proyeccion'!L$9*0</f>
      </c>
      <c r="M152" s="30">
        <f>=L151*'Supuestos Proyeccion'!M$9*0</f>
      </c>
      <c r="N152" s="30">
        <f>=M151*'Supuestos Proyeccion'!N$9*0</f>
      </c>
      <c r="O152" s="30">
        <f>=N151*'Supuestos Proyeccion'!O$9*0</f>
      </c>
      <c r="P152" s="30">
        <f>=O151*'Supuestos Proyeccion'!P$9*0</f>
      </c>
      <c r="Q152" s="30">
        <f>=P151*'Supuestos Proyeccion'!Q$9*0</f>
      </c>
      <c r="S152" s="11" t="s">
        <v>168</v>
      </c>
    </row>
    <row r="153" ht="14.25" customHeight="true">
      <c r="A153" s="18"/>
      <c r="B153" s="9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</row>
    <row r="154" ht="14.25" customHeight="true">
      <c r="A154" s="18"/>
      <c r="B154" s="9" t="s">
        <v>169</v>
      </c>
      <c r="C154" s="31"/>
      <c r="D154" s="31"/>
      <c r="E154" s="31"/>
      <c r="F154" s="31"/>
      <c r="G154" s="30">
        <v>0</v>
      </c>
      <c r="H154" s="31">
        <f ref="H154:Q154" t="shared" si="220">=G154+H155+H156</f>
      </c>
      <c r="I154" s="31">
        <f t="shared" si="220"/>
      </c>
      <c r="J154" s="31">
        <f t="shared" si="220"/>
      </c>
      <c r="K154" s="31">
        <f t="shared" si="220"/>
      </c>
      <c r="L154" s="31">
        <f t="shared" si="220"/>
      </c>
      <c r="M154" s="31">
        <f t="shared" si="220"/>
      </c>
      <c r="N154" s="31">
        <f t="shared" si="220"/>
      </c>
      <c r="O154" s="31">
        <f t="shared" si="220"/>
      </c>
      <c r="P154" s="31">
        <f t="shared" si="220"/>
      </c>
      <c r="Q154" s="31">
        <f t="shared" si="220"/>
      </c>
    </row>
    <row r="155" ht="14.25" customHeight="true">
      <c r="A155" s="18"/>
      <c r="B155" s="9" t="s">
        <v>156</v>
      </c>
      <c r="C155" s="31"/>
      <c r="D155" s="31"/>
      <c r="E155" s="31"/>
      <c r="F155" s="31"/>
      <c r="G155" s="31"/>
      <c r="H155" s="30">
        <f>=G154*'Supuestos Proyeccion'!H$9*0</f>
      </c>
      <c r="I155" s="30">
        <f>=H154*'Supuestos Proyeccion'!I$9*0</f>
      </c>
      <c r="J155" s="30">
        <f>=I154*'Supuestos Proyeccion'!J$9*0</f>
      </c>
      <c r="K155" s="30">
        <f>=J154*'Supuestos Proyeccion'!K$9*0</f>
      </c>
      <c r="L155" s="30">
        <f>=K154*'Supuestos Proyeccion'!L$9*0</f>
      </c>
      <c r="M155" s="30">
        <f>=L154*'Supuestos Proyeccion'!M$9*0</f>
      </c>
      <c r="N155" s="30">
        <f>=M154*'Supuestos Proyeccion'!N$9*0</f>
      </c>
      <c r="O155" s="30">
        <f>=N154*'Supuestos Proyeccion'!O$9*0</f>
      </c>
      <c r="P155" s="30">
        <f>=O154*'Supuestos Proyeccion'!P$9*0</f>
      </c>
      <c r="Q155" s="30">
        <f>=P154*'Supuestos Proyeccion'!Q$9*0</f>
      </c>
      <c r="S155" s="11" t="s">
        <v>168</v>
      </c>
    </row>
    <row r="156" ht="14.25" customHeight="true">
      <c r="B156" s="9" t="s">
        <v>170</v>
      </c>
      <c r="C156" s="31"/>
      <c r="D156" s="31"/>
      <c r="E156" s="31"/>
      <c r="F156" s="31"/>
      <c r="G156" s="31"/>
      <c r="H156" s="31">
        <f ref="H156:Q156" t="shared" si="95">=H157+H161</f>
      </c>
      <c r="I156" s="31">
        <f t="shared" si="95"/>
      </c>
      <c r="J156" s="31">
        <f t="shared" si="95"/>
      </c>
      <c r="K156" s="31">
        <f t="shared" si="95"/>
      </c>
      <c r="L156" s="31">
        <f t="shared" si="95"/>
      </c>
      <c r="M156" s="31">
        <f t="shared" si="95"/>
      </c>
      <c r="N156" s="31">
        <f t="shared" si="95"/>
      </c>
      <c r="O156" s="31">
        <f t="shared" si="95"/>
      </c>
      <c r="P156" s="31">
        <f t="shared" si="95"/>
      </c>
      <c r="Q156" s="31">
        <f t="shared" si="95"/>
      </c>
      <c r="S156" s="76"/>
    </row>
    <row r="157" ht="14.25" customHeight="true">
      <c r="B157" s="9" t="s">
        <v>171</v>
      </c>
      <c r="C157" s="31"/>
      <c r="D157" s="31"/>
      <c r="E157" s="31"/>
      <c r="F157" s="31"/>
      <c r="G157" s="31"/>
      <c r="H157" s="31">
        <f>=IF($T$157=1,H158,IF($T$157=2,H159*ERI!H7,H160*ERI!H14))</f>
      </c>
      <c r="I157" s="31">
        <f>=IF($T$157=1,I158,IF($T$157=2,I159*ERI!I7,I160*ERI!I14))</f>
      </c>
      <c r="J157" s="31">
        <f>=IF($T$157=1,J158,IF($T$157=2,J159*ERI!J7,J160*ERI!J14))</f>
      </c>
      <c r="K157" s="31">
        <f>=IF($T$157=1,K158,IF($T$157=2,K159*ERI!K7,K160*ERI!K14))</f>
      </c>
      <c r="L157" s="31">
        <f>=IF($T$157=1,L158,IF($T$157=2,L159*ERI!L7,L160*ERI!L14))</f>
      </c>
      <c r="M157" s="31">
        <f>=IF($T$157=1,M158,IF($T$157=2,M159*ERI!M7,M160*ERI!M14))</f>
      </c>
      <c r="N157" s="31">
        <f>=IF($T$157=1,N158,IF($T$157=2,N159*ERI!N7,N160*ERI!N14))</f>
      </c>
      <c r="O157" s="31">
        <f>=IF($T$157=1,O158,IF($T$157=2,O159*ERI!O7,O160*ERI!O14))</f>
      </c>
      <c r="P157" s="31">
        <f>=IF($T$157=1,P158,IF($T$157=2,P159*ERI!P7,P160*ERI!P14))</f>
      </c>
      <c r="Q157" s="31">
        <f>=IF($T$157=1,Q158,IF($T$157=2,Q159*ERI!Q7,Q160*ERI!Q14))</f>
      </c>
      <c r="S157" s="80"/>
      <c r="T157" s="81">
        <v>3</v>
      </c>
    </row>
    <row r="158" ht="14.25" customHeight="true">
      <c r="B158" s="9" t="s">
        <v>172</v>
      </c>
      <c r="C158" s="31"/>
      <c r="D158" s="31"/>
      <c r="E158" s="31"/>
      <c r="F158" s="31"/>
      <c r="G158" s="31"/>
      <c r="H158" s="30">
        <v>0</v>
      </c>
      <c r="I158" s="30">
        <v>0</v>
      </c>
      <c r="J158" s="30">
        <v>0</v>
      </c>
      <c r="K158" s="30">
        <v>0</v>
      </c>
      <c r="L158" s="30">
        <v>0</v>
      </c>
      <c r="M158" s="30">
        <v>0</v>
      </c>
      <c r="N158" s="30">
        <v>0</v>
      </c>
      <c r="O158" s="30">
        <v>0</v>
      </c>
      <c r="P158" s="30">
        <v>0</v>
      </c>
      <c r="Q158" s="30">
        <v>0</v>
      </c>
      <c r="R158" s="18"/>
      <c r="S158" s="80"/>
    </row>
    <row r="159" ht="14.25" customHeight="true">
      <c r="B159" s="9" t="s">
        <v>173</v>
      </c>
      <c r="C159" s="31"/>
      <c r="D159" s="31"/>
      <c r="E159" s="31"/>
      <c r="F159" s="31"/>
      <c r="G159" s="31"/>
      <c r="H159" s="30">
        <v>0.02</v>
      </c>
      <c r="I159" s="30">
        <f>=+H159</f>
      </c>
      <c r="J159" s="30">
        <f ref="J159:Q159" t="shared" si="216">=+I159</f>
      </c>
      <c r="K159" s="30">
        <f t="shared" si="216"/>
      </c>
      <c r="L159" s="30">
        <f t="shared" si="216"/>
      </c>
      <c r="M159" s="30">
        <f t="shared" si="216"/>
      </c>
      <c r="N159" s="30">
        <f t="shared" si="216"/>
      </c>
      <c r="O159" s="30">
        <f t="shared" si="216"/>
      </c>
      <c r="P159" s="30">
        <f t="shared" si="216"/>
      </c>
      <c r="Q159" s="30">
        <f t="shared" si="216"/>
      </c>
      <c r="S159" s="76"/>
    </row>
    <row r="160" ht="14.25" customHeight="true">
      <c r="B160" s="9" t="s">
        <v>174</v>
      </c>
      <c r="C160" s="31"/>
      <c r="D160" s="31"/>
      <c r="E160" s="31"/>
      <c r="F160" s="31"/>
      <c r="G160" s="31"/>
      <c r="H160" s="30">
        <v>1</v>
      </c>
      <c r="I160" s="30">
        <f>=+H160</f>
      </c>
      <c r="J160" s="30">
        <f ref="J160:Q160" t="shared" si="209">=+I160</f>
      </c>
      <c r="K160" s="30">
        <f t="shared" si="209"/>
      </c>
      <c r="L160" s="30">
        <f t="shared" si="209"/>
      </c>
      <c r="M160" s="30">
        <f t="shared" si="209"/>
      </c>
      <c r="N160" s="30">
        <f t="shared" si="209"/>
      </c>
      <c r="O160" s="30">
        <f t="shared" si="209"/>
      </c>
      <c r="P160" s="30">
        <f t="shared" si="209"/>
      </c>
      <c r="Q160" s="30">
        <f t="shared" si="209"/>
      </c>
      <c r="S160" s="76"/>
    </row>
    <row r="161" ht="14.25" customHeight="true">
      <c r="B161" s="9" t="s">
        <v>175</v>
      </c>
      <c r="C161" s="31"/>
      <c r="D161" s="31"/>
      <c r="E161" s="31"/>
      <c r="F161" s="31"/>
      <c r="G161" s="31"/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S161" s="76"/>
    </row>
    <row r="162" ht="14.25" customHeight="true">
      <c r="A162" s="18">
        <f>=A149+1</f>
      </c>
      <c r="B162" s="74" t="s">
        <v>48</v>
      </c>
      <c r="C162" s="75">
        <f>=ESF!C20</f>
      </c>
      <c r="D162" s="75">
        <f>=ESF!D20</f>
      </c>
      <c r="E162" s="75">
        <f>=ESF!E20</f>
      </c>
      <c r="F162" s="75">
        <f>=ESF!F20</f>
      </c>
      <c r="G162" s="75">
        <f>=ESF!G20</f>
      </c>
      <c r="H162" s="75">
        <f ref="H162:Q162" t="shared" si="204">=H164+H171</f>
      </c>
      <c r="I162" s="75">
        <f t="shared" si="204"/>
      </c>
      <c r="J162" s="75">
        <f t="shared" si="204"/>
      </c>
      <c r="K162" s="75">
        <f t="shared" si="204"/>
      </c>
      <c r="L162" s="75">
        <f t="shared" si="204"/>
      </c>
      <c r="M162" s="75">
        <f t="shared" si="204"/>
      </c>
      <c r="N162" s="75">
        <f t="shared" si="204"/>
      </c>
      <c r="O162" s="75">
        <f t="shared" si="204"/>
      </c>
      <c r="P162" s="75">
        <f t="shared" si="204"/>
      </c>
      <c r="Q162" s="75">
        <f t="shared" si="204"/>
      </c>
      <c r="S162" s="76"/>
    </row>
    <row r="163" ht="14.25" customHeight="true">
      <c r="B163" s="9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S163" s="76"/>
    </row>
    <row r="164" ht="14.25" customHeight="true">
      <c r="A164" s="18"/>
      <c r="B164" s="9" t="s">
        <v>176</v>
      </c>
      <c r="C164" s="31">
        <f>=ESF!C20</f>
      </c>
      <c r="D164" s="31">
        <f>=ESF!D20</f>
      </c>
      <c r="E164" s="31">
        <f>=ESF!E20</f>
      </c>
      <c r="F164" s="31">
        <f>=ESF!F20</f>
      </c>
      <c r="G164" s="31">
        <f>=ESF!G20</f>
      </c>
      <c r="H164" s="31">
        <f ref="H164:Q164" t="shared" si="99">=G164+H165+H166</f>
      </c>
      <c r="I164" s="31">
        <f t="shared" si="99"/>
      </c>
      <c r="J164" s="31">
        <f t="shared" si="99"/>
      </c>
      <c r="K164" s="31">
        <f t="shared" si="99"/>
      </c>
      <c r="L164" s="31">
        <f t="shared" si="99"/>
      </c>
      <c r="M164" s="31">
        <f t="shared" si="99"/>
      </c>
      <c r="N164" s="31">
        <f t="shared" si="99"/>
      </c>
      <c r="O164" s="31">
        <f t="shared" si="99"/>
      </c>
      <c r="P164" s="31">
        <f t="shared" si="99"/>
      </c>
      <c r="Q164" s="31">
        <f t="shared" si="99"/>
      </c>
    </row>
    <row r="165" ht="14.25" customHeight="true">
      <c r="A165" s="18"/>
      <c r="B165" s="9" t="s">
        <v>177</v>
      </c>
      <c r="C165" s="31"/>
      <c r="D165" s="31"/>
      <c r="E165" s="31"/>
      <c r="F165" s="31"/>
      <c r="G165" s="31"/>
      <c r="H165" s="30">
        <f>=G164*'Supuestos Proyeccion'!H$9*0</f>
      </c>
      <c r="I165" s="30">
        <f>=H164*'Supuestos Proyeccion'!I$9*0</f>
      </c>
      <c r="J165" s="30">
        <f>=I164*'Supuestos Proyeccion'!J$9*0</f>
      </c>
      <c r="K165" s="30">
        <f>=J164*'Supuestos Proyeccion'!K$9*0</f>
      </c>
      <c r="L165" s="30">
        <f>=K164*'Supuestos Proyeccion'!L$9*0</f>
      </c>
      <c r="M165" s="30">
        <f>=L164*'Supuestos Proyeccion'!M$9*0</f>
      </c>
      <c r="N165" s="30">
        <f>=M164*'Supuestos Proyeccion'!N$9*0</f>
      </c>
      <c r="O165" s="30">
        <f>=N164*'Supuestos Proyeccion'!O$9*0</f>
      </c>
      <c r="P165" s="30">
        <f>=O164*'Supuestos Proyeccion'!P$9*0</f>
      </c>
      <c r="Q165" s="30">
        <f>=P164*'Supuestos Proyeccion'!Q$9*0</f>
      </c>
      <c r="S165" s="11" t="s">
        <v>168</v>
      </c>
    </row>
    <row r="166" ht="14.25" customHeight="true">
      <c r="A166" s="18"/>
      <c r="B166" s="9" t="s">
        <v>178</v>
      </c>
      <c r="C166" s="31">
        <f>=ERI!C14</f>
      </c>
      <c r="D166" s="31">
        <f>=ERI!D14</f>
      </c>
      <c r="E166" s="31">
        <f>=ERI!E14</f>
      </c>
      <c r="F166" s="31">
        <f>=ERI!F14</f>
      </c>
      <c r="G166" s="31">
        <f>=ERI!G14</f>
      </c>
      <c r="H166" s="31">
        <f ref="H166:Q166" t="shared" si="200">=$G$151*H167</f>
      </c>
      <c r="I166" s="31">
        <f t="shared" si="200"/>
      </c>
      <c r="J166" s="31">
        <f t="shared" si="200"/>
      </c>
      <c r="K166" s="31">
        <f t="shared" si="200"/>
      </c>
      <c r="L166" s="31">
        <f t="shared" si="200"/>
      </c>
      <c r="M166" s="31">
        <f t="shared" si="200"/>
      </c>
      <c r="N166" s="31">
        <f t="shared" si="200"/>
      </c>
      <c r="O166" s="31">
        <f t="shared" si="200"/>
      </c>
      <c r="P166" s="31">
        <f t="shared" si="200"/>
      </c>
      <c r="Q166" s="31">
        <f t="shared" si="200"/>
      </c>
    </row>
    <row r="167" ht="14.25" customHeight="true">
      <c r="A167" s="18"/>
      <c r="B167" s="9">
        <f>=CONCATENATE("% Depreciación del Período/Saldo ",G5)</f>
      </c>
      <c r="C167" s="31">
        <f>=C166/C151</f>
      </c>
      <c r="D167" s="31">
        <f>=D166/D151</f>
      </c>
      <c r="E167" s="31">
        <f>=E166/E151</f>
      </c>
      <c r="F167" s="31">
        <f>=F166/F151</f>
      </c>
      <c r="G167" s="31">
        <f>=G166/G151</f>
      </c>
      <c r="H167" s="30">
        <v>0.1</v>
      </c>
      <c r="I167" s="30">
        <f>=+H167</f>
      </c>
      <c r="J167" s="30">
        <f ref="J167:Q167" t="shared" si="170">=+I167</f>
      </c>
      <c r="K167" s="30">
        <f t="shared" si="170"/>
      </c>
      <c r="L167" s="30">
        <f t="shared" si="170"/>
      </c>
      <c r="M167" s="30">
        <f t="shared" si="170"/>
      </c>
      <c r="N167" s="30">
        <f t="shared" si="170"/>
      </c>
      <c r="O167" s="30">
        <f t="shared" si="170"/>
      </c>
      <c r="P167" s="30">
        <f t="shared" si="170"/>
      </c>
      <c r="Q167" s="30">
        <f t="shared" si="170"/>
      </c>
    </row>
    <row r="168" ht="14.25" customHeight="true">
      <c r="A168" s="18"/>
      <c r="B168" s="9" t="s">
        <v>179</v>
      </c>
      <c r="C168" s="31">
        <f ref="C168:Q168" t="shared" si="211">=C164/C151</f>
      </c>
      <c r="D168" s="31">
        <f t="shared" si="211"/>
      </c>
      <c r="E168" s="31">
        <f t="shared" si="211"/>
      </c>
      <c r="F168" s="31">
        <f t="shared" si="211"/>
      </c>
      <c r="G168" s="31">
        <f t="shared" si="211"/>
      </c>
      <c r="H168" s="31">
        <f t="shared" si="211"/>
      </c>
      <c r="I168" s="31">
        <f t="shared" si="211"/>
      </c>
      <c r="J168" s="31">
        <f t="shared" si="211"/>
      </c>
      <c r="K168" s="31">
        <f t="shared" si="211"/>
      </c>
      <c r="L168" s="31">
        <f t="shared" si="211"/>
      </c>
      <c r="M168" s="31">
        <f t="shared" si="211"/>
      </c>
      <c r="N168" s="31">
        <f t="shared" si="211"/>
      </c>
      <c r="O168" s="31">
        <f t="shared" si="211"/>
      </c>
      <c r="P168" s="31">
        <f t="shared" si="211"/>
      </c>
      <c r="Q168" s="31">
        <f t="shared" si="211"/>
      </c>
    </row>
    <row r="169" ht="14.25" customHeight="true">
      <c r="A169" s="82"/>
      <c r="B169" s="73" t="s">
        <v>80</v>
      </c>
      <c r="C169" s="82"/>
      <c r="D169" s="82"/>
      <c r="E169" s="82"/>
      <c r="F169" s="82"/>
      <c r="G169" s="82"/>
      <c r="H169" s="82">
        <f ref="H169:Q169" t="shared" si="93">=IF(H168&lt;100%,"ok","sobredepreciado")</f>
      </c>
      <c r="I169" s="82">
        <f t="shared" si="93"/>
      </c>
      <c r="J169" s="82">
        <f t="shared" si="93"/>
      </c>
      <c r="K169" s="82">
        <f t="shared" si="93"/>
      </c>
      <c r="L169" s="82">
        <f t="shared" si="93"/>
      </c>
      <c r="M169" s="82">
        <f t="shared" si="93"/>
      </c>
      <c r="N169" s="82">
        <f t="shared" si="93"/>
      </c>
      <c r="O169" s="82">
        <f t="shared" si="93"/>
      </c>
      <c r="P169" s="82">
        <f t="shared" si="93"/>
      </c>
      <c r="Q169" s="82">
        <f t="shared" si="93"/>
      </c>
      <c r="R169" s="83"/>
    </row>
    <row r="170" ht="14.25" customHeight="true">
      <c r="A170" s="82"/>
      <c r="B170" s="73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82"/>
      <c r="O170" s="82"/>
      <c r="P170" s="82"/>
      <c r="Q170" s="82"/>
      <c r="R170" s="83"/>
    </row>
    <row r="171" ht="14.25" customHeight="true">
      <c r="A171" s="18"/>
      <c r="B171" s="9" t="s">
        <v>180</v>
      </c>
      <c r="C171" s="24"/>
      <c r="D171" s="24"/>
      <c r="E171" s="24"/>
      <c r="F171" s="24"/>
      <c r="G171" s="31">
        <v>0</v>
      </c>
      <c r="H171" s="31">
        <f ref="H171:Q171" t="shared" si="154">=G171+H172+H173</f>
      </c>
      <c r="I171" s="31">
        <f t="shared" si="154"/>
      </c>
      <c r="J171" s="31">
        <f t="shared" si="154"/>
      </c>
      <c r="K171" s="31">
        <f t="shared" si="154"/>
      </c>
      <c r="L171" s="31">
        <f t="shared" si="154"/>
      </c>
      <c r="M171" s="31">
        <f t="shared" si="154"/>
      </c>
      <c r="N171" s="31">
        <f t="shared" si="154"/>
      </c>
      <c r="O171" s="31">
        <f t="shared" si="154"/>
      </c>
      <c r="P171" s="31">
        <f t="shared" si="154"/>
      </c>
      <c r="Q171" s="31">
        <f t="shared" si="154"/>
      </c>
    </row>
    <row r="172" ht="14.25" customHeight="true">
      <c r="A172" s="18"/>
      <c r="B172" s="9" t="s">
        <v>158</v>
      </c>
      <c r="C172" s="31"/>
      <c r="D172" s="31"/>
      <c r="E172" s="31"/>
      <c r="F172" s="31"/>
      <c r="G172" s="31"/>
      <c r="H172" s="30">
        <f>=G171*'Supuestos Proyeccion'!H$9*0</f>
      </c>
      <c r="I172" s="30">
        <f>=H171*'Supuestos Proyeccion'!I$9*0</f>
      </c>
      <c r="J172" s="30">
        <f>=I171*'Supuestos Proyeccion'!J$9*0</f>
      </c>
      <c r="K172" s="30">
        <f>=J171*'Supuestos Proyeccion'!K$9*0</f>
      </c>
      <c r="L172" s="30">
        <f>=K171*'Supuestos Proyeccion'!L$9*0</f>
      </c>
      <c r="M172" s="30">
        <f>=L171*'Supuestos Proyeccion'!M$9*0</f>
      </c>
      <c r="N172" s="30">
        <f>=M171*'Supuestos Proyeccion'!N$9*0</f>
      </c>
      <c r="O172" s="30">
        <f>=N171*'Supuestos Proyeccion'!O$9*0</f>
      </c>
      <c r="P172" s="30">
        <f>=O171*'Supuestos Proyeccion'!P$9*0</f>
      </c>
      <c r="Q172" s="30">
        <f>=P171*'Supuestos Proyeccion'!Q$9*0</f>
      </c>
      <c r="S172" s="11" t="s">
        <v>168</v>
      </c>
    </row>
    <row r="173" ht="14.25" customHeight="true">
      <c r="B173" s="9" t="s">
        <v>181</v>
      </c>
      <c r="C173" s="31"/>
      <c r="D173" s="31"/>
      <c r="E173" s="31"/>
      <c r="F173" s="31"/>
      <c r="G173" s="31"/>
      <c r="H173" s="31">
        <f ref="H173:Q173" t="shared" si="167">=H182+H187+H192+H197+H202+H207+H212+H217+H222+H227</f>
      </c>
      <c r="I173" s="31">
        <f t="shared" si="167"/>
      </c>
      <c r="J173" s="31">
        <f t="shared" si="167"/>
      </c>
      <c r="K173" s="31">
        <f t="shared" si="167"/>
      </c>
      <c r="L173" s="31">
        <f t="shared" si="167"/>
      </c>
      <c r="M173" s="31">
        <f t="shared" si="167"/>
      </c>
      <c r="N173" s="31">
        <f t="shared" si="167"/>
      </c>
      <c r="O173" s="31">
        <f t="shared" si="167"/>
      </c>
      <c r="P173" s="31">
        <f t="shared" si="167"/>
      </c>
      <c r="Q173" s="31">
        <f t="shared" si="167"/>
      </c>
    </row>
    <row r="174" ht="14.25" customHeight="true">
      <c r="B174" s="9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</row>
    <row r="175" ht="14.25" customHeight="true">
      <c r="A175" s="18"/>
      <c r="B175" s="9" t="s">
        <v>182</v>
      </c>
      <c r="C175" s="24"/>
      <c r="D175" s="24"/>
      <c r="E175" s="24"/>
      <c r="F175" s="24"/>
      <c r="G175" s="24"/>
      <c r="H175" s="31">
        <f ref="H175:Q175" t="shared" si="223">=H157</f>
      </c>
      <c r="I175" s="31">
        <f t="shared" si="223"/>
      </c>
      <c r="J175" s="31">
        <f t="shared" si="223"/>
      </c>
      <c r="K175" s="31">
        <f t="shared" si="223"/>
      </c>
      <c r="L175" s="31">
        <f t="shared" si="223"/>
      </c>
      <c r="M175" s="31">
        <f t="shared" si="223"/>
      </c>
      <c r="N175" s="31">
        <f t="shared" si="223"/>
      </c>
      <c r="O175" s="31">
        <f t="shared" si="223"/>
      </c>
      <c r="P175" s="31">
        <f t="shared" si="223"/>
      </c>
      <c r="Q175" s="31">
        <f t="shared" si="223"/>
      </c>
    </row>
    <row r="176" ht="14.25" customHeight="true">
      <c r="A176" s="18"/>
      <c r="B176" s="9" t="s">
        <v>183</v>
      </c>
      <c r="C176" s="24"/>
      <c r="D176" s="24"/>
      <c r="E176" s="24"/>
      <c r="F176" s="24"/>
      <c r="G176" s="24"/>
      <c r="H176" s="30">
        <f>=20%*H175</f>
      </c>
      <c r="I176" s="30">
        <f ref="I176:Q176" t="shared" si="186">=20%*I175</f>
      </c>
      <c r="J176" s="30">
        <f t="shared" si="186"/>
      </c>
      <c r="K176" s="30">
        <f t="shared" si="186"/>
      </c>
      <c r="L176" s="30">
        <f t="shared" si="186"/>
      </c>
      <c r="M176" s="30">
        <f t="shared" si="186"/>
      </c>
      <c r="N176" s="30">
        <f t="shared" si="186"/>
      </c>
      <c r="O176" s="30">
        <f t="shared" si="186"/>
      </c>
      <c r="P176" s="30">
        <f t="shared" si="186"/>
      </c>
      <c r="Q176" s="30">
        <f t="shared" si="186"/>
      </c>
    </row>
    <row r="177" ht="14.25" customHeight="true">
      <c r="A177" s="18"/>
      <c r="B177" s="9" t="s">
        <v>184</v>
      </c>
      <c r="C177" s="24"/>
      <c r="D177" s="24"/>
      <c r="E177" s="24"/>
      <c r="F177" s="24"/>
      <c r="G177" s="24"/>
      <c r="H177" s="30">
        <f>=50%*H175</f>
      </c>
      <c r="I177" s="30">
        <f ref="I177:Q177" t="shared" si="225">=50%*I175</f>
      </c>
      <c r="J177" s="30">
        <f t="shared" si="225"/>
      </c>
      <c r="K177" s="30">
        <f t="shared" si="225"/>
      </c>
      <c r="L177" s="30">
        <f t="shared" si="225"/>
      </c>
      <c r="M177" s="30">
        <f t="shared" si="225"/>
      </c>
      <c r="N177" s="30">
        <f t="shared" si="225"/>
      </c>
      <c r="O177" s="30">
        <f t="shared" si="225"/>
      </c>
      <c r="P177" s="30">
        <f t="shared" si="225"/>
      </c>
      <c r="Q177" s="30">
        <f t="shared" si="225"/>
      </c>
    </row>
    <row r="178" ht="14.25" customHeight="true">
      <c r="A178" s="18"/>
      <c r="B178" s="9" t="s">
        <v>185</v>
      </c>
      <c r="C178" s="24"/>
      <c r="D178" s="24"/>
      <c r="E178" s="24"/>
      <c r="F178" s="24"/>
      <c r="G178" s="24"/>
      <c r="H178" s="30">
        <f>=20%*H175</f>
      </c>
      <c r="I178" s="30">
        <f ref="I178:Q178" t="shared" si="107">=20%*I175</f>
      </c>
      <c r="J178" s="30">
        <f t="shared" si="107"/>
      </c>
      <c r="K178" s="30">
        <f t="shared" si="107"/>
      </c>
      <c r="L178" s="30">
        <f t="shared" si="107"/>
      </c>
      <c r="M178" s="30">
        <f t="shared" si="107"/>
      </c>
      <c r="N178" s="30">
        <f t="shared" si="107"/>
      </c>
      <c r="O178" s="30">
        <f t="shared" si="107"/>
      </c>
      <c r="P178" s="30">
        <f t="shared" si="107"/>
      </c>
      <c r="Q178" s="30">
        <f t="shared" si="107"/>
      </c>
    </row>
    <row r="179" ht="14.25" customHeight="true">
      <c r="A179" s="18"/>
      <c r="B179" s="9" t="s">
        <v>186</v>
      </c>
      <c r="C179" s="24"/>
      <c r="D179" s="24"/>
      <c r="E179" s="24"/>
      <c r="F179" s="24"/>
      <c r="G179" s="24"/>
      <c r="H179" s="30">
        <f>=10%*H175</f>
      </c>
      <c r="I179" s="30">
        <f ref="I179:Q179" t="shared" si="232">=10%*I175</f>
      </c>
      <c r="J179" s="30">
        <f t="shared" si="232"/>
      </c>
      <c r="K179" s="30">
        <f t="shared" si="232"/>
      </c>
      <c r="L179" s="30">
        <f t="shared" si="232"/>
      </c>
      <c r="M179" s="30">
        <f t="shared" si="232"/>
      </c>
      <c r="N179" s="30">
        <f t="shared" si="232"/>
      </c>
      <c r="O179" s="30">
        <f t="shared" si="232"/>
      </c>
      <c r="P179" s="30">
        <f t="shared" si="232"/>
      </c>
      <c r="Q179" s="30">
        <f t="shared" si="232"/>
      </c>
    </row>
    <row r="180" ht="14.25" customHeight="true">
      <c r="A180" s="82"/>
      <c r="B180" s="73" t="s">
        <v>80</v>
      </c>
      <c r="C180" s="84"/>
      <c r="D180" s="84"/>
      <c r="E180" s="84"/>
      <c r="F180" s="84"/>
      <c r="G180" s="84"/>
      <c r="H180" s="82">
        <f ref="H180:Q180" t="shared" si="207">=IF((H176+H177+H178+H179)=H175,"ok","error")</f>
      </c>
      <c r="I180" s="82">
        <f t="shared" si="207"/>
      </c>
      <c r="J180" s="82">
        <f t="shared" si="207"/>
      </c>
      <c r="K180" s="82">
        <f t="shared" si="207"/>
      </c>
      <c r="L180" s="82">
        <f t="shared" si="207"/>
      </c>
      <c r="M180" s="82">
        <f t="shared" si="207"/>
      </c>
      <c r="N180" s="82">
        <f t="shared" si="207"/>
      </c>
      <c r="O180" s="82">
        <f t="shared" si="207"/>
      </c>
      <c r="P180" s="82">
        <f t="shared" si="207"/>
      </c>
      <c r="Q180" s="82">
        <f t="shared" si="207"/>
      </c>
    </row>
    <row r="181" ht="14.25" customHeight="true">
      <c r="A181" s="82"/>
      <c r="B181" s="73"/>
      <c r="C181" s="84"/>
      <c r="D181" s="84"/>
      <c r="E181" s="84"/>
      <c r="F181" s="84"/>
      <c r="G181" s="84"/>
      <c r="H181" s="82"/>
      <c r="I181" s="82"/>
      <c r="J181" s="82"/>
      <c r="K181" s="82"/>
      <c r="L181" s="82"/>
      <c r="M181" s="82"/>
      <c r="N181" s="82"/>
      <c r="O181" s="82"/>
      <c r="P181" s="82"/>
      <c r="Q181" s="82"/>
    </row>
    <row r="182" hidden="1" ht="14.25" customHeight="true">
      <c r="B182" s="8">
        <f>=CONCATENATE("Depreciación Inversión Nueva Año ",'Supuestos Proyeccion'!$H$5)</f>
      </c>
      <c r="C182" s="31"/>
      <c r="D182" s="31"/>
      <c r="E182" s="31"/>
      <c r="F182" s="31"/>
      <c r="G182" s="31"/>
      <c r="H182" s="31">
        <f ref="H182:Q182" t="shared" si="185">=H183+H184+H185+H186</f>
      </c>
      <c r="I182" s="31">
        <f t="shared" si="185"/>
      </c>
      <c r="J182" s="31">
        <f t="shared" si="185"/>
      </c>
      <c r="K182" s="31">
        <f t="shared" si="185"/>
      </c>
      <c r="L182" s="31">
        <f t="shared" si="185"/>
      </c>
      <c r="M182" s="31">
        <f t="shared" si="185"/>
      </c>
      <c r="N182" s="31">
        <f t="shared" si="185"/>
      </c>
      <c r="O182" s="31">
        <f t="shared" si="185"/>
      </c>
      <c r="P182" s="31">
        <f t="shared" si="185"/>
      </c>
      <c r="Q182" s="31">
        <f t="shared" si="185"/>
      </c>
    </row>
    <row r="183" hidden="1" ht="14.25" customHeight="true">
      <c r="B183" s="9" t="s">
        <v>187</v>
      </c>
      <c r="C183" s="31"/>
      <c r="D183" s="31"/>
      <c r="E183" s="31"/>
      <c r="F183" s="31"/>
      <c r="G183" s="31"/>
      <c r="H183" s="31">
        <f>=$H$176/20*0.5</f>
      </c>
      <c r="I183" s="31">
        <f ref="I183:Q183" t="shared" si="146">=$H$176/20</f>
      </c>
      <c r="J183" s="31">
        <f t="shared" si="146"/>
      </c>
      <c r="K183" s="31">
        <f t="shared" si="146"/>
      </c>
      <c r="L183" s="31">
        <f t="shared" si="146"/>
      </c>
      <c r="M183" s="31">
        <f t="shared" si="146"/>
      </c>
      <c r="N183" s="31">
        <f t="shared" si="146"/>
      </c>
      <c r="O183" s="31">
        <f t="shared" si="146"/>
      </c>
      <c r="P183" s="31">
        <f t="shared" si="146"/>
      </c>
      <c r="Q183" s="31">
        <f t="shared" si="146"/>
      </c>
    </row>
    <row r="184" hidden="1" ht="14.25" customHeight="true">
      <c r="B184" s="9" t="s">
        <v>188</v>
      </c>
      <c r="C184" s="31"/>
      <c r="D184" s="31"/>
      <c r="E184" s="31"/>
      <c r="F184" s="31"/>
      <c r="G184" s="31"/>
      <c r="H184" s="31">
        <f>=$H$177/10*0.5</f>
      </c>
      <c r="I184" s="31">
        <f ref="I184:Q184" t="shared" si="208">=$H$177/10</f>
      </c>
      <c r="J184" s="31">
        <f t="shared" si="208"/>
      </c>
      <c r="K184" s="31">
        <f t="shared" si="208"/>
      </c>
      <c r="L184" s="31">
        <f t="shared" si="208"/>
      </c>
      <c r="M184" s="31">
        <f t="shared" si="208"/>
      </c>
      <c r="N184" s="31">
        <f t="shared" si="208"/>
      </c>
      <c r="O184" s="31">
        <f t="shared" si="208"/>
      </c>
      <c r="P184" s="31">
        <f t="shared" si="208"/>
      </c>
      <c r="Q184" s="31">
        <f t="shared" si="208"/>
      </c>
    </row>
    <row r="185" hidden="1" ht="14.25" customHeight="true">
      <c r="B185" s="9" t="s">
        <v>189</v>
      </c>
      <c r="C185" s="31"/>
      <c r="D185" s="31"/>
      <c r="E185" s="31"/>
      <c r="F185" s="31"/>
      <c r="G185" s="31"/>
      <c r="H185" s="31">
        <f>=$H$178/5*0.5</f>
      </c>
      <c r="I185" s="31">
        <f>=$H$178/5</f>
      </c>
      <c r="J185" s="31">
        <f>=$H$178/5</f>
      </c>
      <c r="K185" s="31">
        <f>=$H$178/5</f>
      </c>
      <c r="L185" s="31">
        <f>=$H$178/5</f>
      </c>
      <c r="M185" s="31">
        <f>=$H$178/5*0.5</f>
      </c>
      <c r="N185" s="31"/>
      <c r="O185" s="31"/>
      <c r="P185" s="31"/>
      <c r="Q185" s="31"/>
    </row>
    <row r="186" hidden="1" ht="14.25" customHeight="true">
      <c r="B186" s="9" t="s">
        <v>190</v>
      </c>
      <c r="C186" s="31"/>
      <c r="D186" s="31"/>
      <c r="E186" s="31"/>
      <c r="F186" s="31"/>
      <c r="G186" s="31"/>
      <c r="H186" s="31">
        <f>=$H$179/3*0.5</f>
      </c>
      <c r="I186" s="31">
        <f>=$H$179/3</f>
      </c>
      <c r="J186" s="31">
        <f>=$H$179/3</f>
      </c>
      <c r="K186" s="31">
        <f>=$H$179/3*0.5</f>
      </c>
      <c r="L186" s="31"/>
      <c r="M186" s="31"/>
      <c r="N186" s="31"/>
      <c r="O186" s="31"/>
      <c r="P186" s="31"/>
      <c r="Q186" s="31"/>
    </row>
    <row r="187" hidden="1" ht="14.25" customHeight="true">
      <c r="B187" s="8">
        <f>=CONCATENATE("Depreciación Inversión Nueva Año ",'Supuestos Proyeccion'!$I$5)</f>
      </c>
      <c r="C187" s="31"/>
      <c r="D187" s="31"/>
      <c r="E187" s="31"/>
      <c r="F187" s="31"/>
      <c r="G187" s="31"/>
      <c r="H187" s="31">
        <f ref="H187:Q187" t="shared" si="104">=H188+H189+H190+H191</f>
      </c>
      <c r="I187" s="31">
        <f t="shared" si="104"/>
      </c>
      <c r="J187" s="31">
        <f t="shared" si="104"/>
      </c>
      <c r="K187" s="31">
        <f t="shared" si="104"/>
      </c>
      <c r="L187" s="31">
        <f t="shared" si="104"/>
      </c>
      <c r="M187" s="31">
        <f t="shared" si="104"/>
      </c>
      <c r="N187" s="31">
        <f t="shared" si="104"/>
      </c>
      <c r="O187" s="31">
        <f t="shared" si="104"/>
      </c>
      <c r="P187" s="31">
        <f t="shared" si="104"/>
      </c>
      <c r="Q187" s="31">
        <f t="shared" si="104"/>
      </c>
    </row>
    <row r="188" hidden="1" ht="14.25" customHeight="true">
      <c r="B188" s="9" t="s">
        <v>187</v>
      </c>
      <c r="C188" s="31"/>
      <c r="D188" s="31"/>
      <c r="E188" s="31"/>
      <c r="F188" s="31"/>
      <c r="G188" s="31"/>
      <c r="H188" s="18"/>
      <c r="I188" s="31">
        <f>=$I$176/20*0.5</f>
      </c>
      <c r="J188" s="31">
        <f ref="J188:Q188" t="shared" si="153">=$I$176/20</f>
      </c>
      <c r="K188" s="31">
        <f t="shared" si="153"/>
      </c>
      <c r="L188" s="31">
        <f t="shared" si="153"/>
      </c>
      <c r="M188" s="31">
        <f t="shared" si="153"/>
      </c>
      <c r="N188" s="31">
        <f t="shared" si="153"/>
      </c>
      <c r="O188" s="31">
        <f t="shared" si="153"/>
      </c>
      <c r="P188" s="31">
        <f t="shared" si="153"/>
      </c>
      <c r="Q188" s="31">
        <f t="shared" si="153"/>
      </c>
      <c r="R188" s="8"/>
    </row>
    <row r="189" hidden="1" ht="14.25" customHeight="true">
      <c r="B189" s="9" t="s">
        <v>188</v>
      </c>
      <c r="C189" s="31"/>
      <c r="D189" s="31"/>
      <c r="E189" s="31"/>
      <c r="F189" s="31"/>
      <c r="G189" s="31"/>
      <c r="H189" s="18"/>
      <c r="I189" s="31">
        <f>=$I$177/10*0.5</f>
      </c>
      <c r="J189" s="31">
        <f ref="J189:Q189" t="shared" si="235">=$I$177/10</f>
      </c>
      <c r="K189" s="31">
        <f t="shared" si="235"/>
      </c>
      <c r="L189" s="31">
        <f t="shared" si="235"/>
      </c>
      <c r="M189" s="31">
        <f t="shared" si="235"/>
      </c>
      <c r="N189" s="31">
        <f t="shared" si="235"/>
      </c>
      <c r="O189" s="31">
        <f t="shared" si="235"/>
      </c>
      <c r="P189" s="31">
        <f t="shared" si="235"/>
      </c>
      <c r="Q189" s="31">
        <f t="shared" si="235"/>
      </c>
      <c r="R189" s="8"/>
    </row>
    <row r="190" hidden="1" ht="14.25" customHeight="true">
      <c r="B190" s="9" t="s">
        <v>189</v>
      </c>
      <c r="C190" s="31"/>
      <c r="D190" s="31"/>
      <c r="E190" s="31"/>
      <c r="F190" s="31"/>
      <c r="G190" s="31"/>
      <c r="H190" s="18"/>
      <c r="I190" s="31">
        <f>=$I$178/5*0.5</f>
      </c>
      <c r="J190" s="31">
        <f>=$I$178/5</f>
      </c>
      <c r="K190" s="31">
        <f>=$I$178/5</f>
      </c>
      <c r="L190" s="31">
        <f>=$I$178/5</f>
      </c>
      <c r="M190" s="31">
        <f>=$I$178/5</f>
      </c>
      <c r="N190" s="31">
        <f>=$I$178/5*0.5</f>
      </c>
      <c r="O190" s="31"/>
      <c r="P190" s="31"/>
      <c r="Q190" s="31"/>
      <c r="R190" s="8"/>
    </row>
    <row r="191" hidden="1" ht="14.25" customHeight="true">
      <c r="B191" s="9" t="s">
        <v>190</v>
      </c>
      <c r="C191" s="31"/>
      <c r="D191" s="31"/>
      <c r="E191" s="31"/>
      <c r="F191" s="31"/>
      <c r="G191" s="31"/>
      <c r="H191" s="18"/>
      <c r="I191" s="31">
        <f>=$I$179/3*0.5</f>
      </c>
      <c r="J191" s="31">
        <f>=$I$179/3</f>
      </c>
      <c r="K191" s="31">
        <f>=$I$179/3</f>
      </c>
      <c r="L191" s="31">
        <f>=$I$179/3*0.5</f>
      </c>
      <c r="M191" s="31"/>
      <c r="N191" s="31"/>
      <c r="O191" s="31"/>
      <c r="P191" s="31"/>
      <c r="Q191" s="31"/>
      <c r="R191" s="8"/>
    </row>
    <row r="192" hidden="1" ht="14.25" customHeight="true">
      <c r="B192" s="8">
        <f>=CONCATENATE("Depreciación Inversión Nueva Año ",'Supuestos Proyeccion'!$J$5)</f>
      </c>
      <c r="C192" s="31"/>
      <c r="D192" s="31"/>
      <c r="E192" s="31"/>
      <c r="F192" s="31"/>
      <c r="G192" s="31"/>
      <c r="H192" s="31">
        <f ref="H192:Q192" t="shared" si="194">=H193+H194+H195+H196</f>
      </c>
      <c r="I192" s="31">
        <f t="shared" si="194"/>
      </c>
      <c r="J192" s="31">
        <f t="shared" si="194"/>
      </c>
      <c r="K192" s="31">
        <f t="shared" si="194"/>
      </c>
      <c r="L192" s="31">
        <f t="shared" si="194"/>
      </c>
      <c r="M192" s="31">
        <f t="shared" si="194"/>
      </c>
      <c r="N192" s="31">
        <f t="shared" si="194"/>
      </c>
      <c r="O192" s="31">
        <f t="shared" si="194"/>
      </c>
      <c r="P192" s="31">
        <f t="shared" si="194"/>
      </c>
      <c r="Q192" s="31">
        <f t="shared" si="194"/>
      </c>
    </row>
    <row r="193" hidden="1" ht="14.25" customHeight="true">
      <c r="B193" s="9" t="s">
        <v>187</v>
      </c>
      <c r="C193" s="31"/>
      <c r="D193" s="31"/>
      <c r="E193" s="31"/>
      <c r="F193" s="31"/>
      <c r="G193" s="31"/>
      <c r="H193" s="31"/>
      <c r="I193" s="31"/>
      <c r="J193" s="31">
        <f>=$J$176/20*0.5</f>
      </c>
      <c r="K193" s="31">
        <f ref="K193:Q193" t="shared" si="228">=$J$176/20</f>
      </c>
      <c r="L193" s="31">
        <f t="shared" si="228"/>
      </c>
      <c r="M193" s="31">
        <f t="shared" si="228"/>
      </c>
      <c r="N193" s="31">
        <f t="shared" si="228"/>
      </c>
      <c r="O193" s="31">
        <f t="shared" si="228"/>
      </c>
      <c r="P193" s="31">
        <f t="shared" si="228"/>
      </c>
      <c r="Q193" s="31">
        <f t="shared" si="228"/>
      </c>
      <c r="R193" s="8"/>
      <c r="S193" s="8"/>
    </row>
    <row r="194" hidden="1" ht="14.25" customHeight="true">
      <c r="B194" s="9" t="s">
        <v>188</v>
      </c>
      <c r="C194" s="31"/>
      <c r="D194" s="31"/>
      <c r="E194" s="31"/>
      <c r="F194" s="31"/>
      <c r="G194" s="31"/>
      <c r="H194" s="31"/>
      <c r="I194" s="31"/>
      <c r="J194" s="31">
        <f>=$J$177/10*0.5</f>
      </c>
      <c r="K194" s="31">
        <f ref="K194:Q194" t="shared" si="150">=$J$177/10</f>
      </c>
      <c r="L194" s="31">
        <f t="shared" si="150"/>
      </c>
      <c r="M194" s="31">
        <f t="shared" si="150"/>
      </c>
      <c r="N194" s="31">
        <f t="shared" si="150"/>
      </c>
      <c r="O194" s="31">
        <f t="shared" si="150"/>
      </c>
      <c r="P194" s="31">
        <f t="shared" si="150"/>
      </c>
      <c r="Q194" s="31">
        <f t="shared" si="150"/>
      </c>
      <c r="R194" s="8"/>
      <c r="S194" s="8"/>
    </row>
    <row r="195" hidden="1" ht="14.25" customHeight="true">
      <c r="B195" s="9" t="s">
        <v>189</v>
      </c>
      <c r="C195" s="31"/>
      <c r="D195" s="31"/>
      <c r="E195" s="31"/>
      <c r="F195" s="31"/>
      <c r="G195" s="31"/>
      <c r="H195" s="31"/>
      <c r="I195" s="31"/>
      <c r="J195" s="31">
        <f>=$J$178/5*0.5</f>
      </c>
      <c r="K195" s="31">
        <f>=$J$178/5</f>
      </c>
      <c r="L195" s="31">
        <f>=$J$178/5</f>
      </c>
      <c r="M195" s="31">
        <f>=$J$178/5</f>
      </c>
      <c r="N195" s="31">
        <f>=$J$178/5</f>
      </c>
      <c r="O195" s="31">
        <f>=$J$178/5*0.5</f>
      </c>
      <c r="P195" s="31"/>
      <c r="Q195" s="31"/>
      <c r="R195" s="8"/>
      <c r="S195" s="8"/>
    </row>
    <row r="196" hidden="1" ht="14.25" customHeight="true">
      <c r="B196" s="9" t="s">
        <v>190</v>
      </c>
      <c r="C196" s="31"/>
      <c r="D196" s="31"/>
      <c r="E196" s="31"/>
      <c r="F196" s="31"/>
      <c r="G196" s="31"/>
      <c r="H196" s="31"/>
      <c r="I196" s="31"/>
      <c r="J196" s="31">
        <f>=$J$179/3*0.5</f>
      </c>
      <c r="K196" s="31">
        <f>=$J$179/3</f>
      </c>
      <c r="L196" s="31">
        <f>=$J$179/3</f>
      </c>
      <c r="M196" s="31">
        <f>=$J$179/3*0.5</f>
      </c>
      <c r="N196" s="31"/>
      <c r="O196" s="31"/>
      <c r="P196" s="31"/>
      <c r="Q196" s="31"/>
      <c r="R196" s="8"/>
      <c r="S196" s="8"/>
    </row>
    <row r="197" hidden="1" ht="14.25" customHeight="true">
      <c r="B197" s="8">
        <f>=CONCATENATE("Depreciación Inversión Nueva Año ",'Supuestos Proyeccion'!$K$5)</f>
      </c>
      <c r="C197" s="31"/>
      <c r="D197" s="31"/>
      <c r="E197" s="31"/>
      <c r="F197" s="31"/>
      <c r="G197" s="31"/>
      <c r="H197" s="31">
        <f ref="H197:Q197" t="shared" si="141">=H198+H199+H200+H201</f>
      </c>
      <c r="I197" s="31">
        <f t="shared" si="141"/>
      </c>
      <c r="J197" s="31">
        <f t="shared" si="141"/>
      </c>
      <c r="K197" s="31">
        <f t="shared" si="141"/>
      </c>
      <c r="L197" s="31">
        <f t="shared" si="141"/>
      </c>
      <c r="M197" s="31">
        <f t="shared" si="141"/>
      </c>
      <c r="N197" s="31">
        <f t="shared" si="141"/>
      </c>
      <c r="O197" s="31">
        <f t="shared" si="141"/>
      </c>
      <c r="P197" s="31">
        <f t="shared" si="141"/>
      </c>
      <c r="Q197" s="31">
        <f t="shared" si="141"/>
      </c>
    </row>
    <row r="198" hidden="1" ht="14.25" customHeight="true">
      <c r="B198" s="9" t="s">
        <v>187</v>
      </c>
      <c r="C198" s="31"/>
      <c r="D198" s="31"/>
      <c r="E198" s="31"/>
      <c r="F198" s="31"/>
      <c r="G198" s="31"/>
      <c r="H198" s="31"/>
      <c r="I198" s="31"/>
      <c r="J198" s="31"/>
      <c r="K198" s="31">
        <f>=$K$176/20*0.5</f>
      </c>
      <c r="L198" s="31">
        <f ref="L198:Q198" t="shared" si="94">=$K$176/20</f>
      </c>
      <c r="M198" s="31">
        <f t="shared" si="94"/>
      </c>
      <c r="N198" s="31">
        <f t="shared" si="94"/>
      </c>
      <c r="O198" s="31">
        <f t="shared" si="94"/>
      </c>
      <c r="P198" s="31">
        <f t="shared" si="94"/>
      </c>
      <c r="Q198" s="31">
        <f t="shared" si="94"/>
      </c>
      <c r="R198" s="8"/>
      <c r="S198" s="8"/>
      <c r="T198" s="8"/>
    </row>
    <row r="199" hidden="1" ht="14.25" customHeight="true">
      <c r="B199" s="9" t="s">
        <v>188</v>
      </c>
      <c r="C199" s="31"/>
      <c r="D199" s="31"/>
      <c r="E199" s="31"/>
      <c r="F199" s="31"/>
      <c r="G199" s="31"/>
      <c r="H199" s="31"/>
      <c r="I199" s="31"/>
      <c r="J199" s="31"/>
      <c r="K199" s="31">
        <f>=$K$177/10*0.5</f>
      </c>
      <c r="L199" s="31">
        <f ref="L199:Q199" t="shared" si="222">=$K$177/10</f>
      </c>
      <c r="M199" s="31">
        <f t="shared" si="222"/>
      </c>
      <c r="N199" s="31">
        <f t="shared" si="222"/>
      </c>
      <c r="O199" s="31">
        <f t="shared" si="222"/>
      </c>
      <c r="P199" s="31">
        <f t="shared" si="222"/>
      </c>
      <c r="Q199" s="31">
        <f t="shared" si="222"/>
      </c>
      <c r="R199" s="8"/>
      <c r="S199" s="8"/>
      <c r="T199" s="8"/>
    </row>
    <row r="200" hidden="1" ht="14.25" customHeight="true">
      <c r="B200" s="9" t="s">
        <v>189</v>
      </c>
      <c r="C200" s="31"/>
      <c r="D200" s="31"/>
      <c r="E200" s="31"/>
      <c r="F200" s="31"/>
      <c r="G200" s="31"/>
      <c r="H200" s="31"/>
      <c r="I200" s="31"/>
      <c r="J200" s="31"/>
      <c r="K200" s="31">
        <f>=$K$178/5*0.5</f>
      </c>
      <c r="L200" s="31">
        <f>=$K$178/5</f>
      </c>
      <c r="M200" s="31">
        <f>=$K$178/5</f>
      </c>
      <c r="N200" s="31">
        <f>=$K$178/5</f>
      </c>
      <c r="O200" s="31">
        <f>=$K$178/5</f>
      </c>
      <c r="P200" s="31">
        <f>=$K$178/5*0.5</f>
      </c>
      <c r="Q200" s="31"/>
      <c r="R200" s="8"/>
      <c r="S200" s="8"/>
      <c r="T200" s="8"/>
    </row>
    <row r="201" hidden="1" ht="14.25" customHeight="true">
      <c r="B201" s="9" t="s">
        <v>190</v>
      </c>
      <c r="C201" s="31"/>
      <c r="D201" s="31"/>
      <c r="E201" s="31"/>
      <c r="F201" s="31"/>
      <c r="G201" s="31"/>
      <c r="H201" s="31"/>
      <c r="I201" s="31"/>
      <c r="J201" s="31"/>
      <c r="K201" s="31">
        <f>=$K$179/3*0.5</f>
      </c>
      <c r="L201" s="31">
        <f>=$K$179/3</f>
      </c>
      <c r="M201" s="31">
        <f>=$K$179/3</f>
      </c>
      <c r="N201" s="31">
        <f>=$K$179/3*0.5</f>
      </c>
      <c r="O201" s="31"/>
      <c r="P201" s="31"/>
      <c r="Q201" s="31"/>
      <c r="R201" s="8"/>
      <c r="S201" s="8"/>
      <c r="T201" s="8"/>
    </row>
    <row r="202" hidden="1" ht="14.25" customHeight="true">
      <c r="B202" s="8">
        <f>=CONCATENATE("Depreciación Inversión Nueva Año ",'Supuestos Proyeccion'!$L$5)</f>
      </c>
      <c r="C202" s="31"/>
      <c r="D202" s="31"/>
      <c r="E202" s="31"/>
      <c r="F202" s="31"/>
      <c r="G202" s="31"/>
      <c r="H202" s="31">
        <f ref="H202:Q202" t="shared" si="112">=H203+H204+H205+H206</f>
      </c>
      <c r="I202" s="31">
        <f t="shared" si="112"/>
      </c>
      <c r="J202" s="31">
        <f t="shared" si="112"/>
      </c>
      <c r="K202" s="31">
        <f t="shared" si="112"/>
      </c>
      <c r="L202" s="31">
        <f t="shared" si="112"/>
      </c>
      <c r="M202" s="31">
        <f t="shared" si="112"/>
      </c>
      <c r="N202" s="31">
        <f t="shared" si="112"/>
      </c>
      <c r="O202" s="31">
        <f t="shared" si="112"/>
      </c>
      <c r="P202" s="31">
        <f t="shared" si="112"/>
      </c>
      <c r="Q202" s="31">
        <f t="shared" si="112"/>
      </c>
    </row>
    <row r="203" hidden="1" ht="14.25" customHeight="true">
      <c r="B203" s="9" t="s">
        <v>187</v>
      </c>
      <c r="C203" s="31"/>
      <c r="D203" s="31"/>
      <c r="E203" s="31"/>
      <c r="F203" s="31"/>
      <c r="G203" s="31"/>
      <c r="H203" s="31"/>
      <c r="I203" s="31"/>
      <c r="J203" s="31"/>
      <c r="K203" s="31"/>
      <c r="L203" s="31">
        <f>=$L$176/20*0.5</f>
      </c>
      <c r="M203" s="31">
        <f>=$L$176/20</f>
      </c>
      <c r="N203" s="31">
        <f>=$L$176/20</f>
      </c>
      <c r="O203" s="31">
        <f>=$L$176/20</f>
      </c>
      <c r="P203" s="31">
        <f>=$L$176/20</f>
      </c>
      <c r="Q203" s="31">
        <f>=$L$176/20</f>
      </c>
      <c r="R203" s="8"/>
      <c r="S203" s="8"/>
      <c r="T203" s="8"/>
      <c r="U203" s="8"/>
    </row>
    <row r="204" hidden="1" ht="14.25" customHeight="true">
      <c r="B204" s="9" t="s">
        <v>188</v>
      </c>
      <c r="C204" s="31"/>
      <c r="D204" s="31"/>
      <c r="E204" s="31"/>
      <c r="F204" s="31"/>
      <c r="G204" s="31"/>
      <c r="H204" s="31"/>
      <c r="I204" s="31"/>
      <c r="J204" s="31"/>
      <c r="K204" s="31"/>
      <c r="L204" s="31">
        <f>=$L$177/10*0.5</f>
      </c>
      <c r="M204" s="31">
        <f>=$L$177/10</f>
      </c>
      <c r="N204" s="31">
        <f>=$L$177/10</f>
      </c>
      <c r="O204" s="31">
        <f>=$L$177/10</f>
      </c>
      <c r="P204" s="31">
        <f>=$L$177/10</f>
      </c>
      <c r="Q204" s="31">
        <f>=$L$177/10</f>
      </c>
      <c r="R204" s="8"/>
      <c r="S204" s="8"/>
      <c r="T204" s="8"/>
      <c r="U204" s="8"/>
    </row>
    <row r="205" hidden="1" ht="14.25" customHeight="true">
      <c r="B205" s="9" t="s">
        <v>189</v>
      </c>
      <c r="C205" s="31"/>
      <c r="D205" s="31"/>
      <c r="E205" s="31"/>
      <c r="F205" s="31"/>
      <c r="G205" s="31"/>
      <c r="H205" s="31"/>
      <c r="I205" s="31"/>
      <c r="J205" s="31"/>
      <c r="K205" s="31"/>
      <c r="L205" s="31">
        <f>=$L$178/5*0.5</f>
      </c>
      <c r="M205" s="31">
        <f>=$L$178/5</f>
      </c>
      <c r="N205" s="31">
        <f>=$L$178/5</f>
      </c>
      <c r="O205" s="31">
        <f>=$L$178/5</f>
      </c>
      <c r="P205" s="31">
        <f>=$L$178/5</f>
      </c>
      <c r="Q205" s="31">
        <f>=$L$178/5*0.5</f>
      </c>
      <c r="R205" s="8"/>
      <c r="S205" s="8"/>
      <c r="T205" s="8"/>
      <c r="U205" s="8"/>
    </row>
    <row r="206" hidden="1" ht="14.25" customHeight="true">
      <c r="B206" s="9" t="s">
        <v>190</v>
      </c>
      <c r="C206" s="31"/>
      <c r="D206" s="31"/>
      <c r="E206" s="31"/>
      <c r="F206" s="31"/>
      <c r="G206" s="31"/>
      <c r="H206" s="31"/>
      <c r="I206" s="31"/>
      <c r="J206" s="31"/>
      <c r="K206" s="31"/>
      <c r="L206" s="31">
        <f>=$L$179/3*0.5</f>
      </c>
      <c r="M206" s="31">
        <f>=$L$179/3</f>
      </c>
      <c r="N206" s="31">
        <f>=$L$179/3</f>
      </c>
      <c r="O206" s="31">
        <f>=$L$179/3*0.5</f>
      </c>
      <c r="P206" s="31"/>
      <c r="Q206" s="31"/>
      <c r="R206" s="8"/>
      <c r="S206" s="8"/>
      <c r="T206" s="8"/>
      <c r="U206" s="8"/>
    </row>
    <row r="207" hidden="1" ht="14.25" customHeight="true">
      <c r="B207" s="8">
        <f>=CONCATENATE("Depreciación Inversión Nueva Año ",'Supuestos Proyeccion'!$M$5)</f>
      </c>
      <c r="C207" s="31"/>
      <c r="D207" s="31"/>
      <c r="E207" s="31"/>
      <c r="F207" s="31"/>
      <c r="G207" s="31"/>
      <c r="H207" s="31">
        <f ref="H207:Q207" t="shared" si="217">=H208+H209+H210+H211</f>
      </c>
      <c r="I207" s="31">
        <f t="shared" si="217"/>
      </c>
      <c r="J207" s="31">
        <f t="shared" si="217"/>
      </c>
      <c r="K207" s="31">
        <f t="shared" si="217"/>
      </c>
      <c r="L207" s="31">
        <f t="shared" si="217"/>
      </c>
      <c r="M207" s="31">
        <f t="shared" si="217"/>
      </c>
      <c r="N207" s="31">
        <f t="shared" si="217"/>
      </c>
      <c r="O207" s="31">
        <f t="shared" si="217"/>
      </c>
      <c r="P207" s="31">
        <f t="shared" si="217"/>
      </c>
      <c r="Q207" s="31">
        <f t="shared" si="217"/>
      </c>
    </row>
    <row r="208" hidden="1" ht="14.25" customHeight="true">
      <c r="B208" s="9" t="s">
        <v>187</v>
      </c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>
        <f>=$M$176/20*0.5</f>
      </c>
      <c r="N208" s="31">
        <f>=$M$176/20</f>
      </c>
      <c r="O208" s="31">
        <f>=$M$176/20</f>
      </c>
      <c r="P208" s="31">
        <f>=$M$176/20</f>
      </c>
      <c r="Q208" s="31">
        <f>=$M$176/20</f>
      </c>
      <c r="R208" s="8"/>
      <c r="S208" s="8"/>
      <c r="T208" s="8"/>
      <c r="U208" s="8"/>
      <c r="V208" s="8"/>
    </row>
    <row r="209" hidden="1" ht="14.25" customHeight="true">
      <c r="B209" s="9" t="s">
        <v>188</v>
      </c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>
        <f>=$M$177/10*0.5</f>
      </c>
      <c r="N209" s="31">
        <f>=$M$177/10</f>
      </c>
      <c r="O209" s="31">
        <f>=$M$177/10</f>
      </c>
      <c r="P209" s="31">
        <f>=$M$177/10</f>
      </c>
      <c r="Q209" s="31">
        <f>=$M$177/10</f>
      </c>
      <c r="R209" s="8"/>
      <c r="S209" s="8"/>
      <c r="T209" s="8"/>
      <c r="U209" s="8"/>
      <c r="V209" s="8"/>
    </row>
    <row r="210" hidden="1" ht="14.25" customHeight="true">
      <c r="B210" s="9" t="s">
        <v>189</v>
      </c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>
        <f>=$M$178/5*0.5</f>
      </c>
      <c r="N210" s="31">
        <f>=$M$178/5</f>
      </c>
      <c r="O210" s="31">
        <f>=$M$178/5</f>
      </c>
      <c r="P210" s="31">
        <f>=$M$178/5</f>
      </c>
      <c r="Q210" s="31">
        <f>=$M$178/5</f>
      </c>
      <c r="R210" s="8"/>
      <c r="S210" s="8"/>
      <c r="T210" s="8"/>
      <c r="U210" s="8"/>
      <c r="V210" s="8"/>
    </row>
    <row r="211" hidden="1" ht="14.25" customHeight="true">
      <c r="B211" s="9" t="s">
        <v>190</v>
      </c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>
        <f>=$M$179/3*0.5</f>
      </c>
      <c r="N211" s="31">
        <f>=$M$179/3</f>
      </c>
      <c r="O211" s="31">
        <f>=$M$179/3</f>
      </c>
      <c r="P211" s="31">
        <f>=$M$179/3*0.5</f>
      </c>
      <c r="Q211" s="31"/>
      <c r="R211" s="8"/>
      <c r="S211" s="8"/>
      <c r="T211" s="8"/>
      <c r="U211" s="8"/>
      <c r="V211" s="8"/>
    </row>
    <row r="212" hidden="1" ht="14.25" customHeight="true">
      <c r="B212" s="8">
        <f>=CONCATENATE("Depreciación Inversión Nueva Año ",'Supuestos Proyeccion'!$N$5)</f>
      </c>
      <c r="C212" s="31"/>
      <c r="D212" s="31"/>
      <c r="E212" s="31"/>
      <c r="F212" s="31"/>
      <c r="G212" s="31"/>
      <c r="H212" s="31">
        <f ref="H212:Q212" t="shared" si="201">=H213+H214+H215+H216</f>
      </c>
      <c r="I212" s="31">
        <f t="shared" si="201"/>
      </c>
      <c r="J212" s="31">
        <f t="shared" si="201"/>
      </c>
      <c r="K212" s="31">
        <f t="shared" si="201"/>
      </c>
      <c r="L212" s="31">
        <f t="shared" si="201"/>
      </c>
      <c r="M212" s="31">
        <f t="shared" si="201"/>
      </c>
      <c r="N212" s="31">
        <f t="shared" si="201"/>
      </c>
      <c r="O212" s="31">
        <f t="shared" si="201"/>
      </c>
      <c r="P212" s="31">
        <f t="shared" si="201"/>
      </c>
      <c r="Q212" s="31">
        <f t="shared" si="201"/>
      </c>
    </row>
    <row r="213" hidden="1" ht="14.25" customHeight="true">
      <c r="B213" s="9" t="s">
        <v>187</v>
      </c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18"/>
      <c r="N213" s="31">
        <f>=$N$176/20*0.5</f>
      </c>
      <c r="O213" s="31">
        <f>=$N$176/20</f>
      </c>
      <c r="P213" s="31">
        <f>=$N$176/20</f>
      </c>
      <c r="Q213" s="31">
        <f>=$N$176/20</f>
      </c>
      <c r="R213" s="8"/>
      <c r="S213" s="8"/>
      <c r="T213" s="8"/>
      <c r="U213" s="8"/>
      <c r="V213" s="8"/>
      <c r="W213" s="8"/>
    </row>
    <row r="214" hidden="1" ht="14.25" customHeight="true">
      <c r="B214" s="9" t="s">
        <v>188</v>
      </c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18"/>
      <c r="N214" s="31">
        <f>=$N$177/10*0.5</f>
      </c>
      <c r="O214" s="31">
        <f>=$N$177/10</f>
      </c>
      <c r="P214" s="31">
        <f>=$N$177/10</f>
      </c>
      <c r="Q214" s="31">
        <f>=$N$177/10</f>
      </c>
      <c r="R214" s="8"/>
      <c r="S214" s="8"/>
      <c r="T214" s="8"/>
      <c r="U214" s="8"/>
      <c r="V214" s="8"/>
      <c r="W214" s="8"/>
    </row>
    <row r="215" hidden="1" ht="14.25" customHeight="true">
      <c r="B215" s="9" t="s">
        <v>189</v>
      </c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18"/>
      <c r="N215" s="31">
        <f>=$N$178/5*0.5</f>
      </c>
      <c r="O215" s="31">
        <f>=$N$178/5</f>
      </c>
      <c r="P215" s="31">
        <f>=$N$178/5</f>
      </c>
      <c r="Q215" s="31">
        <f>=$N$178/5</f>
      </c>
      <c r="R215" s="8"/>
      <c r="S215" s="8"/>
      <c r="T215" s="8"/>
      <c r="U215" s="8"/>
      <c r="V215" s="8"/>
      <c r="W215" s="8"/>
    </row>
    <row r="216" hidden="1" ht="14.25" customHeight="true">
      <c r="B216" s="9" t="s">
        <v>190</v>
      </c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18"/>
      <c r="N216" s="31">
        <f>=$N$179/3*0.5</f>
      </c>
      <c r="O216" s="31">
        <f>=$N$179/3</f>
      </c>
      <c r="P216" s="31">
        <f>=$N$179/3</f>
      </c>
      <c r="Q216" s="31">
        <f>=$N$179/3*0.5</f>
      </c>
      <c r="R216" s="8"/>
      <c r="S216" s="8"/>
      <c r="T216" s="8"/>
      <c r="U216" s="8"/>
      <c r="V216" s="8"/>
      <c r="W216" s="8"/>
    </row>
    <row r="217" hidden="1" ht="14.25" customHeight="true">
      <c r="B217" s="8">
        <f>=CONCATENATE("Depreciación Inversión Nueva Año ",'Supuestos Proyeccion'!$O$5)</f>
      </c>
      <c r="C217" s="31"/>
      <c r="D217" s="31"/>
      <c r="E217" s="31"/>
      <c r="F217" s="31"/>
      <c r="G217" s="31"/>
      <c r="H217" s="31">
        <f ref="H217:Q217" t="shared" si="109">=H218+H219+H220+H221</f>
      </c>
      <c r="I217" s="31">
        <f t="shared" si="109"/>
      </c>
      <c r="J217" s="31">
        <f t="shared" si="109"/>
      </c>
      <c r="K217" s="31">
        <f t="shared" si="109"/>
      </c>
      <c r="L217" s="31">
        <f t="shared" si="109"/>
      </c>
      <c r="M217" s="31">
        <f t="shared" si="109"/>
      </c>
      <c r="N217" s="31">
        <f t="shared" si="109"/>
      </c>
      <c r="O217" s="31">
        <f t="shared" si="109"/>
      </c>
      <c r="P217" s="31">
        <f t="shared" si="109"/>
      </c>
      <c r="Q217" s="31">
        <f t="shared" si="109"/>
      </c>
    </row>
    <row r="218" hidden="1" ht="14.25" customHeight="true">
      <c r="B218" s="9" t="s">
        <v>187</v>
      </c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18"/>
      <c r="O218" s="31">
        <f>=$O$176/20*0.5</f>
      </c>
      <c r="P218" s="31">
        <f>=$O$176/20</f>
      </c>
      <c r="Q218" s="31">
        <f>=$O$176/20</f>
      </c>
      <c r="R218" s="8"/>
      <c r="S218" s="8"/>
      <c r="T218" s="8"/>
      <c r="U218" s="8"/>
      <c r="V218" s="8"/>
      <c r="W218" s="8"/>
      <c r="X218" s="8"/>
    </row>
    <row r="219" hidden="1" ht="14.25" customHeight="true">
      <c r="B219" s="9" t="s">
        <v>188</v>
      </c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18"/>
      <c r="O219" s="31">
        <f>=$O$177/10*0.5</f>
      </c>
      <c r="P219" s="31">
        <f>=$O$177/10</f>
      </c>
      <c r="Q219" s="31">
        <f>=$O$177/10</f>
      </c>
      <c r="R219" s="8"/>
      <c r="S219" s="8"/>
      <c r="T219" s="8"/>
      <c r="U219" s="8"/>
      <c r="V219" s="8"/>
      <c r="W219" s="8"/>
      <c r="X219" s="8"/>
    </row>
    <row r="220" hidden="1" ht="14.25" customHeight="true">
      <c r="B220" s="9" t="s">
        <v>189</v>
      </c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18"/>
      <c r="O220" s="31">
        <f>=$O$178/5*0.5</f>
      </c>
      <c r="P220" s="31">
        <f>=$O$178/5</f>
      </c>
      <c r="Q220" s="31">
        <f>=$O$178/5</f>
      </c>
      <c r="R220" s="8"/>
      <c r="S220" s="8"/>
      <c r="T220" s="8"/>
      <c r="U220" s="8"/>
      <c r="V220" s="8"/>
      <c r="W220" s="8"/>
      <c r="X220" s="8"/>
    </row>
    <row r="221" hidden="1" ht="14.25" customHeight="true">
      <c r="B221" s="9" t="s">
        <v>190</v>
      </c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18"/>
      <c r="O221" s="31">
        <f>=$O$179/3*0.5</f>
      </c>
      <c r="P221" s="31">
        <f>=$O$179/3</f>
      </c>
      <c r="Q221" s="31">
        <f>=$O$179/3</f>
      </c>
      <c r="R221" s="8"/>
      <c r="S221" s="8"/>
      <c r="T221" s="8"/>
      <c r="U221" s="8"/>
      <c r="V221" s="8"/>
      <c r="W221" s="8"/>
      <c r="X221" s="8"/>
    </row>
    <row r="222" hidden="1" ht="14.25" customHeight="true">
      <c r="B222" s="8">
        <f>=CONCATENATE("Depreciación Inversión Nueva Año ",'Supuestos Proyeccion'!$P$5)</f>
      </c>
      <c r="C222" s="31"/>
      <c r="D222" s="31"/>
      <c r="E222" s="31"/>
      <c r="F222" s="31"/>
      <c r="G222" s="31"/>
      <c r="H222" s="31">
        <f ref="H222:Q222" t="shared" si="136">=H223+H224+H225+H226</f>
      </c>
      <c r="I222" s="31">
        <f t="shared" si="136"/>
      </c>
      <c r="J222" s="31">
        <f t="shared" si="136"/>
      </c>
      <c r="K222" s="31">
        <f t="shared" si="136"/>
      </c>
      <c r="L222" s="31">
        <f t="shared" si="136"/>
      </c>
      <c r="M222" s="31">
        <f t="shared" si="136"/>
      </c>
      <c r="N222" s="31">
        <f t="shared" si="136"/>
      </c>
      <c r="O222" s="31">
        <f t="shared" si="136"/>
      </c>
      <c r="P222" s="31">
        <f t="shared" si="136"/>
      </c>
      <c r="Q222" s="31">
        <f t="shared" si="136"/>
      </c>
    </row>
    <row r="223" hidden="1" ht="14.25" customHeight="true">
      <c r="B223" s="9" t="s">
        <v>187</v>
      </c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18"/>
      <c r="O223" s="18"/>
      <c r="P223" s="31">
        <f>=$P$176/20*0.5</f>
      </c>
      <c r="Q223" s="31">
        <f>=$P$176/20</f>
      </c>
      <c r="R223" s="8"/>
      <c r="S223" s="8"/>
      <c r="T223" s="8"/>
      <c r="U223" s="8"/>
      <c r="V223" s="8"/>
      <c r="W223" s="8"/>
      <c r="X223" s="8"/>
      <c r="Y223" s="8"/>
    </row>
    <row r="224" hidden="1" ht="14.25" customHeight="true">
      <c r="B224" s="9" t="s">
        <v>188</v>
      </c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18"/>
      <c r="O224" s="18"/>
      <c r="P224" s="31">
        <f>=$P$177/10*0.5</f>
      </c>
      <c r="Q224" s="31">
        <f>=$P$177/10</f>
      </c>
      <c r="R224" s="8"/>
      <c r="S224" s="8"/>
      <c r="T224" s="8"/>
      <c r="U224" s="8"/>
      <c r="V224" s="8"/>
      <c r="W224" s="8"/>
      <c r="X224" s="8"/>
      <c r="Y224" s="8"/>
    </row>
    <row r="225" hidden="1" ht="14.25" customHeight="true">
      <c r="B225" s="9" t="s">
        <v>189</v>
      </c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18"/>
      <c r="O225" s="18"/>
      <c r="P225" s="31">
        <f>=$P$178/5*0.5</f>
      </c>
      <c r="Q225" s="31">
        <f>=$P$178/5</f>
      </c>
      <c r="R225" s="8"/>
      <c r="S225" s="8"/>
      <c r="T225" s="8"/>
      <c r="U225" s="8"/>
      <c r="V225" s="8"/>
      <c r="W225" s="8"/>
      <c r="X225" s="8"/>
      <c r="Y225" s="8"/>
    </row>
    <row r="226" hidden="1" ht="14.25" customHeight="true">
      <c r="B226" s="9" t="s">
        <v>190</v>
      </c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18"/>
      <c r="O226" s="18"/>
      <c r="P226" s="31">
        <f>=$P$179/3*0.5</f>
      </c>
      <c r="Q226" s="31">
        <f>=$P$179/3</f>
      </c>
      <c r="R226" s="8"/>
      <c r="S226" s="8"/>
      <c r="T226" s="8"/>
      <c r="U226" s="8"/>
      <c r="V226" s="8"/>
      <c r="W226" s="8"/>
      <c r="X226" s="8"/>
      <c r="Y226" s="8"/>
    </row>
    <row r="227" hidden="1" ht="14.25" customHeight="true">
      <c r="B227" s="8">
        <f>=CONCATENATE("Depreciación Inversión Nueva Año ",'Supuestos Proyeccion'!$Q$5)</f>
      </c>
      <c r="C227" s="31"/>
      <c r="D227" s="31"/>
      <c r="E227" s="31"/>
      <c r="F227" s="31"/>
      <c r="G227" s="31"/>
      <c r="H227" s="31">
        <f ref="H227:Q227" t="shared" si="131">=H228+H229+H230+H231</f>
      </c>
      <c r="I227" s="31">
        <f t="shared" si="131"/>
      </c>
      <c r="J227" s="31">
        <f t="shared" si="131"/>
      </c>
      <c r="K227" s="31">
        <f t="shared" si="131"/>
      </c>
      <c r="L227" s="31">
        <f t="shared" si="131"/>
      </c>
      <c r="M227" s="31">
        <f t="shared" si="131"/>
      </c>
      <c r="N227" s="31">
        <f t="shared" si="131"/>
      </c>
      <c r="O227" s="31">
        <f t="shared" si="131"/>
      </c>
      <c r="P227" s="31">
        <f t="shared" si="131"/>
      </c>
      <c r="Q227" s="31">
        <f t="shared" si="131"/>
      </c>
    </row>
    <row r="228" hidden="1" ht="14.25" customHeight="true">
      <c r="A228" s="18"/>
      <c r="B228" s="9" t="s">
        <v>187</v>
      </c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2"/>
      <c r="O228" s="22"/>
      <c r="P228" s="22"/>
      <c r="Q228" s="31">
        <f>=$Q$176/20*0.5</f>
      </c>
      <c r="R228" s="8"/>
      <c r="S228" s="8"/>
      <c r="T228" s="8"/>
      <c r="U228" s="8"/>
      <c r="V228" s="8"/>
      <c r="W228" s="8"/>
      <c r="X228" s="8"/>
      <c r="Y228" s="8"/>
      <c r="Z228" s="8"/>
    </row>
    <row r="229" hidden="1" ht="14.25" customHeight="true">
      <c r="A229" s="18"/>
      <c r="B229" s="9" t="s">
        <v>188</v>
      </c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2"/>
      <c r="O229" s="22"/>
      <c r="P229" s="22"/>
      <c r="Q229" s="31">
        <f>=$Q$177/10*0.5</f>
      </c>
      <c r="R229" s="8"/>
      <c r="S229" s="8"/>
      <c r="T229" s="8"/>
      <c r="U229" s="8"/>
      <c r="V229" s="8"/>
      <c r="W229" s="8"/>
      <c r="X229" s="8"/>
      <c r="Y229" s="8"/>
      <c r="Z229" s="8"/>
    </row>
    <row r="230" hidden="1" ht="14.25" customHeight="true">
      <c r="A230" s="18"/>
      <c r="B230" s="9" t="s">
        <v>189</v>
      </c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2"/>
      <c r="O230" s="22"/>
      <c r="P230" s="22"/>
      <c r="Q230" s="31">
        <f>=$Q$178/5*0.5</f>
      </c>
      <c r="R230" s="8"/>
      <c r="S230" s="8"/>
      <c r="T230" s="8"/>
      <c r="U230" s="8"/>
      <c r="V230" s="8"/>
      <c r="W230" s="21"/>
      <c r="X230" s="21"/>
      <c r="Y230" s="21"/>
      <c r="Z230" s="21"/>
    </row>
    <row r="231" hidden="1" ht="14.25" customHeight="true">
      <c r="A231" s="18"/>
      <c r="B231" s="9" t="s">
        <v>190</v>
      </c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2"/>
      <c r="O231" s="22"/>
      <c r="P231" s="22"/>
      <c r="Q231" s="31">
        <f>=$Q$179/3*0.5</f>
      </c>
      <c r="R231" s="8"/>
      <c r="S231" s="8"/>
      <c r="T231" s="8"/>
      <c r="U231" s="21"/>
      <c r="V231" s="21"/>
      <c r="W231" s="21"/>
      <c r="X231" s="21"/>
      <c r="Y231" s="21"/>
      <c r="Z231" s="21"/>
    </row>
    <row r="232" ht="14.25" customHeight="true">
      <c r="A232" s="18">
        <f>=A162+1</f>
      </c>
      <c r="B232" s="74" t="s">
        <v>50</v>
      </c>
      <c r="C232" s="75">
        <f>=ESF!C22</f>
      </c>
      <c r="D232" s="75">
        <f>=ESF!D24</f>
      </c>
      <c r="E232" s="75">
        <f>=ESF!E24</f>
      </c>
      <c r="F232" s="75">
        <f>=ESF!F24</f>
      </c>
      <c r="G232" s="75">
        <f>=ESF!G24</f>
      </c>
      <c r="H232" s="75">
        <f ref="H232:Q232" t="shared" si="169">=H234+H237</f>
      </c>
      <c r="I232" s="75">
        <f t="shared" si="169"/>
      </c>
      <c r="J232" s="75">
        <f t="shared" si="169"/>
      </c>
      <c r="K232" s="75">
        <f t="shared" si="169"/>
      </c>
      <c r="L232" s="75">
        <f t="shared" si="169"/>
      </c>
      <c r="M232" s="75">
        <f t="shared" si="169"/>
      </c>
      <c r="N232" s="75">
        <f t="shared" si="169"/>
      </c>
      <c r="O232" s="75">
        <f t="shared" si="169"/>
      </c>
      <c r="P232" s="75">
        <f t="shared" si="169"/>
      </c>
      <c r="Q232" s="75">
        <f t="shared" si="169"/>
      </c>
      <c r="S232" s="76"/>
    </row>
    <row r="233" ht="14.25" customHeight="true">
      <c r="B233" s="9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S233" s="76"/>
    </row>
    <row r="234" ht="14.25" customHeight="true">
      <c r="A234" s="18"/>
      <c r="B234" s="9" t="s">
        <v>191</v>
      </c>
      <c r="C234" s="31">
        <f>=ESF!C22</f>
      </c>
      <c r="D234" s="31">
        <f>=ESF!D22</f>
      </c>
      <c r="E234" s="31">
        <f>=ESF!E22</f>
      </c>
      <c r="F234" s="31">
        <f>=ESF!F22</f>
      </c>
      <c r="G234" s="31">
        <f>=ESF!G22</f>
      </c>
      <c r="H234" s="31">
        <f ref="H234:Q234" t="shared" si="197">=G234+H235</f>
      </c>
      <c r="I234" s="31">
        <f t="shared" si="197"/>
      </c>
      <c r="J234" s="31">
        <f t="shared" si="197"/>
      </c>
      <c r="K234" s="31">
        <f t="shared" si="197"/>
      </c>
      <c r="L234" s="31">
        <f t="shared" si="197"/>
      </c>
      <c r="M234" s="31">
        <f t="shared" si="197"/>
      </c>
      <c r="N234" s="31">
        <f t="shared" si="197"/>
      </c>
      <c r="O234" s="31">
        <f t="shared" si="197"/>
      </c>
      <c r="P234" s="31">
        <f t="shared" si="197"/>
      </c>
      <c r="Q234" s="31">
        <f t="shared" si="197"/>
      </c>
    </row>
    <row r="235" ht="14.25" customHeight="true">
      <c r="A235" s="18"/>
      <c r="B235" s="9" t="s">
        <v>192</v>
      </c>
      <c r="C235" s="31"/>
      <c r="D235" s="31"/>
      <c r="E235" s="31"/>
      <c r="F235" s="31"/>
      <c r="G235" s="31"/>
      <c r="H235" s="30">
        <f>=G234*'Supuestos Proyeccion'!H$9*0</f>
      </c>
      <c r="I235" s="30">
        <f>=H234*'Supuestos Proyeccion'!I$9*0</f>
      </c>
      <c r="J235" s="30">
        <f>=I234*'Supuestos Proyeccion'!J$9*0</f>
      </c>
      <c r="K235" s="30">
        <f>=J234*'Supuestos Proyeccion'!K$9*0</f>
      </c>
      <c r="L235" s="30">
        <f>=K234*'Supuestos Proyeccion'!L$9*0</f>
      </c>
      <c r="M235" s="30">
        <f>=L234*'Supuestos Proyeccion'!M$9*0</f>
      </c>
      <c r="N235" s="30">
        <f>=M234*'Supuestos Proyeccion'!N$9*0</f>
      </c>
      <c r="O235" s="30">
        <f>=N234*'Supuestos Proyeccion'!O$9*0</f>
      </c>
      <c r="P235" s="30">
        <f>=O234*'Supuestos Proyeccion'!P$9*0</f>
      </c>
      <c r="Q235" s="30">
        <f>=P234*'Supuestos Proyeccion'!Q$9*0</f>
      </c>
      <c r="S235" s="11" t="s">
        <v>168</v>
      </c>
    </row>
    <row r="236" ht="14.25" customHeight="true">
      <c r="A236" s="18"/>
      <c r="B236" s="9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</row>
    <row r="237" ht="14.25" customHeight="true">
      <c r="A237" s="18"/>
      <c r="B237" s="9" t="s">
        <v>193</v>
      </c>
      <c r="C237" s="31"/>
      <c r="D237" s="31"/>
      <c r="E237" s="31"/>
      <c r="F237" s="31"/>
      <c r="G237" s="30">
        <v>0</v>
      </c>
      <c r="H237" s="31">
        <f ref="H237:Q237" t="shared" si="128">=G237+H238+H239</f>
      </c>
      <c r="I237" s="31">
        <f t="shared" si="128"/>
      </c>
      <c r="J237" s="31">
        <f t="shared" si="128"/>
      </c>
      <c r="K237" s="31">
        <f t="shared" si="128"/>
      </c>
      <c r="L237" s="31">
        <f t="shared" si="128"/>
      </c>
      <c r="M237" s="31">
        <f t="shared" si="128"/>
      </c>
      <c r="N237" s="31">
        <f t="shared" si="128"/>
      </c>
      <c r="O237" s="31">
        <f t="shared" si="128"/>
      </c>
      <c r="P237" s="31">
        <f t="shared" si="128"/>
      </c>
      <c r="Q237" s="31">
        <f t="shared" si="128"/>
      </c>
    </row>
    <row r="238" ht="14.25" customHeight="true">
      <c r="A238" s="18"/>
      <c r="B238" s="9" t="s">
        <v>194</v>
      </c>
      <c r="C238" s="31"/>
      <c r="D238" s="31"/>
      <c r="E238" s="31"/>
      <c r="F238" s="31"/>
      <c r="G238" s="31"/>
      <c r="H238" s="30">
        <f>=G237*'Supuestos Proyeccion'!H$9*0</f>
      </c>
      <c r="I238" s="30">
        <f>=H237*'Supuestos Proyeccion'!I$9*0</f>
      </c>
      <c r="J238" s="30">
        <f>=I237*'Supuestos Proyeccion'!J$9*0</f>
      </c>
      <c r="K238" s="30">
        <f>=J237*'Supuestos Proyeccion'!K$9*0</f>
      </c>
      <c r="L238" s="30">
        <f>=K237*'Supuestos Proyeccion'!L$9*0</f>
      </c>
      <c r="M238" s="30">
        <f>=L237*'Supuestos Proyeccion'!M$9*0</f>
      </c>
      <c r="N238" s="30">
        <f>=M237*'Supuestos Proyeccion'!N$9*0</f>
      </c>
      <c r="O238" s="30">
        <f>=N237*'Supuestos Proyeccion'!O$9*0</f>
      </c>
      <c r="P238" s="30">
        <f>=O237*'Supuestos Proyeccion'!P$9*0</f>
      </c>
      <c r="Q238" s="30">
        <f>=P237*'Supuestos Proyeccion'!Q$9*0</f>
      </c>
      <c r="S238" s="11" t="s">
        <v>168</v>
      </c>
    </row>
    <row r="239" ht="14.25" customHeight="true">
      <c r="B239" s="9" t="s">
        <v>195</v>
      </c>
      <c r="C239" s="31"/>
      <c r="D239" s="31"/>
      <c r="E239" s="31"/>
      <c r="F239" s="31"/>
      <c r="G239" s="31"/>
      <c r="H239" s="31">
        <f>=IF($T$239=1,H240,IF($T$239=2,H241*ERI!H7,H242*ERI!H15))</f>
      </c>
      <c r="I239" s="31">
        <f>=IF($T$239=1,I240,IF($T$239=2,I241*ERI!I7,I242*ERI!I15))</f>
      </c>
      <c r="J239" s="31">
        <f>=IF($T$239=1,J240,IF($T$239=2,J241*ERI!J7,J242*ERI!J15))</f>
      </c>
      <c r="K239" s="31">
        <f>=IF($T$239=1,K240,IF($T$239=2,K241*ERI!K7,K242*ERI!K15))</f>
      </c>
      <c r="L239" s="31">
        <f>=IF($T$239=1,L240,IF($T$239=2,L241*ERI!L7,L242*ERI!L15))</f>
      </c>
      <c r="M239" s="31">
        <f>=IF($T$239=1,M240,IF($T$239=2,M241*ERI!M7,M242*ERI!M15))</f>
      </c>
      <c r="N239" s="31">
        <f>=IF($T$239=1,N240,IF($T$239=2,N241*ERI!N7,N242*ERI!N15))</f>
      </c>
      <c r="O239" s="31">
        <f>=IF($T$239=1,O240,IF($T$239=2,O241*ERI!O7,O242*ERI!O15))</f>
      </c>
      <c r="P239" s="31">
        <f>=IF($T$239=1,P240,IF($T$239=2,P241*ERI!P7,P242*ERI!P15))</f>
      </c>
      <c r="Q239" s="31">
        <f>=IF($T$239=1,Q240,IF($T$239=2,Q241*ERI!Q7,Q242*ERI!Q15))</f>
      </c>
      <c r="T239" s="81">
        <v>1</v>
      </c>
    </row>
    <row r="240" ht="14.25" customHeight="true">
      <c r="B240" s="9" t="s">
        <v>196</v>
      </c>
      <c r="C240" s="31"/>
      <c r="D240" s="31"/>
      <c r="E240" s="31"/>
      <c r="F240" s="31"/>
      <c r="G240" s="31"/>
      <c r="H240" s="30">
        <v>0</v>
      </c>
      <c r="I240" s="30">
        <v>0</v>
      </c>
      <c r="J240" s="30">
        <v>0</v>
      </c>
      <c r="K240" s="30">
        <v>0</v>
      </c>
      <c r="L240" s="30">
        <v>0</v>
      </c>
      <c r="M240" s="30">
        <v>0</v>
      </c>
      <c r="N240" s="30">
        <v>0</v>
      </c>
      <c r="O240" s="30">
        <v>0</v>
      </c>
      <c r="P240" s="30">
        <v>0</v>
      </c>
      <c r="Q240" s="30">
        <v>0</v>
      </c>
      <c r="R240" s="18"/>
      <c r="S240" s="80"/>
    </row>
    <row r="241" ht="14.25" customHeight="true">
      <c r="B241" s="9" t="s">
        <v>197</v>
      </c>
      <c r="C241" s="31"/>
      <c r="D241" s="31"/>
      <c r="E241" s="31"/>
      <c r="F241" s="31"/>
      <c r="G241" s="31"/>
      <c r="H241" s="30">
        <v>0.01</v>
      </c>
      <c r="I241" s="30">
        <v>0.01</v>
      </c>
      <c r="J241" s="30">
        <v>0.01</v>
      </c>
      <c r="K241" s="30">
        <v>0.01</v>
      </c>
      <c r="L241" s="30">
        <v>0.01</v>
      </c>
      <c r="M241" s="30">
        <v>0.01</v>
      </c>
      <c r="N241" s="30">
        <v>0.01</v>
      </c>
      <c r="O241" s="30">
        <v>0.01</v>
      </c>
      <c r="P241" s="30">
        <v>0.01</v>
      </c>
      <c r="Q241" s="30">
        <v>0.01</v>
      </c>
      <c r="S241" s="76"/>
    </row>
    <row r="242" ht="14.25" customHeight="true">
      <c r="B242" s="9" t="s">
        <v>198</v>
      </c>
      <c r="C242" s="31"/>
      <c r="D242" s="31"/>
      <c r="E242" s="31"/>
      <c r="F242" s="31"/>
      <c r="G242" s="31"/>
      <c r="H242" s="30">
        <v>0.5</v>
      </c>
      <c r="I242" s="30">
        <v>0.5</v>
      </c>
      <c r="J242" s="30">
        <v>0.5</v>
      </c>
      <c r="K242" s="30">
        <v>0.5</v>
      </c>
      <c r="L242" s="30">
        <v>0.5</v>
      </c>
      <c r="M242" s="30">
        <v>0.5</v>
      </c>
      <c r="N242" s="30">
        <v>0.5</v>
      </c>
      <c r="O242" s="30">
        <v>0.5</v>
      </c>
      <c r="P242" s="30">
        <v>0.5</v>
      </c>
      <c r="Q242" s="30">
        <v>0.5</v>
      </c>
      <c r="S242" s="76"/>
    </row>
    <row r="243" ht="14.25" customHeight="true">
      <c r="B243" s="63"/>
      <c r="C243" s="54"/>
      <c r="D243" s="54"/>
      <c r="E243" s="54"/>
      <c r="F243" s="54"/>
      <c r="G243" s="54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S243" s="76"/>
    </row>
    <row r="244" ht="14.25" customHeight="true">
      <c r="A244" s="36"/>
      <c r="B244" s="37" t="s">
        <v>51</v>
      </c>
      <c r="C244" s="38">
        <f>=ESF!C23</f>
      </c>
      <c r="D244" s="38">
        <f>=ESF!D23</f>
      </c>
      <c r="E244" s="38">
        <f>=ESF!E23</f>
      </c>
      <c r="F244" s="38">
        <f>=ESF!F23</f>
      </c>
      <c r="G244" s="38">
        <f>=ESF!G23</f>
      </c>
      <c r="H244" s="38">
        <f ref="H244:Q244" t="shared" si="192">=H246+H253</f>
      </c>
      <c r="I244" s="38">
        <f t="shared" si="192"/>
      </c>
      <c r="J244" s="38">
        <f t="shared" si="192"/>
      </c>
      <c r="K244" s="38">
        <f t="shared" si="192"/>
      </c>
      <c r="L244" s="38">
        <f t="shared" si="192"/>
      </c>
      <c r="M244" s="38">
        <f t="shared" si="192"/>
      </c>
      <c r="N244" s="38">
        <f t="shared" si="192"/>
      </c>
      <c r="O244" s="38">
        <f t="shared" si="192"/>
      </c>
      <c r="P244" s="38">
        <f t="shared" si="192"/>
      </c>
      <c r="Q244" s="38">
        <f t="shared" si="192"/>
      </c>
      <c r="S244" s="64"/>
    </row>
    <row r="245" ht="14.25" customHeight="true">
      <c r="A245" s="36"/>
      <c r="B245" s="37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S245" s="64"/>
    </row>
    <row r="246" ht="14.25" customHeight="true">
      <c r="A246" s="36"/>
      <c r="B246" s="37" t="s">
        <v>199</v>
      </c>
      <c r="C246" s="38">
        <f>=ESF!C23</f>
      </c>
      <c r="D246" s="38">
        <f>=ESF!D23</f>
      </c>
      <c r="E246" s="38">
        <f>=ESF!E23</f>
      </c>
      <c r="F246" s="38">
        <f>=ESF!F23</f>
      </c>
      <c r="G246" s="38">
        <f>=ESF!G23</f>
      </c>
      <c r="H246" s="38">
        <f ref="H246:Q246" t="shared" si="134">=G246+H247+H248</f>
      </c>
      <c r="I246" s="38">
        <f t="shared" si="134"/>
      </c>
      <c r="J246" s="38">
        <f t="shared" si="134"/>
      </c>
      <c r="K246" s="38">
        <f t="shared" si="134"/>
      </c>
      <c r="L246" s="38">
        <f t="shared" si="134"/>
      </c>
      <c r="M246" s="38">
        <f t="shared" si="134"/>
      </c>
      <c r="N246" s="38">
        <f t="shared" si="134"/>
      </c>
      <c r="O246" s="38">
        <f t="shared" si="134"/>
      </c>
      <c r="P246" s="38">
        <f t="shared" si="134"/>
      </c>
      <c r="Q246" s="38">
        <f t="shared" si="134"/>
      </c>
    </row>
    <row r="247" ht="14.25" customHeight="true">
      <c r="A247" s="36"/>
      <c r="B247" s="37" t="s">
        <v>200</v>
      </c>
      <c r="C247" s="38"/>
      <c r="D247" s="38"/>
      <c r="E247" s="38"/>
      <c r="F247" s="38"/>
      <c r="G247" s="38"/>
      <c r="H247" s="30">
        <f>=G246*'Supuestos Proyeccion'!H$9*0</f>
      </c>
      <c r="I247" s="30">
        <f>=H246*'Supuestos Proyeccion'!I$9*0</f>
      </c>
      <c r="J247" s="30">
        <f>=I246*'Supuestos Proyeccion'!J$9*0</f>
      </c>
      <c r="K247" s="30">
        <f>=J246*'Supuestos Proyeccion'!K$9*0</f>
      </c>
      <c r="L247" s="30">
        <f>=K246*'Supuestos Proyeccion'!L$9*0</f>
      </c>
      <c r="M247" s="30">
        <f>=L246*'Supuestos Proyeccion'!M$9*0</f>
      </c>
      <c r="N247" s="30">
        <f>=M246*'Supuestos Proyeccion'!N$9*0</f>
      </c>
      <c r="O247" s="30">
        <f>=N246*'Supuestos Proyeccion'!O$9*0</f>
      </c>
      <c r="P247" s="30">
        <f>=O246*'Supuestos Proyeccion'!P$9*0</f>
      </c>
      <c r="Q247" s="30">
        <f>=P246*'Supuestos Proyeccion'!Q$9*0</f>
      </c>
      <c r="S247" s="11" t="s">
        <v>168</v>
      </c>
    </row>
    <row r="248" ht="14.25" customHeight="true">
      <c r="A248" s="36"/>
      <c r="B248" s="37" t="s">
        <v>201</v>
      </c>
      <c r="C248" s="38">
        <f>=ERI!C15</f>
      </c>
      <c r="D248" s="38">
        <f>=ERI!D15</f>
      </c>
      <c r="E248" s="38">
        <f>=ERI!E15</f>
      </c>
      <c r="F248" s="38">
        <f>=ERI!F15</f>
      </c>
      <c r="G248" s="38">
        <f>=ERI!G15</f>
      </c>
      <c r="H248" s="38">
        <f ref="H248:Q248" t="shared" si="205">=$G$234*H249</f>
      </c>
      <c r="I248" s="38">
        <f t="shared" si="205"/>
      </c>
      <c r="J248" s="38">
        <f t="shared" si="205"/>
      </c>
      <c r="K248" s="38">
        <f t="shared" si="205"/>
      </c>
      <c r="L248" s="38">
        <f t="shared" si="205"/>
      </c>
      <c r="M248" s="38">
        <f t="shared" si="205"/>
      </c>
      <c r="N248" s="38">
        <f t="shared" si="205"/>
      </c>
      <c r="O248" s="38">
        <f t="shared" si="205"/>
      </c>
      <c r="P248" s="38">
        <f t="shared" si="205"/>
      </c>
      <c r="Q248" s="38">
        <f t="shared" si="205"/>
      </c>
    </row>
    <row r="249" ht="14.25" customHeight="true">
      <c r="A249" s="36"/>
      <c r="B249" s="37">
        <f>=CONCATENATE("% Amortización del Período/Saldo ",G73)</f>
      </c>
      <c r="C249" s="38">
        <f>=C248/C234</f>
      </c>
      <c r="D249" s="38">
        <f>=D248/D234</f>
      </c>
      <c r="E249" s="38">
        <f>=E248/E234</f>
      </c>
      <c r="F249" s="38">
        <f>=F248/F234</f>
      </c>
      <c r="G249" s="38">
        <f>=G248/G234</f>
      </c>
      <c r="H249" s="69">
        <v>0.08</v>
      </c>
      <c r="I249" s="69">
        <v>0.08</v>
      </c>
      <c r="J249" s="69">
        <v>0.08</v>
      </c>
      <c r="K249" s="69">
        <v>0.08</v>
      </c>
      <c r="L249" s="69">
        <v>0.08</v>
      </c>
      <c r="M249" s="69">
        <v>0.08</v>
      </c>
      <c r="N249" s="69">
        <v>0.08</v>
      </c>
      <c r="O249" s="69">
        <v>0.08</v>
      </c>
      <c r="P249" s="69">
        <v>0.08</v>
      </c>
      <c r="Q249" s="69">
        <v>0.08</v>
      </c>
    </row>
    <row r="250" ht="14.25" customHeight="true">
      <c r="A250" s="36"/>
      <c r="B250" s="37" t="s">
        <v>202</v>
      </c>
      <c r="C250" s="38">
        <f ref="C250:Q250" t="shared" si="85">=C246/C234</f>
      </c>
      <c r="D250" s="38">
        <f t="shared" si="85"/>
      </c>
      <c r="E250" s="38">
        <f t="shared" si="85"/>
      </c>
      <c r="F250" s="38">
        <f t="shared" si="85"/>
      </c>
      <c r="G250" s="38">
        <f t="shared" si="85"/>
      </c>
      <c r="H250" s="38">
        <f t="shared" si="85"/>
      </c>
      <c r="I250" s="38">
        <f t="shared" si="85"/>
      </c>
      <c r="J250" s="38">
        <f t="shared" si="85"/>
      </c>
      <c r="K250" s="38">
        <f t="shared" si="85"/>
      </c>
      <c r="L250" s="38">
        <f t="shared" si="85"/>
      </c>
      <c r="M250" s="38">
        <f t="shared" si="85"/>
      </c>
      <c r="N250" s="38">
        <f t="shared" si="85"/>
      </c>
      <c r="O250" s="38">
        <f t="shared" si="85"/>
      </c>
      <c r="P250" s="38">
        <f t="shared" si="85"/>
      </c>
      <c r="Q250" s="38">
        <f t="shared" si="85"/>
      </c>
    </row>
    <row r="251" ht="14.25" customHeight="true">
      <c r="A251" s="85"/>
      <c r="B251" s="86" t="s">
        <v>80</v>
      </c>
      <c r="C251" s="85"/>
      <c r="D251" s="85"/>
      <c r="E251" s="85"/>
      <c r="F251" s="85"/>
      <c r="G251" s="85"/>
      <c r="H251" s="85">
        <f ref="H251:Q251" t="shared" si="191">=IF(H250&lt;100%,"ok","sobreamortizado")</f>
      </c>
      <c r="I251" s="85">
        <f t="shared" si="191"/>
      </c>
      <c r="J251" s="85">
        <f t="shared" si="191"/>
      </c>
      <c r="K251" s="85">
        <f t="shared" si="191"/>
      </c>
      <c r="L251" s="85">
        <f t="shared" si="191"/>
      </c>
      <c r="M251" s="85">
        <f t="shared" si="191"/>
      </c>
      <c r="N251" s="85">
        <f t="shared" si="191"/>
      </c>
      <c r="O251" s="85">
        <f t="shared" si="191"/>
      </c>
      <c r="P251" s="85">
        <f t="shared" si="191"/>
      </c>
      <c r="Q251" s="85">
        <f t="shared" si="191"/>
      </c>
      <c r="R251" s="87"/>
    </row>
    <row r="252" ht="14.25" customHeight="true">
      <c r="A252" s="85"/>
      <c r="B252" s="86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7"/>
    </row>
    <row r="253" ht="14.25" customHeight="true">
      <c r="A253" s="36"/>
      <c r="B253" s="37" t="s">
        <v>203</v>
      </c>
      <c r="C253" s="65"/>
      <c r="D253" s="65"/>
      <c r="E253" s="65"/>
      <c r="F253" s="65"/>
      <c r="G253" s="38">
        <v>0</v>
      </c>
      <c r="H253" s="38">
        <f ref="H253:Q253" t="shared" si="164">=G253+H254+H255</f>
      </c>
      <c r="I253" s="38">
        <f t="shared" si="164"/>
      </c>
      <c r="J253" s="38">
        <f t="shared" si="164"/>
      </c>
      <c r="K253" s="38">
        <f t="shared" si="164"/>
      </c>
      <c r="L253" s="38">
        <f t="shared" si="164"/>
      </c>
      <c r="M253" s="38">
        <f t="shared" si="164"/>
      </c>
      <c r="N253" s="38">
        <f t="shared" si="164"/>
      </c>
      <c r="O253" s="38">
        <f t="shared" si="164"/>
      </c>
      <c r="P253" s="38">
        <f t="shared" si="164"/>
      </c>
      <c r="Q253" s="38">
        <f t="shared" si="164"/>
      </c>
    </row>
    <row r="254" ht="14.25" customHeight="true">
      <c r="A254" s="36"/>
      <c r="B254" s="37" t="s">
        <v>204</v>
      </c>
      <c r="C254" s="38"/>
      <c r="D254" s="38"/>
      <c r="E254" s="38"/>
      <c r="F254" s="38"/>
      <c r="G254" s="38"/>
      <c r="H254" s="30">
        <f>=G253*'Supuestos Proyeccion'!H$9*0</f>
      </c>
      <c r="I254" s="30">
        <f>=H253*'Supuestos Proyeccion'!I$9*0</f>
      </c>
      <c r="J254" s="30">
        <f>=I253*'Supuestos Proyeccion'!J$9*0</f>
      </c>
      <c r="K254" s="30">
        <f>=J253*'Supuestos Proyeccion'!K$9*0</f>
      </c>
      <c r="L254" s="30">
        <f>=K253*'Supuestos Proyeccion'!L$9*0</f>
      </c>
      <c r="M254" s="30">
        <f>=L253*'Supuestos Proyeccion'!M$9*0</f>
      </c>
      <c r="N254" s="30">
        <f>=M253*'Supuestos Proyeccion'!N$9*0</f>
      </c>
      <c r="O254" s="30">
        <f>=N253*'Supuestos Proyeccion'!O$9*0</f>
      </c>
      <c r="P254" s="30">
        <f>=O253*'Supuestos Proyeccion'!P$9*0</f>
      </c>
      <c r="Q254" s="30">
        <f>=P253*'Supuestos Proyeccion'!Q$9*0</f>
      </c>
      <c r="S254" s="11" t="s">
        <v>168</v>
      </c>
    </row>
    <row r="255" ht="14.25" customHeight="true">
      <c r="A255" s="36"/>
      <c r="B255" s="37" t="s">
        <v>205</v>
      </c>
      <c r="C255" s="38"/>
      <c r="D255" s="38"/>
      <c r="E255" s="38"/>
      <c r="F255" s="38"/>
      <c r="G255" s="38"/>
      <c r="H255" s="38">
        <f ref="H255:Q255" t="shared" si="102">=H264+H269+H274+H279+H284+H289+H294+H299+H304+H309</f>
      </c>
      <c r="I255" s="38">
        <f t="shared" si="102"/>
      </c>
      <c r="J255" s="38">
        <f t="shared" si="102"/>
      </c>
      <c r="K255" s="38">
        <f t="shared" si="102"/>
      </c>
      <c r="L255" s="38">
        <f t="shared" si="102"/>
      </c>
      <c r="M255" s="38">
        <f t="shared" si="102"/>
      </c>
      <c r="N255" s="38">
        <f t="shared" si="102"/>
      </c>
      <c r="O255" s="38">
        <f t="shared" si="102"/>
      </c>
      <c r="P255" s="38">
        <f t="shared" si="102"/>
      </c>
      <c r="Q255" s="38">
        <f t="shared" si="102"/>
      </c>
    </row>
    <row r="256" ht="14.25" customHeight="true">
      <c r="A256" s="36"/>
      <c r="B256" s="37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</row>
    <row r="257" ht="14.25" customHeight="true">
      <c r="A257" s="36"/>
      <c r="B257" s="37" t="s">
        <v>206</v>
      </c>
      <c r="C257" s="65"/>
      <c r="D257" s="65"/>
      <c r="E257" s="65"/>
      <c r="F257" s="65"/>
      <c r="G257" s="65"/>
      <c r="H257" s="38">
        <f ref="H257:Q257" t="shared" si="158">=H239</f>
      </c>
      <c r="I257" s="38">
        <f t="shared" si="158"/>
      </c>
      <c r="J257" s="38">
        <f t="shared" si="158"/>
      </c>
      <c r="K257" s="38">
        <f t="shared" si="158"/>
      </c>
      <c r="L257" s="38">
        <f t="shared" si="158"/>
      </c>
      <c r="M257" s="38">
        <f t="shared" si="158"/>
      </c>
      <c r="N257" s="38">
        <f t="shared" si="158"/>
      </c>
      <c r="O257" s="38">
        <f t="shared" si="158"/>
      </c>
      <c r="P257" s="38">
        <f t="shared" si="158"/>
      </c>
      <c r="Q257" s="38">
        <f t="shared" si="158"/>
      </c>
    </row>
    <row r="258" ht="14.25" customHeight="true">
      <c r="A258" s="36"/>
      <c r="B258" s="37" t="s">
        <v>207</v>
      </c>
      <c r="C258" s="65"/>
      <c r="D258" s="65"/>
      <c r="E258" s="65"/>
      <c r="F258" s="65"/>
      <c r="G258" s="65"/>
      <c r="H258" s="30">
        <f ref="H258:Q258" t="shared" si="182">=40%*H257</f>
      </c>
      <c r="I258" s="30">
        <f t="shared" si="182"/>
      </c>
      <c r="J258" s="30">
        <f t="shared" si="182"/>
      </c>
      <c r="K258" s="30">
        <f t="shared" si="182"/>
      </c>
      <c r="L258" s="30">
        <f t="shared" si="182"/>
      </c>
      <c r="M258" s="30">
        <f t="shared" si="182"/>
      </c>
      <c r="N258" s="30">
        <f t="shared" si="182"/>
      </c>
      <c r="O258" s="30">
        <f t="shared" si="182"/>
      </c>
      <c r="P258" s="30">
        <f t="shared" si="182"/>
      </c>
      <c r="Q258" s="30">
        <f t="shared" si="182"/>
      </c>
    </row>
    <row r="259" ht="14.25" customHeight="true">
      <c r="A259" s="36"/>
      <c r="B259" s="37" t="s">
        <v>208</v>
      </c>
      <c r="C259" s="65"/>
      <c r="D259" s="65"/>
      <c r="E259" s="65"/>
      <c r="F259" s="65"/>
      <c r="G259" s="65"/>
      <c r="H259" s="30">
        <f>=30%*H257</f>
      </c>
      <c r="I259" s="30">
        <f>=30%*I257</f>
      </c>
      <c r="J259" s="30">
        <f>=30%*J257</f>
      </c>
      <c r="K259" s="30">
        <f>=30%*K257</f>
      </c>
      <c r="L259" s="30">
        <f ref="L259:Q259" t="shared" si="114">=30%*L257</f>
      </c>
      <c r="M259" s="30">
        <f t="shared" si="114"/>
      </c>
      <c r="N259" s="30">
        <f t="shared" si="114"/>
      </c>
      <c r="O259" s="30">
        <f t="shared" si="114"/>
      </c>
      <c r="P259" s="30">
        <f t="shared" si="114"/>
      </c>
      <c r="Q259" s="30">
        <f t="shared" si="114"/>
      </c>
    </row>
    <row r="260" ht="14.25" customHeight="true">
      <c r="A260" s="36"/>
      <c r="B260" s="37" t="s">
        <v>209</v>
      </c>
      <c r="C260" s="65"/>
      <c r="D260" s="65"/>
      <c r="E260" s="65"/>
      <c r="F260" s="65"/>
      <c r="G260" s="65"/>
      <c r="H260" s="30">
        <f>=20%*H257</f>
      </c>
      <c r="I260" s="30">
        <f>=20%*I257</f>
      </c>
      <c r="J260" s="30">
        <f>=20%*J257</f>
      </c>
      <c r="K260" s="30">
        <f>=20%*K257</f>
      </c>
      <c r="L260" s="30">
        <f ref="L260:Q260" t="shared" si="213">=20%*L257</f>
      </c>
      <c r="M260" s="30">
        <f t="shared" si="213"/>
      </c>
      <c r="N260" s="30">
        <f t="shared" si="213"/>
      </c>
      <c r="O260" s="30">
        <f t="shared" si="213"/>
      </c>
      <c r="P260" s="30">
        <f t="shared" si="213"/>
      </c>
      <c r="Q260" s="30">
        <f t="shared" si="213"/>
      </c>
    </row>
    <row r="261" ht="14.25" customHeight="true">
      <c r="A261" s="36"/>
      <c r="B261" s="37" t="s">
        <v>210</v>
      </c>
      <c r="C261" s="65"/>
      <c r="D261" s="65"/>
      <c r="E261" s="65"/>
      <c r="F261" s="65"/>
      <c r="G261" s="65"/>
      <c r="H261" s="30">
        <f>=10%*H257</f>
      </c>
      <c r="I261" s="30">
        <f>=10%*I257</f>
      </c>
      <c r="J261" s="30">
        <f>=10%*J257</f>
      </c>
      <c r="K261" s="30">
        <f>=10%*K257</f>
      </c>
      <c r="L261" s="30">
        <f ref="L261:Q261" t="shared" si="120">=10%*L257</f>
      </c>
      <c r="M261" s="30">
        <f t="shared" si="120"/>
      </c>
      <c r="N261" s="30">
        <f t="shared" si="120"/>
      </c>
      <c r="O261" s="30">
        <f t="shared" si="120"/>
      </c>
      <c r="P261" s="30">
        <f t="shared" si="120"/>
      </c>
      <c r="Q261" s="30">
        <f t="shared" si="120"/>
      </c>
    </row>
    <row r="262" ht="14.25" customHeight="true">
      <c r="A262" s="85"/>
      <c r="B262" s="86" t="s">
        <v>80</v>
      </c>
      <c r="C262" s="88"/>
      <c r="D262" s="88"/>
      <c r="E262" s="88"/>
      <c r="F262" s="88"/>
      <c r="G262" s="88"/>
      <c r="H262" s="85">
        <f ref="H262:Q262" t="shared" si="82">=IF((H258+H259+H260+H261)=H257,"ok","error")</f>
      </c>
      <c r="I262" s="85">
        <f t="shared" si="82"/>
      </c>
      <c r="J262" s="85">
        <f t="shared" si="82"/>
      </c>
      <c r="K262" s="85">
        <f t="shared" si="82"/>
      </c>
      <c r="L262" s="85">
        <f t="shared" si="82"/>
      </c>
      <c r="M262" s="85">
        <f t="shared" si="82"/>
      </c>
      <c r="N262" s="85">
        <f t="shared" si="82"/>
      </c>
      <c r="O262" s="85">
        <f t="shared" si="82"/>
      </c>
      <c r="P262" s="85">
        <f t="shared" si="82"/>
      </c>
      <c r="Q262" s="85">
        <f t="shared" si="82"/>
      </c>
    </row>
    <row r="263" ht="14.25" customHeight="true">
      <c r="A263" s="85"/>
      <c r="B263" s="86"/>
      <c r="C263" s="88"/>
      <c r="D263" s="88"/>
      <c r="E263" s="88"/>
      <c r="F263" s="88"/>
      <c r="G263" s="88"/>
      <c r="H263" s="85"/>
      <c r="I263" s="85"/>
      <c r="J263" s="85"/>
      <c r="K263" s="85"/>
      <c r="L263" s="85"/>
      <c r="M263" s="85"/>
      <c r="N263" s="85"/>
      <c r="O263" s="85"/>
      <c r="P263" s="85"/>
      <c r="Q263" s="85"/>
    </row>
    <row r="264" hidden="1" ht="14.25" customHeight="true">
      <c r="A264" s="36"/>
      <c r="B264" s="89">
        <f>=CONCATENATE("Amortización Gasto o Cargo Diferido Nuevo Año ",'Supuestos Proyeccion'!$H$5)</f>
      </c>
      <c r="C264" s="38"/>
      <c r="D264" s="38"/>
      <c r="E264" s="38"/>
      <c r="F264" s="38"/>
      <c r="G264" s="38"/>
      <c r="H264" s="38">
        <f ref="H264:Q264" t="shared" si="231">=H265+H266+H267+H268</f>
      </c>
      <c r="I264" s="38">
        <f t="shared" si="231"/>
      </c>
      <c r="J264" s="38">
        <f t="shared" si="231"/>
      </c>
      <c r="K264" s="38">
        <f t="shared" si="231"/>
      </c>
      <c r="L264" s="38">
        <f t="shared" si="231"/>
      </c>
      <c r="M264" s="38">
        <f t="shared" si="231"/>
      </c>
      <c r="N264" s="38">
        <f t="shared" si="231"/>
      </c>
      <c r="O264" s="38">
        <f t="shared" si="231"/>
      </c>
      <c r="P264" s="38">
        <f t="shared" si="231"/>
      </c>
      <c r="Q264" s="38">
        <f t="shared" si="231"/>
      </c>
    </row>
    <row r="265" hidden="1" ht="14.25" customHeight="true">
      <c r="A265" s="36"/>
      <c r="B265" s="37" t="s">
        <v>211</v>
      </c>
      <c r="C265" s="38"/>
      <c r="D265" s="38"/>
      <c r="E265" s="38"/>
      <c r="F265" s="38"/>
      <c r="G265" s="38"/>
      <c r="H265" s="38">
        <f>=$H$258/20*0.5</f>
      </c>
      <c r="I265" s="38">
        <f ref="I265:Q265" t="shared" si="157">=$H$258/20</f>
      </c>
      <c r="J265" s="38">
        <f t="shared" si="157"/>
      </c>
      <c r="K265" s="38">
        <f t="shared" si="157"/>
      </c>
      <c r="L265" s="38">
        <f t="shared" si="157"/>
      </c>
      <c r="M265" s="38">
        <f t="shared" si="157"/>
      </c>
      <c r="N265" s="38">
        <f t="shared" si="157"/>
      </c>
      <c r="O265" s="38">
        <f t="shared" si="157"/>
      </c>
      <c r="P265" s="38">
        <f t="shared" si="157"/>
      </c>
      <c r="Q265" s="38">
        <f t="shared" si="157"/>
      </c>
    </row>
    <row r="266" hidden="1" ht="14.25" customHeight="true">
      <c r="A266" s="36"/>
      <c r="B266" s="37" t="s">
        <v>212</v>
      </c>
      <c r="C266" s="38"/>
      <c r="D266" s="38"/>
      <c r="E266" s="38"/>
      <c r="F266" s="38"/>
      <c r="G266" s="38"/>
      <c r="H266" s="38">
        <f>=$H$259/10*0.5</f>
      </c>
      <c r="I266" s="38">
        <f ref="I266:Q266" t="shared" si="230">=$H$259/10</f>
      </c>
      <c r="J266" s="38">
        <f t="shared" si="230"/>
      </c>
      <c r="K266" s="38">
        <f t="shared" si="230"/>
      </c>
      <c r="L266" s="38">
        <f t="shared" si="230"/>
      </c>
      <c r="M266" s="38">
        <f t="shared" si="230"/>
      </c>
      <c r="N266" s="38">
        <f t="shared" si="230"/>
      </c>
      <c r="O266" s="38">
        <f t="shared" si="230"/>
      </c>
      <c r="P266" s="38">
        <f t="shared" si="230"/>
      </c>
      <c r="Q266" s="38">
        <f t="shared" si="230"/>
      </c>
    </row>
    <row r="267" hidden="1" ht="14.25" customHeight="true">
      <c r="A267" s="36"/>
      <c r="B267" s="37" t="s">
        <v>213</v>
      </c>
      <c r="C267" s="38"/>
      <c r="D267" s="38"/>
      <c r="E267" s="38"/>
      <c r="F267" s="38"/>
      <c r="G267" s="38"/>
      <c r="H267" s="38">
        <f>=$H$260/5*0.5</f>
      </c>
      <c r="I267" s="38">
        <f>=$H$260/5</f>
      </c>
      <c r="J267" s="38">
        <f>=$H$260/5</f>
      </c>
      <c r="K267" s="38">
        <f>=$H$260/5</f>
      </c>
      <c r="L267" s="38">
        <f>=$H$260/5</f>
      </c>
      <c r="M267" s="38">
        <f>=$H$260/5*0.5</f>
      </c>
      <c r="N267" s="38"/>
      <c r="O267" s="38"/>
      <c r="P267" s="38"/>
      <c r="Q267" s="38"/>
    </row>
    <row r="268" hidden="1" ht="14.25" customHeight="true">
      <c r="A268" s="36"/>
      <c r="B268" s="37" t="s">
        <v>214</v>
      </c>
      <c r="C268" s="38"/>
      <c r="D268" s="38"/>
      <c r="E268" s="38"/>
      <c r="F268" s="38"/>
      <c r="G268" s="38"/>
      <c r="H268" s="38">
        <f>=$H$261/3*0.5</f>
      </c>
      <c r="I268" s="38">
        <f>=$H$261/3</f>
      </c>
      <c r="J268" s="38">
        <f>=$H$261/3</f>
      </c>
      <c r="K268" s="38">
        <f>=$H$261/3*0.5</f>
      </c>
      <c r="L268" s="38"/>
      <c r="M268" s="38"/>
      <c r="N268" s="38"/>
      <c r="O268" s="38"/>
      <c r="P268" s="38"/>
      <c r="Q268" s="38"/>
    </row>
    <row r="269" hidden="1" ht="14.25" customHeight="true">
      <c r="A269" s="36"/>
      <c r="B269" s="89">
        <f>=CONCATENATE("Amortización Gasto o Cargo Diferido Nuevo Año ",'Supuestos Proyeccion'!$I$5)</f>
      </c>
      <c r="C269" s="38"/>
      <c r="D269" s="38"/>
      <c r="E269" s="38"/>
      <c r="F269" s="38"/>
      <c r="G269" s="38"/>
      <c r="H269" s="38">
        <f ref="H269:Q269" t="shared" si="187">=H270+H271+H272+H273</f>
      </c>
      <c r="I269" s="38">
        <f t="shared" si="187"/>
      </c>
      <c r="J269" s="38">
        <f t="shared" si="187"/>
      </c>
      <c r="K269" s="38">
        <f t="shared" si="187"/>
      </c>
      <c r="L269" s="38">
        <f t="shared" si="187"/>
      </c>
      <c r="M269" s="38">
        <f t="shared" si="187"/>
      </c>
      <c r="N269" s="38">
        <f t="shared" si="187"/>
      </c>
      <c r="O269" s="38">
        <f t="shared" si="187"/>
      </c>
      <c r="P269" s="38">
        <f t="shared" si="187"/>
      </c>
      <c r="Q269" s="38">
        <f t="shared" si="187"/>
      </c>
    </row>
    <row r="270" hidden="1" ht="14.25" customHeight="true">
      <c r="A270" s="36"/>
      <c r="B270" s="37" t="s">
        <v>211</v>
      </c>
      <c r="C270" s="38"/>
      <c r="D270" s="38"/>
      <c r="E270" s="38"/>
      <c r="F270" s="38"/>
      <c r="G270" s="38"/>
      <c r="H270" s="36"/>
      <c r="I270" s="38">
        <f>=$I$258/20*0.5</f>
      </c>
      <c r="J270" s="38">
        <f ref="J270:Q270" t="shared" si="229">=$I$258/20</f>
      </c>
      <c r="K270" s="38">
        <f t="shared" si="229"/>
      </c>
      <c r="L270" s="38">
        <f t="shared" si="229"/>
      </c>
      <c r="M270" s="38">
        <f t="shared" si="229"/>
      </c>
      <c r="N270" s="38">
        <f t="shared" si="229"/>
      </c>
      <c r="O270" s="38">
        <f t="shared" si="229"/>
      </c>
      <c r="P270" s="38">
        <f t="shared" si="229"/>
      </c>
      <c r="Q270" s="38">
        <f t="shared" si="229"/>
      </c>
      <c r="R270" s="89"/>
    </row>
    <row r="271" hidden="1" ht="14.25" customHeight="true">
      <c r="A271" s="36"/>
      <c r="B271" s="37" t="s">
        <v>212</v>
      </c>
      <c r="C271" s="38"/>
      <c r="D271" s="38"/>
      <c r="E271" s="38"/>
      <c r="F271" s="38"/>
      <c r="G271" s="38"/>
      <c r="H271" s="36"/>
      <c r="I271" s="38">
        <f>=$I$259/10*0.5</f>
      </c>
      <c r="J271" s="38">
        <f ref="J271:Q271" t="shared" si="132">=$I$259/10</f>
      </c>
      <c r="K271" s="38">
        <f t="shared" si="132"/>
      </c>
      <c r="L271" s="38">
        <f t="shared" si="132"/>
      </c>
      <c r="M271" s="38">
        <f t="shared" si="132"/>
      </c>
      <c r="N271" s="38">
        <f t="shared" si="132"/>
      </c>
      <c r="O271" s="38">
        <f t="shared" si="132"/>
      </c>
      <c r="P271" s="38">
        <f t="shared" si="132"/>
      </c>
      <c r="Q271" s="38">
        <f t="shared" si="132"/>
      </c>
      <c r="R271" s="89"/>
    </row>
    <row r="272" hidden="1" ht="14.25" customHeight="true">
      <c r="A272" s="36"/>
      <c r="B272" s="37" t="s">
        <v>213</v>
      </c>
      <c r="C272" s="38"/>
      <c r="D272" s="38"/>
      <c r="E272" s="38"/>
      <c r="F272" s="38"/>
      <c r="G272" s="38"/>
      <c r="H272" s="36"/>
      <c r="I272" s="38">
        <f>=$I$260/5*0.5</f>
      </c>
      <c r="J272" s="38">
        <f>=$I$260/5</f>
      </c>
      <c r="K272" s="38">
        <f>=$I$260/5</f>
      </c>
      <c r="L272" s="38">
        <f>=$I$260/5</f>
      </c>
      <c r="M272" s="38">
        <f>=$I$260/5</f>
      </c>
      <c r="N272" s="38">
        <f>=$I$260/5*0.5</f>
      </c>
      <c r="O272" s="38"/>
      <c r="P272" s="38"/>
      <c r="Q272" s="38"/>
      <c r="R272" s="89"/>
    </row>
    <row r="273" hidden="1" ht="14.25" customHeight="true">
      <c r="A273" s="36"/>
      <c r="B273" s="37" t="s">
        <v>214</v>
      </c>
      <c r="C273" s="38"/>
      <c r="D273" s="38"/>
      <c r="E273" s="38"/>
      <c r="F273" s="38"/>
      <c r="G273" s="38"/>
      <c r="H273" s="36"/>
      <c r="I273" s="38">
        <f>=$I$261/3*0.5</f>
      </c>
      <c r="J273" s="38">
        <f>=$I$261/3</f>
      </c>
      <c r="K273" s="38">
        <f>=$I$261/3</f>
      </c>
      <c r="L273" s="38">
        <f>=$I$261/3*0.5</f>
      </c>
      <c r="M273" s="38"/>
      <c r="N273" s="38"/>
      <c r="O273" s="38"/>
      <c r="P273" s="38"/>
      <c r="Q273" s="38"/>
      <c r="R273" s="89"/>
    </row>
    <row r="274" hidden="1" ht="14.25" customHeight="true">
      <c r="A274" s="36"/>
      <c r="B274" s="89">
        <f>=CONCATENATE("Amortización Gasto o Cargo Diferido Nuevo Año ",'Supuestos Proyeccion'!$J$5)</f>
      </c>
      <c r="C274" s="38"/>
      <c r="D274" s="38"/>
      <c r="E274" s="38"/>
      <c r="F274" s="38"/>
      <c r="G274" s="38"/>
      <c r="H274" s="38">
        <f ref="H274:Q274" t="shared" si="122">=H275+H276+H277+H278</f>
      </c>
      <c r="I274" s="38">
        <f t="shared" si="122"/>
      </c>
      <c r="J274" s="38">
        <f t="shared" si="122"/>
      </c>
      <c r="K274" s="38">
        <f t="shared" si="122"/>
      </c>
      <c r="L274" s="38">
        <f t="shared" si="122"/>
      </c>
      <c r="M274" s="38">
        <f t="shared" si="122"/>
      </c>
      <c r="N274" s="38">
        <f t="shared" si="122"/>
      </c>
      <c r="O274" s="38">
        <f t="shared" si="122"/>
      </c>
      <c r="P274" s="38">
        <f t="shared" si="122"/>
      </c>
      <c r="Q274" s="38">
        <f t="shared" si="122"/>
      </c>
    </row>
    <row r="275" hidden="1" ht="14.25" customHeight="true">
      <c r="A275" s="36"/>
      <c r="B275" s="37" t="s">
        <v>211</v>
      </c>
      <c r="C275" s="38"/>
      <c r="D275" s="38"/>
      <c r="E275" s="38"/>
      <c r="F275" s="38"/>
      <c r="G275" s="38"/>
      <c r="H275" s="38"/>
      <c r="I275" s="38"/>
      <c r="J275" s="38">
        <f>=$J$258/20*0.5</f>
      </c>
      <c r="K275" s="38">
        <f ref="K275:Q275" t="shared" si="126">=$J$258/20</f>
      </c>
      <c r="L275" s="38">
        <f t="shared" si="126"/>
      </c>
      <c r="M275" s="38">
        <f t="shared" si="126"/>
      </c>
      <c r="N275" s="38">
        <f t="shared" si="126"/>
      </c>
      <c r="O275" s="38">
        <f t="shared" si="126"/>
      </c>
      <c r="P275" s="38">
        <f t="shared" si="126"/>
      </c>
      <c r="Q275" s="38">
        <f t="shared" si="126"/>
      </c>
      <c r="R275" s="89"/>
      <c r="S275" s="89"/>
    </row>
    <row r="276" hidden="1" ht="14.25" customHeight="true">
      <c r="A276" s="36"/>
      <c r="B276" s="37" t="s">
        <v>212</v>
      </c>
      <c r="C276" s="38"/>
      <c r="D276" s="38"/>
      <c r="E276" s="38"/>
      <c r="F276" s="38"/>
      <c r="G276" s="38"/>
      <c r="H276" s="38"/>
      <c r="I276" s="38"/>
      <c r="J276" s="38">
        <f>=$J$259/10*0.5</f>
      </c>
      <c r="K276" s="38">
        <f ref="K276:Q276" t="shared" si="165">=$J$259/10</f>
      </c>
      <c r="L276" s="38">
        <f t="shared" si="165"/>
      </c>
      <c r="M276" s="38">
        <f t="shared" si="165"/>
      </c>
      <c r="N276" s="38">
        <f t="shared" si="165"/>
      </c>
      <c r="O276" s="38">
        <f t="shared" si="165"/>
      </c>
      <c r="P276" s="38">
        <f t="shared" si="165"/>
      </c>
      <c r="Q276" s="38">
        <f t="shared" si="165"/>
      </c>
      <c r="R276" s="89"/>
      <c r="S276" s="89"/>
    </row>
    <row r="277" hidden="1" ht="14.25" customHeight="true">
      <c r="A277" s="36"/>
      <c r="B277" s="37" t="s">
        <v>213</v>
      </c>
      <c r="C277" s="38"/>
      <c r="D277" s="38"/>
      <c r="E277" s="38"/>
      <c r="F277" s="38"/>
      <c r="G277" s="38"/>
      <c r="H277" s="38"/>
      <c r="I277" s="38"/>
      <c r="J277" s="38">
        <f>=$J$260/5*0.5</f>
      </c>
      <c r="K277" s="38">
        <f>=$J$260/5</f>
      </c>
      <c r="L277" s="38">
        <f>=$J$260/5</f>
      </c>
      <c r="M277" s="38">
        <f>=$J$260/5</f>
      </c>
      <c r="N277" s="38">
        <f>=$J$260/5</f>
      </c>
      <c r="O277" s="38">
        <f>=$J$260/5*0.5</f>
      </c>
      <c r="P277" s="38"/>
      <c r="Q277" s="38"/>
      <c r="R277" s="89"/>
      <c r="S277" s="89"/>
    </row>
    <row r="278" hidden="1" ht="14.25" customHeight="true">
      <c r="A278" s="36"/>
      <c r="B278" s="37" t="s">
        <v>214</v>
      </c>
      <c r="C278" s="38"/>
      <c r="D278" s="38"/>
      <c r="E278" s="38"/>
      <c r="F278" s="38"/>
      <c r="G278" s="38"/>
      <c r="H278" s="38"/>
      <c r="I278" s="38"/>
      <c r="J278" s="38">
        <f>=$J$261/3*0.5</f>
      </c>
      <c r="K278" s="38">
        <f>=$J$261/3</f>
      </c>
      <c r="L278" s="38">
        <f>=$J$261/3</f>
      </c>
      <c r="M278" s="38">
        <f>=$J$261/3*0.5</f>
      </c>
      <c r="N278" s="38"/>
      <c r="O278" s="38"/>
      <c r="P278" s="38"/>
      <c r="Q278" s="38"/>
      <c r="R278" s="89"/>
      <c r="S278" s="89"/>
    </row>
    <row r="279" hidden="1" ht="14.25" customHeight="true">
      <c r="A279" s="36"/>
      <c r="B279" s="89">
        <f>=CONCATENATE("Amortización Gasto o Cargo Diferido Nuevo Año ",'Supuestos Proyeccion'!$K$5)</f>
      </c>
      <c r="C279" s="38"/>
      <c r="D279" s="38"/>
      <c r="E279" s="38"/>
      <c r="F279" s="38"/>
      <c r="G279" s="38"/>
      <c r="H279" s="38">
        <f ref="H279:Q279" t="shared" si="181">=H280+H281+H282+H283</f>
      </c>
      <c r="I279" s="38">
        <f t="shared" si="181"/>
      </c>
      <c r="J279" s="38">
        <f t="shared" si="181"/>
      </c>
      <c r="K279" s="38">
        <f t="shared" si="181"/>
      </c>
      <c r="L279" s="38">
        <f t="shared" si="181"/>
      </c>
      <c r="M279" s="38">
        <f t="shared" si="181"/>
      </c>
      <c r="N279" s="38">
        <f t="shared" si="181"/>
      </c>
      <c r="O279" s="38">
        <f t="shared" si="181"/>
      </c>
      <c r="P279" s="38">
        <f t="shared" si="181"/>
      </c>
      <c r="Q279" s="38">
        <f t="shared" si="181"/>
      </c>
    </row>
    <row r="280" hidden="1" ht="14.25" customHeight="true">
      <c r="A280" s="36"/>
      <c r="B280" s="37" t="s">
        <v>211</v>
      </c>
      <c r="C280" s="38"/>
      <c r="D280" s="38"/>
      <c r="E280" s="38"/>
      <c r="F280" s="38"/>
      <c r="G280" s="38"/>
      <c r="H280" s="38"/>
      <c r="I280" s="38"/>
      <c r="J280" s="38"/>
      <c r="K280" s="38">
        <f>=$K$258/20*0.5</f>
      </c>
      <c r="L280" s="38">
        <f ref="L280:Q280" t="shared" si="124">=$K$258/20</f>
      </c>
      <c r="M280" s="38">
        <f t="shared" si="124"/>
      </c>
      <c r="N280" s="38">
        <f t="shared" si="124"/>
      </c>
      <c r="O280" s="38">
        <f t="shared" si="124"/>
      </c>
      <c r="P280" s="38">
        <f t="shared" si="124"/>
      </c>
      <c r="Q280" s="38">
        <f t="shared" si="124"/>
      </c>
      <c r="R280" s="89"/>
      <c r="S280" s="89"/>
      <c r="T280" s="89"/>
    </row>
    <row r="281" hidden="1" ht="14.25" customHeight="true">
      <c r="A281" s="36"/>
      <c r="B281" s="37" t="s">
        <v>212</v>
      </c>
      <c r="C281" s="38"/>
      <c r="D281" s="38"/>
      <c r="E281" s="38"/>
      <c r="F281" s="38"/>
      <c r="G281" s="38"/>
      <c r="H281" s="38"/>
      <c r="I281" s="38"/>
      <c r="J281" s="38"/>
      <c r="K281" s="38">
        <f>=$K$259/10*0.5</f>
      </c>
      <c r="L281" s="38">
        <f ref="L281:Q281" t="shared" si="88">=$K$259/10</f>
      </c>
      <c r="M281" s="38">
        <f t="shared" si="88"/>
      </c>
      <c r="N281" s="38">
        <f t="shared" si="88"/>
      </c>
      <c r="O281" s="38">
        <f t="shared" si="88"/>
      </c>
      <c r="P281" s="38">
        <f t="shared" si="88"/>
      </c>
      <c r="Q281" s="38">
        <f t="shared" si="88"/>
      </c>
      <c r="R281" s="89"/>
      <c r="S281" s="89"/>
      <c r="T281" s="89"/>
    </row>
    <row r="282" hidden="1" ht="14.25" customHeight="true">
      <c r="A282" s="36"/>
      <c r="B282" s="37" t="s">
        <v>213</v>
      </c>
      <c r="C282" s="38"/>
      <c r="D282" s="38"/>
      <c r="E282" s="38"/>
      <c r="F282" s="38"/>
      <c r="G282" s="38"/>
      <c r="H282" s="38"/>
      <c r="I282" s="38"/>
      <c r="J282" s="38"/>
      <c r="K282" s="38">
        <f>=$K$260/5*0.5</f>
      </c>
      <c r="L282" s="38">
        <f>=$K$260/5</f>
      </c>
      <c r="M282" s="38">
        <f>=$K$260/5</f>
      </c>
      <c r="N282" s="38">
        <f>=$K$260/5</f>
      </c>
      <c r="O282" s="38">
        <f>=$K$260/5</f>
      </c>
      <c r="P282" s="38">
        <f>=$K$260/5*0.5</f>
      </c>
      <c r="Q282" s="38"/>
      <c r="R282" s="89"/>
      <c r="S282" s="89"/>
      <c r="T282" s="89"/>
    </row>
    <row r="283" hidden="1" ht="14.25" customHeight="true">
      <c r="A283" s="36"/>
      <c r="B283" s="37" t="s">
        <v>214</v>
      </c>
      <c r="C283" s="38"/>
      <c r="D283" s="38"/>
      <c r="E283" s="38"/>
      <c r="F283" s="38"/>
      <c r="G283" s="38"/>
      <c r="H283" s="38"/>
      <c r="I283" s="38"/>
      <c r="J283" s="38"/>
      <c r="K283" s="38">
        <f>=$K$261/3*0.5</f>
      </c>
      <c r="L283" s="38">
        <f>=$K$261/3</f>
      </c>
      <c r="M283" s="38">
        <f>=$K$261/3</f>
      </c>
      <c r="N283" s="38">
        <f>=$K$261/3*0.5</f>
      </c>
      <c r="O283" s="38"/>
      <c r="P283" s="38"/>
      <c r="Q283" s="38"/>
      <c r="R283" s="89"/>
      <c r="S283" s="89"/>
      <c r="T283" s="89"/>
    </row>
    <row r="284" hidden="1" ht="14.25" customHeight="true">
      <c r="A284" s="36"/>
      <c r="B284" s="89">
        <f>=CONCATENATE("Amortización Gasto o Cargo Diferido Nuevo Año ",'Supuestos Proyeccion'!$L$5)</f>
      </c>
      <c r="C284" s="38"/>
      <c r="D284" s="38"/>
      <c r="E284" s="38"/>
      <c r="F284" s="38"/>
      <c r="G284" s="38"/>
      <c r="H284" s="38">
        <f ref="H284:Q284" t="shared" si="89">=H285+H286+H287+H288</f>
      </c>
      <c r="I284" s="38">
        <f t="shared" si="89"/>
      </c>
      <c r="J284" s="38">
        <f t="shared" si="89"/>
      </c>
      <c r="K284" s="38">
        <f t="shared" si="89"/>
      </c>
      <c r="L284" s="38">
        <f t="shared" si="89"/>
      </c>
      <c r="M284" s="38">
        <f t="shared" si="89"/>
      </c>
      <c r="N284" s="38">
        <f t="shared" si="89"/>
      </c>
      <c r="O284" s="38">
        <f t="shared" si="89"/>
      </c>
      <c r="P284" s="38">
        <f t="shared" si="89"/>
      </c>
      <c r="Q284" s="38">
        <f t="shared" si="89"/>
      </c>
    </row>
    <row r="285" hidden="1" ht="14.25" customHeight="true">
      <c r="A285" s="36"/>
      <c r="B285" s="37" t="s">
        <v>211</v>
      </c>
      <c r="C285" s="38"/>
      <c r="D285" s="38"/>
      <c r="E285" s="38"/>
      <c r="F285" s="38"/>
      <c r="G285" s="38"/>
      <c r="H285" s="38"/>
      <c r="I285" s="38"/>
      <c r="J285" s="38"/>
      <c r="K285" s="38"/>
      <c r="L285" s="38">
        <f>=$L$258/20*0.5</f>
      </c>
      <c r="M285" s="38">
        <f>=$L$258/20</f>
      </c>
      <c r="N285" s="38">
        <f>=$L$258/20</f>
      </c>
      <c r="O285" s="38">
        <f>=$L$258/20</f>
      </c>
      <c r="P285" s="38">
        <f>=$L$258/20</f>
      </c>
      <c r="Q285" s="38">
        <f>=$L$258/20</f>
      </c>
      <c r="R285" s="89"/>
      <c r="S285" s="89"/>
      <c r="T285" s="89"/>
      <c r="U285" s="89"/>
    </row>
    <row r="286" hidden="1" ht="14.25" customHeight="true">
      <c r="A286" s="36"/>
      <c r="B286" s="37" t="s">
        <v>212</v>
      </c>
      <c r="C286" s="38"/>
      <c r="D286" s="38"/>
      <c r="E286" s="38"/>
      <c r="F286" s="38"/>
      <c r="G286" s="38"/>
      <c r="H286" s="38"/>
      <c r="I286" s="38"/>
      <c r="J286" s="38"/>
      <c r="K286" s="38"/>
      <c r="L286" s="38">
        <f>=$L$259/10*0.5</f>
      </c>
      <c r="M286" s="38">
        <f>=$L$259/10</f>
      </c>
      <c r="N286" s="38">
        <f>=$L$259/10</f>
      </c>
      <c r="O286" s="38">
        <f>=$L$259/10</f>
      </c>
      <c r="P286" s="38">
        <f>=$L$259/10</f>
      </c>
      <c r="Q286" s="38">
        <f>=$L$259/10</f>
      </c>
      <c r="R286" s="89"/>
      <c r="S286" s="89"/>
      <c r="T286" s="89"/>
      <c r="U286" s="89"/>
    </row>
    <row r="287" hidden="1" ht="14.25" customHeight="true">
      <c r="A287" s="36"/>
      <c r="B287" s="37" t="s">
        <v>213</v>
      </c>
      <c r="C287" s="38"/>
      <c r="D287" s="38"/>
      <c r="E287" s="38"/>
      <c r="F287" s="38"/>
      <c r="G287" s="38"/>
      <c r="H287" s="38"/>
      <c r="I287" s="38"/>
      <c r="J287" s="38"/>
      <c r="K287" s="38"/>
      <c r="L287" s="38">
        <f>=$L$260/5*0.5</f>
      </c>
      <c r="M287" s="38">
        <f>=$L$260/5</f>
      </c>
      <c r="N287" s="38">
        <f>=$L$260/5</f>
      </c>
      <c r="O287" s="38">
        <f>=$L$260/5</f>
      </c>
      <c r="P287" s="38">
        <f>=$L$260/5</f>
      </c>
      <c r="Q287" s="38">
        <f>=$L$260/5*0.5</f>
      </c>
      <c r="R287" s="89"/>
      <c r="S287" s="89"/>
      <c r="T287" s="89"/>
      <c r="U287" s="89"/>
    </row>
    <row r="288" hidden="1" ht="14.25" customHeight="true">
      <c r="A288" s="36"/>
      <c r="B288" s="37" t="s">
        <v>214</v>
      </c>
      <c r="C288" s="38"/>
      <c r="D288" s="38"/>
      <c r="E288" s="38"/>
      <c r="F288" s="38"/>
      <c r="G288" s="38"/>
      <c r="H288" s="38"/>
      <c r="I288" s="38"/>
      <c r="J288" s="38"/>
      <c r="K288" s="38"/>
      <c r="L288" s="38">
        <f>=$L$261/3*0.5</f>
      </c>
      <c r="M288" s="38">
        <f>=$L$261/3</f>
      </c>
      <c r="N288" s="38">
        <f>=$L$261/3</f>
      </c>
      <c r="O288" s="38">
        <f>=$L$261/3*0.5</f>
      </c>
      <c r="P288" s="38"/>
      <c r="Q288" s="38"/>
      <c r="R288" s="89"/>
      <c r="S288" s="89"/>
      <c r="T288" s="89"/>
      <c r="U288" s="89"/>
    </row>
    <row r="289" hidden="1" ht="14.25" customHeight="true">
      <c r="A289" s="36"/>
      <c r="B289" s="89">
        <f>=CONCATENATE("Amortización Gasto o Cargo Diferido Nuevo Año ",'Supuestos Proyeccion'!$M$5)</f>
      </c>
      <c r="C289" s="38"/>
      <c r="D289" s="38"/>
      <c r="E289" s="38"/>
      <c r="F289" s="38"/>
      <c r="G289" s="38"/>
      <c r="H289" s="38">
        <f ref="H289:Q289" t="shared" si="190">=H290+H291+H292+H293</f>
      </c>
      <c r="I289" s="38">
        <f t="shared" si="190"/>
      </c>
      <c r="J289" s="38">
        <f t="shared" si="190"/>
      </c>
      <c r="K289" s="38">
        <f t="shared" si="190"/>
      </c>
      <c r="L289" s="38">
        <f t="shared" si="190"/>
      </c>
      <c r="M289" s="38">
        <f t="shared" si="190"/>
      </c>
      <c r="N289" s="38">
        <f t="shared" si="190"/>
      </c>
      <c r="O289" s="38">
        <f t="shared" si="190"/>
      </c>
      <c r="P289" s="38">
        <f t="shared" si="190"/>
      </c>
      <c r="Q289" s="38">
        <f t="shared" si="190"/>
      </c>
    </row>
    <row r="290" hidden="1" ht="14.25" customHeight="true">
      <c r="A290" s="36"/>
      <c r="B290" s="37" t="s">
        <v>211</v>
      </c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>
        <f>=$M$258/20*0.5</f>
      </c>
      <c r="N290" s="38">
        <f>=$M$258/20</f>
      </c>
      <c r="O290" s="38">
        <f>=$M$258/20</f>
      </c>
      <c r="P290" s="38">
        <f>=$M$258/20</f>
      </c>
      <c r="Q290" s="38">
        <f>=$M$258/20</f>
      </c>
      <c r="R290" s="89"/>
      <c r="S290" s="89"/>
      <c r="T290" s="89"/>
      <c r="U290" s="89"/>
      <c r="V290" s="89"/>
    </row>
    <row r="291" hidden="1" ht="14.25" customHeight="true">
      <c r="A291" s="36"/>
      <c r="B291" s="37" t="s">
        <v>212</v>
      </c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>
        <f>=$M$259/10*0.5</f>
      </c>
      <c r="N291" s="38">
        <f>=$M$259/10</f>
      </c>
      <c r="O291" s="38">
        <f>=$M$259/10</f>
      </c>
      <c r="P291" s="38">
        <f>=$M$259/10</f>
      </c>
      <c r="Q291" s="38">
        <f>=$M$259/10</f>
      </c>
      <c r="R291" s="89"/>
      <c r="S291" s="89"/>
      <c r="T291" s="89"/>
      <c r="U291" s="89"/>
      <c r="V291" s="89"/>
    </row>
    <row r="292" hidden="1" ht="14.25" customHeight="true">
      <c r="A292" s="36"/>
      <c r="B292" s="37" t="s">
        <v>213</v>
      </c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>
        <f>=$M$260/5*0.5</f>
      </c>
      <c r="N292" s="38">
        <f>=$M$260/5</f>
      </c>
      <c r="O292" s="38">
        <f>=$M$260/5</f>
      </c>
      <c r="P292" s="38">
        <f>=$M$260/5</f>
      </c>
      <c r="Q292" s="38">
        <f>=$M$260/5</f>
      </c>
      <c r="R292" s="89"/>
      <c r="S292" s="89"/>
      <c r="T292" s="89"/>
      <c r="U292" s="89"/>
      <c r="V292" s="89"/>
    </row>
    <row r="293" hidden="1" ht="14.25" customHeight="true">
      <c r="A293" s="36"/>
      <c r="B293" s="37" t="s">
        <v>214</v>
      </c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>
        <f>=$M$261/3*0.5</f>
      </c>
      <c r="N293" s="38">
        <f>=$M$261/3</f>
      </c>
      <c r="O293" s="38">
        <f>=$M$261/3</f>
      </c>
      <c r="P293" s="38">
        <f>=$M$261/3*0.5</f>
      </c>
      <c r="Q293" s="38"/>
      <c r="R293" s="89"/>
      <c r="S293" s="89"/>
      <c r="T293" s="89"/>
      <c r="U293" s="89"/>
      <c r="V293" s="89"/>
    </row>
    <row r="294" hidden="1" ht="14.25" customHeight="true">
      <c r="A294" s="36"/>
      <c r="B294" s="89">
        <f>=CONCATENATE("Amortización Gasto o Cargo Diferido Nuevo Año ",'Supuestos Proyeccion'!$N$5)</f>
      </c>
      <c r="C294" s="38"/>
      <c r="D294" s="38"/>
      <c r="E294" s="38"/>
      <c r="F294" s="38"/>
      <c r="G294" s="38"/>
      <c r="H294" s="38">
        <f ref="H294:Q294" t="shared" si="119">=H295+H296+H297+H298</f>
      </c>
      <c r="I294" s="38">
        <f t="shared" si="119"/>
      </c>
      <c r="J294" s="38">
        <f t="shared" si="119"/>
      </c>
      <c r="K294" s="38">
        <f t="shared" si="119"/>
      </c>
      <c r="L294" s="38">
        <f t="shared" si="119"/>
      </c>
      <c r="M294" s="38">
        <f t="shared" si="119"/>
      </c>
      <c r="N294" s="38">
        <f t="shared" si="119"/>
      </c>
      <c r="O294" s="38">
        <f t="shared" si="119"/>
      </c>
      <c r="P294" s="38">
        <f t="shared" si="119"/>
      </c>
      <c r="Q294" s="38">
        <f t="shared" si="119"/>
      </c>
    </row>
    <row r="295" hidden="1" ht="14.25" customHeight="true">
      <c r="A295" s="36"/>
      <c r="B295" s="37" t="s">
        <v>211</v>
      </c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6"/>
      <c r="N295" s="38">
        <f>=$N$258/20*0.5</f>
      </c>
      <c r="O295" s="38">
        <f>=$N$258/20</f>
      </c>
      <c r="P295" s="38">
        <f>=$N$258/20</f>
      </c>
      <c r="Q295" s="38">
        <f>=$N$258/20</f>
      </c>
      <c r="R295" s="89"/>
      <c r="S295" s="89"/>
      <c r="T295" s="89"/>
      <c r="U295" s="89"/>
      <c r="V295" s="89"/>
      <c r="W295" s="89"/>
    </row>
    <row r="296" hidden="1" ht="14.25" customHeight="true">
      <c r="A296" s="36"/>
      <c r="B296" s="37" t="s">
        <v>212</v>
      </c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6"/>
      <c r="N296" s="38">
        <f>=$N$259/10*0.5</f>
      </c>
      <c r="O296" s="38">
        <f>=$N$259/10</f>
      </c>
      <c r="P296" s="38">
        <f>=$N$259/10</f>
      </c>
      <c r="Q296" s="38">
        <f>=$N$259/10</f>
      </c>
      <c r="R296" s="89"/>
      <c r="S296" s="89"/>
      <c r="T296" s="89"/>
      <c r="U296" s="89"/>
      <c r="V296" s="89"/>
      <c r="W296" s="89"/>
    </row>
    <row r="297" hidden="1" ht="14.25" customHeight="true">
      <c r="A297" s="36"/>
      <c r="B297" s="37" t="s">
        <v>213</v>
      </c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6"/>
      <c r="N297" s="38">
        <f>=$N$260/5*0.5</f>
      </c>
      <c r="O297" s="38">
        <f>=$N$260/5</f>
      </c>
      <c r="P297" s="38">
        <f>=$N$260/5</f>
      </c>
      <c r="Q297" s="38">
        <f>=$N$260/5</f>
      </c>
      <c r="R297" s="89"/>
      <c r="S297" s="89"/>
      <c r="T297" s="89"/>
      <c r="U297" s="89"/>
      <c r="V297" s="89"/>
      <c r="W297" s="89"/>
    </row>
    <row r="298" hidden="1" ht="14.25" customHeight="true">
      <c r="A298" s="36"/>
      <c r="B298" s="37" t="s">
        <v>214</v>
      </c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6"/>
      <c r="N298" s="38">
        <f>=$N$261/3*0.5</f>
      </c>
      <c r="O298" s="38">
        <f>=$N$261/3</f>
      </c>
      <c r="P298" s="38">
        <f>=$N$261/3</f>
      </c>
      <c r="Q298" s="38">
        <f>=$N$261/3*0.5</f>
      </c>
      <c r="R298" s="89"/>
      <c r="S298" s="89"/>
      <c r="T298" s="89"/>
      <c r="U298" s="89"/>
      <c r="V298" s="89"/>
      <c r="W298" s="89"/>
    </row>
    <row r="299" hidden="1" ht="14.25" customHeight="true">
      <c r="A299" s="36"/>
      <c r="B299" s="89">
        <f>=CONCATENATE("Amortización Gasto o Cargo Diferido Nuevo Año ",'Supuestos Proyeccion'!$O$5)</f>
      </c>
      <c r="C299" s="38"/>
      <c r="D299" s="38"/>
      <c r="E299" s="38"/>
      <c r="F299" s="38"/>
      <c r="G299" s="38"/>
      <c r="H299" s="38">
        <f ref="H299:Q299" t="shared" si="86">=H300+H301+H302+H303</f>
      </c>
      <c r="I299" s="38">
        <f t="shared" si="86"/>
      </c>
      <c r="J299" s="38">
        <f t="shared" si="86"/>
      </c>
      <c r="K299" s="38">
        <f t="shared" si="86"/>
      </c>
      <c r="L299" s="38">
        <f t="shared" si="86"/>
      </c>
      <c r="M299" s="38">
        <f t="shared" si="86"/>
      </c>
      <c r="N299" s="38">
        <f t="shared" si="86"/>
      </c>
      <c r="O299" s="38">
        <f t="shared" si="86"/>
      </c>
      <c r="P299" s="38">
        <f t="shared" si="86"/>
      </c>
      <c r="Q299" s="38">
        <f t="shared" si="86"/>
      </c>
    </row>
    <row r="300" hidden="1" ht="14.25" customHeight="true">
      <c r="A300" s="36"/>
      <c r="B300" s="37" t="s">
        <v>211</v>
      </c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6"/>
      <c r="O300" s="38">
        <f>=$O$258/20*0.5</f>
      </c>
      <c r="P300" s="38">
        <f>=$O$258/20</f>
      </c>
      <c r="Q300" s="38">
        <f>=$O$258/20</f>
      </c>
      <c r="R300" s="89"/>
      <c r="S300" s="89"/>
      <c r="T300" s="89"/>
      <c r="U300" s="89"/>
      <c r="V300" s="89"/>
      <c r="W300" s="89"/>
      <c r="X300" s="89"/>
    </row>
    <row r="301" hidden="1" ht="14.25" customHeight="true">
      <c r="A301" s="36"/>
      <c r="B301" s="37" t="s">
        <v>212</v>
      </c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6"/>
      <c r="O301" s="38">
        <f>=$O$259/10*0.5</f>
      </c>
      <c r="P301" s="38">
        <f>=$O$259/10</f>
      </c>
      <c r="Q301" s="38">
        <f>=$O$259/10</f>
      </c>
      <c r="R301" s="89"/>
      <c r="S301" s="89"/>
      <c r="T301" s="89"/>
      <c r="U301" s="89"/>
      <c r="V301" s="89"/>
      <c r="W301" s="89"/>
      <c r="X301" s="89"/>
    </row>
    <row r="302" hidden="1" ht="14.25" customHeight="true">
      <c r="A302" s="36"/>
      <c r="B302" s="37" t="s">
        <v>213</v>
      </c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6"/>
      <c r="O302" s="38">
        <f>=$O$260/5*0.5</f>
      </c>
      <c r="P302" s="38">
        <f>=$O$260/5</f>
      </c>
      <c r="Q302" s="38">
        <f>=$O$260/5</f>
      </c>
      <c r="R302" s="89"/>
      <c r="S302" s="89"/>
      <c r="T302" s="89"/>
      <c r="U302" s="89"/>
      <c r="V302" s="89"/>
      <c r="W302" s="89"/>
      <c r="X302" s="89"/>
    </row>
    <row r="303" hidden="1" ht="14.25" customHeight="true">
      <c r="A303" s="36"/>
      <c r="B303" s="37" t="s">
        <v>214</v>
      </c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6"/>
      <c r="O303" s="38">
        <f>=$O$261/3*0.5</f>
      </c>
      <c r="P303" s="38">
        <f>=$O$261/3</f>
      </c>
      <c r="Q303" s="38">
        <f>=$O$261/3</f>
      </c>
      <c r="R303" s="89"/>
      <c r="S303" s="89"/>
      <c r="T303" s="89"/>
      <c r="U303" s="89"/>
      <c r="V303" s="89"/>
      <c r="W303" s="89"/>
      <c r="X303" s="89"/>
    </row>
    <row r="304" hidden="1" ht="14.25" customHeight="true">
      <c r="A304" s="36"/>
      <c r="B304" s="89">
        <f>=CONCATENATE("Amortización Gasto o Cargo Diferido Nuevo Año ",'Supuestos Proyeccion'!$P$5)</f>
      </c>
      <c r="C304" s="38"/>
      <c r="D304" s="38"/>
      <c r="E304" s="38"/>
      <c r="F304" s="38"/>
      <c r="G304" s="38"/>
      <c r="H304" s="38">
        <f ref="H304:Q304" t="shared" si="148">=H305+H306+H307+H308</f>
      </c>
      <c r="I304" s="38">
        <f t="shared" si="148"/>
      </c>
      <c r="J304" s="38">
        <f t="shared" si="148"/>
      </c>
      <c r="K304" s="38">
        <f t="shared" si="148"/>
      </c>
      <c r="L304" s="38">
        <f t="shared" si="148"/>
      </c>
      <c r="M304" s="38">
        <f t="shared" si="148"/>
      </c>
      <c r="N304" s="38">
        <f t="shared" si="148"/>
      </c>
      <c r="O304" s="38">
        <f t="shared" si="148"/>
      </c>
      <c r="P304" s="38">
        <f t="shared" si="148"/>
      </c>
      <c r="Q304" s="38">
        <f t="shared" si="148"/>
      </c>
    </row>
    <row r="305" hidden="1" ht="14.25" customHeight="true">
      <c r="A305" s="36"/>
      <c r="B305" s="37" t="s">
        <v>211</v>
      </c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6"/>
      <c r="O305" s="36"/>
      <c r="P305" s="38">
        <f>=$P$258/20*0.5</f>
      </c>
      <c r="Q305" s="38">
        <f>=$P$258/20</f>
      </c>
      <c r="R305" s="89"/>
      <c r="S305" s="89"/>
      <c r="T305" s="89"/>
      <c r="U305" s="89"/>
      <c r="V305" s="89"/>
      <c r="W305" s="89"/>
      <c r="X305" s="89"/>
      <c r="Y305" s="89"/>
    </row>
    <row r="306" hidden="1" ht="14.25" customHeight="true">
      <c r="A306" s="36"/>
      <c r="B306" s="37" t="s">
        <v>212</v>
      </c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6"/>
      <c r="O306" s="36"/>
      <c r="P306" s="38">
        <f>=$P$259/10*0.5</f>
      </c>
      <c r="Q306" s="38">
        <f>=$P$259/10</f>
      </c>
      <c r="R306" s="89"/>
      <c r="S306" s="89"/>
      <c r="T306" s="89"/>
      <c r="U306" s="89"/>
      <c r="V306" s="89"/>
      <c r="W306" s="89"/>
      <c r="X306" s="89"/>
      <c r="Y306" s="89"/>
    </row>
    <row r="307" hidden="1" ht="14.25" customHeight="true">
      <c r="A307" s="36"/>
      <c r="B307" s="37" t="s">
        <v>213</v>
      </c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6"/>
      <c r="O307" s="36"/>
      <c r="P307" s="38">
        <f>=$P$260/5*0.5</f>
      </c>
      <c r="Q307" s="38">
        <f>=$P$260/5</f>
      </c>
      <c r="R307" s="89"/>
      <c r="S307" s="89"/>
      <c r="T307" s="89"/>
      <c r="U307" s="89"/>
      <c r="V307" s="89"/>
      <c r="W307" s="89"/>
      <c r="X307" s="89"/>
      <c r="Y307" s="89"/>
    </row>
    <row r="308" hidden="1" ht="14.25" customHeight="true">
      <c r="A308" s="36"/>
      <c r="B308" s="37" t="s">
        <v>214</v>
      </c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6"/>
      <c r="O308" s="36"/>
      <c r="P308" s="38">
        <f>=$P$261/3*0.5</f>
      </c>
      <c r="Q308" s="38">
        <f>=$P$261/3</f>
      </c>
      <c r="R308" s="89"/>
      <c r="S308" s="89"/>
      <c r="T308" s="89"/>
      <c r="U308" s="89"/>
      <c r="V308" s="89"/>
      <c r="W308" s="89"/>
      <c r="X308" s="89"/>
      <c r="Y308" s="89"/>
    </row>
    <row r="309" hidden="1" ht="14.25" customHeight="true">
      <c r="A309" s="36"/>
      <c r="B309" s="89">
        <f>=CONCATENATE("Amortización Gasto o Cargo Diferido Nuevo Año ",'Supuestos Proyeccion'!$Q$5)</f>
      </c>
      <c r="C309" s="38"/>
      <c r="D309" s="38"/>
      <c r="E309" s="38"/>
      <c r="F309" s="38"/>
      <c r="G309" s="38"/>
      <c r="H309" s="38">
        <f ref="H309:Q309" t="shared" si="155">=H310+H311+H312+H313</f>
      </c>
      <c r="I309" s="38">
        <f t="shared" si="155"/>
      </c>
      <c r="J309" s="38">
        <f t="shared" si="155"/>
      </c>
      <c r="K309" s="38">
        <f t="shared" si="155"/>
      </c>
      <c r="L309" s="38">
        <f t="shared" si="155"/>
      </c>
      <c r="M309" s="38">
        <f t="shared" si="155"/>
      </c>
      <c r="N309" s="38">
        <f t="shared" si="155"/>
      </c>
      <c r="O309" s="38">
        <f t="shared" si="155"/>
      </c>
      <c r="P309" s="38">
        <f t="shared" si="155"/>
      </c>
      <c r="Q309" s="38">
        <f t="shared" si="155"/>
      </c>
    </row>
    <row r="310" hidden="1" ht="14.25" customHeight="true">
      <c r="A310" s="36"/>
      <c r="B310" s="37" t="s">
        <v>211</v>
      </c>
      <c r="C310" s="65"/>
      <c r="D310" s="65"/>
      <c r="E310" s="65"/>
      <c r="F310" s="65"/>
      <c r="G310" s="65"/>
      <c r="H310" s="65"/>
      <c r="I310" s="65"/>
      <c r="J310" s="65"/>
      <c r="K310" s="65"/>
      <c r="L310" s="65"/>
      <c r="M310" s="65"/>
      <c r="N310" s="90"/>
      <c r="O310" s="90"/>
      <c r="P310" s="90"/>
      <c r="Q310" s="38">
        <f>=$Q$258/20*0.5</f>
      </c>
      <c r="R310" s="89"/>
      <c r="S310" s="89"/>
      <c r="T310" s="89"/>
      <c r="U310" s="89"/>
      <c r="V310" s="89"/>
      <c r="W310" s="89"/>
      <c r="X310" s="89"/>
      <c r="Y310" s="89"/>
      <c r="Z310" s="89"/>
    </row>
    <row r="311" hidden="1" ht="14.25" customHeight="true">
      <c r="A311" s="36"/>
      <c r="B311" s="37" t="s">
        <v>212</v>
      </c>
      <c r="C311" s="65"/>
      <c r="D311" s="65"/>
      <c r="E311" s="65"/>
      <c r="F311" s="65"/>
      <c r="G311" s="65"/>
      <c r="H311" s="65"/>
      <c r="I311" s="65"/>
      <c r="J311" s="65"/>
      <c r="K311" s="65"/>
      <c r="L311" s="65"/>
      <c r="M311" s="65"/>
      <c r="N311" s="90"/>
      <c r="O311" s="90"/>
      <c r="P311" s="90"/>
      <c r="Q311" s="38">
        <f>=$Q$259/10*0.5</f>
      </c>
      <c r="R311" s="89"/>
      <c r="S311" s="89"/>
      <c r="T311" s="89"/>
      <c r="U311" s="89"/>
      <c r="V311" s="89"/>
      <c r="W311" s="89"/>
      <c r="X311" s="89"/>
      <c r="Y311" s="89"/>
      <c r="Z311" s="89"/>
    </row>
    <row r="312" hidden="1" ht="14.25" customHeight="true">
      <c r="A312" s="36"/>
      <c r="B312" s="37" t="s">
        <v>213</v>
      </c>
      <c r="C312" s="65"/>
      <c r="D312" s="65"/>
      <c r="E312" s="65"/>
      <c r="F312" s="65"/>
      <c r="G312" s="65"/>
      <c r="H312" s="65"/>
      <c r="I312" s="65"/>
      <c r="J312" s="65"/>
      <c r="K312" s="65"/>
      <c r="L312" s="65"/>
      <c r="M312" s="65"/>
      <c r="N312" s="90"/>
      <c r="O312" s="90"/>
      <c r="P312" s="90"/>
      <c r="Q312" s="38">
        <f>=$Q$260/5*0.5</f>
      </c>
      <c r="R312" s="89"/>
      <c r="S312" s="89"/>
      <c r="T312" s="89"/>
      <c r="U312" s="89"/>
      <c r="V312" s="89"/>
      <c r="W312" s="48"/>
      <c r="X312" s="48"/>
      <c r="Y312" s="48"/>
      <c r="Z312" s="48"/>
    </row>
    <row r="313" hidden="1" ht="14.25" customHeight="true">
      <c r="A313" s="36"/>
      <c r="B313" s="37" t="s">
        <v>214</v>
      </c>
      <c r="C313" s="65"/>
      <c r="D313" s="65"/>
      <c r="E313" s="65"/>
      <c r="F313" s="65"/>
      <c r="G313" s="65"/>
      <c r="H313" s="65"/>
      <c r="I313" s="65"/>
      <c r="J313" s="65"/>
      <c r="K313" s="65"/>
      <c r="L313" s="65"/>
      <c r="M313" s="65"/>
      <c r="N313" s="90"/>
      <c r="O313" s="90"/>
      <c r="P313" s="90"/>
      <c r="Q313" s="38">
        <f>=$Q$261/3*0.5</f>
      </c>
      <c r="R313" s="89"/>
      <c r="S313" s="89"/>
      <c r="T313" s="89"/>
      <c r="U313" s="48"/>
      <c r="V313" s="48"/>
      <c r="W313" s="48"/>
      <c r="X313" s="48"/>
      <c r="Y313" s="48"/>
      <c r="Z313" s="48"/>
    </row>
    <row r="314" hidden="1" ht="14.25" customHeight="true">
      <c r="A314" s="36"/>
      <c r="B314" s="37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S314" s="64"/>
    </row>
    <row r="315" ht="14.25" customHeight="true">
      <c r="A315" s="36">
        <f>=A232+1</f>
      </c>
      <c r="B315" s="91" t="s">
        <v>53</v>
      </c>
      <c r="C315" s="92">
        <f>=ESF!C25</f>
      </c>
      <c r="D315" s="92">
        <f>=ESF!D25</f>
      </c>
      <c r="E315" s="92">
        <f>=ESF!E25</f>
      </c>
      <c r="F315" s="92">
        <f>=ESF!F25</f>
      </c>
      <c r="G315" s="92">
        <f>=ESF!G25</f>
      </c>
      <c r="H315" s="92">
        <f>=H316*ERI!H7</f>
      </c>
      <c r="I315" s="92">
        <f>=I316*ERI!I7</f>
      </c>
      <c r="J315" s="92">
        <f>=J316*ERI!J7</f>
      </c>
      <c r="K315" s="92">
        <f>=K316*ERI!K7</f>
      </c>
      <c r="L315" s="92">
        <f>=L316*ERI!L7</f>
      </c>
      <c r="M315" s="92">
        <f>=M316*ERI!M7</f>
      </c>
      <c r="N315" s="92">
        <f>=N316*ERI!N7</f>
      </c>
      <c r="O315" s="92">
        <f>=O316*ERI!O7</f>
      </c>
      <c r="P315" s="92">
        <f>=P316*ERI!P7</f>
      </c>
      <c r="Q315" s="92">
        <f>=Q316*ERI!Q7</f>
      </c>
      <c r="S315" s="64"/>
    </row>
    <row r="316" ht="14.25" customHeight="true">
      <c r="A316" s="36"/>
      <c r="B316" s="37" t="s">
        <v>215</v>
      </c>
      <c r="C316" s="38">
        <f>=C315/ERI!C7</f>
      </c>
      <c r="D316" s="38">
        <f>=D315/ERI!D7</f>
      </c>
      <c r="E316" s="38">
        <f>=E315/ERI!E7</f>
      </c>
      <c r="F316" s="38">
        <f>=F315/ERI!F7</f>
      </c>
      <c r="G316" s="38">
        <f>=G315/ERI!G7</f>
      </c>
      <c r="H316" s="69">
        <f ref="H316:Q316" t="shared" si="179">=G316</f>
      </c>
      <c r="I316" s="69">
        <f t="shared" si="179"/>
      </c>
      <c r="J316" s="69">
        <f t="shared" si="179"/>
      </c>
      <c r="K316" s="69">
        <f t="shared" si="179"/>
      </c>
      <c r="L316" s="69">
        <f t="shared" si="179"/>
      </c>
      <c r="M316" s="69">
        <f t="shared" si="179"/>
      </c>
      <c r="N316" s="69">
        <f t="shared" si="179"/>
      </c>
      <c r="O316" s="69">
        <f t="shared" si="179"/>
      </c>
      <c r="P316" s="69">
        <f t="shared" si="179"/>
      </c>
      <c r="Q316" s="69">
        <f t="shared" si="179"/>
      </c>
      <c r="S316" s="64"/>
    </row>
    <row r="317" ht="14.25" customHeight="true">
      <c r="A317" s="36">
        <f>=A315+1</f>
      </c>
      <c r="B317" s="91" t="s">
        <v>54</v>
      </c>
      <c r="C317" s="92">
        <f>=ESF!C26</f>
      </c>
      <c r="D317" s="92">
        <f>=ESF!D26</f>
      </c>
      <c r="E317" s="92">
        <f>=ESF!E26</f>
      </c>
      <c r="F317" s="92">
        <f>=ESF!F26</f>
      </c>
      <c r="G317" s="92">
        <f>=ESF!G26</f>
      </c>
      <c r="H317" s="92">
        <f ref="H317:Q317" t="shared" si="224">=G317+H318</f>
      </c>
      <c r="I317" s="92">
        <f t="shared" si="224"/>
      </c>
      <c r="J317" s="92">
        <f t="shared" si="224"/>
      </c>
      <c r="K317" s="92">
        <f t="shared" si="224"/>
      </c>
      <c r="L317" s="92">
        <f t="shared" si="224"/>
      </c>
      <c r="M317" s="92">
        <f t="shared" si="224"/>
      </c>
      <c r="N317" s="92">
        <f t="shared" si="224"/>
      </c>
      <c r="O317" s="92">
        <f t="shared" si="224"/>
      </c>
      <c r="P317" s="92">
        <f t="shared" si="224"/>
      </c>
      <c r="Q317" s="92">
        <f t="shared" si="224"/>
      </c>
      <c r="S317" s="64"/>
    </row>
    <row r="318" ht="14.25" customHeight="true">
      <c r="B318" s="9" t="s">
        <v>216</v>
      </c>
      <c r="C318" s="31"/>
      <c r="D318" s="31"/>
      <c r="E318" s="31"/>
      <c r="F318" s="31"/>
      <c r="G318" s="31"/>
      <c r="H318" s="30">
        <v>0</v>
      </c>
      <c r="I318" s="30">
        <v>0</v>
      </c>
      <c r="J318" s="30">
        <v>0</v>
      </c>
      <c r="K318" s="30">
        <v>0</v>
      </c>
      <c r="L318" s="30">
        <v>0</v>
      </c>
      <c r="M318" s="30">
        <v>0</v>
      </c>
      <c r="N318" s="30">
        <v>0</v>
      </c>
      <c r="O318" s="30">
        <v>0</v>
      </c>
      <c r="P318" s="30">
        <v>0</v>
      </c>
      <c r="Q318" s="30">
        <v>0</v>
      </c>
      <c r="S318" s="76"/>
    </row>
    <row r="319" ht="14.25" customHeight="true">
      <c r="A319" s="18">
        <f>=A317+1</f>
      </c>
      <c r="B319" s="74" t="s">
        <v>55</v>
      </c>
      <c r="C319" s="75">
        <f>=ESF!C27</f>
      </c>
      <c r="D319" s="75">
        <f>=ESF!D27</f>
      </c>
      <c r="E319" s="75">
        <f>=ESF!E27</f>
      </c>
      <c r="F319" s="75">
        <f>=ESF!F27</f>
      </c>
      <c r="G319" s="75">
        <f>=ESF!G27</f>
      </c>
      <c r="H319" s="75">
        <f ref="H319:Q319" t="shared" si="100">=G319+H320</f>
      </c>
      <c r="I319" s="75">
        <f t="shared" si="100"/>
      </c>
      <c r="J319" s="75">
        <f t="shared" si="100"/>
      </c>
      <c r="K319" s="75">
        <f t="shared" si="100"/>
      </c>
      <c r="L319" s="75">
        <f t="shared" si="100"/>
      </c>
      <c r="M319" s="75">
        <f t="shared" si="100"/>
      </c>
      <c r="N319" s="75">
        <f t="shared" si="100"/>
      </c>
      <c r="O319" s="75">
        <f t="shared" si="100"/>
      </c>
      <c r="P319" s="75">
        <f t="shared" si="100"/>
      </c>
      <c r="Q319" s="75">
        <f t="shared" si="100"/>
      </c>
      <c r="S319" s="76"/>
    </row>
    <row r="320" ht="14.25" customHeight="true">
      <c r="B320" s="63" t="s">
        <v>217</v>
      </c>
      <c r="C320" s="54"/>
      <c r="D320" s="54"/>
      <c r="E320" s="54"/>
      <c r="F320" s="54"/>
      <c r="G320" s="54"/>
      <c r="H320" s="55">
        <v>0</v>
      </c>
      <c r="I320" s="55">
        <v>0</v>
      </c>
      <c r="J320" s="55">
        <v>0</v>
      </c>
      <c r="K320" s="55">
        <v>0</v>
      </c>
      <c r="L320" s="55">
        <v>0</v>
      </c>
      <c r="M320" s="55">
        <v>0</v>
      </c>
      <c r="N320" s="55">
        <v>0</v>
      </c>
      <c r="O320" s="55">
        <v>0</v>
      </c>
      <c r="P320" s="55">
        <v>0</v>
      </c>
      <c r="Q320" s="55">
        <v>0</v>
      </c>
      <c r="S320" s="76"/>
    </row>
    <row r="321" ht="14.25" customHeight="true"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S321" s="9"/>
    </row>
    <row r="322" ht="14.25" customHeight="true"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S322" s="9"/>
    </row>
    <row r="323" ht="14.25" customHeight="true">
      <c r="B323" s="21" t="s">
        <v>58</v>
      </c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S323" s="9"/>
    </row>
    <row r="324" ht="14.25" customHeight="true">
      <c r="B324" s="4" t="s">
        <v>59</v>
      </c>
      <c r="C324" s="31"/>
      <c r="D324" s="31"/>
      <c r="E324" s="31"/>
      <c r="F324" s="31"/>
      <c r="G324" s="31"/>
      <c r="S324" s="76"/>
    </row>
    <row r="325" ht="14.25" customHeight="true">
      <c r="A325" s="18">
        <f>=ESF!A36</f>
      </c>
      <c r="B325" s="74" t="s">
        <v>61</v>
      </c>
      <c r="C325" s="75">
        <f>=ESF!C36</f>
      </c>
      <c r="D325" s="75">
        <f>=ESF!D36</f>
      </c>
      <c r="E325" s="75">
        <f>=ESF!E36</f>
      </c>
      <c r="F325" s="75">
        <f>=ESF!F36</f>
      </c>
      <c r="G325" s="75">
        <f>=ESF!G36</f>
      </c>
      <c r="H325" s="75">
        <f>=H326/365*ERI!H$8</f>
      </c>
      <c r="I325" s="75">
        <f>=I326/365*ERI!I$8</f>
      </c>
      <c r="J325" s="75">
        <f>=J326/365*ERI!J$8</f>
      </c>
      <c r="K325" s="75">
        <f>=K326/365*ERI!K$8</f>
      </c>
      <c r="L325" s="75">
        <f>=L326/365*ERI!L$8</f>
      </c>
      <c r="M325" s="75">
        <f>=M326/365*ERI!M$8</f>
      </c>
      <c r="N325" s="75">
        <f>=N326/365*ERI!N$8</f>
      </c>
      <c r="O325" s="75">
        <f>=O326/365*ERI!O$8</f>
      </c>
      <c r="P325" s="75">
        <f>=P326/365*ERI!P$8</f>
      </c>
      <c r="Q325" s="75">
        <f>=Q326/365*ERI!Q$8</f>
      </c>
      <c r="S325" s="76" t="s">
        <v>162</v>
      </c>
    </row>
    <row r="326" ht="14.25" customHeight="true">
      <c r="B326" s="9" t="s">
        <v>164</v>
      </c>
      <c r="C326" s="31">
        <f>=C325/ERI!C$8*365</f>
      </c>
      <c r="D326" s="31">
        <f>=D325/ERI!D$8*365</f>
      </c>
      <c r="E326" s="31">
        <f>=E325/ERI!E$8*365</f>
      </c>
      <c r="F326" s="31">
        <f>=F325/ERI!F$8*365</f>
      </c>
      <c r="G326" s="31">
        <f>=G325/ERI!G$8*365</f>
      </c>
      <c r="H326" s="30">
        <f ref="H326:Q326" t="shared" si="127">=G326</f>
      </c>
      <c r="I326" s="30">
        <f t="shared" si="127"/>
      </c>
      <c r="J326" s="30">
        <f t="shared" si="127"/>
      </c>
      <c r="K326" s="30">
        <f t="shared" si="127"/>
      </c>
      <c r="L326" s="30">
        <f t="shared" si="127"/>
      </c>
      <c r="M326" s="30">
        <f t="shared" si="127"/>
      </c>
      <c r="N326" s="30">
        <f t="shared" si="127"/>
      </c>
      <c r="O326" s="30">
        <f t="shared" si="127"/>
      </c>
      <c r="P326" s="30">
        <f t="shared" si="127"/>
      </c>
      <c r="Q326" s="30">
        <f t="shared" si="127"/>
      </c>
      <c r="S326" s="76"/>
    </row>
    <row r="327" ht="14.25" customHeight="true">
      <c r="A327" s="18">
        <f>=A325+1</f>
      </c>
      <c r="B327" s="74" t="s">
        <v>62</v>
      </c>
      <c r="C327" s="75">
        <f>=ESF!C37</f>
      </c>
      <c r="D327" s="75">
        <f>=ESF!D37</f>
      </c>
      <c r="E327" s="75">
        <f>=ESF!E37</f>
      </c>
      <c r="F327" s="75">
        <f>=ESF!F37</f>
      </c>
      <c r="G327" s="75">
        <f>=ESF!G37</f>
      </c>
      <c r="H327" s="75">
        <f>=ERI!H29</f>
      </c>
      <c r="I327" s="75">
        <f>=ERI!I29</f>
      </c>
      <c r="J327" s="75">
        <f>=ERI!J29</f>
      </c>
      <c r="K327" s="75">
        <f>=ERI!K29</f>
      </c>
      <c r="L327" s="75">
        <f>=ERI!L29</f>
      </c>
      <c r="M327" s="75">
        <f>=ERI!M29</f>
      </c>
      <c r="N327" s="75">
        <f>=ERI!N29</f>
      </c>
      <c r="O327" s="75">
        <f>=ERI!O29</f>
      </c>
      <c r="P327" s="75">
        <f>=ERI!P29</f>
      </c>
      <c r="Q327" s="75">
        <f>=ERI!Q29</f>
      </c>
      <c r="S327" s="76" t="s">
        <v>162</v>
      </c>
    </row>
    <row r="328" ht="14.25" customHeight="true">
      <c r="A328" s="18">
        <f>=A327+1</f>
      </c>
      <c r="B328" s="74" t="s">
        <v>63</v>
      </c>
      <c r="C328" s="75">
        <f>=ESF!C38</f>
      </c>
      <c r="D328" s="75">
        <f>=ESF!D38</f>
      </c>
      <c r="E328" s="75">
        <f>=ESF!E38</f>
      </c>
      <c r="F328" s="75">
        <f>=ESF!F38</f>
      </c>
      <c r="G328" s="75">
        <f>=ESF!G38</f>
      </c>
      <c r="H328" s="75">
        <f ref="H328:Q328" t="shared" si="147">=G328-H329</f>
      </c>
      <c r="I328" s="75">
        <f t="shared" si="147"/>
      </c>
      <c r="J328" s="75">
        <f t="shared" si="147"/>
      </c>
      <c r="K328" s="75">
        <f t="shared" si="147"/>
      </c>
      <c r="L328" s="75">
        <f t="shared" si="147"/>
      </c>
      <c r="M328" s="75">
        <f t="shared" si="147"/>
      </c>
      <c r="N328" s="75">
        <f t="shared" si="147"/>
      </c>
      <c r="O328" s="75">
        <f t="shared" si="147"/>
      </c>
      <c r="P328" s="75">
        <f t="shared" si="147"/>
      </c>
      <c r="Q328" s="75">
        <f t="shared" si="147"/>
      </c>
      <c r="S328" s="76" t="s">
        <v>166</v>
      </c>
    </row>
    <row r="329" ht="14.25" customHeight="true">
      <c r="B329" s="9" t="s">
        <v>218</v>
      </c>
      <c r="C329" s="31"/>
      <c r="D329" s="31"/>
      <c r="E329" s="31"/>
      <c r="F329" s="31"/>
      <c r="G329" s="31"/>
      <c r="H329" s="30">
        <v>0</v>
      </c>
      <c r="I329" s="30">
        <v>0</v>
      </c>
      <c r="J329" s="30">
        <v>0</v>
      </c>
      <c r="K329" s="30">
        <v>0</v>
      </c>
      <c r="L329" s="30">
        <v>0</v>
      </c>
      <c r="M329" s="30">
        <v>0</v>
      </c>
      <c r="N329" s="30">
        <v>0</v>
      </c>
      <c r="O329" s="30">
        <v>0</v>
      </c>
      <c r="P329" s="30">
        <v>0</v>
      </c>
      <c r="Q329" s="30">
        <v>0</v>
      </c>
      <c r="S329" s="76"/>
    </row>
    <row r="330" ht="14.25" customHeight="true">
      <c r="A330" s="18">
        <f>=A328+1</f>
      </c>
      <c r="B330" s="74" t="s">
        <v>64</v>
      </c>
      <c r="C330" s="75">
        <f>=ESF!C39</f>
      </c>
      <c r="D330" s="75">
        <f>=ESF!D39</f>
      </c>
      <c r="E330" s="75">
        <f>=ESF!E39</f>
      </c>
      <c r="F330" s="75">
        <f>=ESF!F39</f>
      </c>
      <c r="G330" s="75">
        <f>=ESF!G39</f>
      </c>
      <c r="H330" s="75">
        <f>=H331/365*ERI!H$8</f>
      </c>
      <c r="I330" s="75">
        <f>=I331/365*ERI!I$8</f>
      </c>
      <c r="J330" s="75">
        <f>=J331/365*ERI!J$8</f>
      </c>
      <c r="K330" s="75">
        <f>=K331/365*ERI!K$8</f>
      </c>
      <c r="L330" s="75">
        <f>=L331/365*ERI!L$8</f>
      </c>
      <c r="M330" s="75">
        <f>=M331/365*ERI!M$8</f>
      </c>
      <c r="N330" s="75">
        <f>=N331/365*ERI!N$8</f>
      </c>
      <c r="O330" s="75">
        <f>=O331/365*ERI!O$8</f>
      </c>
      <c r="P330" s="75">
        <f>=P331/365*ERI!P$8</f>
      </c>
      <c r="Q330" s="75">
        <f>=Q331/365*ERI!Q$8</f>
      </c>
      <c r="S330" s="76" t="s">
        <v>162</v>
      </c>
    </row>
    <row r="331" ht="14.25" customHeight="true">
      <c r="A331" s="36"/>
      <c r="B331" s="37" t="s">
        <v>164</v>
      </c>
      <c r="C331" s="38">
        <f>=C330/ERI!C$8*365</f>
      </c>
      <c r="D331" s="38">
        <f>=D330/ERI!D$8*365</f>
      </c>
      <c r="E331" s="38">
        <f>=E330/ERI!E$8*365</f>
      </c>
      <c r="F331" s="38">
        <f>=F330/ERI!F$8*365</f>
      </c>
      <c r="G331" s="38">
        <f>=G330/ERI!G$8*365</f>
      </c>
      <c r="H331" s="69">
        <f ref="H331:Q331" t="shared" si="161">=G331</f>
      </c>
      <c r="I331" s="69">
        <f t="shared" si="161"/>
      </c>
      <c r="J331" s="69">
        <f t="shared" si="161"/>
      </c>
      <c r="K331" s="69">
        <f t="shared" si="161"/>
      </c>
      <c r="L331" s="69">
        <f t="shared" si="161"/>
      </c>
      <c r="M331" s="69">
        <f t="shared" si="161"/>
      </c>
      <c r="N331" s="69">
        <f t="shared" si="161"/>
      </c>
      <c r="O331" s="69">
        <f t="shared" si="161"/>
      </c>
      <c r="P331" s="69">
        <f t="shared" si="161"/>
      </c>
      <c r="Q331" s="69">
        <f t="shared" si="161"/>
      </c>
      <c r="S331" s="64"/>
    </row>
    <row r="332" ht="14.25" customHeight="true">
      <c r="A332" s="36">
        <f>=A330+1</f>
      </c>
      <c r="B332" s="91" t="s">
        <v>65</v>
      </c>
      <c r="C332" s="92">
        <f>=ESF!C40</f>
      </c>
      <c r="D332" s="92">
        <f>=ESF!D40</f>
      </c>
      <c r="E332" s="92">
        <f>=ESF!E40</f>
      </c>
      <c r="F332" s="92">
        <f>=ESF!F40</f>
      </c>
      <c r="G332" s="92">
        <f>=ESF!G40</f>
      </c>
      <c r="H332" s="92">
        <f>=H333/365*ERI!H$8</f>
      </c>
      <c r="I332" s="92">
        <f>=I333/365*ERI!I$8</f>
      </c>
      <c r="J332" s="92">
        <f>=J333/365*ERI!J$8</f>
      </c>
      <c r="K332" s="92">
        <f>=K333/365*ERI!K$8</f>
      </c>
      <c r="L332" s="92">
        <f>=L333/365*ERI!L$8</f>
      </c>
      <c r="M332" s="92">
        <f>=M333/365*ERI!M$8</f>
      </c>
      <c r="N332" s="92">
        <f>=N333/365*ERI!N$8</f>
      </c>
      <c r="O332" s="92">
        <f>=O333/365*ERI!O$8</f>
      </c>
      <c r="P332" s="92">
        <f>=P333/365*ERI!P$8</f>
      </c>
      <c r="Q332" s="92">
        <f>=Q333/365*ERI!Q$8</f>
      </c>
      <c r="S332" s="64" t="s">
        <v>166</v>
      </c>
    </row>
    <row r="333" ht="14.25" customHeight="true">
      <c r="A333" s="36"/>
      <c r="B333" s="70" t="s">
        <v>164</v>
      </c>
      <c r="C333" s="93">
        <f>=C332/ERI!C$8*365</f>
      </c>
      <c r="D333" s="93">
        <f>=D332/ERI!D$8*365</f>
      </c>
      <c r="E333" s="93">
        <f>=E332/ERI!E$8*365</f>
      </c>
      <c r="F333" s="93">
        <f>=F332/ERI!F$8*365</f>
      </c>
      <c r="G333" s="93">
        <f>=G332/ERI!G$8*365</f>
      </c>
      <c r="H333" s="71">
        <f ref="H333:Q333" t="shared" si="105">=G333</f>
      </c>
      <c r="I333" s="71">
        <f t="shared" si="105"/>
      </c>
      <c r="J333" s="71">
        <f t="shared" si="105"/>
      </c>
      <c r="K333" s="71">
        <f t="shared" si="105"/>
      </c>
      <c r="L333" s="71">
        <f t="shared" si="105"/>
      </c>
      <c r="M333" s="71">
        <f t="shared" si="105"/>
      </c>
      <c r="N333" s="71">
        <f t="shared" si="105"/>
      </c>
      <c r="O333" s="71">
        <f t="shared" si="105"/>
      </c>
      <c r="P333" s="71">
        <f t="shared" si="105"/>
      </c>
      <c r="Q333" s="71">
        <f t="shared" si="105"/>
      </c>
      <c r="S333" s="64"/>
    </row>
    <row r="334" ht="14.25" customHeight="true">
      <c r="B334" s="9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S334" s="76"/>
    </row>
    <row r="335" ht="14.25" customHeight="true">
      <c r="A335" s="18"/>
      <c r="B335" s="4" t="s">
        <v>67</v>
      </c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S335" s="45"/>
    </row>
    <row r="336" ht="14.25" customHeight="true">
      <c r="A336" s="18">
        <f>=A332+1</f>
      </c>
      <c r="B336" s="74" t="s">
        <v>68</v>
      </c>
      <c r="C336" s="75">
        <f>=ESF!C44</f>
      </c>
      <c r="D336" s="75">
        <f>=ESF!D44</f>
      </c>
      <c r="E336" s="75">
        <f>=ESF!E44</f>
      </c>
      <c r="F336" s="75">
        <f>=ESF!F44</f>
      </c>
      <c r="G336" s="75">
        <f>=ESF!G44</f>
      </c>
      <c r="H336" s="75">
        <f ref="H336:Q336" t="shared" si="130">=H56+H64+H78+H87</f>
      </c>
      <c r="I336" s="75">
        <f t="shared" si="130"/>
      </c>
      <c r="J336" s="75">
        <f t="shared" si="130"/>
      </c>
      <c r="K336" s="75">
        <f t="shared" si="130"/>
      </c>
      <c r="L336" s="75">
        <f t="shared" si="130"/>
      </c>
      <c r="M336" s="75">
        <f t="shared" si="130"/>
      </c>
      <c r="N336" s="75">
        <f t="shared" si="130"/>
      </c>
      <c r="O336" s="75">
        <f t="shared" si="130"/>
      </c>
      <c r="P336" s="75">
        <f t="shared" si="130"/>
      </c>
      <c r="Q336" s="75">
        <f t="shared" si="130"/>
      </c>
      <c r="S336" s="76"/>
    </row>
    <row r="337" ht="14.25" customHeight="true">
      <c r="A337" s="18">
        <f>=A336+1</f>
      </c>
      <c r="B337" s="77" t="s">
        <v>69</v>
      </c>
      <c r="C337" s="78">
        <f>=ESF!C45</f>
      </c>
      <c r="D337" s="78">
        <f>=ESF!D45</f>
      </c>
      <c r="E337" s="78">
        <f>=ESF!E45</f>
      </c>
      <c r="F337" s="78">
        <f>=ESF!F45</f>
      </c>
      <c r="G337" s="78">
        <f>=ESF!G45</f>
      </c>
      <c r="H337" s="79">
        <v>0</v>
      </c>
      <c r="I337" s="79">
        <v>0</v>
      </c>
      <c r="J337" s="79">
        <v>0</v>
      </c>
      <c r="K337" s="79">
        <v>0</v>
      </c>
      <c r="L337" s="79">
        <v>0</v>
      </c>
      <c r="M337" s="79">
        <v>0</v>
      </c>
      <c r="N337" s="79">
        <v>0</v>
      </c>
      <c r="O337" s="79">
        <v>0</v>
      </c>
      <c r="P337" s="79">
        <v>0</v>
      </c>
      <c r="Q337" s="79">
        <v>0</v>
      </c>
      <c r="S337" s="76"/>
    </row>
    <row r="338" ht="14.25" customHeight="true">
      <c r="A338" s="18"/>
      <c r="B338" s="9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S338" s="76"/>
    </row>
    <row r="339" ht="14.25" customHeight="true">
      <c r="A339" s="18"/>
      <c r="B339" s="21" t="s">
        <v>72</v>
      </c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S339" s="45"/>
    </row>
    <row r="340" ht="14.25" customHeight="true">
      <c r="A340" s="18">
        <f>=A337+1</f>
      </c>
      <c r="B340" s="74" t="s">
        <v>73</v>
      </c>
      <c r="C340" s="75">
        <f>=ESF!C51</f>
      </c>
      <c r="D340" s="75">
        <f>=ESF!D51</f>
      </c>
      <c r="E340" s="75">
        <f>=ESF!E51</f>
      </c>
      <c r="F340" s="75">
        <f>=ESF!F51</f>
      </c>
      <c r="G340" s="75">
        <f>=ESF!G51</f>
      </c>
      <c r="H340" s="75">
        <f ref="H340:Q340" t="shared" si="176">=G340+H341</f>
      </c>
      <c r="I340" s="75">
        <f t="shared" si="176"/>
      </c>
      <c r="J340" s="75">
        <f t="shared" si="176"/>
      </c>
      <c r="K340" s="75">
        <f t="shared" si="176"/>
      </c>
      <c r="L340" s="75">
        <f t="shared" si="176"/>
      </c>
      <c r="M340" s="75">
        <f t="shared" si="176"/>
      </c>
      <c r="N340" s="75">
        <f t="shared" si="176"/>
      </c>
      <c r="O340" s="75">
        <f t="shared" si="176"/>
      </c>
      <c r="P340" s="75">
        <f t="shared" si="176"/>
      </c>
      <c r="Q340" s="75">
        <f t="shared" si="176"/>
      </c>
      <c r="S340" s="76"/>
    </row>
    <row r="341" ht="14.25" customHeight="true">
      <c r="A341" s="18"/>
      <c r="B341" s="9" t="s">
        <v>219</v>
      </c>
      <c r="C341" s="31"/>
      <c r="D341" s="31"/>
      <c r="E341" s="31"/>
      <c r="F341" s="31"/>
      <c r="G341" s="31"/>
      <c r="H341" s="30">
        <v>0</v>
      </c>
      <c r="I341" s="30">
        <v>0</v>
      </c>
      <c r="J341" s="30">
        <v>0</v>
      </c>
      <c r="K341" s="30">
        <v>0</v>
      </c>
      <c r="L341" s="30">
        <v>0</v>
      </c>
      <c r="M341" s="30">
        <v>0</v>
      </c>
      <c r="N341" s="30">
        <v>0</v>
      </c>
      <c r="O341" s="30">
        <v>0</v>
      </c>
      <c r="P341" s="30">
        <v>0</v>
      </c>
      <c r="Q341" s="30">
        <v>0</v>
      </c>
      <c r="R341" s="60"/>
      <c r="S341" s="76"/>
    </row>
    <row r="342" ht="14.25" customHeight="true">
      <c r="A342" s="18">
        <f>=A340+1</f>
      </c>
      <c r="B342" s="74" t="s">
        <v>74</v>
      </c>
      <c r="C342" s="75">
        <f>=ESF!C52</f>
      </c>
      <c r="D342" s="75">
        <f>=ESF!D52</f>
      </c>
      <c r="E342" s="75">
        <f>=ESF!E52</f>
      </c>
      <c r="F342" s="75">
        <f>=ESF!F52</f>
      </c>
      <c r="G342" s="75">
        <f>=ESF!G52</f>
      </c>
      <c r="H342" s="75">
        <f ref="H342:Q342" t="shared" si="116">=G342+H343</f>
      </c>
      <c r="I342" s="75">
        <f t="shared" si="116"/>
      </c>
      <c r="J342" s="75">
        <f t="shared" si="116"/>
      </c>
      <c r="K342" s="75">
        <f t="shared" si="116"/>
      </c>
      <c r="L342" s="75">
        <f t="shared" si="116"/>
      </c>
      <c r="M342" s="75">
        <f t="shared" si="116"/>
      </c>
      <c r="N342" s="75">
        <f t="shared" si="116"/>
      </c>
      <c r="O342" s="75">
        <f t="shared" si="116"/>
      </c>
      <c r="P342" s="75">
        <f t="shared" si="116"/>
      </c>
      <c r="Q342" s="75">
        <f t="shared" si="116"/>
      </c>
      <c r="S342" s="76"/>
    </row>
    <row r="343" ht="14.25" customHeight="true">
      <c r="A343" s="18"/>
      <c r="B343" s="9" t="s">
        <v>220</v>
      </c>
      <c r="C343" s="31"/>
      <c r="D343" s="31"/>
      <c r="E343" s="31"/>
      <c r="F343" s="31"/>
      <c r="G343" s="31"/>
      <c r="H343" s="31">
        <f>=ERI!G30*H344</f>
      </c>
      <c r="I343" s="31">
        <f>=ERI!H30*I344</f>
      </c>
      <c r="J343" s="31">
        <f>=ERI!I30*J344</f>
      </c>
      <c r="K343" s="31">
        <f>=ERI!J30*K344</f>
      </c>
      <c r="L343" s="31">
        <f>=ERI!K30*L344</f>
      </c>
      <c r="M343" s="31">
        <f>=ERI!L30*M344</f>
      </c>
      <c r="N343" s="31">
        <f>=ERI!M30*N344</f>
      </c>
      <c r="O343" s="31">
        <f>=ERI!N30*O344</f>
      </c>
      <c r="P343" s="31">
        <f>=ERI!O30*P344</f>
      </c>
      <c r="Q343" s="31">
        <f>=ERI!P30*Q344</f>
      </c>
      <c r="S343" s="76"/>
    </row>
    <row r="344" ht="14.25" customHeight="true">
      <c r="A344" s="18"/>
      <c r="B344" s="9" t="s">
        <v>221</v>
      </c>
      <c r="C344" s="31"/>
      <c r="D344" s="31"/>
      <c r="E344" s="31"/>
      <c r="F344" s="31"/>
      <c r="G344" s="31"/>
      <c r="H344" s="30">
        <v>0.1</v>
      </c>
      <c r="I344" s="30">
        <f>=+H344</f>
      </c>
      <c r="J344" s="30">
        <f ref="J344:Q345" t="shared" si="233">=+I344</f>
      </c>
      <c r="K344" s="30">
        <f t="shared" si="233"/>
      </c>
      <c r="L344" s="30">
        <f t="shared" si="233"/>
      </c>
      <c r="M344" s="30">
        <f t="shared" si="233"/>
      </c>
      <c r="N344" s="30">
        <f t="shared" si="233"/>
      </c>
      <c r="O344" s="30">
        <f t="shared" si="233"/>
      </c>
      <c r="P344" s="30">
        <f t="shared" si="233"/>
      </c>
      <c r="Q344" s="30">
        <f t="shared" si="233"/>
      </c>
      <c r="S344" s="76"/>
    </row>
    <row r="345" ht="14.25" customHeight="true">
      <c r="A345" s="18">
        <f>=A342+1</f>
      </c>
      <c r="B345" s="74" t="s">
        <v>75</v>
      </c>
      <c r="C345" s="75">
        <f>=ESF!C53</f>
      </c>
      <c r="D345" s="75">
        <f>=ESF!D53</f>
      </c>
      <c r="E345" s="75">
        <f>=ESF!E53</f>
      </c>
      <c r="F345" s="75">
        <f>=ESF!F53</f>
      </c>
      <c r="G345" s="75">
        <f>=ESF!G53</f>
      </c>
      <c r="H345" s="75">
        <f>=+G345</f>
      </c>
      <c r="I345" s="75">
        <f>=+H345</f>
      </c>
      <c r="J345" s="75">
        <f t="shared" si="233"/>
      </c>
      <c r="K345" s="75">
        <f t="shared" si="233"/>
      </c>
      <c r="L345" s="75">
        <f t="shared" si="233"/>
      </c>
      <c r="M345" s="75">
        <f t="shared" si="233"/>
      </c>
      <c r="N345" s="75">
        <f t="shared" si="233"/>
      </c>
      <c r="O345" s="75">
        <f t="shared" si="233"/>
      </c>
      <c r="P345" s="75">
        <f t="shared" si="233"/>
      </c>
      <c r="Q345" s="75">
        <f t="shared" si="233"/>
      </c>
      <c r="S345" s="76"/>
    </row>
    <row r="346" ht="14.25" customHeight="true">
      <c r="A346" s="18">
        <f>=A345+1</f>
      </c>
      <c r="B346" s="74" t="s">
        <v>76</v>
      </c>
      <c r="C346" s="75">
        <f>=ESF!C54</f>
      </c>
      <c r="D346" s="75">
        <f>=ESF!D54</f>
      </c>
      <c r="E346" s="75">
        <f>=ESF!E54</f>
      </c>
      <c r="F346" s="75">
        <f>=ESF!F54</f>
      </c>
      <c r="G346" s="75">
        <f>=ESF!G54</f>
      </c>
      <c r="H346" s="75">
        <f ref="H346:Q346" t="shared" si="162">=G346+G348-H347-H343</f>
      </c>
      <c r="I346" s="75">
        <f t="shared" si="162"/>
      </c>
      <c r="J346" s="75">
        <f t="shared" si="162"/>
      </c>
      <c r="K346" s="75">
        <f t="shared" si="162"/>
      </c>
      <c r="L346" s="75">
        <f t="shared" si="162"/>
      </c>
      <c r="M346" s="75">
        <f t="shared" si="162"/>
      </c>
      <c r="N346" s="75">
        <f t="shared" si="162"/>
      </c>
      <c r="O346" s="75">
        <f t="shared" si="162"/>
      </c>
      <c r="P346" s="75">
        <f t="shared" si="162"/>
      </c>
      <c r="Q346" s="75">
        <f t="shared" si="162"/>
      </c>
      <c r="S346" s="76"/>
    </row>
    <row r="347" ht="14.25" customHeight="true">
      <c r="A347" s="18"/>
      <c r="B347" s="9" t="s">
        <v>222</v>
      </c>
      <c r="C347" s="31"/>
      <c r="D347" s="31"/>
      <c r="E347" s="31"/>
      <c r="F347" s="31"/>
      <c r="G347" s="31"/>
      <c r="H347" s="30">
        <v>0</v>
      </c>
      <c r="I347" s="30">
        <v>0</v>
      </c>
      <c r="J347" s="30">
        <v>0</v>
      </c>
      <c r="K347" s="30">
        <v>0</v>
      </c>
      <c r="L347" s="30">
        <v>0</v>
      </c>
      <c r="M347" s="30">
        <v>0</v>
      </c>
      <c r="N347" s="30">
        <v>0</v>
      </c>
      <c r="O347" s="30">
        <v>0</v>
      </c>
      <c r="P347" s="30">
        <v>0</v>
      </c>
      <c r="Q347" s="30">
        <v>0</v>
      </c>
      <c r="R347" s="60"/>
      <c r="S347" s="76"/>
    </row>
    <row r="348" ht="14.25" customHeight="true">
      <c r="A348" s="18">
        <f>=A346+1</f>
      </c>
      <c r="B348" s="74" t="s">
        <v>77</v>
      </c>
      <c r="C348" s="75">
        <f>=ESF!C55</f>
      </c>
      <c r="D348" s="75">
        <f>=ESF!D55</f>
      </c>
      <c r="E348" s="75">
        <f>=ESF!E55</f>
      </c>
      <c r="F348" s="75">
        <f>=ESF!F55</f>
      </c>
      <c r="G348" s="75">
        <f>=ESF!G55</f>
      </c>
      <c r="H348" s="75">
        <f>=ERI!H30</f>
      </c>
      <c r="I348" s="75">
        <f>=ERI!I30</f>
      </c>
      <c r="J348" s="75">
        <f>=ERI!J30</f>
      </c>
      <c r="K348" s="75">
        <f>=ERI!K30</f>
      </c>
      <c r="L348" s="75">
        <f>=ERI!L30</f>
      </c>
      <c r="M348" s="75">
        <f>=ERI!M30</f>
      </c>
      <c r="N348" s="75">
        <f>=ERI!N30</f>
      </c>
      <c r="O348" s="75">
        <f>=ERI!O30</f>
      </c>
      <c r="P348" s="75">
        <f>=ERI!P30</f>
      </c>
      <c r="Q348" s="75">
        <f>=ERI!Q30</f>
      </c>
      <c r="S348" s="76"/>
    </row>
    <row r="349" ht="14.25" customHeight="true">
      <c r="S349" s="76"/>
    </row>
    <row r="350" ht="14.25" customHeight="true">
      <c r="S350" s="76"/>
    </row>
  </sheetData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/>
  <dimension ref="A1"/>
  <sheetViews>
    <sheetView showGridLines="0" tabSelected="0" workbookViewId="0">
      <pane xSplit="4" ySplit="5" topLeftCell="E6" activePane="bottomRight" state="frozen"/>
      <selection activeCell="A1" sqref="A1"/>
    </sheetView>
  </sheetViews>
  <sheetFormatPr defaultRowHeight="14.25" customHeight="1" defaultColWidth="8.34"/>
  <cols>
    <col min="1" max="3" width="3.92" customWidth="1" hidden="0"/>
    <col min="4" max="4" width="41.58" customWidth="1" hidden="0"/>
    <col min="5" max="5" width="3.43" customWidth="1" hidden="0"/>
    <col min="6" max="15" width="12.39" customWidth="1" hidden="0"/>
    <col min="16" max="16384" width="8.34" customWidth="1" hidden="0"/>
  </cols>
  <sheetData>
    <row r="2" ht="14.25" customHeight="true">
      <c r="A2" s="17" t="s">
        <v>13</v>
      </c>
      <c r="B2" s="12" t="s">
        <v>223</v>
      </c>
    </row>
    <row r="3" ht="14.25" customHeight="true">
      <c r="B3" s="8">
        <f>=COVER!$H$15</f>
      </c>
    </row>
    <row r="5" ht="14.25" customHeight="true">
      <c r="B5" s="94">
        <f>=+ERI!B5</f>
      </c>
      <c r="C5" s="20"/>
      <c r="D5" s="20"/>
      <c r="E5" s="20"/>
      <c r="F5" s="20">
        <f>=+ERI!H5</f>
      </c>
      <c r="G5" s="20">
        <f>=+ERI!I5</f>
      </c>
      <c r="H5" s="20">
        <f>=+ERI!J5</f>
      </c>
      <c r="I5" s="20">
        <f>=+ERI!K5</f>
      </c>
      <c r="J5" s="20">
        <f>=+ERI!L5</f>
      </c>
      <c r="K5" s="20">
        <f>=+ERI!M5</f>
      </c>
      <c r="L5" s="20">
        <f>=+ERI!N5</f>
      </c>
      <c r="M5" s="20">
        <f>=+ERI!O5</f>
      </c>
      <c r="N5" s="20">
        <f>=+ERI!P5</f>
      </c>
      <c r="O5" s="20">
        <f>=+ERI!Q5</f>
      </c>
    </row>
    <row r="7" ht="14.25" customHeight="true">
      <c r="B7" s="95" t="s">
        <v>224</v>
      </c>
    </row>
    <row r="8" ht="14.25" customHeight="true">
      <c r="B8" s="8"/>
      <c r="C8" s="8" t="s">
        <v>225</v>
      </c>
      <c r="D8" s="8"/>
      <c r="E8" s="8"/>
      <c r="F8" s="8">
        <f>=+ERI!H18</f>
      </c>
      <c r="G8" s="8">
        <f>=+ERI!I18</f>
      </c>
      <c r="H8" s="8">
        <f>=+ERI!J18</f>
      </c>
      <c r="I8" s="8">
        <f>=+ERI!K18</f>
      </c>
      <c r="J8" s="8">
        <f>=+ERI!L18</f>
      </c>
      <c r="K8" s="8">
        <f>=+ERI!M18</f>
      </c>
      <c r="L8" s="8">
        <f>=+ERI!N18</f>
      </c>
      <c r="M8" s="8">
        <f>=+ERI!O18</f>
      </c>
      <c r="N8" s="8">
        <f>=+ERI!P18</f>
      </c>
      <c r="O8" s="8">
        <f>=+ERI!Q18</f>
      </c>
    </row>
    <row r="9" ht="14.25" customHeight="true">
      <c r="D9" s="96" t="s">
        <v>226</v>
      </c>
      <c r="F9" s="8">
        <f>=-((ESF!H9+ESF!H11+ESF!H12+ESF!H13+ESF!H14+ESF!H15)-(ESF!G9+ESF!G11+ESF!G12+ESF!G13+ESF!G14+ESF!G15))</f>
      </c>
      <c r="G9" s="8">
        <f>=-((ESF!I9+ESF!I11+ESF!I12+ESF!I13+ESF!I14+ESF!I15)-(ESF!H9+ESF!H11+ESF!H12+ESF!H13+ESF!H14+ESF!H15))</f>
      </c>
      <c r="H9" s="8">
        <f>=-((ESF!J9+ESF!J11+ESF!J12+ESF!J13+ESF!J14+ESF!J15)-(ESF!I9+ESF!I11+ESF!I12+ESF!I13+ESF!I14+ESF!I15))</f>
      </c>
      <c r="I9" s="8">
        <f>=-((ESF!K9+ESF!K11+ESF!K12+ESF!K13+ESF!K14+ESF!K15)-(ESF!J9+ESF!J11+ESF!J12+ESF!J13+ESF!J14+ESF!J15))</f>
      </c>
      <c r="J9" s="8">
        <f>=-((ESF!L9+ESF!L11+ESF!L12+ESF!L13+ESF!L14+ESF!L15)-(ESF!K9+ESF!K11+ESF!K12+ESF!K13+ESF!K14+ESF!K15))</f>
      </c>
      <c r="K9" s="8">
        <f>=-((ESF!M9+ESF!M11+ESF!M12+ESF!M13+ESF!M14+ESF!M15)-(ESF!L9+ESF!L11+ESF!L12+ESF!L13+ESF!L14+ESF!L15))</f>
      </c>
      <c r="L9" s="8">
        <f>=-((ESF!N9+ESF!N11+ESF!N12+ESF!N13+ESF!N14+ESF!N15)-(ESF!M9+ESF!M11+ESF!M12+ESF!M13+ESF!M14+ESF!M15))</f>
      </c>
      <c r="M9" s="8">
        <f>=-((ESF!O9+ESF!O11+ESF!O12+ESF!O13+ESF!O14+ESF!O15)-(ESF!N9+ESF!N11+ESF!N12+ESF!N13+ESF!N14+ESF!N15))</f>
      </c>
      <c r="N9" s="8">
        <f>=-((ESF!P9+ESF!P11+ESF!P12+ESF!P13+ESF!P14+ESF!P15)-(ESF!O9+ESF!O11+ESF!O12+ESF!O13+ESF!O14+ESF!O15))</f>
      </c>
      <c r="O9" s="8">
        <f>=-((ESF!Q9+ESF!Q11+ESF!Q12+ESF!Q13+ESF!Q14+ESF!Q15)-(ESF!P9+ESF!P11+ESF!P12+ESF!P13+ESF!P14+ESF!P15))</f>
      </c>
    </row>
    <row r="10" ht="14.25" customHeight="true">
      <c r="D10" s="96" t="s">
        <v>227</v>
      </c>
      <c r="F10" s="8">
        <f>=+(ESF!H36+ESF!H37+ESF!H38+ESF!H39+ESF!H40)-(ESF!G36+ESF!G37+ESF!G38+ESF!G39+ESF!G40)</f>
      </c>
      <c r="G10" s="8">
        <f>=+(ESF!I36+ESF!I37+ESF!I38+ESF!I39+ESF!I40)-(ESF!H36+ESF!H37+ESF!H38+ESF!H39+ESF!H40)</f>
      </c>
      <c r="H10" s="8">
        <f>=+(ESF!J36+ESF!J37+ESF!J38+ESF!J39+ESF!J40)-(ESF!I36+ESF!I37+ESF!I38+ESF!I39+ESF!I40)</f>
      </c>
      <c r="I10" s="8">
        <f>=+(ESF!K36+ESF!K37+ESF!K38+ESF!K39+ESF!K40)-(ESF!J36+ESF!J37+ESF!J38+ESF!J39+ESF!J40)</f>
      </c>
      <c r="J10" s="8">
        <f>=+(ESF!L36+ESF!L37+ESF!L38+ESF!L39+ESF!L40)-(ESF!K36+ESF!K37+ESF!K38+ESF!K39+ESF!K40)</f>
      </c>
      <c r="K10" s="8">
        <f>=+(ESF!M36+ESF!M37+ESF!M38+ESF!M39+ESF!M40)-(ESF!L36+ESF!L37+ESF!L38+ESF!L39+ESF!L40)</f>
      </c>
      <c r="L10" s="8">
        <f>=+(ESF!N36+ESF!N37+ESF!N38+ESF!N39+ESF!N40)-(ESF!M36+ESF!M37+ESF!M38+ESF!M39+ESF!M40)</f>
      </c>
      <c r="M10" s="8">
        <f>=+(ESF!O36+ESF!O37+ESF!O38+ESF!O39+ESF!O40)-(ESF!N36+ESF!N37+ESF!N38+ESF!N39+ESF!N40)</f>
      </c>
      <c r="N10" s="8">
        <f>=+(ESF!P36+ESF!P37+ESF!P38+ESF!P39+ESF!P40)-(ESF!O36+ESF!O37+ESF!O38+ESF!O39+ESF!O40)</f>
      </c>
      <c r="O10" s="8">
        <f>=+(ESF!Q36+ESF!Q37+ESF!Q38+ESF!Q39+ESF!Q40)-(ESF!P36+ESF!P37+ESF!P38+ESF!P39+ESF!P40)</f>
      </c>
    </row>
    <row r="11" ht="14.25" customHeight="true">
      <c r="B11" s="8"/>
      <c r="C11" s="8" t="s">
        <v>228</v>
      </c>
      <c r="D11" s="8"/>
      <c r="E11" s="60"/>
      <c r="F11" s="8">
        <f>=+SUM(F9:F10)</f>
      </c>
      <c r="G11" s="8">
        <f ref="G11:O11" t="shared" si="272">=+SUM(G9:G10)</f>
      </c>
      <c r="H11" s="8">
        <f t="shared" si="272"/>
      </c>
      <c r="I11" s="8">
        <f t="shared" si="272"/>
      </c>
      <c r="J11" s="8">
        <f t="shared" si="272"/>
      </c>
      <c r="K11" s="8">
        <f t="shared" si="272"/>
      </c>
      <c r="L11" s="8">
        <f t="shared" si="272"/>
      </c>
      <c r="M11" s="8">
        <f t="shared" si="272"/>
      </c>
      <c r="N11" s="8">
        <f t="shared" si="272"/>
      </c>
      <c r="O11" s="8">
        <f t="shared" si="272"/>
      </c>
    </row>
    <row r="12" ht="14.25" customHeight="true">
      <c r="B12" s="8"/>
      <c r="C12" s="8" t="s">
        <v>32</v>
      </c>
      <c r="D12" s="8"/>
      <c r="E12" s="60"/>
      <c r="F12" s="8">
        <f>=-ERI!H29</f>
      </c>
      <c r="G12" s="8">
        <f>=-ERI!I29</f>
      </c>
      <c r="H12" s="8">
        <f>=-ERI!J29</f>
      </c>
      <c r="I12" s="8">
        <f>=-ERI!K29</f>
      </c>
      <c r="J12" s="8">
        <f>=-ERI!L29</f>
      </c>
      <c r="K12" s="8">
        <f>=-ERI!M29</f>
      </c>
      <c r="L12" s="8">
        <f>=-ERI!N29</f>
      </c>
      <c r="M12" s="8">
        <f>=-ERI!O29</f>
      </c>
      <c r="N12" s="8">
        <f>=-ERI!P29</f>
      </c>
      <c r="O12" s="8">
        <f>=-ERI!Q29</f>
      </c>
    </row>
    <row r="13" ht="14.25" customHeight="true">
      <c r="B13" s="8"/>
      <c r="C13" s="8"/>
      <c r="D13" s="8"/>
      <c r="E13" s="60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ht="14.25" customHeight="true">
      <c r="B14" s="97" t="s">
        <v>229</v>
      </c>
      <c r="C14" s="25"/>
      <c r="D14" s="25"/>
      <c r="E14" s="98"/>
      <c r="F14" s="97">
        <f>=+F8+F11+F12</f>
      </c>
      <c r="G14" s="97">
        <f ref="G14:O14" t="shared" si="268">=+G8+G11+G12</f>
      </c>
      <c r="H14" s="97">
        <f t="shared" si="268"/>
      </c>
      <c r="I14" s="97">
        <f t="shared" si="268"/>
      </c>
      <c r="J14" s="97">
        <f t="shared" si="268"/>
      </c>
      <c r="K14" s="97">
        <f t="shared" si="268"/>
      </c>
      <c r="L14" s="97">
        <f t="shared" si="268"/>
      </c>
      <c r="M14" s="97">
        <f t="shared" si="268"/>
      </c>
      <c r="N14" s="97">
        <f t="shared" si="268"/>
      </c>
      <c r="O14" s="97">
        <f t="shared" si="268"/>
      </c>
    </row>
    <row r="15" ht="14.25" customHeight="true">
      <c r="B15" s="8"/>
      <c r="C15" s="8"/>
      <c r="D15" s="8"/>
      <c r="E15" s="60"/>
      <c r="F15" s="8"/>
      <c r="G15" s="8"/>
      <c r="H15" s="8"/>
      <c r="I15" s="8"/>
      <c r="J15" s="8"/>
      <c r="K15" s="8"/>
      <c r="L15" s="8"/>
      <c r="M15" s="8"/>
      <c r="N15" s="8"/>
      <c r="O15" s="8"/>
    </row>
    <row r="16" ht="14.25" customHeight="true">
      <c r="B16" s="8"/>
      <c r="C16" s="8" t="s">
        <v>230</v>
      </c>
      <c r="D16" s="8"/>
      <c r="E16" s="60"/>
      <c r="F16" s="8">
        <f>=-'Supuestos Proyeccion'!H156</f>
      </c>
      <c r="G16" s="8">
        <f>=-'Supuestos Proyeccion'!I156</f>
      </c>
      <c r="H16" s="8">
        <f>=-'Supuestos Proyeccion'!J156</f>
      </c>
      <c r="I16" s="8">
        <f>=-'Supuestos Proyeccion'!K156</f>
      </c>
      <c r="J16" s="8">
        <f>=-'Supuestos Proyeccion'!L156</f>
      </c>
      <c r="K16" s="8">
        <f>=-'Supuestos Proyeccion'!M156</f>
      </c>
      <c r="L16" s="8">
        <f>=-'Supuestos Proyeccion'!N156</f>
      </c>
      <c r="M16" s="8">
        <f>=-'Supuestos Proyeccion'!O156</f>
      </c>
      <c r="N16" s="8">
        <f>=-'Supuestos Proyeccion'!P156</f>
      </c>
      <c r="O16" s="8">
        <f>=-'Supuestos Proyeccion'!Q156</f>
      </c>
    </row>
    <row r="17" ht="14.25" customHeight="true">
      <c r="B17" s="8"/>
      <c r="C17" s="8" t="s">
        <v>53</v>
      </c>
      <c r="D17" s="8"/>
      <c r="E17" s="60"/>
      <c r="F17" s="8">
        <f>=-(ESF!H25-ESF!G25)</f>
      </c>
      <c r="G17" s="8">
        <f>=-(ESF!I25-ESF!H25)</f>
      </c>
      <c r="H17" s="8">
        <f>=-(ESF!J25-ESF!I25)</f>
      </c>
      <c r="I17" s="8">
        <f>=-(ESF!K25-ESF!J25)</f>
      </c>
      <c r="J17" s="8">
        <f>=-(ESF!L25-ESF!K25)</f>
      </c>
      <c r="K17" s="8">
        <f>=-(ESF!M25-ESF!L25)</f>
      </c>
      <c r="L17" s="8">
        <f>=-(ESF!N25-ESF!M25)</f>
      </c>
      <c r="M17" s="8">
        <f>=-(ESF!O25-ESF!N25)</f>
      </c>
      <c r="N17" s="8">
        <f>=-(ESF!P25-ESF!O25)</f>
      </c>
      <c r="O17" s="8">
        <f>=-(ESF!Q25-ESF!P25)</f>
      </c>
    </row>
    <row r="18" ht="14.25" customHeight="true">
      <c r="B18" s="8"/>
      <c r="C18" s="8" t="s">
        <v>55</v>
      </c>
      <c r="D18" s="8"/>
      <c r="E18" s="60"/>
      <c r="F18" s="8">
        <f>=-(ESF!H27-ESF!G27)</f>
      </c>
      <c r="G18" s="8">
        <f>=-(ESF!I27-ESF!H27)</f>
      </c>
      <c r="H18" s="8">
        <f>=-(ESF!J27-ESF!I27)</f>
      </c>
      <c r="I18" s="8">
        <f>=-(ESF!K27-ESF!J27)</f>
      </c>
      <c r="J18" s="8">
        <f>=-(ESF!L27-ESF!K27)</f>
      </c>
      <c r="K18" s="8">
        <f>=-(ESF!M27-ESF!L27)</f>
      </c>
      <c r="L18" s="8">
        <f>=-(ESF!N27-ESF!M27)</f>
      </c>
      <c r="M18" s="8">
        <f>=-(ESF!O27-ESF!N27)</f>
      </c>
      <c r="N18" s="8">
        <f>=-(ESF!P27-ESF!O27)</f>
      </c>
      <c r="O18" s="8">
        <f>=-(ESF!Q27-ESF!P27)</f>
      </c>
    </row>
    <row r="19" ht="14.25" customHeight="true">
      <c r="B19" s="8"/>
      <c r="C19" s="8"/>
      <c r="D19" s="8"/>
      <c r="E19" s="60"/>
      <c r="F19" s="8"/>
      <c r="G19" s="8"/>
      <c r="H19" s="8"/>
      <c r="I19" s="8"/>
      <c r="J19" s="8"/>
      <c r="K19" s="8"/>
      <c r="L19" s="8"/>
      <c r="M19" s="8"/>
      <c r="N19" s="8"/>
      <c r="O19" s="8"/>
    </row>
    <row r="20" ht="14.25" customHeight="true">
      <c r="B20" s="97" t="s">
        <v>231</v>
      </c>
      <c r="C20" s="25"/>
      <c r="D20" s="25"/>
      <c r="E20" s="98"/>
      <c r="F20" s="97">
        <f>=+SUM(F16:F19)</f>
      </c>
      <c r="G20" s="97">
        <f ref="G20:O20" t="shared" si="269">=+SUM(G16:G19)</f>
      </c>
      <c r="H20" s="97">
        <f t="shared" si="269"/>
      </c>
      <c r="I20" s="97">
        <f t="shared" si="269"/>
      </c>
      <c r="J20" s="97">
        <f t="shared" si="269"/>
      </c>
      <c r="K20" s="97">
        <f t="shared" si="269"/>
      </c>
      <c r="L20" s="97">
        <f t="shared" si="269"/>
      </c>
      <c r="M20" s="97">
        <f t="shared" si="269"/>
      </c>
      <c r="N20" s="97">
        <f t="shared" si="269"/>
      </c>
      <c r="O20" s="97">
        <f t="shared" si="269"/>
      </c>
    </row>
    <row r="21" ht="14.25" customHeight="true">
      <c r="B21" s="8"/>
      <c r="C21" s="8"/>
      <c r="D21" s="8"/>
      <c r="E21" s="60"/>
      <c r="F21" s="8"/>
      <c r="G21" s="8"/>
      <c r="H21" s="8"/>
      <c r="I21" s="8"/>
      <c r="J21" s="8"/>
      <c r="K21" s="8"/>
      <c r="L21" s="8"/>
      <c r="M21" s="8"/>
      <c r="N21" s="8"/>
      <c r="O21" s="8"/>
    </row>
    <row r="22" ht="14.25" customHeight="true">
      <c r="B22" s="97" t="s">
        <v>232</v>
      </c>
      <c r="C22" s="25"/>
      <c r="D22" s="25"/>
      <c r="E22" s="98"/>
      <c r="F22" s="97">
        <f>=+F20+F14</f>
      </c>
      <c r="G22" s="97">
        <f ref="G22:O22" t="shared" si="276">=+G20+G14</f>
      </c>
      <c r="H22" s="97">
        <f t="shared" si="276"/>
      </c>
      <c r="I22" s="97">
        <f t="shared" si="276"/>
      </c>
      <c r="J22" s="97">
        <f t="shared" si="276"/>
      </c>
      <c r="K22" s="97">
        <f t="shared" si="276"/>
      </c>
      <c r="L22" s="97">
        <f t="shared" si="276"/>
      </c>
      <c r="M22" s="97">
        <f t="shared" si="276"/>
      </c>
      <c r="N22" s="97">
        <f t="shared" si="276"/>
      </c>
      <c r="O22" s="97">
        <f t="shared" si="276"/>
      </c>
    </row>
    <row r="23" ht="14.25" customHeight="true">
      <c r="B23" s="8"/>
      <c r="C23" s="8"/>
      <c r="D23" s="8"/>
      <c r="E23" s="60"/>
      <c r="F23" s="8"/>
      <c r="G23" s="8"/>
      <c r="H23" s="8"/>
      <c r="I23" s="8"/>
      <c r="J23" s="8"/>
      <c r="K23" s="8"/>
      <c r="L23" s="8"/>
      <c r="M23" s="8"/>
      <c r="N23" s="8"/>
      <c r="O23" s="8"/>
    </row>
    <row r="24" ht="14.25" customHeight="true">
      <c r="B24" s="21" t="s">
        <v>233</v>
      </c>
      <c r="C24" s="8"/>
      <c r="D24" s="8"/>
      <c r="E24" s="60"/>
      <c r="F24" s="8"/>
      <c r="G24" s="8"/>
      <c r="H24" s="8"/>
      <c r="I24" s="8"/>
      <c r="J24" s="8"/>
      <c r="K24" s="8"/>
      <c r="L24" s="8"/>
      <c r="M24" s="8"/>
      <c r="N24" s="8"/>
      <c r="O24" s="8"/>
    </row>
    <row r="25" ht="14.25" customHeight="true">
      <c r="B25" s="8"/>
      <c r="C25" s="99" t="s">
        <v>234</v>
      </c>
      <c r="D25" s="99"/>
      <c r="E25" s="99"/>
      <c r="F25" s="99">
        <f>=+IF((F22+F26+F27+F32+F33+F34+F42+F43+F38)&gt;0,0,-((F22+F26+F27+F32+F33+F34+F42+F43+F38)))</f>
      </c>
      <c r="G25" s="99">
        <f ref="G25:O25" t="shared" si="271">=+IF((G22+G26+G27+G32+G33+G34+G42+G43+G38)&gt;0,0,-((G22+G26+G27+G32+G33+G34+G42+G43+G38)))</f>
      </c>
      <c r="H25" s="99">
        <f t="shared" si="271"/>
      </c>
      <c r="I25" s="99">
        <f t="shared" si="271"/>
      </c>
      <c r="J25" s="99">
        <f t="shared" si="271"/>
      </c>
      <c r="K25" s="99">
        <f t="shared" si="271"/>
      </c>
      <c r="L25" s="99">
        <f t="shared" si="271"/>
      </c>
      <c r="M25" s="99">
        <f t="shared" si="271"/>
      </c>
      <c r="N25" s="99">
        <f t="shared" si="271"/>
      </c>
      <c r="O25" s="99">
        <f t="shared" si="271"/>
      </c>
    </row>
    <row r="26" ht="14.25" customHeight="true">
      <c r="B26" s="8"/>
      <c r="C26" s="8" t="s">
        <v>235</v>
      </c>
      <c r="D26" s="8"/>
      <c r="E26" s="8"/>
      <c r="F26" s="8">
        <f>=-ESF!G35</f>
      </c>
      <c r="G26" s="8">
        <f>=-ESF!H35</f>
      </c>
      <c r="H26" s="8">
        <f>=-ESF!I35</f>
      </c>
      <c r="I26" s="8">
        <f>=-ESF!J35</f>
      </c>
      <c r="J26" s="8">
        <f>=-ESF!K35</f>
      </c>
      <c r="K26" s="8">
        <f>=-ESF!L35</f>
      </c>
      <c r="L26" s="8">
        <f>=-ESF!M35</f>
      </c>
      <c r="M26" s="8">
        <f>=-ESF!N35</f>
      </c>
      <c r="N26" s="8">
        <f>=-ESF!O35</f>
      </c>
      <c r="O26" s="8">
        <f>=-ESF!P35</f>
      </c>
    </row>
    <row r="27" ht="14.25" customHeight="true">
      <c r="B27" s="8"/>
      <c r="C27" s="8" t="s">
        <v>236</v>
      </c>
      <c r="D27" s="8"/>
      <c r="E27" s="8"/>
      <c r="F27" s="8">
        <f>=-'Supuestos Proyeccion'!H101</f>
      </c>
      <c r="G27" s="8">
        <f>=-'Supuestos Proyeccion'!I101</f>
      </c>
      <c r="H27" s="8">
        <f>=-'Supuestos Proyeccion'!J101</f>
      </c>
      <c r="I27" s="8">
        <f>=-'Supuestos Proyeccion'!K101</f>
      </c>
      <c r="J27" s="8">
        <f>=-'Supuestos Proyeccion'!L101</f>
      </c>
      <c r="K27" s="8">
        <f>=-'Supuestos Proyeccion'!M101</f>
      </c>
      <c r="L27" s="8">
        <f>=-'Supuestos Proyeccion'!N101</f>
      </c>
      <c r="M27" s="8">
        <f>=-'Supuestos Proyeccion'!O101</f>
      </c>
      <c r="N27" s="8">
        <f>=-'Supuestos Proyeccion'!P101</f>
      </c>
      <c r="O27" s="8">
        <f>=-'Supuestos Proyeccion'!Q101</f>
      </c>
    </row>
    <row r="28" ht="14.25" customHeight="true">
      <c r="B28" s="8"/>
      <c r="C28" s="8" t="s">
        <v>237</v>
      </c>
      <c r="D28" s="8"/>
      <c r="E28" s="8"/>
      <c r="F28" s="96">
        <f>=+F25+F26+F27</f>
      </c>
      <c r="G28" s="96">
        <f ref="G28:O28" t="shared" si="274">=+G25+G26+G27</f>
      </c>
      <c r="H28" s="96">
        <f t="shared" si="274"/>
      </c>
      <c r="I28" s="96">
        <f t="shared" si="274"/>
      </c>
      <c r="J28" s="96">
        <f t="shared" si="274"/>
      </c>
      <c r="K28" s="96">
        <f t="shared" si="274"/>
      </c>
      <c r="L28" s="96">
        <f t="shared" si="274"/>
      </c>
      <c r="M28" s="96">
        <f t="shared" si="274"/>
      </c>
      <c r="N28" s="96">
        <f t="shared" si="274"/>
      </c>
      <c r="O28" s="96">
        <f t="shared" si="274"/>
      </c>
    </row>
    <row r="29" ht="14.25" customHeight="true">
      <c r="B29" s="8"/>
      <c r="C29" s="8" t="s">
        <v>238</v>
      </c>
      <c r="D29" s="8"/>
      <c r="E29" s="8"/>
      <c r="F29" s="8">
        <f>=+'Supuestos Proyeccion'!H77+'Supuestos Proyeccion'!H86</f>
      </c>
      <c r="G29" s="8">
        <f>=+'Supuestos Proyeccion'!I77+'Supuestos Proyeccion'!I86</f>
      </c>
      <c r="H29" s="8">
        <f>=+'Supuestos Proyeccion'!J77+'Supuestos Proyeccion'!J86</f>
      </c>
      <c r="I29" s="8">
        <f>=+'Supuestos Proyeccion'!K77+'Supuestos Proyeccion'!K86</f>
      </c>
      <c r="J29" s="8">
        <f>=+'Supuestos Proyeccion'!L77+'Supuestos Proyeccion'!L86</f>
      </c>
      <c r="K29" s="8">
        <f>=+'Supuestos Proyeccion'!M77+'Supuestos Proyeccion'!M86</f>
      </c>
      <c r="L29" s="8">
        <f>=+'Supuestos Proyeccion'!N77+'Supuestos Proyeccion'!N86</f>
      </c>
      <c r="M29" s="8">
        <f>=+'Supuestos Proyeccion'!O77+'Supuestos Proyeccion'!O86</f>
      </c>
      <c r="N29" s="8">
        <f>=+'Supuestos Proyeccion'!P77+'Supuestos Proyeccion'!P86</f>
      </c>
      <c r="O29" s="8">
        <f>=+'Supuestos Proyeccion'!Q77+'Supuestos Proyeccion'!Q86</f>
      </c>
    </row>
    <row r="30" ht="14.25" customHeight="true">
      <c r="B30" s="8"/>
      <c r="C30" s="8" t="s">
        <v>235</v>
      </c>
      <c r="D30" s="8"/>
      <c r="E30" s="8"/>
      <c r="F30" s="8">
        <f>=-'Supuestos Proyeccion'!H57-'Supuestos Proyeccion'!H67-'Supuestos Proyeccion'!H79-'Supuestos Proyeccion'!H90</f>
      </c>
      <c r="G30" s="8">
        <f>=-'Supuestos Proyeccion'!I57-'Supuestos Proyeccion'!I67-'Supuestos Proyeccion'!I79-'Supuestos Proyeccion'!I90</f>
      </c>
      <c r="H30" s="8">
        <f>=-'Supuestos Proyeccion'!J57-'Supuestos Proyeccion'!J67-'Supuestos Proyeccion'!J79-'Supuestos Proyeccion'!J90</f>
      </c>
      <c r="I30" s="8">
        <f>=-'Supuestos Proyeccion'!K57-'Supuestos Proyeccion'!K67-'Supuestos Proyeccion'!K79-'Supuestos Proyeccion'!K90</f>
      </c>
      <c r="J30" s="8">
        <f>=-'Supuestos Proyeccion'!L57-'Supuestos Proyeccion'!L67-'Supuestos Proyeccion'!L79-'Supuestos Proyeccion'!L90</f>
      </c>
      <c r="K30" s="8">
        <f>=-'Supuestos Proyeccion'!M57-'Supuestos Proyeccion'!M67-'Supuestos Proyeccion'!M79-'Supuestos Proyeccion'!M90</f>
      </c>
      <c r="L30" s="8">
        <f>=-'Supuestos Proyeccion'!N57-'Supuestos Proyeccion'!N67-'Supuestos Proyeccion'!N79-'Supuestos Proyeccion'!N90</f>
      </c>
      <c r="M30" s="8">
        <f>=-'Supuestos Proyeccion'!O57-'Supuestos Proyeccion'!O67-'Supuestos Proyeccion'!O79-'Supuestos Proyeccion'!O90</f>
      </c>
      <c r="N30" s="8">
        <f>=-'Supuestos Proyeccion'!P57-'Supuestos Proyeccion'!P67-'Supuestos Proyeccion'!P79-'Supuestos Proyeccion'!P90</f>
      </c>
      <c r="O30" s="8">
        <f>=-'Supuestos Proyeccion'!Q57-'Supuestos Proyeccion'!Q67-'Supuestos Proyeccion'!Q79-'Supuestos Proyeccion'!Q90</f>
      </c>
    </row>
    <row r="31" ht="14.25" customHeight="true">
      <c r="B31" s="8"/>
      <c r="C31" s="8" t="s">
        <v>239</v>
      </c>
      <c r="D31" s="8"/>
      <c r="E31" s="8"/>
      <c r="F31" s="96">
        <f>=-'Supuestos Proyeccion'!H62-'Supuestos Proyeccion'!H72-'Supuestos Proyeccion'!H83-'Supuestos Proyeccion'!H94</f>
      </c>
      <c r="G31" s="96">
        <f>=-'Supuestos Proyeccion'!I62-'Supuestos Proyeccion'!I72-'Supuestos Proyeccion'!I83-'Supuestos Proyeccion'!I94</f>
      </c>
      <c r="H31" s="96">
        <f>=-'Supuestos Proyeccion'!J62-'Supuestos Proyeccion'!J72-'Supuestos Proyeccion'!J83-'Supuestos Proyeccion'!J94</f>
      </c>
      <c r="I31" s="96">
        <f>=-'Supuestos Proyeccion'!K62-'Supuestos Proyeccion'!K72-'Supuestos Proyeccion'!K83-'Supuestos Proyeccion'!K94</f>
      </c>
      <c r="J31" s="96">
        <f>=-'Supuestos Proyeccion'!L62-'Supuestos Proyeccion'!L72-'Supuestos Proyeccion'!L83-'Supuestos Proyeccion'!L94</f>
      </c>
      <c r="K31" s="96">
        <f>=-'Supuestos Proyeccion'!M62-'Supuestos Proyeccion'!M72-'Supuestos Proyeccion'!M83-'Supuestos Proyeccion'!M94</f>
      </c>
      <c r="L31" s="96">
        <f>=-'Supuestos Proyeccion'!N62-'Supuestos Proyeccion'!N72-'Supuestos Proyeccion'!N83-'Supuestos Proyeccion'!N94</f>
      </c>
      <c r="M31" s="96">
        <f>=-'Supuestos Proyeccion'!O62-'Supuestos Proyeccion'!O72-'Supuestos Proyeccion'!O83-'Supuestos Proyeccion'!O94</f>
      </c>
      <c r="N31" s="96">
        <f>=-'Supuestos Proyeccion'!P62-'Supuestos Proyeccion'!P72-'Supuestos Proyeccion'!P83-'Supuestos Proyeccion'!P94</f>
      </c>
      <c r="O31" s="96">
        <f>=-'Supuestos Proyeccion'!Q62-'Supuestos Proyeccion'!Q72-'Supuestos Proyeccion'!Q83-'Supuestos Proyeccion'!Q94</f>
      </c>
    </row>
    <row r="32" ht="14.25" customHeight="true">
      <c r="B32" s="8"/>
      <c r="C32" s="8" t="s">
        <v>240</v>
      </c>
      <c r="D32" s="8"/>
      <c r="E32" s="8"/>
      <c r="F32" s="96">
        <f ref="F32:O32" t="shared" si="273">=+F29+F30+F31</f>
      </c>
      <c r="G32" s="96">
        <f t="shared" si="273"/>
      </c>
      <c r="H32" s="96">
        <f t="shared" si="273"/>
      </c>
      <c r="I32" s="96">
        <f t="shared" si="273"/>
      </c>
      <c r="J32" s="96">
        <f t="shared" si="273"/>
      </c>
      <c r="K32" s="96">
        <f t="shared" si="273"/>
      </c>
      <c r="L32" s="96">
        <f t="shared" si="273"/>
      </c>
      <c r="M32" s="96">
        <f t="shared" si="273"/>
      </c>
      <c r="N32" s="96">
        <f t="shared" si="273"/>
      </c>
      <c r="O32" s="96">
        <f t="shared" si="273"/>
      </c>
    </row>
    <row r="33" ht="14.25" customHeight="true">
      <c r="B33" s="8"/>
      <c r="C33" s="8" t="s">
        <v>241</v>
      </c>
      <c r="D33" s="8"/>
      <c r="E33" s="8"/>
      <c r="F33" s="96">
        <f>=+'Supuestos Proyeccion'!H47+'Supuestos Proyeccion'!H50-'Supuestos Proyeccion'!H106</f>
      </c>
      <c r="G33" s="96">
        <f>=+'Supuestos Proyeccion'!I47+'Supuestos Proyeccion'!I50-'Supuestos Proyeccion'!I106</f>
      </c>
      <c r="H33" s="96">
        <f>=+'Supuestos Proyeccion'!J47+'Supuestos Proyeccion'!J50-'Supuestos Proyeccion'!J106</f>
      </c>
      <c r="I33" s="96">
        <f>=+'Supuestos Proyeccion'!K47+'Supuestos Proyeccion'!K50-'Supuestos Proyeccion'!K106</f>
      </c>
      <c r="J33" s="96">
        <f>=+'Supuestos Proyeccion'!L47+'Supuestos Proyeccion'!L50-'Supuestos Proyeccion'!L106</f>
      </c>
      <c r="K33" s="96">
        <f>=+'Supuestos Proyeccion'!M47+'Supuestos Proyeccion'!M50-'Supuestos Proyeccion'!M106</f>
      </c>
      <c r="L33" s="96">
        <f>=+'Supuestos Proyeccion'!N47+'Supuestos Proyeccion'!N50-'Supuestos Proyeccion'!N106</f>
      </c>
      <c r="M33" s="96">
        <f>=+'Supuestos Proyeccion'!O47+'Supuestos Proyeccion'!O50-'Supuestos Proyeccion'!O106</f>
      </c>
      <c r="N33" s="96">
        <f>=+'Supuestos Proyeccion'!P47+'Supuestos Proyeccion'!P50-'Supuestos Proyeccion'!P106</f>
      </c>
      <c r="O33" s="96">
        <f>=+'Supuestos Proyeccion'!Q47+'Supuestos Proyeccion'!Q50-'Supuestos Proyeccion'!Q106</f>
      </c>
    </row>
    <row r="34" ht="14.25" customHeight="true">
      <c r="C34" s="96" t="s">
        <v>242</v>
      </c>
      <c r="F34" s="96">
        <f>=+'Supuestos Proyeccion'!H341</f>
      </c>
      <c r="G34" s="96">
        <f>=+'Supuestos Proyeccion'!I341</f>
      </c>
      <c r="H34" s="96">
        <f>=+'Supuestos Proyeccion'!J341</f>
      </c>
      <c r="I34" s="96">
        <f>=+'Supuestos Proyeccion'!K341</f>
      </c>
      <c r="J34" s="96">
        <f>=+'Supuestos Proyeccion'!L341</f>
      </c>
      <c r="K34" s="96">
        <f>=+'Supuestos Proyeccion'!M341</f>
      </c>
      <c r="L34" s="96">
        <f>=+'Supuestos Proyeccion'!N341</f>
      </c>
      <c r="M34" s="96">
        <f>=+'Supuestos Proyeccion'!O341</f>
      </c>
      <c r="N34" s="96">
        <f>=+'Supuestos Proyeccion'!P341</f>
      </c>
      <c r="O34" s="96">
        <f>=+'Supuestos Proyeccion'!Q341</f>
      </c>
    </row>
    <row r="35" ht="14.25" customHeight="true"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ht="14.25" customHeight="true">
      <c r="B36" s="97" t="s">
        <v>243</v>
      </c>
      <c r="C36" s="25"/>
      <c r="D36" s="25"/>
      <c r="E36" s="98"/>
      <c r="F36" s="97">
        <f>=+F33+F32+F28+F34</f>
      </c>
      <c r="G36" s="97">
        <f ref="G36:O36" t="shared" si="275">=+G33+G32+G28+G34</f>
      </c>
      <c r="H36" s="97">
        <f t="shared" si="275"/>
      </c>
      <c r="I36" s="97">
        <f t="shared" si="275"/>
      </c>
      <c r="J36" s="97">
        <f t="shared" si="275"/>
      </c>
      <c r="K36" s="97">
        <f t="shared" si="275"/>
      </c>
      <c r="L36" s="97">
        <f t="shared" si="275"/>
      </c>
      <c r="M36" s="97">
        <f t="shared" si="275"/>
      </c>
      <c r="N36" s="97">
        <f t="shared" si="275"/>
      </c>
      <c r="O36" s="97">
        <f t="shared" si="275"/>
      </c>
    </row>
    <row r="37" ht="14.25" customHeight="true">
      <c r="B37" s="8"/>
      <c r="C37" s="8"/>
      <c r="D37" s="8"/>
      <c r="E37" s="8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ht="14.25" customHeight="true">
      <c r="B38" s="8" t="s">
        <v>244</v>
      </c>
      <c r="C38" s="8"/>
      <c r="D38" s="8"/>
      <c r="E38" s="8"/>
      <c r="F38" s="96">
        <f>=+ESF!H45-ESF!G45</f>
      </c>
      <c r="G38" s="96">
        <f>=+ESF!I45-ESF!H45</f>
      </c>
      <c r="H38" s="96">
        <f>=+ESF!J45-ESF!I45</f>
      </c>
      <c r="I38" s="96">
        <f>=+ESF!K45-ESF!J45</f>
      </c>
      <c r="J38" s="96">
        <f>=+ESF!L45-ESF!K45</f>
      </c>
      <c r="K38" s="96">
        <f>=+ESF!M45-ESF!L45</f>
      </c>
      <c r="L38" s="96">
        <f>=+ESF!N45-ESF!M45</f>
      </c>
      <c r="M38" s="96">
        <f>=+ESF!O45-ESF!N45</f>
      </c>
      <c r="N38" s="96">
        <f>=+ESF!P45-ESF!O45</f>
      </c>
      <c r="O38" s="96">
        <f>=+ESF!Q45-ESF!P45</f>
      </c>
    </row>
    <row r="39" ht="14.25" customHeight="true">
      <c r="B39" s="8"/>
      <c r="C39" s="8"/>
      <c r="D39" s="8"/>
      <c r="E39" s="8"/>
      <c r="F39" s="96"/>
      <c r="G39" s="96"/>
      <c r="H39" s="96"/>
      <c r="I39" s="96"/>
      <c r="J39" s="96"/>
      <c r="K39" s="96"/>
      <c r="L39" s="96"/>
      <c r="M39" s="96"/>
      <c r="N39" s="96"/>
      <c r="O39" s="96"/>
    </row>
    <row r="40" ht="14.25" customHeight="true">
      <c r="B40" s="97" t="s">
        <v>245</v>
      </c>
      <c r="C40" s="25"/>
      <c r="D40" s="25"/>
      <c r="E40" s="98"/>
      <c r="F40" s="97">
        <f>=+F22+F36+F38</f>
      </c>
      <c r="G40" s="97">
        <f ref="G40:O40" t="shared" si="267">=+G22+G36+G38</f>
      </c>
      <c r="H40" s="97">
        <f t="shared" si="267"/>
      </c>
      <c r="I40" s="97">
        <f t="shared" si="267"/>
      </c>
      <c r="J40" s="97">
        <f t="shared" si="267"/>
      </c>
      <c r="K40" s="97">
        <f t="shared" si="267"/>
      </c>
      <c r="L40" s="97">
        <f t="shared" si="267"/>
      </c>
      <c r="M40" s="97">
        <f t="shared" si="267"/>
      </c>
      <c r="N40" s="97">
        <f t="shared" si="267"/>
      </c>
      <c r="O40" s="97">
        <f t="shared" si="267"/>
      </c>
    </row>
    <row r="41" ht="14.25" customHeight="true">
      <c r="B41" s="8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</row>
    <row r="42" ht="14.25" customHeight="true">
      <c r="B42" s="8" t="s">
        <v>246</v>
      </c>
      <c r="C42" s="8"/>
      <c r="D42" s="8"/>
      <c r="E42" s="8"/>
      <c r="F42" s="96">
        <f>=+ESF!G10</f>
      </c>
      <c r="G42" s="96">
        <f>=+ESF!H10</f>
      </c>
      <c r="H42" s="96">
        <f>=+ESF!I10</f>
      </c>
      <c r="I42" s="96">
        <f>=+ESF!J10</f>
      </c>
      <c r="J42" s="96">
        <f>=+ESF!K10</f>
      </c>
      <c r="K42" s="96">
        <f>=+ESF!L10</f>
      </c>
      <c r="L42" s="96">
        <f>=+ESF!M10</f>
      </c>
      <c r="M42" s="96">
        <f>=+ESF!N10</f>
      </c>
      <c r="N42" s="96">
        <f>=+ESF!O10</f>
      </c>
      <c r="O42" s="96">
        <f>=+ESF!P10</f>
      </c>
    </row>
    <row r="43" ht="14.25" customHeight="true">
      <c r="B43" s="8" t="s">
        <v>247</v>
      </c>
      <c r="C43" s="8"/>
      <c r="D43" s="8"/>
      <c r="E43" s="8"/>
      <c r="F43" s="8">
        <f>=-'Supuestos Proyeccion'!H347</f>
      </c>
      <c r="G43" s="8">
        <f>=-'Supuestos Proyeccion'!I347</f>
      </c>
      <c r="H43" s="8">
        <f>=-'Supuestos Proyeccion'!J347</f>
      </c>
      <c r="I43" s="8">
        <f>=-'Supuestos Proyeccion'!K347</f>
      </c>
      <c r="J43" s="8">
        <f>=-'Supuestos Proyeccion'!L347</f>
      </c>
      <c r="K43" s="8">
        <f>=-'Supuestos Proyeccion'!M347</f>
      </c>
      <c r="L43" s="8">
        <f>=-'Supuestos Proyeccion'!N347</f>
      </c>
      <c r="M43" s="8">
        <f>=-'Supuestos Proyeccion'!O347</f>
      </c>
      <c r="N43" s="8">
        <f>=-'Supuestos Proyeccion'!P347</f>
      </c>
      <c r="O43" s="8">
        <f>=-'Supuestos Proyeccion'!Q347</f>
      </c>
    </row>
    <row r="44" ht="14.25" customHeight="true">
      <c r="F44" s="96"/>
      <c r="G44" s="96"/>
      <c r="H44" s="96"/>
      <c r="I44" s="96"/>
      <c r="J44" s="96"/>
      <c r="K44" s="96"/>
      <c r="L44" s="96"/>
      <c r="M44" s="96"/>
      <c r="N44" s="96"/>
      <c r="O44" s="96"/>
    </row>
    <row r="45" ht="14.25" customHeight="true">
      <c r="B45" s="97" t="s">
        <v>248</v>
      </c>
      <c r="C45" s="25"/>
      <c r="D45" s="25"/>
      <c r="E45" s="98"/>
      <c r="F45" s="97">
        <f>=+F40+F42+F43</f>
      </c>
      <c r="G45" s="97">
        <f ref="G45:O45" t="shared" si="270">=+G40+G42+G43</f>
      </c>
      <c r="H45" s="97">
        <f t="shared" si="270"/>
      </c>
      <c r="I45" s="97">
        <f t="shared" si="270"/>
      </c>
      <c r="J45" s="97">
        <f t="shared" si="270"/>
      </c>
      <c r="K45" s="97">
        <f t="shared" si="270"/>
      </c>
      <c r="L45" s="97">
        <f t="shared" si="270"/>
      </c>
      <c r="M45" s="97">
        <f t="shared" si="270"/>
      </c>
      <c r="N45" s="97">
        <f t="shared" si="270"/>
      </c>
      <c r="O45" s="97">
        <f t="shared" si="270"/>
      </c>
    </row>
    <row r="46" ht="14.25" customHeight="true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</row>
    <row r="47" ht="14.25" customHeight="true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</row>
    <row r="48" ht="14.25" customHeight="true">
      <c r="B48" s="8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</row>
    <row r="49" ht="14.25" customHeight="true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</row>
    <row r="50" ht="14.25" customHeight="true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</row>
    <row r="51" ht="14.25" customHeight="true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</row>
    <row r="52" ht="14.25" customHeight="true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ht="14.25" customHeight="true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</row>
    <row r="54" ht="14.25" customHeight="true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</row>
    <row r="55" ht="14.25" customHeight="true"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</row>
    <row r="56" ht="14.25" customHeight="true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</row>
    <row r="57" ht="14.25" customHeight="true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</row>
    <row r="58" ht="14.25" customHeight="true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</sheetData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/>
  <dimension ref="A1"/>
  <sheetViews>
    <sheetView showGridLines="0" tabSelected="0" workbookViewId="0">
      <pane xSplit="3" ySplit="6" topLeftCell="D7" activePane="bottomRight" state="frozen"/>
      <selection activeCell="A1" sqref="A1"/>
    </sheetView>
  </sheetViews>
  <sheetFormatPr defaultRowHeight="14.25" customHeight="1" defaultColWidth="8.34"/>
  <cols>
    <col min="1" max="1" width="3.43" customWidth="1" hidden="0"/>
    <col min="2" max="2" width="33.36" customWidth="1" hidden="0"/>
    <col min="3" max="3" width="10.55" customWidth="1" hidden="0"/>
    <col min="4" max="4" width="10.92" customWidth="1" hidden="0"/>
    <col min="5" max="14" width="9.44" customWidth="1" hidden="0"/>
    <col min="15" max="15" width="10.67" customWidth="1" hidden="0"/>
    <col min="16" max="16" width="9.81" customWidth="1" hidden="0"/>
    <col min="17" max="17" width="13.86" customWidth="1" hidden="0"/>
    <col min="18" max="16384" width="8.34" customWidth="1" hidden="0"/>
  </cols>
  <sheetData>
    <row r="2" ht="12.75" customHeight="true">
      <c r="A2" s="17" t="s">
        <v>13</v>
      </c>
      <c r="B2" s="12" t="s">
        <v>249</v>
      </c>
    </row>
    <row r="3" ht="12.75" customHeight="true">
      <c r="B3" s="8">
        <f>=+COVER!H15</f>
      </c>
      <c r="F3" s="18"/>
      <c r="G3" s="18"/>
      <c r="H3" s="18"/>
      <c r="I3" s="18"/>
      <c r="J3" s="18"/>
      <c r="K3" s="18"/>
      <c r="L3" s="18"/>
      <c r="M3" s="18"/>
      <c r="N3" s="18"/>
      <c r="O3" s="18"/>
    </row>
    <row r="5" hidden="1" ht="14.25" customHeight="true">
      <c r="A5" s="18"/>
      <c r="B5" s="100" t="s">
        <v>250</v>
      </c>
      <c r="C5" s="101"/>
      <c r="D5" s="101">
        <v>2013</v>
      </c>
      <c r="E5" s="101">
        <v>2014</v>
      </c>
      <c r="F5" s="101">
        <v>2015</v>
      </c>
      <c r="G5" s="101">
        <v>2016</v>
      </c>
      <c r="H5" s="101">
        <v>2017</v>
      </c>
      <c r="I5" s="101">
        <v>2018</v>
      </c>
      <c r="J5" s="101">
        <v>2019</v>
      </c>
      <c r="K5" s="101">
        <v>2020</v>
      </c>
      <c r="L5" s="101">
        <v>2021</v>
      </c>
      <c r="M5" s="101">
        <v>2022</v>
      </c>
      <c r="N5" s="101">
        <v>2023</v>
      </c>
      <c r="O5" s="101">
        <v>2024</v>
      </c>
      <c r="Q5" s="45"/>
    </row>
    <row r="6" ht="14.25" customHeight="true">
      <c r="A6" s="18"/>
      <c r="B6" s="100" t="s">
        <v>250</v>
      </c>
      <c r="C6" s="101"/>
      <c r="D6" s="101">
        <f>=+ERI!F5</f>
      </c>
      <c r="E6" s="101">
        <f>=+ERI!G5</f>
      </c>
      <c r="F6" s="101">
        <f>=+ERI!H5</f>
      </c>
      <c r="G6" s="101">
        <f>=+ERI!I5</f>
      </c>
      <c r="H6" s="101">
        <f>=+ERI!J5</f>
      </c>
      <c r="I6" s="101">
        <f>=+ERI!K5</f>
      </c>
      <c r="J6" s="101">
        <f>=+ERI!L5</f>
      </c>
      <c r="K6" s="101">
        <f>=+ERI!M5</f>
      </c>
      <c r="L6" s="101">
        <f>=+ERI!N5</f>
      </c>
      <c r="M6" s="101">
        <f>=+ERI!O5</f>
      </c>
      <c r="N6" s="101">
        <f>=+ERI!P5</f>
      </c>
      <c r="O6" s="101">
        <f>=+ERI!Q5</f>
      </c>
      <c r="Q6" s="45"/>
    </row>
    <row r="7" ht="14.25" customHeight="true">
      <c r="B7" s="102"/>
    </row>
    <row r="8" ht="14.25" customHeight="true">
      <c r="A8" s="18"/>
      <c r="B8" s="102"/>
      <c r="C8" s="22"/>
      <c r="D8" s="22"/>
      <c r="E8" s="22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ht="14.25" customHeight="true">
      <c r="A9" s="18"/>
      <c r="B9" s="21"/>
      <c r="C9" s="22"/>
      <c r="D9" s="22"/>
      <c r="E9" s="22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ht="14.25" customHeight="true">
      <c r="A10" s="103">
        <v>1</v>
      </c>
      <c r="B10" s="104" t="s">
        <v>251</v>
      </c>
      <c r="C10" s="104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T10" s="106"/>
      <c r="U10" s="107"/>
      <c r="V10" s="107"/>
    </row>
    <row r="11" ht="14.25" customHeight="true">
      <c r="A11" s="18"/>
      <c r="B11" s="21"/>
      <c r="C11" s="22"/>
      <c r="D11" s="22"/>
      <c r="E11" s="22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ht="14.25" customHeight="true">
      <c r="A12" s="108">
        <v>1.1</v>
      </c>
      <c r="B12" s="48" t="s">
        <v>10</v>
      </c>
      <c r="C12" s="22"/>
      <c r="D12" s="22"/>
      <c r="E12" s="22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ht="14.25" customHeight="true">
      <c r="A13" s="18"/>
      <c r="B13" s="21"/>
      <c r="C13" s="22"/>
      <c r="D13" s="22"/>
      <c r="E13" s="22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ht="14.25" customHeight="true">
      <c r="A14" s="18"/>
      <c r="B14" s="8" t="s">
        <v>252</v>
      </c>
      <c r="C14" s="22"/>
      <c r="D14" s="31"/>
      <c r="E14" s="31"/>
      <c r="F14" s="30">
        <v>0</v>
      </c>
      <c r="G14" s="31">
        <f>=+F14</f>
      </c>
      <c r="H14" s="31">
        <f ref="H14:O14" t="shared" si="75">=+G14</f>
      </c>
      <c r="I14" s="31">
        <f t="shared" si="75"/>
      </c>
      <c r="J14" s="31">
        <f t="shared" si="75"/>
      </c>
      <c r="K14" s="31">
        <f t="shared" si="75"/>
      </c>
      <c r="L14" s="31">
        <f t="shared" si="75"/>
      </c>
      <c r="M14" s="31">
        <f t="shared" si="75"/>
      </c>
      <c r="N14" s="31">
        <f t="shared" si="75"/>
      </c>
      <c r="O14" s="31">
        <f t="shared" si="75"/>
      </c>
    </row>
    <row r="15" ht="14.25" customHeight="true">
      <c r="A15" s="18"/>
      <c r="B15" s="8"/>
      <c r="C15" s="22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ht="14.25" customHeight="true">
      <c r="A16" s="18"/>
      <c r="B16" s="21" t="s">
        <v>253</v>
      </c>
      <c r="C16" s="22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ht="14.25" customHeight="true">
      <c r="A17" s="18"/>
      <c r="B17" s="9" t="s">
        <v>254</v>
      </c>
      <c r="C17" s="22"/>
      <c r="D17" s="31"/>
      <c r="E17" s="31"/>
      <c r="F17" s="31">
        <v>0</v>
      </c>
      <c r="G17" s="31">
        <v>0</v>
      </c>
      <c r="H17" s="31">
        <v>0</v>
      </c>
      <c r="I17" s="31">
        <v>0</v>
      </c>
      <c r="J17" s="31">
        <v>0</v>
      </c>
      <c r="K17" s="31">
        <v>0</v>
      </c>
      <c r="L17" s="31">
        <v>0</v>
      </c>
      <c r="M17" s="31">
        <v>0</v>
      </c>
      <c r="N17" s="31">
        <v>0</v>
      </c>
      <c r="O17" s="31">
        <v>0</v>
      </c>
    </row>
    <row r="18" ht="14.25" customHeight="true">
      <c r="A18" s="18"/>
      <c r="B18" s="35" t="s">
        <v>255</v>
      </c>
      <c r="C18" s="109"/>
      <c r="D18" s="27"/>
      <c r="E18" s="27"/>
      <c r="F18" s="27">
        <f>=+ERI!H7</f>
      </c>
      <c r="G18" s="27">
        <f>=+ERI!I7</f>
      </c>
      <c r="H18" s="27">
        <f>=+ERI!J7</f>
      </c>
      <c r="I18" s="27">
        <f>=+ERI!K7</f>
      </c>
      <c r="J18" s="27">
        <f>=+ERI!L7</f>
      </c>
      <c r="K18" s="27">
        <f>=+ERI!M7</f>
      </c>
      <c r="L18" s="27">
        <f>=+ERI!N7</f>
      </c>
      <c r="M18" s="27">
        <f>=+ERI!O7</f>
      </c>
      <c r="N18" s="27">
        <f>=+ERI!P7</f>
      </c>
      <c r="O18" s="27">
        <f>=+ERI!Q7</f>
      </c>
    </row>
    <row r="19" ht="14.25" customHeight="true">
      <c r="A19" s="18"/>
      <c r="B19" s="8" t="s">
        <v>253</v>
      </c>
      <c r="C19" s="22"/>
      <c r="D19" s="22"/>
      <c r="E19" s="22"/>
      <c r="F19" s="31">
        <f>=SUM(F17:F18)</f>
      </c>
      <c r="G19" s="31">
        <f ref="G19:O19" t="shared" si="50">=SUM(G17:G18)</f>
      </c>
      <c r="H19" s="31">
        <f t="shared" si="50"/>
      </c>
      <c r="I19" s="31">
        <f t="shared" si="50"/>
      </c>
      <c r="J19" s="31">
        <f t="shared" si="50"/>
      </c>
      <c r="K19" s="31">
        <f t="shared" si="50"/>
      </c>
      <c r="L19" s="31">
        <f t="shared" si="50"/>
      </c>
      <c r="M19" s="31">
        <f t="shared" si="50"/>
      </c>
      <c r="N19" s="31">
        <f t="shared" si="50"/>
      </c>
      <c r="O19" s="31">
        <f t="shared" si="50"/>
      </c>
    </row>
    <row r="20" ht="14.25" customHeight="true">
      <c r="A20" s="18"/>
      <c r="B20" s="8"/>
      <c r="C20" s="22"/>
      <c r="D20" s="22"/>
      <c r="E20" s="22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ht="14.25" customHeight="true">
      <c r="A21" s="108">
        <v>1.2</v>
      </c>
      <c r="B21" s="48" t="s">
        <v>256</v>
      </c>
      <c r="C21" s="22"/>
      <c r="D21" s="22"/>
      <c r="E21" s="22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ht="14.25" customHeight="true">
      <c r="A22" s="18"/>
      <c r="B22" s="21"/>
      <c r="C22" s="22"/>
      <c r="D22" s="22"/>
      <c r="E22" s="22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ht="14.25" customHeight="true">
      <c r="B23" s="32" t="s">
        <v>257</v>
      </c>
      <c r="C23" s="33"/>
      <c r="D23" s="33"/>
      <c r="E23" s="33"/>
      <c r="F23" s="110">
        <f>=+F14*F19</f>
      </c>
      <c r="G23" s="110">
        <f ref="G23:O23" t="shared" si="40">=+G14*G19</f>
      </c>
      <c r="H23" s="110">
        <f t="shared" si="40"/>
      </c>
      <c r="I23" s="110">
        <f t="shared" si="40"/>
      </c>
      <c r="J23" s="110">
        <f t="shared" si="40"/>
      </c>
      <c r="K23" s="110">
        <f t="shared" si="40"/>
      </c>
      <c r="L23" s="110">
        <f t="shared" si="40"/>
      </c>
      <c r="M23" s="110">
        <f t="shared" si="40"/>
      </c>
      <c r="N23" s="110">
        <f t="shared" si="40"/>
      </c>
      <c r="O23" s="110">
        <f t="shared" si="40"/>
      </c>
    </row>
    <row r="24" ht="14.25" customHeight="true">
      <c r="B24" s="21"/>
      <c r="C24" s="24"/>
      <c r="D24" s="24"/>
      <c r="E24" s="24"/>
      <c r="F24" s="111"/>
      <c r="G24" s="111"/>
      <c r="H24" s="111"/>
      <c r="I24" s="111"/>
      <c r="J24" s="111"/>
      <c r="K24" s="111"/>
      <c r="L24" s="111"/>
      <c r="M24" s="111"/>
      <c r="N24" s="111"/>
      <c r="O24" s="111"/>
    </row>
    <row r="25" ht="14.25" customHeight="true">
      <c r="A25" s="18"/>
      <c r="B25" s="21"/>
      <c r="C25" s="22"/>
      <c r="D25" s="22"/>
      <c r="E25" s="22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ht="14.25" customHeight="true">
      <c r="A26" s="103">
        <v>2</v>
      </c>
      <c r="B26" s="104" t="s">
        <v>258</v>
      </c>
      <c r="C26" s="104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T26" s="106"/>
      <c r="U26" s="107"/>
      <c r="V26" s="107"/>
    </row>
    <row r="27" ht="14.25" customHeight="true">
      <c r="A27" s="18"/>
      <c r="B27" s="21"/>
      <c r="C27" s="22"/>
      <c r="D27" s="22"/>
      <c r="E27" s="22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ht="14.25" customHeight="true">
      <c r="A28" s="108">
        <v>2.1</v>
      </c>
      <c r="B28" s="48" t="s">
        <v>10</v>
      </c>
      <c r="C28" s="22"/>
      <c r="D28" s="22"/>
      <c r="E28" s="22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ht="14.25" customHeight="true">
      <c r="A29" s="18"/>
      <c r="B29" s="21"/>
      <c r="C29" s="22"/>
      <c r="D29" s="22"/>
      <c r="E29" s="22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ht="14.25" customHeight="true">
      <c r="A30" s="18"/>
      <c r="B30" s="8" t="s">
        <v>252</v>
      </c>
      <c r="C30" s="22"/>
      <c r="D30" s="31"/>
      <c r="E30" s="31"/>
      <c r="F30" s="30">
        <v>0.01</v>
      </c>
      <c r="G30" s="31">
        <f>=+F30</f>
      </c>
      <c r="H30" s="31">
        <f ref="H30:O30" t="shared" si="70">=+G30</f>
      </c>
      <c r="I30" s="31">
        <f t="shared" si="70"/>
      </c>
      <c r="J30" s="31">
        <f t="shared" si="70"/>
      </c>
      <c r="K30" s="31">
        <f t="shared" si="70"/>
      </c>
      <c r="L30" s="31">
        <f t="shared" si="70"/>
      </c>
      <c r="M30" s="31">
        <f t="shared" si="70"/>
      </c>
      <c r="N30" s="31">
        <f t="shared" si="70"/>
      </c>
      <c r="O30" s="31">
        <f t="shared" si="70"/>
      </c>
    </row>
    <row r="31" ht="14.25" customHeight="true">
      <c r="A31" s="18"/>
      <c r="B31" s="8"/>
      <c r="C31" s="22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</row>
    <row r="32" ht="14.25" customHeight="true">
      <c r="A32" s="18"/>
      <c r="B32" s="21" t="s">
        <v>253</v>
      </c>
      <c r="C32" s="22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</row>
    <row r="33" ht="14.25" customHeight="true">
      <c r="A33" s="18"/>
      <c r="B33" s="9" t="s">
        <v>254</v>
      </c>
      <c r="C33" s="22"/>
      <c r="D33" s="31"/>
      <c r="E33" s="31"/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31">
        <v>0</v>
      </c>
      <c r="M33" s="31">
        <v>0</v>
      </c>
      <c r="N33" s="31">
        <v>0</v>
      </c>
      <c r="O33" s="31">
        <v>0</v>
      </c>
    </row>
    <row r="34" ht="14.25" customHeight="true">
      <c r="A34" s="18"/>
      <c r="B34" s="35" t="s">
        <v>255</v>
      </c>
      <c r="C34" s="109"/>
      <c r="D34" s="27"/>
      <c r="E34" s="27"/>
      <c r="F34" s="27">
        <f>=+ERI!H7</f>
      </c>
      <c r="G34" s="27">
        <f>=+ERI!I7</f>
      </c>
      <c r="H34" s="27">
        <f>=+ERI!J7</f>
      </c>
      <c r="I34" s="27">
        <f>=+ERI!K7</f>
      </c>
      <c r="J34" s="27">
        <f>=+ERI!L7</f>
      </c>
      <c r="K34" s="27">
        <f>=+ERI!M7</f>
      </c>
      <c r="L34" s="27">
        <f>=+ERI!N7</f>
      </c>
      <c r="M34" s="27">
        <f>=+ERI!O7</f>
      </c>
      <c r="N34" s="27">
        <f>=+ERI!P7</f>
      </c>
      <c r="O34" s="27">
        <f>=+ERI!Q7</f>
      </c>
    </row>
    <row r="35" ht="14.25" customHeight="true">
      <c r="A35" s="18"/>
      <c r="B35" s="8" t="s">
        <v>253</v>
      </c>
      <c r="C35" s="22"/>
      <c r="D35" s="22"/>
      <c r="E35" s="22"/>
      <c r="F35" s="31">
        <f>=SUM(F33:F34)</f>
      </c>
      <c r="G35" s="31">
        <f ref="G35:O35" t="shared" si="24">=SUM(G33:G34)</f>
      </c>
      <c r="H35" s="31">
        <f t="shared" si="24"/>
      </c>
      <c r="I35" s="31">
        <f t="shared" si="24"/>
      </c>
      <c r="J35" s="31">
        <f t="shared" si="24"/>
      </c>
      <c r="K35" s="31">
        <f t="shared" si="24"/>
      </c>
      <c r="L35" s="31">
        <f t="shared" si="24"/>
      </c>
      <c r="M35" s="31">
        <f t="shared" si="24"/>
      </c>
      <c r="N35" s="31">
        <f t="shared" si="24"/>
      </c>
      <c r="O35" s="31">
        <f t="shared" si="24"/>
      </c>
    </row>
    <row r="36" ht="14.25" customHeight="true">
      <c r="A36" s="18"/>
      <c r="B36" s="8"/>
      <c r="C36" s="22"/>
      <c r="D36" s="22"/>
      <c r="E36" s="22"/>
      <c r="F36" s="31"/>
      <c r="G36" s="31"/>
      <c r="H36" s="31"/>
      <c r="I36" s="31"/>
      <c r="J36" s="31"/>
      <c r="K36" s="31"/>
      <c r="L36" s="31"/>
      <c r="M36" s="31"/>
      <c r="N36" s="31"/>
      <c r="O36" s="31"/>
    </row>
    <row r="37" ht="14.25" customHeight="true">
      <c r="A37" s="108">
        <v>2.2</v>
      </c>
      <c r="B37" s="48" t="s">
        <v>259</v>
      </c>
      <c r="C37" s="22"/>
      <c r="D37" s="22"/>
      <c r="E37" s="22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ht="14.25" customHeight="true">
      <c r="A38" s="18"/>
      <c r="B38" s="21"/>
      <c r="C38" s="22"/>
      <c r="D38" s="22"/>
      <c r="E38" s="22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ht="14.25" customHeight="true">
      <c r="B39" s="32" t="s">
        <v>260</v>
      </c>
      <c r="C39" s="33"/>
      <c r="D39" s="33"/>
      <c r="E39" s="33"/>
      <c r="F39" s="110">
        <f>=F30*F35</f>
      </c>
      <c r="G39" s="110">
        <f ref="G39:O39" t="shared" si="68">=G30*G35</f>
      </c>
      <c r="H39" s="110">
        <f t="shared" si="68"/>
      </c>
      <c r="I39" s="110">
        <f t="shared" si="68"/>
      </c>
      <c r="J39" s="110">
        <f t="shared" si="68"/>
      </c>
      <c r="K39" s="110">
        <f t="shared" si="68"/>
      </c>
      <c r="L39" s="110">
        <f t="shared" si="68"/>
      </c>
      <c r="M39" s="110">
        <f t="shared" si="68"/>
      </c>
      <c r="N39" s="110">
        <f t="shared" si="68"/>
      </c>
      <c r="O39" s="110">
        <f t="shared" si="68"/>
      </c>
    </row>
    <row r="40" ht="14.25" customHeight="true">
      <c r="A40" s="18"/>
      <c r="B40" s="21"/>
      <c r="C40" s="22"/>
      <c r="D40" s="22"/>
      <c r="E40" s="22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ht="14.25" customHeight="true">
      <c r="A41" s="18"/>
      <c r="B41" s="21"/>
      <c r="C41" s="22"/>
      <c r="D41" s="22"/>
      <c r="E41" s="22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ht="14.25" customHeight="true">
      <c r="A42" s="103">
        <v>3</v>
      </c>
      <c r="B42" s="104" t="s">
        <v>261</v>
      </c>
      <c r="C42" s="104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T42" s="106"/>
      <c r="U42" s="107"/>
      <c r="V42" s="107"/>
    </row>
    <row r="43" ht="14.25" customHeight="true">
      <c r="A43" s="18"/>
      <c r="B43" s="21"/>
      <c r="C43" s="22"/>
      <c r="D43" s="22"/>
      <c r="E43" s="22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ht="14.25" customHeight="true">
      <c r="A44" s="108">
        <v>3.1</v>
      </c>
      <c r="B44" s="48" t="s">
        <v>10</v>
      </c>
      <c r="C44" s="22"/>
      <c r="D44" s="22"/>
      <c r="E44" s="22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ht="14.25" customHeight="true">
      <c r="A45" s="18"/>
      <c r="B45" s="21"/>
      <c r="C45" s="22"/>
      <c r="D45" s="22"/>
      <c r="E45" s="22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ht="14.25" customHeight="true">
      <c r="A46" s="18"/>
      <c r="B46" s="8" t="s">
        <v>252</v>
      </c>
      <c r="C46" s="22"/>
      <c r="D46" s="22"/>
      <c r="E46" s="22"/>
      <c r="F46" s="31">
        <f>=+IF(ISERROR(VLOOKUP(E78,$D$50:$H$53,3)),0,VLOOKUP(E78,$D$50:$H$53,3))</f>
      </c>
      <c r="G46" s="31">
        <f>=+IF(ISERROR(VLOOKUP(F78,$D$50:$H$53,4)),0,VLOOKUP(F78,$D$50:$H$53,4))</f>
      </c>
      <c r="H46" s="31">
        <f>=+IF(ISERROR(VLOOKUP(G78,$D$50:$H$53,5)),0,VLOOKUP(G78,$D$50:$H$53,5))</f>
      </c>
      <c r="I46" s="31"/>
      <c r="J46" s="31"/>
      <c r="K46" s="31"/>
      <c r="L46" s="31"/>
      <c r="M46" s="31"/>
      <c r="N46" s="31"/>
      <c r="O46" s="31"/>
    </row>
    <row r="47" ht="14.25" customHeight="true">
      <c r="A47" s="18"/>
      <c r="B47" s="8" t="s">
        <v>262</v>
      </c>
      <c r="C47" s="22"/>
      <c r="D47" s="22"/>
      <c r="E47" s="22"/>
      <c r="F47" s="31">
        <f>=+IF(ISERROR(VLOOKUP(E78,$D$55:$H$58,3)),0,VLOOKUP(E78,$D$55:$H$58,3))</f>
      </c>
      <c r="G47" s="31">
        <f>=+IF(ISERROR(VLOOKUP(F78,$D$55:$H$58,4)),0,VLOOKUP(F78,$D$55:$H$58,4))</f>
      </c>
      <c r="H47" s="31">
        <f>=+IF(ISERROR(VLOOKUP(G78,$D$55:$H$58,5)),0,VLOOKUP(G78,$D$55:$H$58,5))</f>
      </c>
      <c r="I47" s="31"/>
      <c r="J47" s="31"/>
      <c r="K47" s="31"/>
      <c r="L47" s="31"/>
      <c r="M47" s="31"/>
      <c r="N47" s="31"/>
      <c r="O47" s="31"/>
    </row>
    <row r="48" ht="14.25" customHeight="true">
      <c r="A48" s="18"/>
      <c r="B48" s="8" t="s">
        <v>263</v>
      </c>
      <c r="C48" s="22"/>
      <c r="D48" s="22"/>
      <c r="E48" s="22"/>
      <c r="F48" s="31">
        <f>=+IF(ISERROR(VLOOKUP(E78,$D$50:$E$53,1)),0,VLOOKUP(E78,$D$50:$E$53,1))</f>
      </c>
      <c r="G48" s="31">
        <f>=+IF(ISERROR(VLOOKUP(F78,$D$50:$E$53,1)),0,VLOOKUP(F78,$D$50:$E$53,1))</f>
      </c>
      <c r="H48" s="31">
        <f>=+IF(ISERROR(VLOOKUP(G78,$D$50:$E$53,1)),0,VLOOKUP(G78,$D$50:$E$53,1))</f>
      </c>
      <c r="I48" s="31"/>
      <c r="J48" s="31"/>
      <c r="K48" s="31"/>
      <c r="L48" s="31"/>
      <c r="M48" s="31"/>
      <c r="N48" s="31"/>
      <c r="O48" s="31"/>
    </row>
    <row r="49" ht="14.25" customHeight="true">
      <c r="A49" s="18"/>
      <c r="B49" s="21"/>
      <c r="C49" s="22"/>
      <c r="D49" s="112" t="s">
        <v>264</v>
      </c>
      <c r="E49" s="112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ht="14.25" customHeight="true">
      <c r="A50" s="18"/>
      <c r="B50" s="21"/>
      <c r="C50" s="22"/>
      <c r="D50" s="113">
        <v>0</v>
      </c>
      <c r="E50" s="113">
        <v>2000</v>
      </c>
      <c r="F50" s="30">
        <v>0</v>
      </c>
      <c r="G50" s="30">
        <v>0</v>
      </c>
      <c r="H50" s="30">
        <v>0</v>
      </c>
      <c r="I50" s="18"/>
      <c r="J50" s="18"/>
      <c r="K50" s="18"/>
      <c r="L50" s="18"/>
      <c r="M50" s="18"/>
      <c r="N50" s="18"/>
      <c r="O50" s="18"/>
    </row>
    <row r="51" ht="14.25" customHeight="true">
      <c r="A51" s="18"/>
      <c r="B51" s="21"/>
      <c r="C51" s="22"/>
      <c r="D51" s="113">
        <v>2000</v>
      </c>
      <c r="E51" s="113">
        <v>3000</v>
      </c>
      <c r="F51" s="30">
        <v>0</v>
      </c>
      <c r="G51" s="30">
        <v>0</v>
      </c>
      <c r="H51" s="30">
        <v>0</v>
      </c>
      <c r="I51" s="18"/>
      <c r="J51" s="18"/>
      <c r="K51" s="18"/>
      <c r="L51" s="18"/>
      <c r="M51" s="18"/>
      <c r="N51" s="18"/>
      <c r="O51" s="18"/>
    </row>
    <row r="52" ht="14.25" customHeight="true">
      <c r="A52" s="18"/>
      <c r="B52" s="21"/>
      <c r="C52" s="22"/>
      <c r="D52" s="113">
        <v>3000</v>
      </c>
      <c r="E52" s="113">
        <v>5000</v>
      </c>
      <c r="F52" s="30">
        <v>0</v>
      </c>
      <c r="G52" s="30">
        <v>0</v>
      </c>
      <c r="H52" s="30">
        <v>0</v>
      </c>
      <c r="I52" s="18"/>
      <c r="J52" s="18"/>
      <c r="K52" s="18"/>
      <c r="L52" s="18"/>
      <c r="M52" s="18"/>
      <c r="N52" s="18"/>
      <c r="O52" s="18"/>
    </row>
    <row r="53" ht="14.25" customHeight="true">
      <c r="A53" s="18"/>
      <c r="B53" s="21"/>
      <c r="C53" s="22"/>
      <c r="D53" s="113">
        <v>5000</v>
      </c>
      <c r="E53" s="113" t="s">
        <v>265</v>
      </c>
      <c r="F53" s="30">
        <v>0</v>
      </c>
      <c r="G53" s="30">
        <v>0</v>
      </c>
      <c r="H53" s="30">
        <v>0</v>
      </c>
      <c r="I53" s="18"/>
      <c r="J53" s="18"/>
      <c r="K53" s="18"/>
      <c r="L53" s="18"/>
      <c r="M53" s="18"/>
      <c r="N53" s="18"/>
      <c r="O53" s="18"/>
    </row>
    <row r="54" ht="14.25" customHeight="true">
      <c r="A54" s="18"/>
      <c r="B54" s="21"/>
      <c r="C54" s="22"/>
      <c r="D54" s="31"/>
      <c r="E54" s="31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ht="14.25" customHeight="true">
      <c r="A55" s="18"/>
      <c r="B55" s="21"/>
      <c r="C55" s="22"/>
      <c r="D55" s="113">
        <v>0</v>
      </c>
      <c r="E55" s="113">
        <v>2000</v>
      </c>
      <c r="F55" s="30">
        <v>0</v>
      </c>
      <c r="G55" s="30">
        <v>0</v>
      </c>
      <c r="H55" s="30">
        <v>0</v>
      </c>
      <c r="I55" s="18"/>
      <c r="J55" s="18"/>
      <c r="K55" s="18"/>
      <c r="L55" s="18"/>
      <c r="M55" s="18"/>
      <c r="N55" s="18"/>
      <c r="O55" s="18"/>
    </row>
    <row r="56" ht="14.25" customHeight="true">
      <c r="A56" s="18"/>
      <c r="B56" s="21"/>
      <c r="C56" s="22"/>
      <c r="D56" s="113">
        <v>2000</v>
      </c>
      <c r="E56" s="113">
        <v>3000</v>
      </c>
      <c r="F56" s="30">
        <v>0</v>
      </c>
      <c r="G56" s="30">
        <v>0</v>
      </c>
      <c r="H56" s="30">
        <v>0</v>
      </c>
      <c r="I56" s="18"/>
      <c r="J56" s="18"/>
      <c r="K56" s="18"/>
      <c r="L56" s="18"/>
      <c r="M56" s="18"/>
      <c r="N56" s="18"/>
      <c r="O56" s="18"/>
    </row>
    <row r="57" ht="14.25" customHeight="true">
      <c r="A57" s="18"/>
      <c r="B57" s="21"/>
      <c r="C57" s="22"/>
      <c r="D57" s="113">
        <v>3000</v>
      </c>
      <c r="E57" s="113">
        <v>5000</v>
      </c>
      <c r="F57" s="30">
        <v>0</v>
      </c>
      <c r="G57" s="30">
        <v>0</v>
      </c>
      <c r="H57" s="30">
        <v>0</v>
      </c>
      <c r="I57" s="18"/>
      <c r="J57" s="18"/>
      <c r="K57" s="18"/>
      <c r="L57" s="18"/>
      <c r="M57" s="18"/>
      <c r="N57" s="18"/>
      <c r="O57" s="18"/>
    </row>
    <row r="58" ht="14.25" customHeight="true">
      <c r="A58" s="18"/>
      <c r="B58" s="21"/>
      <c r="C58" s="22"/>
      <c r="D58" s="113">
        <v>5000</v>
      </c>
      <c r="E58" s="113" t="s">
        <v>265</v>
      </c>
      <c r="F58" s="30">
        <v>0</v>
      </c>
      <c r="G58" s="30">
        <v>0</v>
      </c>
      <c r="H58" s="30">
        <v>0</v>
      </c>
      <c r="I58" s="18"/>
      <c r="J58" s="18"/>
      <c r="K58" s="18"/>
      <c r="L58" s="18"/>
      <c r="M58" s="18"/>
      <c r="N58" s="18"/>
      <c r="O58" s="18"/>
    </row>
    <row r="59" ht="14.25" customHeight="true">
      <c r="A59" s="18"/>
      <c r="B59" s="21"/>
      <c r="C59" s="22"/>
      <c r="D59" s="22"/>
      <c r="E59" s="22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ht="14.25" customHeight="true">
      <c r="A60" s="108">
        <v>3.2</v>
      </c>
      <c r="B60" s="48" t="s">
        <v>266</v>
      </c>
      <c r="C60" s="22"/>
      <c r="D60" s="22"/>
      <c r="E60" s="22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ht="14.25" customHeight="true">
      <c r="A61" s="38"/>
      <c r="B61" s="48"/>
      <c r="C61" s="90"/>
      <c r="D61" s="90"/>
      <c r="E61" s="90"/>
      <c r="F61" s="36"/>
      <c r="G61" s="36"/>
      <c r="H61" s="36"/>
      <c r="I61" s="36"/>
      <c r="J61" s="36"/>
      <c r="K61" s="36"/>
      <c r="L61" s="36"/>
      <c r="M61" s="36"/>
      <c r="N61" s="36"/>
      <c r="O61" s="36"/>
    </row>
    <row r="62" ht="12.75" customHeight="true">
      <c r="B62" s="21" t="s">
        <v>267</v>
      </c>
    </row>
    <row r="63" ht="12.75" customHeight="true">
      <c r="B63" s="9" t="s">
        <v>268</v>
      </c>
      <c r="F63" s="31">
        <f>=+ESF!H9+ESF!H10</f>
      </c>
      <c r="G63" s="31">
        <f>=+ESF!I9+ESF!I10</f>
      </c>
      <c r="H63" s="31">
        <f>=+ESF!J9+ESF!J10</f>
      </c>
      <c r="I63" s="31">
        <f>=+ESF!K9+ESF!K10</f>
      </c>
      <c r="J63" s="31">
        <f>=+ESF!L9+ESF!L10</f>
      </c>
      <c r="K63" s="31">
        <f>=+ESF!M9+ESF!M10</f>
      </c>
      <c r="L63" s="31">
        <f>=+ESF!N9+ESF!N10</f>
      </c>
      <c r="M63" s="31">
        <f>=+ESF!O9+ESF!O10</f>
      </c>
      <c r="N63" s="31">
        <f>=+ESF!P9+ESF!P10</f>
      </c>
      <c r="O63" s="31">
        <f>=+ESF!Q9+ESF!Q10</f>
      </c>
    </row>
    <row r="64" ht="12.75" customHeight="true">
      <c r="B64" s="9" t="s">
        <v>269</v>
      </c>
      <c r="F64" s="31">
        <f>=+ESF!H27</f>
      </c>
      <c r="G64" s="31">
        <f>=+ESF!I27</f>
      </c>
      <c r="H64" s="31">
        <f>=+ESF!J27</f>
      </c>
      <c r="I64" s="31">
        <f>=+ESF!K27</f>
      </c>
      <c r="J64" s="31">
        <f>=+ESF!L27</f>
      </c>
      <c r="K64" s="31">
        <f>=+ESF!M27</f>
      </c>
      <c r="L64" s="31">
        <f>=+ESF!N27</f>
      </c>
      <c r="M64" s="31">
        <f>=+ESF!O27</f>
      </c>
      <c r="N64" s="31">
        <f>=+ESF!P27</f>
      </c>
      <c r="O64" s="31">
        <f>=+ESF!Q27</f>
      </c>
    </row>
    <row r="65" ht="12.75" customHeight="true">
      <c r="B65" s="9" t="s">
        <v>270</v>
      </c>
      <c r="F65" s="31">
        <f>=+ESF!H11</f>
      </c>
      <c r="G65" s="31">
        <f>=+ESF!I11</f>
      </c>
      <c r="H65" s="31">
        <f>=+ESF!J11</f>
      </c>
      <c r="I65" s="31">
        <f>=+ESF!K11</f>
      </c>
      <c r="J65" s="31">
        <f>=+ESF!L11</f>
      </c>
      <c r="K65" s="31">
        <f>=+ESF!M11</f>
      </c>
      <c r="L65" s="31">
        <f>=+ESF!N11</f>
      </c>
      <c r="M65" s="31">
        <f>=+ESF!O11</f>
      </c>
      <c r="N65" s="31">
        <f>=+ESF!P11</f>
      </c>
      <c r="O65" s="31">
        <f>=+ESF!Q11</f>
      </c>
    </row>
    <row r="66" ht="12.75" customHeight="true">
      <c r="B66" s="9" t="s">
        <v>271</v>
      </c>
      <c r="F66" s="31">
        <f>=+ESF!H13</f>
      </c>
      <c r="G66" s="31">
        <f>=+ESF!I13</f>
      </c>
      <c r="H66" s="31">
        <f>=+ESF!J13</f>
      </c>
      <c r="I66" s="31">
        <f>=+ESF!K13</f>
      </c>
      <c r="J66" s="31">
        <f>=+ESF!L13</f>
      </c>
      <c r="K66" s="31">
        <f>=+ESF!M13</f>
      </c>
      <c r="L66" s="31">
        <f>=+ESF!N13</f>
      </c>
      <c r="M66" s="31">
        <f>=+ESF!O13</f>
      </c>
      <c r="N66" s="31">
        <f>=+ESF!P13</f>
      </c>
      <c r="O66" s="31">
        <f>=+ESF!Q13</f>
      </c>
    </row>
    <row r="67" ht="12.75" customHeight="true">
      <c r="B67" s="9" t="s">
        <v>272</v>
      </c>
      <c r="F67" s="31">
        <f>=+ESF!H21</f>
      </c>
      <c r="G67" s="31">
        <f>=+ESF!I21</f>
      </c>
      <c r="H67" s="31">
        <f>=+ESF!J21</f>
      </c>
      <c r="I67" s="31">
        <f>=+ESF!K21</f>
      </c>
      <c r="J67" s="31">
        <f>=+ESF!L21</f>
      </c>
      <c r="K67" s="31">
        <f>=+ESF!M21</f>
      </c>
      <c r="L67" s="31">
        <f>=+ESF!N21</f>
      </c>
      <c r="M67" s="31">
        <f>=+ESF!O21</f>
      </c>
      <c r="N67" s="31">
        <f>=+ESF!P21</f>
      </c>
      <c r="O67" s="31">
        <f>=+ESF!Q21</f>
      </c>
    </row>
    <row r="68" ht="12.75" customHeight="true">
      <c r="B68" s="9" t="s">
        <v>273</v>
      </c>
      <c r="F68" s="31">
        <f>=+ESF!H30-SUM(Impuestos!F63:F67)</f>
      </c>
      <c r="G68" s="31">
        <f>=+ESF!I30-SUM(Impuestos!G63:G67)</f>
      </c>
      <c r="H68" s="31">
        <f>=+ESF!J30-SUM(Impuestos!H63:H67)</f>
      </c>
      <c r="I68" s="31">
        <f>=+ESF!K30-SUM(Impuestos!I63:I67)</f>
      </c>
      <c r="J68" s="31">
        <f>=+ESF!L30-SUM(Impuestos!J63:J67)</f>
      </c>
      <c r="K68" s="31">
        <f>=+ESF!M30-SUM(Impuestos!K63:K67)</f>
      </c>
      <c r="L68" s="31">
        <f>=+ESF!N30-SUM(Impuestos!L63:L67)</f>
      </c>
      <c r="M68" s="31">
        <f>=+ESF!O30-SUM(Impuestos!M63:M67)</f>
      </c>
      <c r="N68" s="31">
        <f>=+ESF!P30-SUM(Impuestos!N63:N67)</f>
      </c>
      <c r="O68" s="31">
        <f>=+ESF!Q30-SUM(Impuestos!O63:O67)</f>
      </c>
    </row>
    <row r="69" ht="12.75" customHeight="true">
      <c r="B69" s="114" t="s">
        <v>274</v>
      </c>
      <c r="C69" s="115"/>
      <c r="D69" s="115"/>
      <c r="E69" s="115"/>
      <c r="F69" s="116">
        <f>=+SUM(F63:F68)</f>
      </c>
      <c r="G69" s="116">
        <f ref="G69:O69" t="shared" si="60">=+SUM(G63:G68)</f>
      </c>
      <c r="H69" s="116">
        <f t="shared" si="60"/>
      </c>
      <c r="I69" s="116">
        <f t="shared" si="60"/>
      </c>
      <c r="J69" s="116">
        <f t="shared" si="60"/>
      </c>
      <c r="K69" s="116">
        <f t="shared" si="60"/>
      </c>
      <c r="L69" s="116">
        <f t="shared" si="60"/>
      </c>
      <c r="M69" s="116">
        <f t="shared" si="60"/>
      </c>
      <c r="N69" s="116">
        <f t="shared" si="60"/>
      </c>
      <c r="O69" s="116">
        <f t="shared" si="60"/>
      </c>
    </row>
    <row r="70" ht="12.75" customHeight="true">
      <c r="B70" s="9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ht="12.75" customHeight="true">
      <c r="B71" s="21" t="s">
        <v>275</v>
      </c>
    </row>
    <row r="72" ht="12.75" customHeight="true">
      <c r="B72" s="9" t="s">
        <v>60</v>
      </c>
      <c r="F72" s="31">
        <f>=+ESF!H35</f>
      </c>
      <c r="G72" s="31">
        <f>=+ESF!I35</f>
      </c>
      <c r="H72" s="31">
        <f>=+ESF!J35</f>
      </c>
      <c r="I72" s="31">
        <f>=+ESF!K35</f>
      </c>
      <c r="J72" s="31">
        <f>=+ESF!L35</f>
      </c>
      <c r="K72" s="31">
        <f>=+ESF!M35</f>
      </c>
      <c r="L72" s="31">
        <f>=+ESF!N35</f>
      </c>
      <c r="M72" s="31">
        <f>=+ESF!O35</f>
      </c>
      <c r="N72" s="31">
        <f>=+ESF!P35</f>
      </c>
      <c r="O72" s="31">
        <f>=+ESF!Q35</f>
      </c>
    </row>
    <row r="73" ht="12.75" customHeight="true">
      <c r="B73" s="9" t="s">
        <v>62</v>
      </c>
      <c r="F73" s="31">
        <f>=+ESF!H37</f>
      </c>
      <c r="G73" s="31">
        <f>=+ESF!I37</f>
      </c>
      <c r="H73" s="31">
        <f>=+ESF!J37</f>
      </c>
      <c r="I73" s="31">
        <f>=+ESF!K37</f>
      </c>
      <c r="J73" s="31">
        <f>=+ESF!L37</f>
      </c>
      <c r="K73" s="31">
        <f>=+ESF!M37</f>
      </c>
      <c r="L73" s="31">
        <f>=+ESF!N37</f>
      </c>
      <c r="M73" s="31">
        <f>=+ESF!O37</f>
      </c>
      <c r="N73" s="31">
        <f>=+ESF!P37</f>
      </c>
      <c r="O73" s="31">
        <f>=+ESF!Q37</f>
      </c>
    </row>
    <row r="74" ht="12.75" customHeight="true">
      <c r="B74" s="9" t="s">
        <v>276</v>
      </c>
      <c r="F74" s="31">
        <f>=+ESF!H48-Impuestos!F72-Impuestos!F73-Impuestos!F75</f>
      </c>
      <c r="G74" s="31">
        <f>=+ESF!I48-Impuestos!G72-Impuestos!G73-Impuestos!G75</f>
      </c>
      <c r="H74" s="31">
        <f>=+ESF!J48-Impuestos!H72-Impuestos!H73-Impuestos!H75</f>
      </c>
      <c r="I74" s="31">
        <f>=+ESF!K48-Impuestos!I72-Impuestos!I73-Impuestos!I75</f>
      </c>
      <c r="J74" s="31">
        <f>=+ESF!L48-Impuestos!J72-Impuestos!J73-Impuestos!J75</f>
      </c>
      <c r="K74" s="31">
        <f>=+ESF!M48-Impuestos!K72-Impuestos!K73-Impuestos!K75</f>
      </c>
      <c r="L74" s="31">
        <f>=+ESF!N48-Impuestos!L72-Impuestos!L73-Impuestos!L75</f>
      </c>
      <c r="M74" s="31">
        <f>=+ESF!O48-Impuestos!M72-Impuestos!M73-Impuestos!M75</f>
      </c>
      <c r="N74" s="31">
        <f>=+ESF!P48-Impuestos!N72-Impuestos!N73-Impuestos!N75</f>
      </c>
      <c r="O74" s="31">
        <f>=+ESF!Q48-Impuestos!O72-Impuestos!O73-Impuestos!O75</f>
      </c>
    </row>
    <row r="75" ht="12.75" customHeight="true">
      <c r="B75" s="9" t="s">
        <v>68</v>
      </c>
      <c r="F75" s="31">
        <f>=+ESF!H44</f>
      </c>
      <c r="G75" s="31">
        <f>=+ESF!I44</f>
      </c>
      <c r="H75" s="31">
        <f>=+ESF!J44</f>
      </c>
      <c r="I75" s="31">
        <f>=+ESF!K44</f>
      </c>
      <c r="J75" s="31">
        <f>=+ESF!L44</f>
      </c>
      <c r="K75" s="31">
        <f>=+ESF!M44</f>
      </c>
      <c r="L75" s="31">
        <f>=+ESF!N44</f>
      </c>
      <c r="M75" s="31">
        <f>=+ESF!O44</f>
      </c>
      <c r="N75" s="31">
        <f>=+ESF!P44</f>
      </c>
      <c r="O75" s="31">
        <f>=+ESF!Q44</f>
      </c>
    </row>
    <row r="76" ht="12.75" customHeight="true">
      <c r="B76" s="114" t="s">
        <v>275</v>
      </c>
      <c r="C76" s="115"/>
      <c r="D76" s="115"/>
      <c r="E76" s="115"/>
      <c r="F76" s="116">
        <f>=+SUM(F72:F75)</f>
      </c>
      <c r="G76" s="116">
        <f ref="G76:O76" t="shared" si="36">=+SUM(G72:G75)</f>
      </c>
      <c r="H76" s="116">
        <f t="shared" si="36"/>
      </c>
      <c r="I76" s="116">
        <f t="shared" si="36"/>
      </c>
      <c r="J76" s="116">
        <f t="shared" si="36"/>
      </c>
      <c r="K76" s="116">
        <f t="shared" si="36"/>
      </c>
      <c r="L76" s="116">
        <f t="shared" si="36"/>
      </c>
      <c r="M76" s="116">
        <f t="shared" si="36"/>
      </c>
      <c r="N76" s="116">
        <f t="shared" si="36"/>
      </c>
      <c r="O76" s="116">
        <f t="shared" si="36"/>
      </c>
    </row>
    <row r="78" ht="12.75" customHeight="true">
      <c r="B78" s="32" t="s">
        <v>277</v>
      </c>
      <c r="C78" s="33"/>
      <c r="D78" s="33"/>
      <c r="E78" s="33">
        <f>=+ESF!G57</f>
      </c>
      <c r="F78" s="110">
        <f>=+F69-F76</f>
      </c>
      <c r="G78" s="110">
        <f ref="G78:O78" t="shared" si="47">=+G69-G76</f>
      </c>
      <c r="H78" s="110">
        <f t="shared" si="47"/>
      </c>
      <c r="I78" s="110">
        <f t="shared" si="47"/>
      </c>
      <c r="J78" s="110">
        <f t="shared" si="47"/>
      </c>
      <c r="K78" s="110">
        <f t="shared" si="47"/>
      </c>
      <c r="L78" s="110">
        <f t="shared" si="47"/>
      </c>
      <c r="M78" s="110">
        <f t="shared" si="47"/>
      </c>
      <c r="N78" s="110">
        <f t="shared" si="47"/>
      </c>
      <c r="O78" s="110">
        <f t="shared" si="47"/>
      </c>
    </row>
    <row r="79" ht="12.75" customHeight="true">
      <c r="B79" s="21"/>
      <c r="F79" s="24"/>
      <c r="G79" s="24"/>
      <c r="H79" s="24"/>
      <c r="I79" s="24"/>
      <c r="J79" s="24"/>
      <c r="K79" s="24"/>
      <c r="L79" s="24"/>
      <c r="M79" s="24"/>
      <c r="N79" s="24"/>
      <c r="O79" s="24"/>
    </row>
    <row r="80" ht="14.25" customHeight="true">
      <c r="A80" s="108">
        <v>3.3</v>
      </c>
      <c r="B80" s="48" t="s">
        <v>149</v>
      </c>
      <c r="C80" s="22"/>
      <c r="D80" s="22"/>
      <c r="E80" s="22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ht="14.25" customHeight="true">
      <c r="A81" s="18"/>
      <c r="B81" s="21"/>
      <c r="C81" s="22"/>
      <c r="D81" s="22"/>
      <c r="E81" s="22"/>
      <c r="F81" s="18"/>
      <c r="G81" s="18"/>
      <c r="H81" s="18"/>
      <c r="I81" s="18"/>
      <c r="J81" s="18"/>
      <c r="K81" s="18"/>
      <c r="L81" s="18"/>
      <c r="M81" s="18"/>
      <c r="N81" s="18"/>
      <c r="O81" s="18"/>
    </row>
    <row r="82" ht="14.25" customHeight="true">
      <c r="B82" s="32" t="s">
        <v>278</v>
      </c>
      <c r="C82" s="33"/>
      <c r="D82" s="33"/>
      <c r="E82" s="33"/>
      <c r="F82" s="110">
        <f>=+(E78-F48)*F46+F47</f>
      </c>
      <c r="G82" s="110">
        <f ref="G82:O82" t="shared" si="49">=+(F78-G48)*G46+G47</f>
      </c>
      <c r="H82" s="110">
        <f t="shared" si="49"/>
      </c>
      <c r="I82" s="110">
        <f t="shared" si="49"/>
      </c>
      <c r="J82" s="110">
        <f t="shared" si="49"/>
      </c>
      <c r="K82" s="110">
        <f t="shared" si="49"/>
      </c>
      <c r="L82" s="110">
        <f t="shared" si="49"/>
      </c>
      <c r="M82" s="110">
        <f t="shared" si="49"/>
      </c>
      <c r="N82" s="110">
        <f t="shared" si="49"/>
      </c>
      <c r="O82" s="110">
        <f t="shared" si="49"/>
      </c>
    </row>
    <row r="83" ht="14.25" customHeight="true">
      <c r="B83" s="32" t="s">
        <v>279</v>
      </c>
      <c r="C83" s="33"/>
      <c r="D83" s="33"/>
      <c r="E83" s="33"/>
      <c r="F83" s="110">
        <f>=+F82</f>
      </c>
      <c r="G83" s="110">
        <f ref="G83:O83" t="shared" si="37">=+G82</f>
      </c>
      <c r="H83" s="110">
        <f t="shared" si="37"/>
      </c>
      <c r="I83" s="110">
        <f t="shared" si="37"/>
      </c>
      <c r="J83" s="110">
        <f t="shared" si="37"/>
      </c>
      <c r="K83" s="110">
        <f t="shared" si="37"/>
      </c>
      <c r="L83" s="110">
        <f t="shared" si="37"/>
      </c>
      <c r="M83" s="110">
        <f t="shared" si="37"/>
      </c>
      <c r="N83" s="110">
        <f t="shared" si="37"/>
      </c>
      <c r="O83" s="110">
        <f t="shared" si="37"/>
      </c>
    </row>
    <row r="84" ht="14.25" customHeight="true">
      <c r="B84" s="21"/>
      <c r="C84" s="24"/>
      <c r="D84" s="24"/>
      <c r="E84" s="24"/>
      <c r="F84" s="111"/>
      <c r="G84" s="111"/>
      <c r="H84" s="111"/>
      <c r="I84" s="111"/>
      <c r="J84" s="111"/>
      <c r="K84" s="111"/>
      <c r="L84" s="111"/>
      <c r="M84" s="111"/>
      <c r="N84" s="111"/>
      <c r="O84" s="111"/>
    </row>
    <row r="85" ht="14.25" customHeight="true">
      <c r="B85" s="21"/>
      <c r="C85" s="24"/>
      <c r="D85" s="24"/>
      <c r="E85" s="24"/>
      <c r="F85" s="111"/>
      <c r="G85" s="111"/>
      <c r="H85" s="111"/>
      <c r="I85" s="111"/>
      <c r="J85" s="111"/>
      <c r="K85" s="111"/>
      <c r="L85" s="111"/>
      <c r="M85" s="111"/>
      <c r="N85" s="111"/>
      <c r="O85" s="111"/>
    </row>
    <row r="86" ht="14.25" customHeight="true">
      <c r="A86" s="103">
        <v>4</v>
      </c>
      <c r="B86" s="104" t="s">
        <v>280</v>
      </c>
      <c r="C86" s="104"/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T86" s="106"/>
      <c r="U86" s="107"/>
      <c r="V86" s="107"/>
    </row>
    <row r="87" ht="14.25" customHeight="true">
      <c r="A87" s="18"/>
      <c r="B87" s="21"/>
      <c r="C87" s="22"/>
      <c r="D87" s="22"/>
      <c r="E87" s="22"/>
      <c r="F87" s="18"/>
      <c r="G87" s="18"/>
      <c r="H87" s="18"/>
      <c r="I87" s="18"/>
      <c r="J87" s="18"/>
      <c r="K87" s="18"/>
      <c r="L87" s="18"/>
      <c r="M87" s="18"/>
      <c r="N87" s="18"/>
      <c r="O87" s="18"/>
    </row>
    <row r="88" ht="14.25" customHeight="true">
      <c r="A88" s="108">
        <v>4.1</v>
      </c>
      <c r="B88" s="48" t="s">
        <v>10</v>
      </c>
      <c r="C88" s="22"/>
      <c r="D88" s="22"/>
      <c r="E88" s="22"/>
      <c r="F88" s="18"/>
      <c r="G88" s="18"/>
      <c r="H88" s="18"/>
      <c r="I88" s="18"/>
      <c r="J88" s="18"/>
      <c r="K88" s="18"/>
      <c r="L88" s="18"/>
      <c r="M88" s="18"/>
      <c r="N88" s="18"/>
      <c r="O88" s="18"/>
    </row>
    <row r="89" ht="14.25" customHeight="true">
      <c r="A89" s="18"/>
      <c r="B89" s="21"/>
      <c r="C89" s="22"/>
      <c r="D89" s="22"/>
      <c r="E89" s="22"/>
      <c r="F89" s="18"/>
      <c r="G89" s="18"/>
      <c r="H89" s="18"/>
      <c r="I89" s="18"/>
      <c r="J89" s="18"/>
      <c r="K89" s="18"/>
      <c r="L89" s="18"/>
      <c r="M89" s="18"/>
      <c r="N89" s="18"/>
      <c r="O89" s="18"/>
    </row>
    <row r="90" ht="14.25" customHeight="true">
      <c r="A90" s="18"/>
      <c r="B90" s="8" t="s">
        <v>252</v>
      </c>
      <c r="C90" s="22"/>
      <c r="D90" s="31"/>
      <c r="E90" s="31"/>
      <c r="F90" s="30">
        <v>0.004</v>
      </c>
      <c r="G90" s="38">
        <f>=+F90</f>
      </c>
      <c r="H90" s="38">
        <f ref="H90:O90" t="shared" si="53">=+G90</f>
      </c>
      <c r="I90" s="38">
        <f t="shared" si="53"/>
      </c>
      <c r="J90" s="38">
        <f t="shared" si="53"/>
      </c>
      <c r="K90" s="38">
        <f t="shared" si="53"/>
      </c>
      <c r="L90" s="38">
        <f t="shared" si="53"/>
      </c>
      <c r="M90" s="38">
        <f t="shared" si="53"/>
      </c>
      <c r="N90" s="38">
        <f t="shared" si="53"/>
      </c>
      <c r="O90" s="38">
        <f t="shared" si="53"/>
      </c>
    </row>
    <row r="91" ht="14.25" customHeight="true">
      <c r="A91" s="18"/>
      <c r="B91" s="8"/>
      <c r="C91" s="22"/>
      <c r="D91" s="31"/>
      <c r="E91" s="31"/>
      <c r="F91" s="38"/>
      <c r="G91" s="38"/>
      <c r="H91" s="38"/>
      <c r="I91" s="38"/>
      <c r="J91" s="38"/>
      <c r="K91" s="38"/>
      <c r="L91" s="38"/>
      <c r="M91" s="38"/>
      <c r="N91" s="38"/>
      <c r="O91" s="38"/>
    </row>
    <row r="92" ht="14.25" customHeight="true">
      <c r="A92" s="18"/>
      <c r="B92" s="21" t="s">
        <v>253</v>
      </c>
      <c r="C92" s="22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</row>
    <row r="93" ht="14.25" customHeight="true">
      <c r="A93" s="18"/>
      <c r="B93" s="9" t="s">
        <v>254</v>
      </c>
      <c r="C93" s="22"/>
      <c r="D93" s="31"/>
      <c r="E93" s="31"/>
      <c r="F93" s="31">
        <v>0</v>
      </c>
      <c r="G93" s="31">
        <v>0</v>
      </c>
      <c r="H93" s="31">
        <v>0</v>
      </c>
      <c r="I93" s="31">
        <v>0</v>
      </c>
      <c r="J93" s="31">
        <v>0</v>
      </c>
      <c r="K93" s="31">
        <v>0</v>
      </c>
      <c r="L93" s="31">
        <v>0</v>
      </c>
      <c r="M93" s="31">
        <v>0</v>
      </c>
      <c r="N93" s="31">
        <v>0</v>
      </c>
      <c r="O93" s="31">
        <v>0</v>
      </c>
    </row>
    <row r="94" ht="14.25" customHeight="true">
      <c r="A94" s="18"/>
      <c r="B94" s="35" t="s">
        <v>255</v>
      </c>
      <c r="C94" s="109"/>
      <c r="D94" s="27"/>
      <c r="E94" s="27"/>
      <c r="F94" s="27">
        <f>=+ERI!H7</f>
      </c>
      <c r="G94" s="27">
        <f>=+ERI!I7</f>
      </c>
      <c r="H94" s="27">
        <f>=+ERI!J7</f>
      </c>
      <c r="I94" s="27">
        <f>=+ERI!K7</f>
      </c>
      <c r="J94" s="27">
        <f>=+ERI!L7</f>
      </c>
      <c r="K94" s="27">
        <f>=+ERI!M7</f>
      </c>
      <c r="L94" s="27">
        <f>=+ERI!N7</f>
      </c>
      <c r="M94" s="27">
        <f>=+ERI!O7</f>
      </c>
      <c r="N94" s="27">
        <f>=+ERI!P7</f>
      </c>
      <c r="O94" s="27">
        <f>=+ERI!Q7</f>
      </c>
    </row>
    <row r="95" ht="14.25" customHeight="true">
      <c r="A95" s="36"/>
      <c r="B95" s="8" t="s">
        <v>253</v>
      </c>
      <c r="C95" s="22"/>
      <c r="D95" s="22"/>
      <c r="E95" s="22"/>
      <c r="F95" s="31">
        <f>=+SUM(F93:F94)</f>
      </c>
      <c r="G95" s="31">
        <f ref="G95:O95" t="shared" si="61">=+SUM(G93:G94)</f>
      </c>
      <c r="H95" s="31">
        <f t="shared" si="61"/>
      </c>
      <c r="I95" s="31">
        <f t="shared" si="61"/>
      </c>
      <c r="J95" s="31">
        <f t="shared" si="61"/>
      </c>
      <c r="K95" s="31">
        <f t="shared" si="61"/>
      </c>
      <c r="L95" s="31">
        <f t="shared" si="61"/>
      </c>
      <c r="M95" s="31">
        <f t="shared" si="61"/>
      </c>
      <c r="N95" s="31">
        <f t="shared" si="61"/>
      </c>
      <c r="O95" s="31">
        <f t="shared" si="61"/>
      </c>
    </row>
    <row r="96" ht="14.25" customHeight="true">
      <c r="A96" s="18"/>
      <c r="B96" s="8"/>
      <c r="C96" s="22"/>
      <c r="D96" s="22"/>
      <c r="E96" s="22"/>
      <c r="F96" s="31"/>
      <c r="G96" s="31"/>
      <c r="H96" s="31"/>
      <c r="I96" s="31"/>
      <c r="J96" s="31"/>
      <c r="K96" s="31"/>
      <c r="L96" s="31"/>
      <c r="M96" s="31"/>
      <c r="N96" s="31"/>
      <c r="O96" s="31"/>
    </row>
    <row r="97" ht="14.25" customHeight="true">
      <c r="A97" s="108">
        <v>4.2</v>
      </c>
      <c r="B97" s="48" t="s">
        <v>281</v>
      </c>
      <c r="C97" s="22"/>
      <c r="D97" s="22"/>
      <c r="E97" s="22"/>
    </row>
    <row r="98" ht="14.25" customHeight="true">
      <c r="A98" s="18"/>
      <c r="B98" s="8"/>
      <c r="C98" s="22"/>
      <c r="D98" s="22"/>
      <c r="E98" s="22"/>
      <c r="F98" s="31"/>
      <c r="G98" s="31"/>
      <c r="H98" s="31"/>
      <c r="I98" s="31"/>
      <c r="J98" s="31"/>
      <c r="K98" s="31"/>
      <c r="L98" s="31"/>
      <c r="M98" s="31"/>
      <c r="N98" s="31"/>
      <c r="O98" s="31"/>
    </row>
    <row r="99" ht="14.25" customHeight="true">
      <c r="A99" s="18"/>
      <c r="B99" s="8" t="s">
        <v>282</v>
      </c>
      <c r="C99" s="22"/>
      <c r="D99" s="22"/>
      <c r="E99" s="22"/>
      <c r="F99" s="30">
        <v>1</v>
      </c>
      <c r="G99" s="38">
        <f>=+F99</f>
      </c>
      <c r="H99" s="38">
        <f ref="H99:O99" t="shared" si="57">=+G99</f>
      </c>
      <c r="I99" s="38">
        <f t="shared" si="57"/>
      </c>
      <c r="J99" s="38">
        <f t="shared" si="57"/>
      </c>
      <c r="K99" s="38">
        <f t="shared" si="57"/>
      </c>
      <c r="L99" s="38">
        <f t="shared" si="57"/>
      </c>
      <c r="M99" s="38">
        <f t="shared" si="57"/>
      </c>
      <c r="N99" s="38">
        <f t="shared" si="57"/>
      </c>
      <c r="O99" s="38">
        <f t="shared" si="57"/>
      </c>
    </row>
    <row r="100" ht="14.25" customHeight="true">
      <c r="A100" s="18"/>
      <c r="B100" s="8"/>
      <c r="C100" s="22"/>
      <c r="D100" s="22"/>
      <c r="E100" s="22"/>
      <c r="F100" s="31"/>
      <c r="G100" s="31"/>
      <c r="H100" s="31"/>
      <c r="I100" s="31"/>
      <c r="J100" s="31"/>
      <c r="K100" s="31"/>
      <c r="L100" s="31"/>
      <c r="M100" s="31"/>
      <c r="N100" s="31"/>
      <c r="O100" s="31"/>
    </row>
    <row r="101" ht="14.25" customHeight="true">
      <c r="A101" s="108">
        <v>4.3</v>
      </c>
      <c r="B101" s="48" t="s">
        <v>283</v>
      </c>
      <c r="C101" s="22"/>
      <c r="D101" s="22"/>
      <c r="E101" s="22"/>
      <c r="F101" s="18"/>
      <c r="G101" s="18"/>
      <c r="H101" s="18"/>
      <c r="I101" s="18"/>
      <c r="J101" s="18"/>
      <c r="K101" s="18"/>
      <c r="L101" s="18"/>
      <c r="M101" s="18"/>
      <c r="N101" s="18"/>
      <c r="O101" s="18"/>
    </row>
    <row r="102" ht="14.25" customHeight="true">
      <c r="A102" s="18"/>
      <c r="B102" s="21"/>
      <c r="C102" s="22"/>
      <c r="D102" s="22"/>
      <c r="E102" s="22"/>
      <c r="F102" s="18"/>
      <c r="G102" s="18"/>
      <c r="H102" s="18"/>
      <c r="I102" s="18"/>
      <c r="J102" s="18"/>
      <c r="K102" s="18"/>
      <c r="L102" s="18"/>
      <c r="M102" s="18"/>
      <c r="N102" s="18"/>
      <c r="O102" s="18"/>
    </row>
    <row r="103" ht="14.25" customHeight="true">
      <c r="B103" s="32" t="s">
        <v>284</v>
      </c>
      <c r="C103" s="33"/>
      <c r="D103" s="33"/>
      <c r="E103" s="33"/>
      <c r="F103" s="110">
        <f ref="F103:O103" t="shared" si="23">=F90*F95*F99</f>
      </c>
      <c r="G103" s="110">
        <f t="shared" si="23"/>
      </c>
      <c r="H103" s="110">
        <f t="shared" si="23"/>
      </c>
      <c r="I103" s="110">
        <f t="shared" si="23"/>
      </c>
      <c r="J103" s="110">
        <f t="shared" si="23"/>
      </c>
      <c r="K103" s="110">
        <f t="shared" si="23"/>
      </c>
      <c r="L103" s="110">
        <f t="shared" si="23"/>
      </c>
      <c r="M103" s="110">
        <f t="shared" si="23"/>
      </c>
      <c r="N103" s="110">
        <f t="shared" si="23"/>
      </c>
      <c r="O103" s="110">
        <f t="shared" si="23"/>
      </c>
    </row>
    <row r="104" ht="14.25" customHeight="true">
      <c r="A104" s="18"/>
      <c r="B104" s="21"/>
      <c r="C104" s="22"/>
      <c r="D104" s="22"/>
      <c r="E104" s="22"/>
      <c r="F104" s="18"/>
      <c r="G104" s="18"/>
      <c r="H104" s="18"/>
      <c r="I104" s="18"/>
      <c r="J104" s="18"/>
      <c r="K104" s="18"/>
      <c r="L104" s="18"/>
      <c r="M104" s="18"/>
      <c r="N104" s="18"/>
      <c r="O104" s="18"/>
    </row>
    <row r="105" ht="14.25" customHeight="true">
      <c r="A105" s="18"/>
      <c r="B105" s="21"/>
      <c r="C105" s="22"/>
      <c r="D105" s="22"/>
      <c r="E105" s="22"/>
      <c r="F105" s="9"/>
      <c r="G105" s="18"/>
      <c r="H105" s="18"/>
      <c r="I105" s="18"/>
      <c r="J105" s="18"/>
      <c r="K105" s="18"/>
      <c r="L105" s="18"/>
      <c r="M105" s="18"/>
      <c r="N105" s="18"/>
      <c r="O105" s="18"/>
    </row>
    <row r="106" ht="14.25" customHeight="true">
      <c r="A106" s="103">
        <v>5</v>
      </c>
      <c r="B106" s="104" t="s">
        <v>285</v>
      </c>
      <c r="C106" s="104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T106" s="106"/>
      <c r="U106" s="107"/>
      <c r="V106" s="107"/>
    </row>
    <row r="108" ht="14.25" customHeight="true">
      <c r="A108" s="108">
        <v>5.1</v>
      </c>
      <c r="B108" s="48" t="s">
        <v>286</v>
      </c>
    </row>
    <row r="110" ht="14.25" customHeight="true">
      <c r="B110" s="8" t="s">
        <v>32</v>
      </c>
      <c r="D110" s="30">
        <v>0.35</v>
      </c>
      <c r="E110" s="30">
        <v>0.35</v>
      </c>
      <c r="F110" s="30">
        <v>0.35</v>
      </c>
      <c r="G110" s="31">
        <f ref="G110:O110" t="shared" si="62">=+F110</f>
      </c>
      <c r="H110" s="31">
        <f t="shared" si="62"/>
      </c>
      <c r="I110" s="31">
        <f t="shared" si="62"/>
      </c>
      <c r="J110" s="31">
        <f t="shared" si="62"/>
      </c>
      <c r="K110" s="31">
        <f t="shared" si="62"/>
      </c>
      <c r="L110" s="31">
        <f t="shared" si="62"/>
      </c>
      <c r="M110" s="31">
        <f t="shared" si="62"/>
      </c>
      <c r="N110" s="31">
        <f t="shared" si="62"/>
      </c>
      <c r="O110" s="31">
        <f t="shared" si="62"/>
      </c>
    </row>
    <row r="111" hidden="1" ht="14.25" customHeight="true">
      <c r="B111" s="8" t="s">
        <v>287</v>
      </c>
      <c r="D111" s="31"/>
      <c r="E111" s="31"/>
      <c r="F111" s="30">
        <v>0</v>
      </c>
      <c r="G111" s="31">
        <f ref="G111:O114" t="shared" si="54">=+F111</f>
      </c>
      <c r="H111" s="31">
        <f t="shared" si="54"/>
      </c>
      <c r="I111" s="30">
        <v>0</v>
      </c>
      <c r="J111" s="31">
        <f t="shared" si="54"/>
      </c>
      <c r="K111" s="31">
        <f t="shared" si="54"/>
      </c>
      <c r="L111" s="31">
        <f t="shared" si="54"/>
      </c>
      <c r="M111" s="31">
        <f t="shared" si="54"/>
      </c>
      <c r="N111" s="31">
        <f t="shared" si="54"/>
      </c>
      <c r="O111" s="31">
        <f t="shared" si="54"/>
      </c>
    </row>
    <row r="112" hidden="1" ht="14.25" customHeight="true">
      <c r="B112" s="8" t="s">
        <v>288</v>
      </c>
      <c r="D112" s="31"/>
      <c r="E112" s="31"/>
      <c r="F112" s="30">
        <v>0</v>
      </c>
      <c r="G112" s="30">
        <v>0</v>
      </c>
      <c r="H112" s="30">
        <v>0</v>
      </c>
      <c r="I112" s="30">
        <v>0</v>
      </c>
      <c r="J112" s="31">
        <f>=+I112</f>
      </c>
      <c r="K112" s="31">
        <f>=+J112</f>
      </c>
      <c r="L112" s="31">
        <f t="shared" si="54"/>
      </c>
      <c r="M112" s="31">
        <f t="shared" si="54"/>
      </c>
      <c r="N112" s="31">
        <f t="shared" si="54"/>
      </c>
      <c r="O112" s="31">
        <f t="shared" si="54"/>
      </c>
    </row>
    <row r="113" ht="14.25" customHeight="true">
      <c r="B113" s="8" t="s">
        <v>289</v>
      </c>
      <c r="D113" s="31"/>
      <c r="E113" s="31"/>
      <c r="F113" s="30">
        <v>0.03</v>
      </c>
      <c r="G113" s="31">
        <f t="shared" si="54"/>
      </c>
      <c r="H113" s="31">
        <f t="shared" si="54"/>
      </c>
      <c r="I113" s="31">
        <f t="shared" si="54"/>
      </c>
      <c r="J113" s="31">
        <f t="shared" si="54"/>
      </c>
      <c r="K113" s="31">
        <f t="shared" si="54"/>
      </c>
      <c r="L113" s="31">
        <f t="shared" si="54"/>
      </c>
      <c r="M113" s="31">
        <f t="shared" si="54"/>
      </c>
      <c r="N113" s="31">
        <f t="shared" si="54"/>
      </c>
      <c r="O113" s="31">
        <f t="shared" si="54"/>
      </c>
    </row>
    <row r="114" ht="14.25" customHeight="true">
      <c r="B114" s="8" t="s">
        <v>290</v>
      </c>
      <c r="D114" s="31"/>
      <c r="E114" s="31"/>
      <c r="F114" s="30">
        <v>0.5</v>
      </c>
      <c r="G114" s="31">
        <f t="shared" si="54"/>
      </c>
      <c r="H114" s="31">
        <f t="shared" si="54"/>
      </c>
      <c r="I114" s="31">
        <f t="shared" si="54"/>
      </c>
      <c r="J114" s="31">
        <f t="shared" si="54"/>
      </c>
      <c r="K114" s="31">
        <f t="shared" si="54"/>
      </c>
      <c r="L114" s="31">
        <f t="shared" si="54"/>
      </c>
      <c r="M114" s="31">
        <f t="shared" si="54"/>
      </c>
      <c r="N114" s="31">
        <f t="shared" si="54"/>
      </c>
      <c r="O114" s="31">
        <f t="shared" si="54"/>
      </c>
    </row>
    <row r="116" ht="14.25" customHeight="true">
      <c r="A116" s="108">
        <v>5.2</v>
      </c>
      <c r="B116" s="48" t="s">
        <v>291</v>
      </c>
      <c r="F116" s="18"/>
    </row>
    <row r="117" ht="14.25" customHeight="true">
      <c r="F117" s="18"/>
      <c r="G117" s="18"/>
      <c r="H117" s="18"/>
      <c r="I117" s="18"/>
      <c r="J117" s="18"/>
      <c r="K117" s="18"/>
      <c r="L117" s="18"/>
      <c r="M117" s="18"/>
      <c r="N117" s="18"/>
      <c r="O117" s="18"/>
    </row>
    <row r="118" ht="14.25" customHeight="true">
      <c r="B118" s="8" t="s">
        <v>25</v>
      </c>
      <c r="D118" s="31"/>
      <c r="E118" s="31"/>
      <c r="F118" s="31">
        <f>=+ERI!H18</f>
      </c>
      <c r="G118" s="31">
        <f>=+ERI!I18</f>
      </c>
      <c r="H118" s="31">
        <f>=+ERI!J18</f>
      </c>
      <c r="I118" s="31">
        <f>=+ERI!K18</f>
      </c>
      <c r="J118" s="31">
        <f>=+ERI!L18</f>
      </c>
      <c r="K118" s="31">
        <f>=+ERI!M18</f>
      </c>
      <c r="L118" s="31">
        <f>=+ERI!N18</f>
      </c>
      <c r="M118" s="31">
        <f>=+ERI!O18</f>
      </c>
      <c r="N118" s="31">
        <f>=+ERI!P18</f>
      </c>
      <c r="O118" s="31">
        <f>=+ERI!Q18</f>
      </c>
    </row>
    <row r="119" ht="14.25" customHeight="true">
      <c r="B119" s="8" t="s">
        <v>292</v>
      </c>
      <c r="F119" s="31">
        <f>=+ERI!H14+ERI!H15</f>
      </c>
      <c r="G119" s="31">
        <f>=+ERI!I14+ERI!I15</f>
      </c>
      <c r="H119" s="31">
        <f>=+ERI!J14+ERI!J15</f>
      </c>
      <c r="I119" s="31">
        <f>=+ERI!K14+ERI!K15</f>
      </c>
      <c r="J119" s="31">
        <f>=+ERI!L14+ERI!L15</f>
      </c>
      <c r="K119" s="31">
        <f>=+ERI!M14+ERI!M15</f>
      </c>
      <c r="L119" s="31">
        <f>=+ERI!N14+ERI!N15</f>
      </c>
      <c r="M119" s="31">
        <f>=+ERI!O14+ERI!O15</f>
      </c>
      <c r="N119" s="31">
        <f>=+ERI!P14+ERI!P15</f>
      </c>
      <c r="O119" s="31">
        <f>=+ERI!Q14+ERI!Q15</f>
      </c>
    </row>
    <row r="120" ht="14.25" customHeight="true">
      <c r="B120" s="114" t="s">
        <v>293</v>
      </c>
      <c r="C120" s="115"/>
      <c r="D120" s="115"/>
      <c r="E120" s="115"/>
      <c r="F120" s="116">
        <f>=+F118-F119</f>
      </c>
      <c r="G120" s="116">
        <f ref="G120:O120" t="shared" si="59">=+G118-G119</f>
      </c>
      <c r="H120" s="116">
        <f t="shared" si="59"/>
      </c>
      <c r="I120" s="116">
        <f t="shared" si="59"/>
      </c>
      <c r="J120" s="116">
        <f t="shared" si="59"/>
      </c>
      <c r="K120" s="116">
        <f t="shared" si="59"/>
      </c>
      <c r="L120" s="116">
        <f t="shared" si="59"/>
      </c>
      <c r="M120" s="116">
        <f t="shared" si="59"/>
      </c>
      <c r="N120" s="116">
        <f t="shared" si="59"/>
      </c>
      <c r="O120" s="116">
        <f t="shared" si="59"/>
      </c>
    </row>
    <row r="121" ht="14.25" customHeight="true">
      <c r="F121" s="18"/>
      <c r="G121" s="18"/>
      <c r="H121" s="18"/>
      <c r="I121" s="18"/>
      <c r="J121" s="18"/>
      <c r="K121" s="18"/>
      <c r="L121" s="18"/>
      <c r="M121" s="18"/>
      <c r="N121" s="18"/>
      <c r="O121" s="18"/>
    </row>
    <row r="122" ht="14.25" customHeight="true">
      <c r="B122" s="8" t="s">
        <v>27</v>
      </c>
      <c r="F122" s="31">
        <f>=+ERI!H21</f>
      </c>
      <c r="G122" s="31">
        <f>=+ERI!I21</f>
      </c>
      <c r="H122" s="31">
        <f>=+ERI!J21</f>
      </c>
      <c r="I122" s="31">
        <f>=+ERI!K21</f>
      </c>
      <c r="J122" s="31">
        <f>=+ERI!L21</f>
      </c>
      <c r="K122" s="31">
        <f>=+ERI!M21</f>
      </c>
      <c r="L122" s="31">
        <f>=+ERI!N21</f>
      </c>
      <c r="M122" s="31">
        <f>=+ERI!O21</f>
      </c>
      <c r="N122" s="31">
        <f>=+ERI!P21</f>
      </c>
      <c r="O122" s="31">
        <f>=+ERI!Q21</f>
      </c>
    </row>
    <row r="123" ht="14.25" customHeight="true">
      <c r="B123" s="8" t="s">
        <v>29</v>
      </c>
      <c r="F123" s="31">
        <f>=+ERI!H23</f>
      </c>
      <c r="G123" s="31">
        <f>=+ERI!I23</f>
      </c>
      <c r="H123" s="31">
        <f>=+ERI!J23</f>
      </c>
      <c r="I123" s="31">
        <f>=+ERI!K23</f>
      </c>
      <c r="J123" s="31">
        <f>=+ERI!L23</f>
      </c>
      <c r="K123" s="31">
        <f>=+ERI!M23</f>
      </c>
      <c r="L123" s="31">
        <f>=+ERI!N23</f>
      </c>
      <c r="M123" s="31">
        <f>=+ERI!O23</f>
      </c>
      <c r="N123" s="31">
        <f>=+ERI!P23</f>
      </c>
      <c r="O123" s="31">
        <f>=+ERI!Q23</f>
      </c>
    </row>
    <row r="124" ht="14.25" customHeight="true">
      <c r="B124" s="8" t="s">
        <v>294</v>
      </c>
      <c r="F124" s="31">
        <f>=+ERI!H22-ERI!H24</f>
      </c>
      <c r="G124" s="31">
        <f>=+ERI!I22-ERI!I24</f>
      </c>
      <c r="H124" s="31">
        <f>=+ERI!J22-ERI!J24</f>
      </c>
      <c r="I124" s="31">
        <f>=+ERI!K22-ERI!K24</f>
      </c>
      <c r="J124" s="31">
        <f>=+ERI!L22-ERI!L24</f>
      </c>
      <c r="K124" s="31">
        <f>=+ERI!M22-ERI!M24</f>
      </c>
      <c r="L124" s="31">
        <f>=+ERI!N22-ERI!N24</f>
      </c>
      <c r="M124" s="31">
        <f>=+ERI!O22-ERI!O24</f>
      </c>
      <c r="N124" s="31">
        <f>=+ERI!P22-ERI!P24</f>
      </c>
      <c r="O124" s="31">
        <f>=+ERI!Q22-ERI!Q24</f>
      </c>
    </row>
    <row r="125" ht="14.25" customHeight="true">
      <c r="B125" s="114" t="s">
        <v>295</v>
      </c>
      <c r="C125" s="115"/>
      <c r="D125" s="115"/>
      <c r="E125" s="115"/>
      <c r="F125" s="116">
        <f>=+F120+F122-F123+F124</f>
      </c>
      <c r="G125" s="116">
        <f ref="G125:O125" t="shared" si="48">=+G120+G122-G123+G124</f>
      </c>
      <c r="H125" s="116">
        <f t="shared" si="48"/>
      </c>
      <c r="I125" s="116">
        <f t="shared" si="48"/>
      </c>
      <c r="J125" s="116">
        <f t="shared" si="48"/>
      </c>
      <c r="K125" s="116">
        <f t="shared" si="48"/>
      </c>
      <c r="L125" s="116">
        <f t="shared" si="48"/>
      </c>
      <c r="M125" s="116">
        <f t="shared" si="48"/>
      </c>
      <c r="N125" s="116">
        <f t="shared" si="48"/>
      </c>
      <c r="O125" s="116">
        <f t="shared" si="48"/>
      </c>
    </row>
    <row r="127" ht="14.25" customHeight="true">
      <c r="B127" s="21" t="s">
        <v>296</v>
      </c>
    </row>
    <row r="128" ht="14.25" customHeight="true">
      <c r="B128" s="9" t="s">
        <v>297</v>
      </c>
      <c r="F128" s="38">
        <f>=+F$23</f>
      </c>
      <c r="G128" s="38">
        <f ref="G128:O128" t="shared" si="26">=+G$23</f>
      </c>
      <c r="H128" s="38">
        <f t="shared" si="26"/>
      </c>
      <c r="I128" s="38">
        <f t="shared" si="26"/>
      </c>
      <c r="J128" s="38">
        <f t="shared" si="26"/>
      </c>
      <c r="K128" s="38">
        <f t="shared" si="26"/>
      </c>
      <c r="L128" s="38">
        <f t="shared" si="26"/>
      </c>
      <c r="M128" s="38">
        <f t="shared" si="26"/>
      </c>
      <c r="N128" s="38">
        <f t="shared" si="26"/>
      </c>
      <c r="O128" s="38">
        <f t="shared" si="26"/>
      </c>
    </row>
    <row r="129" ht="14.25" customHeight="true">
      <c r="B129" s="9" t="s">
        <v>259</v>
      </c>
      <c r="F129" s="38">
        <f ref="F129:O129" t="shared" si="74">=+F$39</f>
      </c>
      <c r="G129" s="38">
        <f t="shared" si="74"/>
      </c>
      <c r="H129" s="38">
        <f t="shared" si="74"/>
      </c>
      <c r="I129" s="38">
        <f t="shared" si="74"/>
      </c>
      <c r="J129" s="38">
        <f t="shared" si="74"/>
      </c>
      <c r="K129" s="38">
        <f t="shared" si="74"/>
      </c>
      <c r="L129" s="38">
        <f t="shared" si="74"/>
      </c>
      <c r="M129" s="38">
        <f t="shared" si="74"/>
      </c>
      <c r="N129" s="38">
        <f t="shared" si="74"/>
      </c>
      <c r="O129" s="38">
        <f t="shared" si="74"/>
      </c>
    </row>
    <row r="130" ht="14.25" customHeight="true">
      <c r="B130" s="9" t="s">
        <v>149</v>
      </c>
      <c r="F130" s="38">
        <f ref="F130:O130" t="shared" si="27">=+F$83</f>
      </c>
      <c r="G130" s="38">
        <f t="shared" si="27"/>
      </c>
      <c r="H130" s="38">
        <f t="shared" si="27"/>
      </c>
      <c r="I130" s="38">
        <f t="shared" si="27"/>
      </c>
      <c r="J130" s="38">
        <f t="shared" si="27"/>
      </c>
      <c r="K130" s="38">
        <f t="shared" si="27"/>
      </c>
      <c r="L130" s="38">
        <f t="shared" si="27"/>
      </c>
      <c r="M130" s="38">
        <f t="shared" si="27"/>
      </c>
      <c r="N130" s="38">
        <f t="shared" si="27"/>
      </c>
      <c r="O130" s="38">
        <f t="shared" si="27"/>
      </c>
    </row>
    <row r="131" ht="14.25" customHeight="true">
      <c r="B131" s="9" t="s">
        <v>147</v>
      </c>
      <c r="F131" s="38">
        <f ref="F131:O131" t="shared" si="63">=+F$103*F114</f>
      </c>
      <c r="G131" s="38">
        <f t="shared" si="63"/>
      </c>
      <c r="H131" s="38">
        <f t="shared" si="63"/>
      </c>
      <c r="I131" s="38">
        <f t="shared" si="63"/>
      </c>
      <c r="J131" s="38">
        <f t="shared" si="63"/>
      </c>
      <c r="K131" s="38">
        <f t="shared" si="63"/>
      </c>
      <c r="L131" s="38">
        <f t="shared" si="63"/>
      </c>
      <c r="M131" s="38">
        <f t="shared" si="63"/>
      </c>
      <c r="N131" s="38">
        <f t="shared" si="63"/>
      </c>
      <c r="O131" s="38">
        <f t="shared" si="63"/>
      </c>
    </row>
    <row r="132" ht="14.25" customHeight="true">
      <c r="B132" s="114" t="s">
        <v>298</v>
      </c>
      <c r="C132" s="115"/>
      <c r="D132" s="115"/>
      <c r="E132" s="115"/>
      <c r="F132" s="116">
        <f ref="F132:O132" t="shared" si="45">=+F125+SUM(F128:F131)</f>
      </c>
      <c r="G132" s="116">
        <f t="shared" si="45"/>
      </c>
      <c r="H132" s="116">
        <f t="shared" si="45"/>
      </c>
      <c r="I132" s="116">
        <f t="shared" si="45"/>
      </c>
      <c r="J132" s="116">
        <f t="shared" si="45"/>
      </c>
      <c r="K132" s="116">
        <f t="shared" si="45"/>
      </c>
      <c r="L132" s="116">
        <f t="shared" si="45"/>
      </c>
      <c r="M132" s="116">
        <f t="shared" si="45"/>
      </c>
      <c r="N132" s="116">
        <f t="shared" si="45"/>
      </c>
      <c r="O132" s="116">
        <f t="shared" si="45"/>
      </c>
    </row>
    <row r="134" ht="14.25" customHeight="true">
      <c r="B134" s="21" t="s">
        <v>299</v>
      </c>
    </row>
    <row r="135" ht="14.25" customHeight="true">
      <c r="B135" s="9" t="s">
        <v>300</v>
      </c>
      <c r="F135" s="31">
        <f>=+Impuestos!E138</f>
      </c>
      <c r="G135" s="31">
        <f>=+Impuestos!F138</f>
      </c>
      <c r="H135" s="31">
        <f>=+Impuestos!G138</f>
      </c>
      <c r="I135" s="31">
        <f>=+Impuestos!H138</f>
      </c>
      <c r="J135" s="31">
        <f>=+Impuestos!I138</f>
      </c>
      <c r="K135" s="31">
        <f>=+Impuestos!J138</f>
      </c>
      <c r="L135" s="31">
        <f>=+Impuestos!K138</f>
      </c>
      <c r="M135" s="31">
        <f>=+Impuestos!L138</f>
      </c>
      <c r="N135" s="31">
        <f>=+Impuestos!M138</f>
      </c>
      <c r="O135" s="31">
        <f>=+Impuestos!N138</f>
      </c>
    </row>
    <row r="136" ht="14.25" customHeight="true">
      <c r="B136" s="9" t="s">
        <v>301</v>
      </c>
      <c r="F136" s="31">
        <f>=+IF(F$132&lt;0,-F132,0)</f>
      </c>
      <c r="G136" s="31">
        <f ref="G136:O136" t="shared" si="72">=+IF(G$132&lt;0,-G132,0)</f>
      </c>
      <c r="H136" s="31">
        <f t="shared" si="72"/>
      </c>
      <c r="I136" s="31">
        <f t="shared" si="72"/>
      </c>
      <c r="J136" s="31">
        <f t="shared" si="72"/>
      </c>
      <c r="K136" s="31">
        <f t="shared" si="72"/>
      </c>
      <c r="L136" s="31">
        <f t="shared" si="72"/>
      </c>
      <c r="M136" s="31">
        <f t="shared" si="72"/>
      </c>
      <c r="N136" s="31">
        <f t="shared" si="72"/>
      </c>
      <c r="O136" s="31">
        <f t="shared" si="72"/>
      </c>
    </row>
    <row r="137" ht="14.25" customHeight="true">
      <c r="B137" s="9" t="s">
        <v>302</v>
      </c>
      <c r="F137" s="31">
        <f>=+MAX(0,MIN(F135,F132))</f>
      </c>
      <c r="G137" s="31">
        <f ref="G137:O137" t="shared" si="41">=+MAX(0,MIN(G135,G132))</f>
      </c>
      <c r="H137" s="31">
        <f t="shared" si="41"/>
      </c>
      <c r="I137" s="31">
        <f t="shared" si="41"/>
      </c>
      <c r="J137" s="31">
        <f t="shared" si="41"/>
      </c>
      <c r="K137" s="31">
        <f t="shared" si="41"/>
      </c>
      <c r="L137" s="31">
        <f t="shared" si="41"/>
      </c>
      <c r="M137" s="31">
        <f t="shared" si="41"/>
      </c>
      <c r="N137" s="31">
        <f t="shared" si="41"/>
      </c>
      <c r="O137" s="31">
        <f t="shared" si="41"/>
      </c>
    </row>
    <row r="138" ht="14.25" customHeight="true">
      <c r="B138" s="9" t="s">
        <v>303</v>
      </c>
      <c r="E138" s="117">
        <v>0</v>
      </c>
      <c r="F138" s="31">
        <f>=+F135+F136-F137</f>
      </c>
      <c r="G138" s="31">
        <f ref="G138:O138" t="shared" si="30">=+G135+G136-G137</f>
      </c>
      <c r="H138" s="31">
        <f t="shared" si="30"/>
      </c>
      <c r="I138" s="31">
        <f t="shared" si="30"/>
      </c>
      <c r="J138" s="31">
        <f t="shared" si="30"/>
      </c>
      <c r="K138" s="31">
        <f t="shared" si="30"/>
      </c>
      <c r="L138" s="31">
        <f t="shared" si="30"/>
      </c>
      <c r="M138" s="31">
        <f t="shared" si="30"/>
      </c>
      <c r="N138" s="31">
        <f t="shared" si="30"/>
      </c>
      <c r="O138" s="31">
        <f t="shared" si="30"/>
      </c>
    </row>
    <row r="139" ht="14.25" customHeight="true">
      <c r="B139" s="118" t="s">
        <v>80</v>
      </c>
      <c r="C139" s="8"/>
      <c r="D139" s="119">
        <f>=+SUM(F136:O136)-SUM(F137:O137)</f>
      </c>
      <c r="F139" s="31"/>
      <c r="G139" s="31"/>
      <c r="H139" s="31"/>
      <c r="I139" s="31"/>
      <c r="J139" s="31"/>
      <c r="K139" s="31"/>
      <c r="L139" s="31"/>
      <c r="M139" s="31"/>
      <c r="N139" s="31"/>
      <c r="O139" s="31"/>
    </row>
    <row r="141" ht="14.25" customHeight="true">
      <c r="B141" s="32" t="s">
        <v>304</v>
      </c>
      <c r="C141" s="33"/>
      <c r="D141" s="33"/>
      <c r="E141" s="33"/>
      <c r="F141" s="110">
        <f>=+F132+F136-F137</f>
      </c>
      <c r="G141" s="110">
        <f ref="G141:O141" t="shared" si="22">=+G132+G136-G137</f>
      </c>
      <c r="H141" s="110">
        <f t="shared" si="22"/>
      </c>
      <c r="I141" s="110">
        <f t="shared" si="22"/>
      </c>
      <c r="J141" s="110">
        <f t="shared" si="22"/>
      </c>
      <c r="K141" s="110">
        <f t="shared" si="22"/>
      </c>
      <c r="L141" s="110">
        <f t="shared" si="22"/>
      </c>
      <c r="M141" s="110">
        <f t="shared" si="22"/>
      </c>
      <c r="N141" s="110">
        <f t="shared" si="22"/>
      </c>
      <c r="O141" s="110">
        <f t="shared" si="22"/>
      </c>
    </row>
    <row r="143" ht="14.25" customHeight="true">
      <c r="A143" s="108">
        <v>5.3</v>
      </c>
      <c r="B143" s="48" t="s">
        <v>305</v>
      </c>
    </row>
    <row r="145" ht="12.75" customHeight="true">
      <c r="B145" s="21" t="s">
        <v>267</v>
      </c>
    </row>
    <row r="146" ht="12.75" customHeight="true">
      <c r="B146" s="9" t="s">
        <v>268</v>
      </c>
      <c r="F146" s="31">
        <f>=+F63</f>
      </c>
      <c r="G146" s="31">
        <f ref="G146:O146" t="shared" si="44">=+G63</f>
      </c>
      <c r="H146" s="31">
        <f t="shared" si="44"/>
      </c>
      <c r="I146" s="31">
        <f t="shared" si="44"/>
      </c>
      <c r="J146" s="31">
        <f t="shared" si="44"/>
      </c>
      <c r="K146" s="31">
        <f t="shared" si="44"/>
      </c>
      <c r="L146" s="31">
        <f t="shared" si="44"/>
      </c>
      <c r="M146" s="31">
        <f t="shared" si="44"/>
      </c>
      <c r="N146" s="31">
        <f t="shared" si="44"/>
      </c>
      <c r="O146" s="31">
        <f t="shared" si="44"/>
      </c>
    </row>
    <row r="147" ht="12.75" customHeight="true">
      <c r="B147" s="9" t="s">
        <v>269</v>
      </c>
      <c r="F147" s="31">
        <f ref="F147:O147" t="shared" si="42">=+F64</f>
      </c>
      <c r="G147" s="31">
        <f t="shared" si="42"/>
      </c>
      <c r="H147" s="31">
        <f t="shared" si="42"/>
      </c>
      <c r="I147" s="31">
        <f t="shared" si="42"/>
      </c>
      <c r="J147" s="31">
        <f t="shared" si="42"/>
      </c>
      <c r="K147" s="31">
        <f t="shared" si="42"/>
      </c>
      <c r="L147" s="31">
        <f t="shared" si="42"/>
      </c>
      <c r="M147" s="31">
        <f t="shared" si="42"/>
      </c>
      <c r="N147" s="31">
        <f t="shared" si="42"/>
      </c>
      <c r="O147" s="31">
        <f t="shared" si="42"/>
      </c>
    </row>
    <row r="148" ht="12.75" customHeight="true">
      <c r="B148" s="9" t="s">
        <v>270</v>
      </c>
      <c r="F148" s="31">
        <f ref="F148:O148" t="shared" si="25">=+F65</f>
      </c>
      <c r="G148" s="31">
        <f t="shared" si="25"/>
      </c>
      <c r="H148" s="31">
        <f t="shared" si="25"/>
      </c>
      <c r="I148" s="31">
        <f t="shared" si="25"/>
      </c>
      <c r="J148" s="31">
        <f t="shared" si="25"/>
      </c>
      <c r="K148" s="31">
        <f t="shared" si="25"/>
      </c>
      <c r="L148" s="31">
        <f t="shared" si="25"/>
      </c>
      <c r="M148" s="31">
        <f t="shared" si="25"/>
      </c>
      <c r="N148" s="31">
        <f t="shared" si="25"/>
      </c>
      <c r="O148" s="31">
        <f t="shared" si="25"/>
      </c>
    </row>
    <row r="149" ht="12.75" customHeight="true">
      <c r="B149" s="9" t="s">
        <v>271</v>
      </c>
      <c r="F149" s="31">
        <f ref="F149:O149" t="shared" si="51">=+F66</f>
      </c>
      <c r="G149" s="31">
        <f t="shared" si="51"/>
      </c>
      <c r="H149" s="31">
        <f t="shared" si="51"/>
      </c>
      <c r="I149" s="31">
        <f t="shared" si="51"/>
      </c>
      <c r="J149" s="31">
        <f t="shared" si="51"/>
      </c>
      <c r="K149" s="31">
        <f t="shared" si="51"/>
      </c>
      <c r="L149" s="31">
        <f t="shared" si="51"/>
      </c>
      <c r="M149" s="31">
        <f t="shared" si="51"/>
      </c>
      <c r="N149" s="31">
        <f t="shared" si="51"/>
      </c>
      <c r="O149" s="31">
        <f t="shared" si="51"/>
      </c>
    </row>
    <row r="150" ht="12.75" customHeight="true">
      <c r="B150" s="9" t="s">
        <v>272</v>
      </c>
      <c r="F150" s="31">
        <f ref="F150:O150" t="shared" si="52">=+F67</f>
      </c>
      <c r="G150" s="31">
        <f t="shared" si="52"/>
      </c>
      <c r="H150" s="31">
        <f t="shared" si="52"/>
      </c>
      <c r="I150" s="31">
        <f t="shared" si="52"/>
      </c>
      <c r="J150" s="31">
        <f t="shared" si="52"/>
      </c>
      <c r="K150" s="31">
        <f t="shared" si="52"/>
      </c>
      <c r="L150" s="31">
        <f t="shared" si="52"/>
      </c>
      <c r="M150" s="31">
        <f t="shared" si="52"/>
      </c>
      <c r="N150" s="31">
        <f t="shared" si="52"/>
      </c>
      <c r="O150" s="31">
        <f t="shared" si="52"/>
      </c>
    </row>
    <row r="151" ht="12.75" customHeight="true">
      <c r="B151" s="9" t="s">
        <v>273</v>
      </c>
      <c r="F151" s="31">
        <f ref="F151:O151" t="shared" si="58">=+F68</f>
      </c>
      <c r="G151" s="31">
        <f t="shared" si="58"/>
      </c>
      <c r="H151" s="31">
        <f t="shared" si="58"/>
      </c>
      <c r="I151" s="31">
        <f t="shared" si="58"/>
      </c>
      <c r="J151" s="31">
        <f t="shared" si="58"/>
      </c>
      <c r="K151" s="31">
        <f t="shared" si="58"/>
      </c>
      <c r="L151" s="31">
        <f t="shared" si="58"/>
      </c>
      <c r="M151" s="31">
        <f t="shared" si="58"/>
      </c>
      <c r="N151" s="31">
        <f t="shared" si="58"/>
      </c>
      <c r="O151" s="31">
        <f t="shared" si="58"/>
      </c>
    </row>
    <row r="152" ht="12.75" customHeight="true">
      <c r="B152" s="114" t="s">
        <v>274</v>
      </c>
      <c r="C152" s="115"/>
      <c r="D152" s="115"/>
      <c r="E152" s="115"/>
      <c r="F152" s="116">
        <f>=+SUM(F146:F151)</f>
      </c>
      <c r="G152" s="116">
        <f ref="G152:O152" t="shared" si="33">=+SUM(G146:G151)</f>
      </c>
      <c r="H152" s="116">
        <f t="shared" si="33"/>
      </c>
      <c r="I152" s="116">
        <f t="shared" si="33"/>
      </c>
      <c r="J152" s="116">
        <f t="shared" si="33"/>
      </c>
      <c r="K152" s="116">
        <f t="shared" si="33"/>
      </c>
      <c r="L152" s="116">
        <f t="shared" si="33"/>
      </c>
      <c r="M152" s="116">
        <f t="shared" si="33"/>
      </c>
      <c r="N152" s="116">
        <f t="shared" si="33"/>
      </c>
      <c r="O152" s="116">
        <f t="shared" si="33"/>
      </c>
    </row>
    <row r="153" ht="12.75" customHeight="true">
      <c r="B153" s="9"/>
      <c r="F153" s="18"/>
      <c r="G153" s="18"/>
      <c r="H153" s="18"/>
      <c r="I153" s="18"/>
      <c r="J153" s="18"/>
      <c r="K153" s="18"/>
      <c r="L153" s="18"/>
      <c r="M153" s="18"/>
      <c r="N153" s="18"/>
      <c r="O153" s="18"/>
    </row>
    <row r="154" ht="12.75" customHeight="true">
      <c r="B154" s="21" t="s">
        <v>275</v>
      </c>
    </row>
    <row r="155" ht="12.75" customHeight="true">
      <c r="B155" s="9" t="s">
        <v>60</v>
      </c>
      <c r="F155" s="31">
        <f>=+F72</f>
      </c>
      <c r="G155" s="31">
        <f ref="G155:O155" t="shared" si="43">=+G72</f>
      </c>
      <c r="H155" s="31">
        <f t="shared" si="43"/>
      </c>
      <c r="I155" s="31">
        <f t="shared" si="43"/>
      </c>
      <c r="J155" s="31">
        <f t="shared" si="43"/>
      </c>
      <c r="K155" s="31">
        <f t="shared" si="43"/>
      </c>
      <c r="L155" s="31">
        <f t="shared" si="43"/>
      </c>
      <c r="M155" s="31">
        <f t="shared" si="43"/>
      </c>
      <c r="N155" s="31">
        <f t="shared" si="43"/>
      </c>
      <c r="O155" s="31">
        <f t="shared" si="43"/>
      </c>
    </row>
    <row r="156" ht="12.75" customHeight="true">
      <c r="B156" s="9" t="s">
        <v>62</v>
      </c>
      <c r="F156" s="31">
        <f ref="F156:O156" t="shared" si="77">=+F73</f>
      </c>
      <c r="G156" s="31">
        <f t="shared" si="77"/>
      </c>
      <c r="H156" s="31">
        <f t="shared" si="77"/>
      </c>
      <c r="I156" s="31">
        <f t="shared" si="77"/>
      </c>
      <c r="J156" s="31">
        <f t="shared" si="77"/>
      </c>
      <c r="K156" s="31">
        <f t="shared" si="77"/>
      </c>
      <c r="L156" s="31">
        <f t="shared" si="77"/>
      </c>
      <c r="M156" s="31">
        <f t="shared" si="77"/>
      </c>
      <c r="N156" s="31">
        <f t="shared" si="77"/>
      </c>
      <c r="O156" s="31">
        <f t="shared" si="77"/>
      </c>
    </row>
    <row r="157" ht="12.75" customHeight="true">
      <c r="B157" s="9" t="s">
        <v>276</v>
      </c>
      <c r="F157" s="31">
        <f ref="F157:O157" t="shared" si="28">=+F74</f>
      </c>
      <c r="G157" s="31">
        <f t="shared" si="28"/>
      </c>
      <c r="H157" s="31">
        <f t="shared" si="28"/>
      </c>
      <c r="I157" s="31">
        <f t="shared" si="28"/>
      </c>
      <c r="J157" s="31">
        <f t="shared" si="28"/>
      </c>
      <c r="K157" s="31">
        <f t="shared" si="28"/>
      </c>
      <c r="L157" s="31">
        <f t="shared" si="28"/>
      </c>
      <c r="M157" s="31">
        <f t="shared" si="28"/>
      </c>
      <c r="N157" s="31">
        <f t="shared" si="28"/>
      </c>
      <c r="O157" s="31">
        <f t="shared" si="28"/>
      </c>
    </row>
    <row r="158" ht="12.75" customHeight="true">
      <c r="B158" s="9" t="s">
        <v>68</v>
      </c>
      <c r="F158" s="31">
        <f ref="F158:O158" t="shared" si="38">=+F75</f>
      </c>
      <c r="G158" s="31">
        <f t="shared" si="38"/>
      </c>
      <c r="H158" s="31">
        <f t="shared" si="38"/>
      </c>
      <c r="I158" s="31">
        <f t="shared" si="38"/>
      </c>
      <c r="J158" s="31">
        <f t="shared" si="38"/>
      </c>
      <c r="K158" s="31">
        <f t="shared" si="38"/>
      </c>
      <c r="L158" s="31">
        <f t="shared" si="38"/>
      </c>
      <c r="M158" s="31">
        <f t="shared" si="38"/>
      </c>
      <c r="N158" s="31">
        <f t="shared" si="38"/>
      </c>
      <c r="O158" s="31">
        <f t="shared" si="38"/>
      </c>
    </row>
    <row r="159" ht="12.75" customHeight="true">
      <c r="B159" s="114" t="s">
        <v>275</v>
      </c>
      <c r="C159" s="115"/>
      <c r="D159" s="115"/>
      <c r="E159" s="115"/>
      <c r="F159" s="116">
        <f>=+SUM(F155:F158)</f>
      </c>
      <c r="G159" s="116">
        <f ref="G159:O159" t="shared" si="31">=+SUM(G155:G158)</f>
      </c>
      <c r="H159" s="116">
        <f t="shared" si="31"/>
      </c>
      <c r="I159" s="116">
        <f t="shared" si="31"/>
      </c>
      <c r="J159" s="116">
        <f t="shared" si="31"/>
      </c>
      <c r="K159" s="116">
        <f t="shared" si="31"/>
      </c>
      <c r="L159" s="116">
        <f t="shared" si="31"/>
      </c>
      <c r="M159" s="116">
        <f t="shared" si="31"/>
      </c>
      <c r="N159" s="116">
        <f t="shared" si="31"/>
      </c>
      <c r="O159" s="116">
        <f t="shared" si="31"/>
      </c>
    </row>
    <row r="161" ht="12.75" customHeight="true">
      <c r="B161" s="120" t="s">
        <v>277</v>
      </c>
      <c r="C161" s="121"/>
      <c r="D161" s="121"/>
      <c r="E161" s="121"/>
      <c r="F161" s="122">
        <f>=+F152-F159</f>
      </c>
      <c r="G161" s="122">
        <f ref="G161:O161" t="shared" si="35">=+G152-G159</f>
      </c>
      <c r="H161" s="122">
        <f t="shared" si="35"/>
      </c>
      <c r="I161" s="122">
        <f t="shared" si="35"/>
      </c>
      <c r="J161" s="122">
        <f t="shared" si="35"/>
      </c>
      <c r="K161" s="122">
        <f t="shared" si="35"/>
      </c>
      <c r="L161" s="122">
        <f t="shared" si="35"/>
      </c>
      <c r="M161" s="122">
        <f t="shared" si="35"/>
      </c>
      <c r="N161" s="122">
        <f t="shared" si="35"/>
      </c>
      <c r="O161" s="122">
        <f t="shared" si="35"/>
      </c>
    </row>
    <row r="162" ht="14.25" customHeight="true">
      <c r="B162" s="118" t="s">
        <v>80</v>
      </c>
      <c r="C162" s="8"/>
      <c r="D162" s="119"/>
      <c r="F162" s="119">
        <f ref="F162:O162" t="shared" si="64">=+F161-F78</f>
      </c>
      <c r="G162" s="119">
        <f t="shared" si="64"/>
      </c>
      <c r="H162" s="119">
        <f t="shared" si="64"/>
      </c>
      <c r="I162" s="119">
        <f t="shared" si="64"/>
      </c>
      <c r="J162" s="119">
        <f t="shared" si="64"/>
      </c>
      <c r="K162" s="119">
        <f t="shared" si="64"/>
      </c>
      <c r="L162" s="119">
        <f t="shared" si="64"/>
      </c>
      <c r="M162" s="119">
        <f t="shared" si="64"/>
      </c>
      <c r="N162" s="119">
        <f t="shared" si="64"/>
      </c>
      <c r="O162" s="119">
        <f t="shared" si="64"/>
      </c>
    </row>
    <row r="163" ht="12.75" customHeight="true">
      <c r="B163" s="21"/>
      <c r="F163" s="24"/>
      <c r="G163" s="24"/>
      <c r="H163" s="24"/>
      <c r="I163" s="24"/>
      <c r="J163" s="24"/>
      <c r="K163" s="24"/>
      <c r="L163" s="24"/>
      <c r="M163" s="24"/>
      <c r="N163" s="24"/>
      <c r="O163" s="24"/>
    </row>
    <row r="164" ht="12.75" customHeight="true">
      <c r="B164" s="32" t="s">
        <v>306</v>
      </c>
      <c r="C164" s="33"/>
      <c r="D164" s="33"/>
      <c r="E164" s="33"/>
      <c r="F164" s="110">
        <f>=F$161*F$113</f>
      </c>
      <c r="G164" s="110">
        <f ref="G164:O164" t="shared" si="55">=G$161*G$113</f>
      </c>
      <c r="H164" s="110">
        <f t="shared" si="55"/>
      </c>
      <c r="I164" s="110">
        <f t="shared" si="55"/>
      </c>
      <c r="J164" s="110">
        <f t="shared" si="55"/>
      </c>
      <c r="K164" s="110">
        <f t="shared" si="55"/>
      </c>
      <c r="L164" s="110">
        <f t="shared" si="55"/>
      </c>
      <c r="M164" s="110">
        <f t="shared" si="55"/>
      </c>
      <c r="N164" s="110">
        <f t="shared" si="55"/>
      </c>
      <c r="O164" s="110">
        <f t="shared" si="55"/>
      </c>
    </row>
    <row r="166" ht="12.75" customHeight="true">
      <c r="A166" s="108">
        <v>5.4</v>
      </c>
      <c r="B166" s="48" t="s">
        <v>307</v>
      </c>
    </row>
    <row r="168" ht="12.75" customHeight="true">
      <c r="B168" s="8" t="s">
        <v>304</v>
      </c>
      <c r="F168" s="31">
        <f ref="F168:O168" t="shared" si="69">=+F141</f>
      </c>
      <c r="G168" s="31">
        <f t="shared" si="69"/>
      </c>
      <c r="H168" s="31">
        <f t="shared" si="69"/>
      </c>
      <c r="I168" s="31">
        <f t="shared" si="69"/>
      </c>
      <c r="J168" s="31">
        <f t="shared" si="69"/>
      </c>
      <c r="K168" s="31">
        <f t="shared" si="69"/>
      </c>
      <c r="L168" s="31">
        <f t="shared" si="69"/>
      </c>
      <c r="M168" s="31">
        <f t="shared" si="69"/>
      </c>
      <c r="N168" s="31">
        <f t="shared" si="69"/>
      </c>
      <c r="O168" s="31">
        <f t="shared" si="69"/>
      </c>
    </row>
    <row r="169" ht="12.75" customHeight="true">
      <c r="B169" s="8" t="s">
        <v>306</v>
      </c>
      <c r="F169" s="31">
        <f>=+F164</f>
      </c>
      <c r="G169" s="31">
        <f ref="G169:O169" t="shared" si="73">=+G164</f>
      </c>
      <c r="H169" s="31">
        <f t="shared" si="73"/>
      </c>
      <c r="I169" s="31">
        <f t="shared" si="73"/>
      </c>
      <c r="J169" s="31">
        <f t="shared" si="73"/>
      </c>
      <c r="K169" s="31">
        <f t="shared" si="73"/>
      </c>
      <c r="L169" s="31">
        <f t="shared" si="73"/>
      </c>
      <c r="M169" s="31">
        <f t="shared" si="73"/>
      </c>
      <c r="N169" s="31">
        <f t="shared" si="73"/>
      </c>
      <c r="O169" s="31">
        <f t="shared" si="73"/>
      </c>
    </row>
    <row r="170" ht="12.75" customHeight="true">
      <c r="B170" s="114" t="s">
        <v>308</v>
      </c>
      <c r="C170" s="115"/>
      <c r="D170" s="115"/>
      <c r="E170" s="115"/>
      <c r="F170" s="116">
        <f>=MAX(Impuestos!F168:F169)</f>
      </c>
      <c r="G170" s="116">
        <f>=MAX(Impuestos!G168:G169)</f>
      </c>
      <c r="H170" s="116">
        <f>=MAX(Impuestos!H168:H169)</f>
      </c>
      <c r="I170" s="116">
        <f>=MAX(Impuestos!I168:I169)</f>
      </c>
      <c r="J170" s="116">
        <f>=MAX(Impuestos!J168:J169)</f>
      </c>
      <c r="K170" s="116">
        <f>=MAX(Impuestos!K168:K169)</f>
      </c>
      <c r="L170" s="116">
        <f>=MAX(Impuestos!L168:L169)</f>
      </c>
      <c r="M170" s="116">
        <f>=MAX(Impuestos!M168:M169)</f>
      </c>
      <c r="N170" s="116">
        <f>=MAX(Impuestos!N168:N169)</f>
      </c>
      <c r="O170" s="116">
        <f>=MAX(Impuestos!O168:O169)</f>
      </c>
    </row>
    <row r="172" ht="12.75" customHeight="true">
      <c r="B172" s="21" t="s">
        <v>309</v>
      </c>
    </row>
    <row r="173" ht="12.75" customHeight="true">
      <c r="B173" s="9" t="s">
        <v>310</v>
      </c>
      <c r="F173" s="31">
        <f>=+E177</f>
      </c>
      <c r="G173" s="31">
        <f ref="G173:O173" t="shared" si="34">=+F177</f>
      </c>
      <c r="H173" s="31">
        <f t="shared" si="34"/>
      </c>
      <c r="I173" s="31">
        <f t="shared" si="34"/>
      </c>
      <c r="J173" s="31">
        <f t="shared" si="34"/>
      </c>
      <c r="K173" s="31">
        <f t="shared" si="34"/>
      </c>
      <c r="L173" s="31">
        <f t="shared" si="34"/>
      </c>
      <c r="M173" s="31">
        <f t="shared" si="34"/>
      </c>
      <c r="N173" s="31">
        <f t="shared" si="34"/>
      </c>
      <c r="O173" s="31">
        <f t="shared" si="34"/>
      </c>
    </row>
    <row r="174" ht="12.75" customHeight="true">
      <c r="B174" s="9" t="s">
        <v>311</v>
      </c>
      <c r="F174" s="31">
        <f>=MAX(0,F170-F168)</f>
      </c>
      <c r="G174" s="31">
        <f ref="G174:O174" t="shared" si="76">=MAX(0,G170-G168)</f>
      </c>
      <c r="H174" s="31">
        <f t="shared" si="76"/>
      </c>
      <c r="I174" s="31">
        <f t="shared" si="76"/>
      </c>
      <c r="J174" s="31">
        <f t="shared" si="76"/>
      </c>
      <c r="K174" s="31">
        <f t="shared" si="76"/>
      </c>
      <c r="L174" s="31">
        <f t="shared" si="76"/>
      </c>
      <c r="M174" s="31">
        <f t="shared" si="76"/>
      </c>
      <c r="N174" s="31">
        <f t="shared" si="76"/>
      </c>
      <c r="O174" s="31">
        <f t="shared" si="76"/>
      </c>
    </row>
    <row r="175" ht="12.75" customHeight="true">
      <c r="B175" s="9" t="s">
        <v>312</v>
      </c>
      <c r="F175" s="31">
        <f>=+MIN(F173,MAX(F170-F169,0))</f>
      </c>
      <c r="G175" s="31">
        <f ref="G175:O175" t="shared" si="66">=+MIN(G173,MAX(G170-G169,0))</f>
      </c>
      <c r="H175" s="31">
        <f t="shared" si="66"/>
      </c>
      <c r="I175" s="31">
        <f t="shared" si="66"/>
      </c>
      <c r="J175" s="31">
        <f t="shared" si="66"/>
      </c>
      <c r="K175" s="31">
        <f t="shared" si="66"/>
      </c>
      <c r="L175" s="31">
        <f t="shared" si="66"/>
      </c>
      <c r="M175" s="31">
        <f t="shared" si="66"/>
      </c>
      <c r="N175" s="31">
        <f t="shared" si="66"/>
      </c>
      <c r="O175" s="31">
        <f t="shared" si="66"/>
      </c>
    </row>
    <row r="176" ht="12.75" customHeight="true">
      <c r="B176" s="9" t="s">
        <v>313</v>
      </c>
      <c r="F176" s="31">
        <f>=IFERROR(MAX(0,A174-SUM(B175:F175)),0)</f>
      </c>
      <c r="G176" s="31">
        <f ref="G176:O176" t="shared" si="32">=IFERROR(MAX(0,B174-SUM(C175:G175)),0)</f>
      </c>
      <c r="H176" s="31">
        <f t="shared" si="32"/>
      </c>
      <c r="I176" s="31">
        <f t="shared" si="32"/>
      </c>
      <c r="J176" s="31">
        <f t="shared" si="32"/>
      </c>
      <c r="K176" s="31">
        <f t="shared" si="32"/>
      </c>
      <c r="L176" s="31">
        <f t="shared" si="32"/>
      </c>
      <c r="M176" s="31">
        <f t="shared" si="32"/>
      </c>
      <c r="N176" s="31">
        <f t="shared" si="32"/>
      </c>
      <c r="O176" s="31">
        <f t="shared" si="32"/>
      </c>
    </row>
    <row r="177" ht="12.75" customHeight="true">
      <c r="B177" s="9" t="s">
        <v>314</v>
      </c>
      <c r="F177" s="31">
        <f>=+F173+F174-F175-F176</f>
      </c>
      <c r="G177" s="31">
        <f ref="G177:O177" t="shared" si="67">=+G173+G174-G175-G176</f>
      </c>
      <c r="H177" s="31">
        <f t="shared" si="67"/>
      </c>
      <c r="I177" s="31">
        <f t="shared" si="67"/>
      </c>
      <c r="J177" s="31">
        <f t="shared" si="67"/>
      </c>
      <c r="K177" s="31">
        <f t="shared" si="67"/>
      </c>
      <c r="L177" s="31">
        <f t="shared" si="67"/>
      </c>
      <c r="M177" s="31">
        <f t="shared" si="67"/>
      </c>
      <c r="N177" s="31">
        <f t="shared" si="67"/>
      </c>
      <c r="O177" s="31">
        <f t="shared" si="67"/>
      </c>
    </row>
    <row r="179" ht="12.75" customHeight="true">
      <c r="B179" s="32" t="s">
        <v>315</v>
      </c>
      <c r="C179" s="33"/>
      <c r="D179" s="33"/>
      <c r="E179" s="33"/>
      <c r="F179" s="110">
        <f>=+F170-F175</f>
      </c>
      <c r="G179" s="110">
        <f ref="G179:O179" t="shared" si="78">=+G170-G175</f>
      </c>
      <c r="H179" s="110">
        <f t="shared" si="78"/>
      </c>
      <c r="I179" s="110">
        <f t="shared" si="78"/>
      </c>
      <c r="J179" s="110">
        <f t="shared" si="78"/>
      </c>
      <c r="K179" s="110">
        <f t="shared" si="78"/>
      </c>
      <c r="L179" s="110">
        <f t="shared" si="78"/>
      </c>
      <c r="M179" s="110">
        <f t="shared" si="78"/>
      </c>
      <c r="N179" s="110">
        <f t="shared" si="78"/>
      </c>
      <c r="O179" s="110">
        <f t="shared" si="78"/>
      </c>
    </row>
    <row r="181" ht="12.75" customHeight="true">
      <c r="B181" s="32" t="s">
        <v>316</v>
      </c>
      <c r="C181" s="33"/>
      <c r="D181" s="33"/>
      <c r="E181" s="33"/>
      <c r="F181" s="110">
        <f ref="F181:O181" t="shared" si="39">=+F179*F110</f>
      </c>
      <c r="G181" s="110">
        <f t="shared" si="39"/>
      </c>
      <c r="H181" s="110">
        <f t="shared" si="39"/>
      </c>
      <c r="I181" s="110">
        <f t="shared" si="39"/>
      </c>
      <c r="J181" s="110">
        <f t="shared" si="39"/>
      </c>
      <c r="K181" s="110">
        <f t="shared" si="39"/>
      </c>
      <c r="L181" s="110">
        <f t="shared" si="39"/>
      </c>
      <c r="M181" s="110">
        <f t="shared" si="39"/>
      </c>
      <c r="N181" s="110">
        <f t="shared" si="39"/>
      </c>
      <c r="O181" s="110">
        <f t="shared" si="39"/>
      </c>
    </row>
    <row r="183" ht="12.75" customHeight="true">
      <c r="A183" s="108">
        <v>5.5</v>
      </c>
      <c r="B183" s="48" t="s">
        <v>317</v>
      </c>
    </row>
    <row r="185" ht="12.75" customHeight="true">
      <c r="B185" s="8" t="s">
        <v>298</v>
      </c>
      <c r="F185" s="31">
        <f>=+F132</f>
      </c>
      <c r="G185" s="31">
        <f ref="G185:O185" t="shared" si="29">=+G132</f>
      </c>
      <c r="H185" s="31">
        <f t="shared" si="29"/>
      </c>
      <c r="I185" s="31">
        <f t="shared" si="29"/>
      </c>
      <c r="J185" s="31">
        <f t="shared" si="29"/>
      </c>
      <c r="K185" s="31">
        <f t="shared" si="29"/>
      </c>
      <c r="L185" s="31">
        <f t="shared" si="29"/>
      </c>
      <c r="M185" s="31">
        <f t="shared" si="29"/>
      </c>
      <c r="N185" s="31">
        <f t="shared" si="29"/>
      </c>
      <c r="O185" s="31">
        <f t="shared" si="29"/>
      </c>
    </row>
    <row r="186" ht="12.75" customHeight="true">
      <c r="B186" s="8" t="s">
        <v>289</v>
      </c>
      <c r="F186" s="31">
        <f>=+F164</f>
      </c>
      <c r="G186" s="31">
        <f ref="G186:O186" t="shared" si="65">=+G164</f>
      </c>
      <c r="H186" s="31">
        <f t="shared" si="65"/>
      </c>
      <c r="I186" s="31">
        <f t="shared" si="65"/>
      </c>
      <c r="J186" s="31">
        <f t="shared" si="65"/>
      </c>
      <c r="K186" s="31">
        <f t="shared" si="65"/>
      </c>
      <c r="L186" s="31">
        <f t="shared" si="65"/>
      </c>
      <c r="M186" s="31">
        <f t="shared" si="65"/>
      </c>
      <c r="N186" s="31">
        <f t="shared" si="65"/>
      </c>
      <c r="O186" s="31">
        <f t="shared" si="65"/>
      </c>
    </row>
    <row r="187" ht="12.75" customHeight="true">
      <c r="B187" s="114" t="s">
        <v>318</v>
      </c>
      <c r="C187" s="115"/>
      <c r="D187" s="115"/>
      <c r="E187" s="115"/>
      <c r="F187" s="116">
        <f>=MAX(Impuestos!F185:F186)</f>
      </c>
      <c r="G187" s="116">
        <f>=MAX(Impuestos!G185:G186)</f>
      </c>
      <c r="H187" s="116">
        <f>=MAX(Impuestos!H185:H186)</f>
      </c>
      <c r="I187" s="116">
        <f>=MAX(Impuestos!I185:I186)</f>
      </c>
      <c r="J187" s="116">
        <f>=MAX(Impuestos!J185:J186)</f>
      </c>
      <c r="K187" s="116">
        <f>=MAX(Impuestos!K185:K186)</f>
      </c>
      <c r="L187" s="116">
        <f>=MAX(Impuestos!L185:L186)</f>
      </c>
      <c r="M187" s="116">
        <f>=MAX(Impuestos!M185:M186)</f>
      </c>
      <c r="N187" s="116">
        <f>=MAX(Impuestos!N185:N186)</f>
      </c>
      <c r="O187" s="116">
        <f>=MAX(Impuestos!O185:O186)</f>
      </c>
    </row>
    <row r="189" ht="12.75" customHeight="true">
      <c r="B189" s="32" t="s">
        <v>319</v>
      </c>
      <c r="C189" s="33"/>
      <c r="D189" s="33"/>
      <c r="E189" s="33"/>
      <c r="F189" s="110">
        <f>=+F187</f>
      </c>
      <c r="G189" s="110">
        <f ref="G189:O189" t="shared" si="71">=+G187</f>
      </c>
      <c r="H189" s="110">
        <f t="shared" si="71"/>
      </c>
      <c r="I189" s="110">
        <f t="shared" si="71"/>
      </c>
      <c r="J189" s="110">
        <f t="shared" si="71"/>
      </c>
      <c r="K189" s="110">
        <f t="shared" si="71"/>
      </c>
      <c r="L189" s="110">
        <f t="shared" si="71"/>
      </c>
      <c r="M189" s="110">
        <f t="shared" si="71"/>
      </c>
      <c r="N189" s="110">
        <f t="shared" si="71"/>
      </c>
      <c r="O189" s="110">
        <f t="shared" si="71"/>
      </c>
    </row>
    <row r="191" ht="12.75" customHeight="true">
      <c r="B191" s="32" t="s">
        <v>287</v>
      </c>
      <c r="C191" s="33"/>
      <c r="D191" s="33"/>
      <c r="E191" s="33"/>
      <c r="F191" s="110">
        <f ref="F191:O191" t="shared" si="56">=+F189*F111</f>
      </c>
      <c r="G191" s="110">
        <f t="shared" si="56"/>
      </c>
      <c r="H191" s="110">
        <f t="shared" si="56"/>
      </c>
      <c r="I191" s="110">
        <f t="shared" si="56"/>
      </c>
      <c r="J191" s="110">
        <f t="shared" si="56"/>
      </c>
      <c r="K191" s="110">
        <f t="shared" si="56"/>
      </c>
      <c r="L191" s="110">
        <f t="shared" si="56"/>
      </c>
      <c r="M191" s="110">
        <f t="shared" si="56"/>
      </c>
      <c r="N191" s="110">
        <f t="shared" si="56"/>
      </c>
      <c r="O191" s="110">
        <f t="shared" si="56"/>
      </c>
    </row>
    <row r="192" ht="12.75" customHeight="true">
      <c r="B192" s="32" t="s">
        <v>288</v>
      </c>
      <c r="C192" s="33"/>
      <c r="D192" s="33"/>
      <c r="E192" s="33"/>
      <c r="F192" s="110">
        <f>=+F189*F112</f>
      </c>
      <c r="G192" s="110">
        <f ref="G192:O192" t="shared" si="46">=+G189*G112</f>
      </c>
      <c r="H192" s="110">
        <f t="shared" si="46"/>
      </c>
      <c r="I192" s="110">
        <f t="shared" si="46"/>
      </c>
      <c r="J192" s="110">
        <f t="shared" si="46"/>
      </c>
      <c r="K192" s="110">
        <f t="shared" si="46"/>
      </c>
      <c r="L192" s="110">
        <f t="shared" si="46"/>
      </c>
      <c r="M192" s="110">
        <f t="shared" si="46"/>
      </c>
      <c r="N192" s="110">
        <f t="shared" si="46"/>
      </c>
      <c r="O192" s="110">
        <f t="shared" si="46"/>
      </c>
    </row>
    <row r="196" ht="14.25" customHeight="true">
      <c r="F196" s="18"/>
      <c r="G196" s="18"/>
      <c r="H196" s="18"/>
      <c r="I196" s="18"/>
      <c r="J196" s="18"/>
      <c r="K196" s="18"/>
      <c r="L196" s="18"/>
      <c r="M196" s="18"/>
    </row>
  </sheetData>
  <mergeCells count="1">
    <mergeCell ref="D49:E49"/>
  </mergeCells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/>
  <dimension ref="A1"/>
  <sheetViews>
    <sheetView showGridLines="0" tabSelected="0" workbookViewId="0">
      <pane xSplit="2" ySplit="5" topLeftCell="C6" activePane="bottomRight" state="frozen"/>
      <selection activeCell="A1" sqref="A1"/>
    </sheetView>
  </sheetViews>
  <sheetFormatPr defaultRowHeight="14.25" customHeight="1" defaultColWidth="8.34"/>
  <cols>
    <col min="1" max="1" width="3.43" customWidth="1" hidden="0"/>
    <col min="2" max="2" width="41.58" customWidth="1" hidden="0"/>
    <col min="3" max="3" width="11.41" customWidth="1" hidden="0"/>
    <col min="4" max="13" width="10.79" customWidth="1" hidden="0"/>
    <col min="14" max="16384" width="8.34" customWidth="1" hidden="0"/>
  </cols>
  <sheetData>
    <row r="2" ht="14.25" customHeight="true">
      <c r="A2" s="17" t="s">
        <v>13</v>
      </c>
      <c r="B2" s="12" t="s">
        <v>320</v>
      </c>
    </row>
    <row r="3" ht="14.25" customHeight="true">
      <c r="A3" s="96"/>
      <c r="B3" s="8">
        <f>=COVER!H15</f>
      </c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</row>
    <row r="5" ht="14.25" customHeight="true">
      <c r="A5" s="18"/>
      <c r="B5" s="19">
        <f>=+ERI!B5</f>
      </c>
      <c r="C5" s="20"/>
      <c r="D5" s="20">
        <f>=ERI!H5</f>
      </c>
      <c r="E5" s="20">
        <f>=ERI!I5</f>
      </c>
      <c r="F5" s="20">
        <f>=ERI!J5</f>
      </c>
      <c r="G5" s="20">
        <f>=ERI!K5</f>
      </c>
      <c r="H5" s="20">
        <f>=ERI!L5</f>
      </c>
      <c r="I5" s="20">
        <f>=ERI!M5</f>
      </c>
      <c r="J5" s="20">
        <f>=ERI!N5</f>
      </c>
      <c r="K5" s="20">
        <f>=ERI!O5</f>
      </c>
      <c r="L5" s="20">
        <f>=ERI!P5</f>
      </c>
      <c r="M5" s="20">
        <f>=ERI!Q5</f>
      </c>
    </row>
    <row r="6" ht="14.25" customHeight="true">
      <c r="A6" s="18"/>
      <c r="B6" s="21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</row>
    <row r="7" ht="14.25" customHeight="true">
      <c r="A7" s="36"/>
      <c r="B7" s="48" t="s">
        <v>321</v>
      </c>
      <c r="C7" s="65"/>
      <c r="D7" s="21">
        <f>=ERI!H16</f>
      </c>
      <c r="E7" s="21">
        <f>=ERI!I16</f>
      </c>
      <c r="F7" s="21">
        <f>=ERI!J16</f>
      </c>
      <c r="G7" s="21">
        <f>=ERI!K16</f>
      </c>
      <c r="H7" s="21">
        <f>=ERI!L16</f>
      </c>
      <c r="I7" s="21">
        <f>=ERI!M16</f>
      </c>
      <c r="J7" s="21">
        <f>=ERI!N16</f>
      </c>
      <c r="K7" s="21">
        <f>=ERI!O16</f>
      </c>
      <c r="L7" s="21">
        <f>=ERI!P16</f>
      </c>
      <c r="M7" s="21">
        <f>=ERI!Q16</f>
      </c>
    </row>
    <row r="8" ht="14.25" customHeight="true">
      <c r="A8" s="36"/>
      <c r="B8" s="123" t="s">
        <v>322</v>
      </c>
      <c r="C8" s="124"/>
      <c r="D8" s="25">
        <f>=-ERI!H29</f>
      </c>
      <c r="E8" s="25">
        <f>=-ERI!I29</f>
      </c>
      <c r="F8" s="25">
        <f>=-ERI!J29</f>
      </c>
      <c r="G8" s="25">
        <f>=-ERI!K29</f>
      </c>
      <c r="H8" s="25">
        <f>=-ERI!L29</f>
      </c>
      <c r="I8" s="25">
        <f>=-ERI!M29</f>
      </c>
      <c r="J8" s="25">
        <f>=-ERI!N29</f>
      </c>
      <c r="K8" s="25">
        <f>=-ERI!O29</f>
      </c>
      <c r="L8" s="25">
        <f>=-ERI!P29</f>
      </c>
      <c r="M8" s="25">
        <f>=-ERI!Q29</f>
      </c>
    </row>
    <row r="9" ht="14.25" customHeight="true">
      <c r="A9" s="90"/>
      <c r="B9" s="48" t="s">
        <v>323</v>
      </c>
      <c r="C9" s="65"/>
      <c r="D9" s="21">
        <f>=+SUM(D7:D8)</f>
      </c>
      <c r="E9" s="21">
        <f ref="E9:M9" t="shared" si="328">=+SUM(E7:E8)</f>
      </c>
      <c r="F9" s="21">
        <f t="shared" si="328"/>
      </c>
      <c r="G9" s="21">
        <f t="shared" si="328"/>
      </c>
      <c r="H9" s="21">
        <f t="shared" si="328"/>
      </c>
      <c r="I9" s="21">
        <f t="shared" si="328"/>
      </c>
      <c r="J9" s="21">
        <f t="shared" si="328"/>
      </c>
      <c r="K9" s="21">
        <f t="shared" si="328"/>
      </c>
      <c r="L9" s="21">
        <f t="shared" si="328"/>
      </c>
      <c r="M9" s="21">
        <f t="shared" si="328"/>
      </c>
    </row>
    <row r="10" ht="14.25" customHeight="true">
      <c r="C10" s="18"/>
      <c r="D10" s="8"/>
      <c r="E10" s="8"/>
      <c r="F10" s="8"/>
      <c r="G10" s="8"/>
      <c r="H10" s="8"/>
      <c r="I10" s="8"/>
      <c r="J10" s="8"/>
      <c r="K10" s="8"/>
      <c r="L10" s="8"/>
      <c r="M10" s="8"/>
    </row>
    <row r="11" ht="14.25" customHeight="true">
      <c r="B11" s="25" t="s">
        <v>324</v>
      </c>
      <c r="C11" s="27"/>
      <c r="D11" s="25">
        <f>=ERI!H14+ERI!H15</f>
      </c>
      <c r="E11" s="25">
        <f>=ERI!I14+ERI!I15</f>
      </c>
      <c r="F11" s="25">
        <f>=ERI!J14+ERI!J15</f>
      </c>
      <c r="G11" s="25">
        <f>=ERI!K14+ERI!K15</f>
      </c>
      <c r="H11" s="25">
        <f>=ERI!L14+ERI!L15</f>
      </c>
      <c r="I11" s="25">
        <f>=ERI!M14+ERI!M15</f>
      </c>
      <c r="J11" s="25">
        <f>=ERI!N14+ERI!N15</f>
      </c>
      <c r="K11" s="25">
        <f>=ERI!O14+ERI!O15</f>
      </c>
      <c r="L11" s="25">
        <f>=ERI!P14+ERI!P15</f>
      </c>
      <c r="M11" s="25">
        <f>=ERI!Q14+ERI!Q15</f>
      </c>
    </row>
    <row r="12" ht="14.25" customHeight="true">
      <c r="A12" s="22"/>
      <c r="B12" s="21" t="s">
        <v>325</v>
      </c>
      <c r="C12" s="24"/>
      <c r="D12" s="21">
        <f ref="D12:M12" t="shared" si="323">=D9+D11</f>
      </c>
      <c r="E12" s="21">
        <f t="shared" si="323"/>
      </c>
      <c r="F12" s="21">
        <f t="shared" si="323"/>
      </c>
      <c r="G12" s="21">
        <f t="shared" si="323"/>
      </c>
      <c r="H12" s="21">
        <f t="shared" si="323"/>
      </c>
      <c r="I12" s="21">
        <f t="shared" si="323"/>
      </c>
      <c r="J12" s="21">
        <f t="shared" si="323"/>
      </c>
      <c r="K12" s="21">
        <f t="shared" si="323"/>
      </c>
      <c r="L12" s="21">
        <f t="shared" si="323"/>
      </c>
      <c r="M12" s="21">
        <f t="shared" si="323"/>
      </c>
    </row>
    <row r="13" ht="14.25" customHeight="true">
      <c r="C13" s="18"/>
      <c r="D13" s="8"/>
      <c r="E13" s="8"/>
      <c r="F13" s="8"/>
      <c r="G13" s="8"/>
      <c r="H13" s="8"/>
      <c r="I13" s="8"/>
      <c r="J13" s="8"/>
      <c r="K13" s="8"/>
      <c r="L13" s="8"/>
      <c r="M13" s="8"/>
    </row>
    <row r="14" ht="14.25" customHeight="true">
      <c r="A14" s="22"/>
      <c r="B14" s="21" t="s">
        <v>326</v>
      </c>
      <c r="C14" s="24"/>
      <c r="D14" s="21">
        <f ref="D14:M14" t="shared" si="333">=D15+D21</f>
      </c>
      <c r="E14" s="21">
        <f t="shared" si="333"/>
      </c>
      <c r="F14" s="21">
        <f t="shared" si="333"/>
      </c>
      <c r="G14" s="21">
        <f t="shared" si="333"/>
      </c>
      <c r="H14" s="21">
        <f t="shared" si="333"/>
      </c>
      <c r="I14" s="21">
        <f t="shared" si="333"/>
      </c>
      <c r="J14" s="21">
        <f t="shared" si="333"/>
      </c>
      <c r="K14" s="21">
        <f t="shared" si="333"/>
      </c>
      <c r="L14" s="21">
        <f t="shared" si="333"/>
      </c>
      <c r="M14" s="21">
        <f t="shared" si="333"/>
      </c>
      <c r="N14" s="8"/>
    </row>
    <row r="15" ht="14.25" customHeight="true">
      <c r="A15" s="22"/>
      <c r="B15" s="125" t="s">
        <v>327</v>
      </c>
      <c r="C15" s="5"/>
      <c r="D15" s="126">
        <f>=D16+D17+D18+D19+D20</f>
      </c>
      <c r="E15" s="126">
        <f ref="E15:M15" t="shared" si="324">=E16+E17+E18+E19+E20</f>
      </c>
      <c r="F15" s="126">
        <f t="shared" si="324"/>
      </c>
      <c r="G15" s="126">
        <f t="shared" si="324"/>
      </c>
      <c r="H15" s="126">
        <f t="shared" si="324"/>
      </c>
      <c r="I15" s="126">
        <f t="shared" si="324"/>
      </c>
      <c r="J15" s="126">
        <f t="shared" si="324"/>
      </c>
      <c r="K15" s="126">
        <f t="shared" si="324"/>
      </c>
      <c r="L15" s="126">
        <f t="shared" si="324"/>
      </c>
      <c r="M15" s="126">
        <f t="shared" si="324"/>
      </c>
    </row>
    <row r="16" ht="14.25" customHeight="true">
      <c r="A16" s="18">
        <f>=ESF!A9</f>
      </c>
      <c r="B16" s="28">
        <f>=ESF!B9</f>
      </c>
      <c r="C16" s="29"/>
      <c r="D16" s="127">
        <f>=-(ESF!H9-ESF!G9)</f>
      </c>
      <c r="E16" s="127">
        <f>=-(ESF!I9-ESF!H9)</f>
      </c>
      <c r="F16" s="127">
        <f>=-(ESF!J9-ESF!I9)</f>
      </c>
      <c r="G16" s="127">
        <f>=-(ESF!K9-ESF!J9)</f>
      </c>
      <c r="H16" s="127">
        <f>=-(ESF!L9-ESF!K9)</f>
      </c>
      <c r="I16" s="127">
        <f>=-(ESF!M9-ESF!L9)</f>
      </c>
      <c r="J16" s="127">
        <f>=-(ESF!N9-ESF!M9)</f>
      </c>
      <c r="K16" s="127">
        <f>=-(ESF!O9-ESF!N9)</f>
      </c>
      <c r="L16" s="127">
        <f>=-(ESF!P9-ESF!O9)</f>
      </c>
      <c r="M16" s="127">
        <f>=-(ESF!Q9-ESF!P9)</f>
      </c>
    </row>
    <row r="17" ht="14.25" customHeight="true">
      <c r="A17" s="18">
        <f>=ESF!A11</f>
      </c>
      <c r="B17" s="28">
        <f>=ESF!B11</f>
      </c>
      <c r="C17" s="29"/>
      <c r="D17" s="127">
        <f>=-(ESF!H11-ESF!G11)</f>
      </c>
      <c r="E17" s="127">
        <f>=-(ESF!I11-ESF!H11)</f>
      </c>
      <c r="F17" s="127">
        <f>=-(ESF!J11-ESF!I11)</f>
      </c>
      <c r="G17" s="127">
        <f>=-(ESF!K11-ESF!J11)</f>
      </c>
      <c r="H17" s="127">
        <f>=-(ESF!L11-ESF!K11)</f>
      </c>
      <c r="I17" s="127">
        <f>=-(ESF!M11-ESF!L11)</f>
      </c>
      <c r="J17" s="127">
        <f>=-(ESF!N11-ESF!M11)</f>
      </c>
      <c r="K17" s="127">
        <f>=-(ESF!O11-ESF!N11)</f>
      </c>
      <c r="L17" s="127">
        <f>=-(ESF!P11-ESF!O11)</f>
      </c>
      <c r="M17" s="127">
        <f>=-(ESF!Q11-ESF!P11)</f>
      </c>
    </row>
    <row r="18" ht="14.25" customHeight="true">
      <c r="A18" s="18">
        <f>=ESF!A12</f>
      </c>
      <c r="B18" s="28">
        <f>=ESF!B12</f>
      </c>
      <c r="C18" s="29"/>
      <c r="D18" s="127">
        <f>=-(ESF!H12-ESF!G12)</f>
      </c>
      <c r="E18" s="127">
        <f>=-(ESF!I12-ESF!H12)</f>
      </c>
      <c r="F18" s="127">
        <f>=-(ESF!J12-ESF!I12)</f>
      </c>
      <c r="G18" s="127">
        <f>=-(ESF!K12-ESF!J12)</f>
      </c>
      <c r="H18" s="127">
        <f>=-(ESF!L12-ESF!K12)</f>
      </c>
      <c r="I18" s="127">
        <f>=-(ESF!M12-ESF!L12)</f>
      </c>
      <c r="J18" s="127">
        <f>=-(ESF!N12-ESF!M12)</f>
      </c>
      <c r="K18" s="127">
        <f>=-(ESF!O12-ESF!N12)</f>
      </c>
      <c r="L18" s="127">
        <f>=-(ESF!P12-ESF!O12)</f>
      </c>
      <c r="M18" s="127">
        <f>=-(ESF!Q12-ESF!P12)</f>
      </c>
    </row>
    <row r="19" ht="14.25" customHeight="true">
      <c r="A19" s="18">
        <f>=ESF!A13</f>
      </c>
      <c r="B19" s="28">
        <f>=ESF!B13</f>
      </c>
      <c r="C19" s="29"/>
      <c r="D19" s="127">
        <f>=-(ESF!H13-ESF!G13)</f>
      </c>
      <c r="E19" s="127">
        <f>=-(ESF!I13-ESF!H13)</f>
      </c>
      <c r="F19" s="127">
        <f>=-(ESF!J13-ESF!I13)</f>
      </c>
      <c r="G19" s="127">
        <f>=-(ESF!K13-ESF!J13)</f>
      </c>
      <c r="H19" s="127">
        <f>=-(ESF!L13-ESF!K13)</f>
      </c>
      <c r="I19" s="127">
        <f>=-(ESF!M13-ESF!L13)</f>
      </c>
      <c r="J19" s="127">
        <f>=-(ESF!N13-ESF!M13)</f>
      </c>
      <c r="K19" s="127">
        <f>=-(ESF!O13-ESF!N13)</f>
      </c>
      <c r="L19" s="127">
        <f>=-(ESF!P13-ESF!O13)</f>
      </c>
      <c r="M19" s="127">
        <f>=-(ESF!Q13-ESF!P13)</f>
      </c>
    </row>
    <row r="20" ht="14.25" customHeight="true">
      <c r="A20" s="18">
        <f>=ESF!A14</f>
      </c>
      <c r="B20" s="28">
        <f>=ESF!B14</f>
      </c>
      <c r="C20" s="29"/>
      <c r="D20" s="127">
        <f>=-(ESF!H14-ESF!G14)</f>
      </c>
      <c r="E20" s="127">
        <f>=-(ESF!I14-ESF!H14)</f>
      </c>
      <c r="F20" s="127">
        <f>=-(ESF!J14-ESF!I14)</f>
      </c>
      <c r="G20" s="127">
        <f>=-(ESF!K14-ESF!J14)</f>
      </c>
      <c r="H20" s="127">
        <f>=-(ESF!L14-ESF!K14)</f>
      </c>
      <c r="I20" s="127">
        <f>=-(ESF!M14-ESF!L14)</f>
      </c>
      <c r="J20" s="127">
        <f>=-(ESF!N14-ESF!M14)</f>
      </c>
      <c r="K20" s="127">
        <f>=-(ESF!O14-ESF!N14)</f>
      </c>
      <c r="L20" s="127">
        <f>=-(ESF!P14-ESF!O14)</f>
      </c>
      <c r="M20" s="127">
        <f>=-(ESF!Q14-ESF!P14)</f>
      </c>
    </row>
    <row r="21" ht="14.25" customHeight="true">
      <c r="A21" s="22"/>
      <c r="B21" s="125" t="s">
        <v>328</v>
      </c>
      <c r="C21" s="5"/>
      <c r="D21" s="126">
        <f ref="D21:M21" t="shared" si="318">=D22+D23+D24</f>
      </c>
      <c r="E21" s="126">
        <f t="shared" si="318"/>
      </c>
      <c r="F21" s="126">
        <f t="shared" si="318"/>
      </c>
      <c r="G21" s="126">
        <f t="shared" si="318"/>
      </c>
      <c r="H21" s="126">
        <f t="shared" si="318"/>
      </c>
      <c r="I21" s="126">
        <f t="shared" si="318"/>
      </c>
      <c r="J21" s="126">
        <f t="shared" si="318"/>
      </c>
      <c r="K21" s="126">
        <f t="shared" si="318"/>
      </c>
      <c r="L21" s="126">
        <f t="shared" si="318"/>
      </c>
      <c r="M21" s="126">
        <f t="shared" si="318"/>
      </c>
    </row>
    <row r="22" ht="14.25" customHeight="true">
      <c r="A22" s="18">
        <f>=ESF!A36</f>
      </c>
      <c r="B22" s="28">
        <f>=ESF!B36</f>
      </c>
      <c r="C22" s="29"/>
      <c r="D22" s="127">
        <f>=(ESF!H36-ESF!G36)</f>
      </c>
      <c r="E22" s="127">
        <f>=(ESF!I36-ESF!H36)</f>
      </c>
      <c r="F22" s="127">
        <f>=(ESF!J36-ESF!I36)</f>
      </c>
      <c r="G22" s="127">
        <f>=(ESF!K36-ESF!J36)</f>
      </c>
      <c r="H22" s="127">
        <f>=(ESF!L36-ESF!K36)</f>
      </c>
      <c r="I22" s="127">
        <f>=(ESF!M36-ESF!L36)</f>
      </c>
      <c r="J22" s="127">
        <f>=(ESF!N36-ESF!M36)</f>
      </c>
      <c r="K22" s="127">
        <f>=(ESF!O36-ESF!N36)</f>
      </c>
      <c r="L22" s="127">
        <f>=(ESF!P36-ESF!O36)</f>
      </c>
      <c r="M22" s="127">
        <f>=(ESF!Q36-ESF!P36)</f>
      </c>
    </row>
    <row r="23" ht="14.25" customHeight="true">
      <c r="A23" s="18">
        <f>=ESF!A37</f>
      </c>
      <c r="B23" s="28">
        <f>=ESF!B37</f>
      </c>
      <c r="C23" s="29"/>
      <c r="D23" s="127">
        <f>=(ESF!H37-ESF!G37)</f>
      </c>
      <c r="E23" s="127">
        <f>=(ESF!I37-ESF!H37)</f>
      </c>
      <c r="F23" s="127">
        <f>=(ESF!J37-ESF!I37)</f>
      </c>
      <c r="G23" s="127">
        <f>=(ESF!K37-ESF!J37)</f>
      </c>
      <c r="H23" s="127">
        <f>=(ESF!L37-ESF!K37)</f>
      </c>
      <c r="I23" s="127">
        <f>=(ESF!M37-ESF!L37)</f>
      </c>
      <c r="J23" s="127">
        <f>=(ESF!N37-ESF!M37)</f>
      </c>
      <c r="K23" s="127">
        <f>=(ESF!O37-ESF!N37)</f>
      </c>
      <c r="L23" s="127">
        <f>=(ESF!P37-ESF!O37)</f>
      </c>
      <c r="M23" s="127">
        <f>=(ESF!Q37-ESF!P37)</f>
      </c>
    </row>
    <row r="24" ht="14.25" customHeight="true">
      <c r="A24" s="18">
        <f>=ESF!A39</f>
      </c>
      <c r="B24" s="28" t="s">
        <v>64</v>
      </c>
      <c r="C24" s="29"/>
      <c r="D24" s="127">
        <f>=((ESF!H39+ESF!H38+ESF!H40)-(ESF!G39+ESF!G38+ESF!G40))</f>
      </c>
      <c r="E24" s="127">
        <f>=((ESF!I39+ESF!I38+ESF!I40)-(ESF!H39+ESF!H38+ESF!H40))</f>
      </c>
      <c r="F24" s="127">
        <f>=((ESF!J39+ESF!J38+ESF!J40)-(ESF!I39+ESF!I38+ESF!I40))</f>
      </c>
      <c r="G24" s="127">
        <f>=((ESF!K39+ESF!K38+ESF!K40)-(ESF!J39+ESF!J38+ESF!J40))</f>
      </c>
      <c r="H24" s="127">
        <f>=((ESF!L39+ESF!L38+ESF!L40)-(ESF!K39+ESF!K38+ESF!K40))</f>
      </c>
      <c r="I24" s="127">
        <f>=((ESF!M39+ESF!M38+ESF!M40)-(ESF!L39+ESF!L38+ESF!L40))</f>
      </c>
      <c r="J24" s="127">
        <f>=((ESF!N39+ESF!N38+ESF!N40)-(ESF!M39+ESF!M38+ESF!M40))</f>
      </c>
      <c r="K24" s="127">
        <f>=((ESF!O39+ESF!O38+ESF!O40)-(ESF!N39+ESF!N38+ESF!N40))</f>
      </c>
      <c r="L24" s="127">
        <f>=((ESF!P39+ESF!P38+ESF!P40)-(ESF!O39+ESF!O38+ESF!O40))</f>
      </c>
      <c r="M24" s="127">
        <f>=((ESF!Q39+ESF!Q38+ESF!Q40)-(ESF!P39+ESF!P38+ESF!P40))</f>
      </c>
    </row>
    <row r="25" ht="14.25" customHeight="true">
      <c r="A25" s="22"/>
      <c r="B25" s="21" t="s">
        <v>329</v>
      </c>
      <c r="C25" s="24"/>
      <c r="D25" s="21">
        <f>=-'Supuestos Proyeccion'!H156</f>
      </c>
      <c r="E25" s="21">
        <f>=-'Supuestos Proyeccion'!I156</f>
      </c>
      <c r="F25" s="21">
        <f>=-'Supuestos Proyeccion'!J156</f>
      </c>
      <c r="G25" s="21">
        <f>=-'Supuestos Proyeccion'!K156</f>
      </c>
      <c r="H25" s="21">
        <f>=-'Supuestos Proyeccion'!L156</f>
      </c>
      <c r="I25" s="21">
        <f>=-'Supuestos Proyeccion'!M156</f>
      </c>
      <c r="J25" s="21">
        <f>=-'Supuestos Proyeccion'!N156</f>
      </c>
      <c r="K25" s="21">
        <f>=-'Supuestos Proyeccion'!O156</f>
      </c>
      <c r="L25" s="21">
        <f>=-'Supuestos Proyeccion'!P156</f>
      </c>
      <c r="M25" s="21">
        <f>=-'Supuestos Proyeccion'!Q156</f>
      </c>
      <c r="N25" s="8"/>
    </row>
    <row r="26" ht="14.25" customHeight="true">
      <c r="A26" s="22"/>
      <c r="B26" s="97" t="s">
        <v>330</v>
      </c>
      <c r="C26" s="41"/>
      <c r="D26" s="25">
        <f>=-(ESF!H25-ESF!G25)</f>
      </c>
      <c r="E26" s="25">
        <f>=-(ESF!I25-ESF!H25)</f>
      </c>
      <c r="F26" s="25">
        <f>=-(ESF!J25-ESF!I25)</f>
      </c>
      <c r="G26" s="25">
        <f>=-(ESF!K25-ESF!J25)</f>
      </c>
      <c r="H26" s="25">
        <f>=-(ESF!L25-ESF!K25)</f>
      </c>
      <c r="I26" s="25">
        <f>=-(ESF!M25-ESF!L25)</f>
      </c>
      <c r="J26" s="25">
        <f>=-(ESF!N25-ESF!M25)</f>
      </c>
      <c r="K26" s="25">
        <f>=-(ESF!O25-ESF!N25)</f>
      </c>
      <c r="L26" s="25">
        <f>=-(ESF!P25-ESF!O25)</f>
      </c>
      <c r="M26" s="25">
        <f>=-(ESF!Q25-ESF!P25)</f>
      </c>
    </row>
    <row r="27" ht="14.25" customHeight="true">
      <c r="A27" s="22"/>
      <c r="B27" s="21"/>
      <c r="C27" s="24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ht="14.25" customHeight="true">
      <c r="A28" s="22"/>
      <c r="B28" s="128" t="s">
        <v>331</v>
      </c>
      <c r="C28" s="129"/>
      <c r="D28" s="128">
        <f ref="D28:M28" t="shared" si="317">=+D12+D14+D25+D26</f>
      </c>
      <c r="E28" s="128">
        <f t="shared" si="317"/>
      </c>
      <c r="F28" s="128">
        <f t="shared" si="317"/>
      </c>
      <c r="G28" s="128">
        <f t="shared" si="317"/>
      </c>
      <c r="H28" s="128">
        <f t="shared" si="317"/>
      </c>
      <c r="I28" s="128">
        <f t="shared" si="317"/>
      </c>
      <c r="J28" s="128">
        <f t="shared" si="317"/>
      </c>
      <c r="K28" s="128">
        <f t="shared" si="317"/>
      </c>
      <c r="L28" s="128">
        <f t="shared" si="317"/>
      </c>
      <c r="M28" s="128">
        <f t="shared" si="317"/>
      </c>
    </row>
    <row r="29" ht="14.25" customHeight="true">
      <c r="C29" s="1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ht="14.25" customHeight="true">
      <c r="C30" s="1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ht="14.25" customHeight="true">
      <c r="A31" s="17" t="s">
        <v>13</v>
      </c>
      <c r="B31" s="21" t="s">
        <v>332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</row>
    <row r="32" ht="14.25" customHeight="true">
      <c r="B32" s="61"/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</row>
    <row r="33" ht="14.25" customHeight="true">
      <c r="A33" s="24"/>
      <c r="B33" s="21" t="s">
        <v>333</v>
      </c>
      <c r="C33" s="24"/>
      <c r="D33" s="24"/>
      <c r="E33" s="24">
        <f ref="E33:M33" t="shared" si="326">=E28/D28-1</f>
      </c>
      <c r="F33" s="24">
        <f t="shared" si="326"/>
      </c>
      <c r="G33" s="24">
        <f t="shared" si="326"/>
      </c>
      <c r="H33" s="24">
        <f t="shared" si="326"/>
      </c>
      <c r="I33" s="24">
        <f t="shared" si="326"/>
      </c>
      <c r="J33" s="24">
        <f t="shared" si="326"/>
      </c>
      <c r="K33" s="24">
        <f t="shared" si="326"/>
      </c>
      <c r="L33" s="24">
        <f t="shared" si="326"/>
      </c>
      <c r="M33" s="24">
        <f t="shared" si="326"/>
      </c>
    </row>
    <row r="34" ht="14.25" customHeight="true">
      <c r="A34" s="82"/>
      <c r="B34" s="131" t="s">
        <v>334</v>
      </c>
      <c r="C34" s="82"/>
      <c r="D34" s="82"/>
      <c r="E34" s="82">
        <f ref="E34:M34" t="shared" si="329">=IF(E33&gt;E36,"alto","ok")</f>
      </c>
      <c r="F34" s="82">
        <f t="shared" si="329"/>
      </c>
      <c r="G34" s="82">
        <f t="shared" si="329"/>
      </c>
      <c r="H34" s="82">
        <f t="shared" si="329"/>
      </c>
      <c r="I34" s="82">
        <f t="shared" si="329"/>
      </c>
      <c r="J34" s="82">
        <f t="shared" si="329"/>
      </c>
      <c r="K34" s="82">
        <f t="shared" si="329"/>
      </c>
      <c r="L34" s="82">
        <f t="shared" si="329"/>
      </c>
      <c r="M34" s="82">
        <f t="shared" si="329"/>
      </c>
    </row>
    <row r="35" ht="14.25" customHeight="true">
      <c r="A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</row>
    <row r="36" ht="14.25" customHeight="true">
      <c r="A36" s="24"/>
      <c r="B36" s="21" t="s">
        <v>335</v>
      </c>
      <c r="C36" s="24"/>
      <c r="D36" s="24"/>
      <c r="E36" s="24">
        <f ref="E36:M36" t="shared" si="322">=E37*D40</f>
      </c>
      <c r="F36" s="24">
        <f t="shared" si="322"/>
      </c>
      <c r="G36" s="24">
        <f t="shared" si="322"/>
      </c>
      <c r="H36" s="24">
        <f t="shared" si="322"/>
      </c>
      <c r="I36" s="24">
        <f t="shared" si="322"/>
      </c>
      <c r="J36" s="24">
        <f t="shared" si="322"/>
      </c>
      <c r="K36" s="24">
        <f t="shared" si="322"/>
      </c>
      <c r="L36" s="24">
        <f t="shared" si="322"/>
      </c>
      <c r="M36" s="24">
        <f t="shared" si="322"/>
      </c>
    </row>
    <row r="37" ht="14.25" customHeight="true">
      <c r="A37" s="31"/>
      <c r="B37" s="8" t="s">
        <v>336</v>
      </c>
      <c r="C37" s="31"/>
      <c r="D37" s="31"/>
      <c r="E37" s="31">
        <f ref="E37:M37" t="shared" si="330">=E38/D39</f>
      </c>
      <c r="F37" s="31">
        <f t="shared" si="330"/>
      </c>
      <c r="G37" s="31">
        <f t="shared" si="330"/>
      </c>
      <c r="H37" s="31">
        <f t="shared" si="330"/>
      </c>
      <c r="I37" s="31">
        <f t="shared" si="330"/>
      </c>
      <c r="J37" s="31">
        <f t="shared" si="330"/>
      </c>
      <c r="K37" s="31">
        <f t="shared" si="330"/>
      </c>
      <c r="L37" s="31">
        <f t="shared" si="330"/>
      </c>
      <c r="M37" s="31">
        <f t="shared" si="330"/>
      </c>
    </row>
    <row r="38" ht="14.25" customHeight="true">
      <c r="A38" s="31"/>
      <c r="B38" s="9" t="s">
        <v>337</v>
      </c>
      <c r="C38" s="31"/>
      <c r="D38" s="31"/>
      <c r="E38" s="31">
        <f ref="E38:M38" t="shared" si="332">=E12-D12</f>
      </c>
      <c r="F38" s="31">
        <f t="shared" si="332"/>
      </c>
      <c r="G38" s="31">
        <f t="shared" si="332"/>
      </c>
      <c r="H38" s="31">
        <f t="shared" si="332"/>
      </c>
      <c r="I38" s="31">
        <f t="shared" si="332"/>
      </c>
      <c r="J38" s="31">
        <f t="shared" si="332"/>
      </c>
      <c r="K38" s="31">
        <f t="shared" si="332"/>
      </c>
      <c r="L38" s="31">
        <f t="shared" si="332"/>
      </c>
      <c r="M38" s="31">
        <f t="shared" si="332"/>
      </c>
    </row>
    <row r="39" ht="14.25" customHeight="true">
      <c r="A39" s="31"/>
      <c r="B39" s="9" t="s">
        <v>338</v>
      </c>
      <c r="C39" s="31"/>
      <c r="D39" s="31">
        <f ref="D39:M39" t="shared" si="316">=D14+D25+D26</f>
      </c>
      <c r="E39" s="31">
        <f t="shared" si="316"/>
      </c>
      <c r="F39" s="31">
        <f t="shared" si="316"/>
      </c>
      <c r="G39" s="31">
        <f t="shared" si="316"/>
      </c>
      <c r="H39" s="31">
        <f t="shared" si="316"/>
      </c>
      <c r="I39" s="31">
        <f t="shared" si="316"/>
      </c>
      <c r="J39" s="31">
        <f t="shared" si="316"/>
      </c>
      <c r="K39" s="31">
        <f t="shared" si="316"/>
      </c>
      <c r="L39" s="31">
        <f t="shared" si="316"/>
      </c>
      <c r="M39" s="31">
        <f t="shared" si="316"/>
      </c>
    </row>
    <row r="40" ht="14.25" customHeight="true">
      <c r="A40" s="31"/>
      <c r="B40" s="53" t="s">
        <v>339</v>
      </c>
      <c r="C40" s="54"/>
      <c r="D40" s="54">
        <f ref="D40:M40" t="shared" si="327">=D39/D12</f>
      </c>
      <c r="E40" s="54">
        <f t="shared" si="327"/>
      </c>
      <c r="F40" s="54">
        <f t="shared" si="327"/>
      </c>
      <c r="G40" s="54">
        <f t="shared" si="327"/>
      </c>
      <c r="H40" s="54">
        <f t="shared" si="327"/>
      </c>
      <c r="I40" s="54">
        <f t="shared" si="327"/>
      </c>
      <c r="J40" s="54">
        <f t="shared" si="327"/>
      </c>
      <c r="K40" s="54">
        <f t="shared" si="327"/>
      </c>
      <c r="L40" s="54">
        <f t="shared" si="327"/>
      </c>
      <c r="M40" s="54">
        <f t="shared" si="327"/>
      </c>
    </row>
    <row r="41" ht="14.25" customHeight="true">
      <c r="A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</row>
    <row r="42" ht="14.25" customHeight="true">
      <c r="A42" s="24"/>
      <c r="B42" s="21" t="s">
        <v>340</v>
      </c>
      <c r="C42" s="132"/>
      <c r="D42" s="132">
        <f>=+D43/AVERAGE(C44:D44)</f>
      </c>
      <c r="E42" s="132">
        <f ref="E42:M42" t="shared" si="319">=+E43/AVERAGE(D44:E44)</f>
      </c>
      <c r="F42" s="132">
        <f t="shared" si="319"/>
      </c>
      <c r="G42" s="132">
        <f t="shared" si="319"/>
      </c>
      <c r="H42" s="132">
        <f t="shared" si="319"/>
      </c>
      <c r="I42" s="132">
        <f t="shared" si="319"/>
      </c>
      <c r="J42" s="132">
        <f t="shared" si="319"/>
      </c>
      <c r="K42" s="132">
        <f t="shared" si="319"/>
      </c>
      <c r="L42" s="132">
        <f t="shared" si="319"/>
      </c>
      <c r="M42" s="132">
        <f t="shared" si="319"/>
      </c>
      <c r="N42" s="21"/>
    </row>
    <row r="43" ht="14.25" customHeight="true">
      <c r="A43" s="31"/>
      <c r="B43" s="9" t="s">
        <v>341</v>
      </c>
      <c r="C43" s="8">
        <f ref="C43:M43" t="shared" si="320">=C9</f>
      </c>
      <c r="D43" s="8">
        <f t="shared" si="320"/>
      </c>
      <c r="E43" s="8">
        <f t="shared" si="320"/>
      </c>
      <c r="F43" s="8">
        <f t="shared" si="320"/>
      </c>
      <c r="G43" s="8">
        <f t="shared" si="320"/>
      </c>
      <c r="H43" s="8">
        <f t="shared" si="320"/>
      </c>
      <c r="I43" s="8">
        <f t="shared" si="320"/>
      </c>
      <c r="J43" s="8">
        <f t="shared" si="320"/>
      </c>
      <c r="K43" s="8">
        <f t="shared" si="320"/>
      </c>
      <c r="L43" s="8">
        <f t="shared" si="320"/>
      </c>
      <c r="M43" s="8">
        <f t="shared" si="320"/>
      </c>
    </row>
    <row r="44" ht="14.25" customHeight="true">
      <c r="A44" s="31"/>
      <c r="B44" s="133" t="s">
        <v>342</v>
      </c>
      <c r="C44" s="128">
        <f ref="C44:M44" t="shared" si="331">=C45+C46+C47</f>
      </c>
      <c r="D44" s="128">
        <f t="shared" si="331"/>
      </c>
      <c r="E44" s="128">
        <f t="shared" si="331"/>
      </c>
      <c r="F44" s="128">
        <f t="shared" si="331"/>
      </c>
      <c r="G44" s="128">
        <f t="shared" si="331"/>
      </c>
      <c r="H44" s="128">
        <f t="shared" si="331"/>
      </c>
      <c r="I44" s="128">
        <f t="shared" si="331"/>
      </c>
      <c r="J44" s="128">
        <f t="shared" si="331"/>
      </c>
      <c r="K44" s="128">
        <f t="shared" si="331"/>
      </c>
      <c r="L44" s="128">
        <f t="shared" si="331"/>
      </c>
      <c r="M44" s="128">
        <f t="shared" si="331"/>
      </c>
    </row>
    <row r="45" ht="14.25" customHeight="true">
      <c r="A45" s="38"/>
      <c r="B45" s="37" t="s">
        <v>343</v>
      </c>
      <c r="C45" s="8">
        <f>=ESF!G9+ESF!G11+ESF!G12+ESF!G13+ESF!G14-ESF!G36-ESF!G39</f>
      </c>
      <c r="D45" s="8">
        <f>=ESF!H9+ESF!H11+ESF!H12+ESF!H13+ESF!H14-ESF!H36-ESF!H39</f>
      </c>
      <c r="E45" s="8">
        <f>=ESF!I9+ESF!I11+ESF!I12+ESF!I13+ESF!I14-ESF!I36-ESF!I39</f>
      </c>
      <c r="F45" s="8">
        <f>=ESF!J9+ESF!J11+ESF!J12+ESF!J13+ESF!J14-ESF!J36-ESF!J39</f>
      </c>
      <c r="G45" s="8">
        <f>=ESF!K9+ESF!K11+ESF!K12+ESF!K13+ESF!K14-ESF!K36-ESF!K39</f>
      </c>
      <c r="H45" s="8">
        <f>=ESF!L9+ESF!L11+ESF!L12+ESF!L13+ESF!L14-ESF!L36-ESF!L39</f>
      </c>
      <c r="I45" s="8">
        <f>=ESF!M9+ESF!M11+ESF!M12+ESF!M13+ESF!M14-ESF!M36-ESF!M39</f>
      </c>
      <c r="J45" s="8">
        <f>=ESF!N9+ESF!N11+ESF!N12+ESF!N13+ESF!N14-ESF!N36-ESF!N39</f>
      </c>
      <c r="K45" s="8">
        <f>=ESF!O9+ESF!O11+ESF!O12+ESF!O13+ESF!O14-ESF!O36-ESF!O39</f>
      </c>
      <c r="L45" s="8">
        <f>=ESF!P9+ESF!P11+ESF!P12+ESF!P13+ESF!P14-ESF!P36-ESF!P39</f>
      </c>
      <c r="M45" s="8">
        <f>=ESF!Q9+ESF!Q11+ESF!Q12+ESF!Q13+ESF!Q14-ESF!Q36-ESF!Q39</f>
      </c>
    </row>
    <row r="46" ht="14.25" customHeight="true">
      <c r="A46" s="31"/>
      <c r="B46" s="9" t="s">
        <v>344</v>
      </c>
      <c r="C46" s="8">
        <f>=+ESF!G21</f>
      </c>
      <c r="D46" s="8">
        <f>=+ESF!H21</f>
      </c>
      <c r="E46" s="8">
        <f>=+ESF!I21</f>
      </c>
      <c r="F46" s="8">
        <f>=+ESF!J21</f>
      </c>
      <c r="G46" s="8">
        <f>=+ESF!K21</f>
      </c>
      <c r="H46" s="8">
        <f>=+ESF!L21</f>
      </c>
      <c r="I46" s="8">
        <f>=+ESF!M21</f>
      </c>
      <c r="J46" s="8">
        <f>=+ESF!N21</f>
      </c>
      <c r="K46" s="8">
        <f>=+ESF!O21</f>
      </c>
      <c r="L46" s="8">
        <f>=+ESF!P21</f>
      </c>
      <c r="M46" s="8">
        <f>=+ESF!Q21</f>
      </c>
    </row>
    <row r="47" ht="14.25" customHeight="true">
      <c r="A47" s="31"/>
      <c r="B47" s="63" t="s">
        <v>53</v>
      </c>
      <c r="C47" s="53">
        <f>=ESF!G25</f>
      </c>
      <c r="D47" s="53">
        <f>=ESF!H25</f>
      </c>
      <c r="E47" s="53">
        <f>=ESF!I25</f>
      </c>
      <c r="F47" s="53">
        <f>=ESF!J25</f>
      </c>
      <c r="G47" s="53">
        <f>=ESF!K25</f>
      </c>
      <c r="H47" s="53">
        <f>=ESF!L25</f>
      </c>
      <c r="I47" s="53">
        <f>=ESF!M25</f>
      </c>
      <c r="J47" s="53">
        <f>=ESF!N25</f>
      </c>
      <c r="K47" s="53">
        <f>=ESF!O25</f>
      </c>
      <c r="L47" s="53">
        <f>=ESF!P25</f>
      </c>
      <c r="M47" s="53">
        <f>=ESF!Q25</f>
      </c>
    </row>
    <row r="48" ht="14.25" customHeight="true">
      <c r="A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</row>
    <row r="49" ht="14.25" customHeight="true">
      <c r="A49" s="31"/>
      <c r="B49" s="8" t="s">
        <v>345</v>
      </c>
      <c r="C49" s="31"/>
      <c r="D49" s="134">
        <f>=+(-D14-D25-D11)/D9</f>
      </c>
      <c r="E49" s="134">
        <f ref="E49:M49" t="shared" si="325">=+(-E14-E25-E11)/E9</f>
      </c>
      <c r="F49" s="134">
        <f t="shared" si="325"/>
      </c>
      <c r="G49" s="134">
        <f t="shared" si="325"/>
      </c>
      <c r="H49" s="134">
        <f t="shared" si="325"/>
      </c>
      <c r="I49" s="134">
        <f t="shared" si="325"/>
      </c>
      <c r="J49" s="134">
        <f t="shared" si="325"/>
      </c>
      <c r="K49" s="134">
        <f t="shared" si="325"/>
      </c>
      <c r="L49" s="134">
        <f t="shared" si="325"/>
      </c>
      <c r="M49" s="134">
        <f t="shared" si="325"/>
      </c>
    </row>
    <row r="50" ht="14.25" customHeight="true">
      <c r="A50" s="31"/>
      <c r="B50" s="8" t="s">
        <v>346</v>
      </c>
      <c r="C50" s="31"/>
      <c r="D50" s="134">
        <f>=+(-D14-D25-D11)/C44</f>
      </c>
      <c r="E50" s="134">
        <f ref="E50:M50" t="shared" si="321">=+(-E14-E25-E11)/D44</f>
      </c>
      <c r="F50" s="134">
        <f t="shared" si="321"/>
      </c>
      <c r="G50" s="134">
        <f t="shared" si="321"/>
      </c>
      <c r="H50" s="134">
        <f t="shared" si="321"/>
      </c>
      <c r="I50" s="134">
        <f t="shared" si="321"/>
      </c>
      <c r="J50" s="134">
        <f t="shared" si="321"/>
      </c>
      <c r="K50" s="134">
        <f t="shared" si="321"/>
      </c>
      <c r="L50" s="134">
        <f t="shared" si="321"/>
      </c>
      <c r="M50" s="134">
        <f t="shared" si="321"/>
      </c>
      <c r="N50" s="8"/>
    </row>
  </sheetData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/>
  <dimension ref="A1"/>
  <sheetViews>
    <sheetView showGridLines="0" tabSelected="0" workbookViewId="0">
      <pane xSplit="2" ySplit="5" topLeftCell="C6" activePane="bottomRight" state="frozen"/>
      <selection activeCell="A1" sqref="A1"/>
    </sheetView>
  </sheetViews>
  <sheetFormatPr defaultRowHeight="14.25" customHeight="1" defaultColWidth="8.34"/>
  <cols>
    <col min="1" max="1" width="3.43" customWidth="1" hidden="0"/>
    <col min="2" max="2" width="44.03" customWidth="1" hidden="0"/>
    <col min="3" max="3" width="5.27" customWidth="1" hidden="0"/>
    <col min="4" max="4" width="10.67" customWidth="1" hidden="0"/>
    <col min="5" max="5" width="10.55" customWidth="1" hidden="0"/>
    <col min="6" max="6" width="3.80" customWidth="1" hidden="0"/>
    <col min="7" max="16" width="10.67" customWidth="1" hidden="0"/>
    <col min="17" max="17" width="8.34" customWidth="1" hidden="0"/>
    <col min="18" max="18" width="18.40" customWidth="1" hidden="0"/>
    <col min="19" max="19" width="8.34" customWidth="1" hidden="1"/>
    <col min="20" max="16384" width="8.34" customWidth="1" hidden="0"/>
  </cols>
  <sheetData>
    <row r="2" ht="14.25" customHeight="true">
      <c r="A2" s="17" t="s">
        <v>13</v>
      </c>
      <c r="B2" s="12" t="s">
        <v>347</v>
      </c>
    </row>
    <row r="3" ht="14.25" customHeight="true">
      <c r="A3" s="96"/>
      <c r="B3" s="8">
        <f>=COVER!H15</f>
      </c>
      <c r="G3" s="18"/>
      <c r="H3" s="18"/>
      <c r="I3" s="18"/>
      <c r="J3" s="18"/>
      <c r="K3" s="18"/>
      <c r="L3" s="18"/>
      <c r="M3" s="18"/>
      <c r="N3" s="18"/>
      <c r="O3" s="18"/>
      <c r="P3" s="18"/>
    </row>
    <row r="4" ht="14.25" customHeight="true">
      <c r="G4" s="135">
        <v>40743</v>
      </c>
    </row>
    <row r="5" ht="14.25" customHeight="true">
      <c r="A5" s="18"/>
      <c r="B5" s="19">
        <f>=+ERI!B5</f>
      </c>
      <c r="C5" s="20"/>
      <c r="D5" s="20"/>
      <c r="E5" s="20"/>
      <c r="F5" s="20"/>
      <c r="G5" s="20">
        <f>=CONCATENATE(COVER!$D$21,"p")</f>
      </c>
      <c r="H5" s="20">
        <f>=CONCATENATE(COVER!$D$21+1,"p")</f>
      </c>
      <c r="I5" s="20">
        <f>=CONCATENATE(COVER!$D$21+2,"p")</f>
      </c>
      <c r="J5" s="20">
        <f>=CONCATENATE(COVER!$D$21+3,"p")</f>
      </c>
      <c r="K5" s="20">
        <f>=CONCATENATE(COVER!$D$21+4,"p")</f>
      </c>
      <c r="L5" s="20">
        <f>=CONCATENATE(COVER!$D$21+5,"p")</f>
      </c>
      <c r="M5" s="20">
        <f>=CONCATENATE(COVER!$D$21+6,"p")</f>
      </c>
      <c r="N5" s="20">
        <f>=CONCATENATE(COVER!$D$21+7,"p")</f>
      </c>
      <c r="O5" s="20">
        <f>=CONCATENATE(COVER!$D$21+8,"p")</f>
      </c>
      <c r="P5" s="20">
        <f>=CONCATENATE(COVER!$D$21+9,"p")</f>
      </c>
      <c r="R5" s="136"/>
    </row>
    <row r="6" ht="14.25" customHeight="true">
      <c r="A6" s="18"/>
      <c r="B6" s="21"/>
      <c r="G6" s="24"/>
      <c r="H6" s="24"/>
      <c r="I6" s="24"/>
      <c r="J6" s="24"/>
      <c r="K6" s="24"/>
      <c r="L6" s="24"/>
      <c r="M6" s="24"/>
      <c r="N6" s="24"/>
      <c r="O6" s="24"/>
      <c r="P6" s="24"/>
      <c r="R6" s="11"/>
    </row>
    <row r="7" ht="14.25" customHeight="true">
      <c r="B7" s="21" t="s">
        <v>348</v>
      </c>
    </row>
    <row r="8" ht="14.25" customHeight="true">
      <c r="A8" s="36"/>
      <c r="B8" s="89" t="s">
        <v>349</v>
      </c>
      <c r="G8" s="69">
        <v>0.03085238354507</v>
      </c>
      <c r="H8" s="137">
        <f ref="H8:P8" t="shared" si="295">=G8</f>
      </c>
      <c r="I8" s="137">
        <f t="shared" si="295"/>
      </c>
      <c r="J8" s="137">
        <f t="shared" si="295"/>
      </c>
      <c r="K8" s="137">
        <f t="shared" si="295"/>
      </c>
      <c r="L8" s="137">
        <f t="shared" si="295"/>
      </c>
      <c r="M8" s="137">
        <f t="shared" si="295"/>
      </c>
      <c r="N8" s="137">
        <f t="shared" si="295"/>
      </c>
      <c r="O8" s="137">
        <f t="shared" si="295"/>
      </c>
      <c r="P8" s="137">
        <f t="shared" si="295"/>
      </c>
      <c r="R8" s="138"/>
    </row>
    <row r="9" ht="14.25" customHeight="true">
      <c r="A9" s="36"/>
      <c r="B9" s="89" t="s">
        <v>350</v>
      </c>
      <c r="G9" s="69">
        <v>0.01445486388384</v>
      </c>
      <c r="H9" s="137">
        <f ref="H9:P9" t="shared" si="279">=G9</f>
      </c>
      <c r="I9" s="137">
        <f t="shared" si="279"/>
      </c>
      <c r="J9" s="137">
        <f t="shared" si="279"/>
      </c>
      <c r="K9" s="137">
        <f t="shared" si="279"/>
      </c>
      <c r="L9" s="137">
        <f t="shared" si="279"/>
      </c>
      <c r="M9" s="137">
        <f t="shared" si="279"/>
      </c>
      <c r="N9" s="137">
        <f t="shared" si="279"/>
      </c>
      <c r="O9" s="137">
        <f t="shared" si="279"/>
      </c>
      <c r="P9" s="137">
        <f t="shared" si="279"/>
      </c>
      <c r="R9" s="138"/>
    </row>
    <row r="10" ht="14.25" customHeight="true">
      <c r="A10" s="36"/>
      <c r="B10" s="89" t="s">
        <v>351</v>
      </c>
      <c r="G10" s="38">
        <f ref="G10:P10" t="shared" si="290">=G8+G9</f>
      </c>
      <c r="H10" s="38">
        <f t="shared" si="290"/>
      </c>
      <c r="I10" s="38">
        <f t="shared" si="290"/>
      </c>
      <c r="J10" s="38">
        <f t="shared" si="290"/>
      </c>
      <c r="K10" s="38">
        <f t="shared" si="290"/>
      </c>
      <c r="L10" s="38">
        <f t="shared" si="290"/>
      </c>
      <c r="M10" s="38">
        <f t="shared" si="290"/>
      </c>
      <c r="N10" s="38">
        <f t="shared" si="290"/>
      </c>
      <c r="O10" s="38">
        <f t="shared" si="290"/>
      </c>
      <c r="P10" s="38">
        <f t="shared" si="290"/>
      </c>
    </row>
    <row r="11" ht="14.25" customHeight="true">
      <c r="A11" s="36"/>
      <c r="B11" s="89"/>
      <c r="G11" s="36"/>
      <c r="H11" s="36"/>
      <c r="I11" s="36"/>
      <c r="J11" s="36"/>
      <c r="K11" s="36"/>
      <c r="L11" s="36"/>
      <c r="M11" s="36"/>
      <c r="N11" s="36"/>
      <c r="O11" s="36"/>
      <c r="P11" s="36"/>
    </row>
    <row r="12" ht="14.25" customHeight="true">
      <c r="A12" s="36"/>
      <c r="B12" s="89">
        <f>=CONCATENATE("(+) Beta Apalancado ",B3)</f>
      </c>
      <c r="G12" s="38">
        <f ref="G12:P12" t="shared" si="285">=(G13*(1+G14*(1-G15)))</f>
      </c>
      <c r="H12" s="38">
        <f t="shared" si="285"/>
      </c>
      <c r="I12" s="38">
        <f t="shared" si="285"/>
      </c>
      <c r="J12" s="38">
        <f t="shared" si="285"/>
      </c>
      <c r="K12" s="38">
        <f t="shared" si="285"/>
      </c>
      <c r="L12" s="38">
        <f t="shared" si="285"/>
      </c>
      <c r="M12" s="38">
        <f t="shared" si="285"/>
      </c>
      <c r="N12" s="38">
        <f t="shared" si="285"/>
      </c>
      <c r="O12" s="38">
        <f t="shared" si="285"/>
      </c>
      <c r="P12" s="38">
        <f t="shared" si="285"/>
      </c>
    </row>
    <row r="13" ht="14.25" customHeight="true">
      <c r="A13" s="11"/>
      <c r="B13" s="9" t="s">
        <v>352</v>
      </c>
      <c r="G13" s="30">
        <f>=VLOOKUP($S$13,Betas!A7:C306,3)</f>
      </c>
      <c r="H13" s="30">
        <f ref="H13:P13" t="shared" si="292">=G13</f>
      </c>
      <c r="I13" s="30">
        <f t="shared" si="292"/>
      </c>
      <c r="J13" s="30">
        <f t="shared" si="292"/>
      </c>
      <c r="K13" s="30">
        <f t="shared" si="292"/>
      </c>
      <c r="L13" s="30">
        <f t="shared" si="292"/>
      </c>
      <c r="M13" s="30">
        <f t="shared" si="292"/>
      </c>
      <c r="N13" s="30">
        <f t="shared" si="292"/>
      </c>
      <c r="O13" s="30">
        <f t="shared" si="292"/>
      </c>
      <c r="P13" s="30">
        <f t="shared" si="292"/>
      </c>
      <c r="S13" s="139">
        <v>1</v>
      </c>
    </row>
    <row r="14" ht="14.25" customHeight="true">
      <c r="A14" s="36"/>
      <c r="B14" s="37" t="s">
        <v>353</v>
      </c>
      <c r="G14" s="38">
        <f>=(ESF!G35+ESF!G44)/ESF!G57</f>
      </c>
      <c r="H14" s="38">
        <f>=(ESF!H35+ESF!H44)/ESF!H57</f>
      </c>
      <c r="I14" s="38">
        <f>=(ESF!I35+ESF!I44)/ESF!I57</f>
      </c>
      <c r="J14" s="38">
        <f>=(ESF!J35+ESF!J44)/ESF!J57</f>
      </c>
      <c r="K14" s="38">
        <f>=(ESF!K35+ESF!K44)/ESF!K57</f>
      </c>
      <c r="L14" s="38">
        <f>=(ESF!L35+ESF!L44)/ESF!L57</f>
      </c>
      <c r="M14" s="38">
        <f>=(ESF!M35+ESF!M44)/ESF!M57</f>
      </c>
      <c r="N14" s="38">
        <f>=(ESF!N35+ESF!N44)/ESF!N57</f>
      </c>
      <c r="O14" s="38">
        <f>=(ESF!O35+ESF!O44)/ESF!O57</f>
      </c>
      <c r="P14" s="38">
        <f>=(ESF!P35+ESF!P44)/ESF!P57</f>
      </c>
    </row>
    <row r="15" ht="14.25" customHeight="true">
      <c r="A15" s="36"/>
      <c r="B15" s="37" t="s">
        <v>252</v>
      </c>
      <c r="G15" s="38">
        <f>=IF('Supuestos Proyeccion'!H126&gt;'Supuestos Proyeccion'!H123,0%,'Supuestos Proyeccion'!H122)</f>
      </c>
      <c r="H15" s="38">
        <f>=IF('Supuestos Proyeccion'!I126&gt;'Supuestos Proyeccion'!I123,0%,'Supuestos Proyeccion'!I122)</f>
      </c>
      <c r="I15" s="38">
        <f>=IF('Supuestos Proyeccion'!J126&gt;'Supuestos Proyeccion'!J123,0%,'Supuestos Proyeccion'!J122)</f>
      </c>
      <c r="J15" s="38">
        <f>=IF('Supuestos Proyeccion'!K126&gt;'Supuestos Proyeccion'!K123,0%,'Supuestos Proyeccion'!K122)</f>
      </c>
      <c r="K15" s="38">
        <f>=IF('Supuestos Proyeccion'!L126&gt;'Supuestos Proyeccion'!L123,0%,'Supuestos Proyeccion'!L122)</f>
      </c>
      <c r="L15" s="38">
        <f>=IF('Supuestos Proyeccion'!M126&gt;'Supuestos Proyeccion'!M123,0%,'Supuestos Proyeccion'!M122)</f>
      </c>
      <c r="M15" s="38">
        <f>=IF('Supuestos Proyeccion'!N126&gt;'Supuestos Proyeccion'!N123,0%,'Supuestos Proyeccion'!N122)</f>
      </c>
      <c r="N15" s="38">
        <f>=IF('Supuestos Proyeccion'!O126&gt;'Supuestos Proyeccion'!O123,0%,'Supuestos Proyeccion'!O122)</f>
      </c>
      <c r="O15" s="38">
        <f>=IF('Supuestos Proyeccion'!P126&gt;'Supuestos Proyeccion'!P123,0%,'Supuestos Proyeccion'!P122)</f>
      </c>
      <c r="P15" s="38">
        <f>=IF('Supuestos Proyeccion'!Q126&gt;'Supuestos Proyeccion'!Q123,0%,'Supuestos Proyeccion'!Q122)</f>
      </c>
    </row>
    <row r="16" ht="14.25" customHeight="true">
      <c r="A16" s="36"/>
      <c r="B16" s="37" t="s">
        <v>354</v>
      </c>
      <c r="G16" s="69">
        <v>0.06205549302958</v>
      </c>
      <c r="H16" s="137">
        <f ref="H16:P16" t="shared" si="289">=G16</f>
      </c>
      <c r="I16" s="137">
        <f t="shared" si="289"/>
      </c>
      <c r="J16" s="137">
        <f t="shared" si="289"/>
      </c>
      <c r="K16" s="137">
        <f t="shared" si="289"/>
      </c>
      <c r="L16" s="137">
        <f t="shared" si="289"/>
      </c>
      <c r="M16" s="137">
        <f t="shared" si="289"/>
      </c>
      <c r="N16" s="137">
        <f t="shared" si="289"/>
      </c>
      <c r="O16" s="137">
        <f t="shared" si="289"/>
      </c>
      <c r="P16" s="137">
        <f t="shared" si="289"/>
      </c>
      <c r="R16" s="138"/>
    </row>
    <row r="17" ht="14.25" customHeight="true">
      <c r="A17" s="36"/>
      <c r="B17" s="37">
        <f>=CONCATENATE("(=) Prima Inversión ", B3)</f>
      </c>
      <c r="G17" s="38">
        <f>=G12*G16</f>
      </c>
      <c r="H17" s="38">
        <f ref="H17:P17" t="shared" si="281">=G17</f>
      </c>
      <c r="I17" s="38">
        <f t="shared" si="281"/>
      </c>
      <c r="J17" s="38">
        <f t="shared" si="281"/>
      </c>
      <c r="K17" s="38">
        <f t="shared" si="281"/>
      </c>
      <c r="L17" s="38">
        <f t="shared" si="281"/>
      </c>
      <c r="M17" s="38">
        <f t="shared" si="281"/>
      </c>
      <c r="N17" s="38">
        <f t="shared" si="281"/>
      </c>
      <c r="O17" s="38">
        <f t="shared" si="281"/>
      </c>
      <c r="P17" s="38">
        <f t="shared" si="281"/>
      </c>
    </row>
    <row r="18" ht="14.25" customHeight="true">
      <c r="A18" s="36"/>
      <c r="B18" s="37"/>
      <c r="G18" s="69"/>
      <c r="H18" s="69"/>
      <c r="I18" s="69"/>
      <c r="J18" s="69"/>
      <c r="K18" s="69"/>
      <c r="L18" s="69"/>
      <c r="M18" s="69"/>
      <c r="N18" s="69"/>
      <c r="O18" s="69"/>
      <c r="P18" s="69"/>
    </row>
    <row r="19" ht="14.25" customHeight="true">
      <c r="A19" s="36"/>
      <c r="B19" s="89" t="s">
        <v>355</v>
      </c>
      <c r="G19" s="38">
        <f>=E69</f>
      </c>
      <c r="H19" s="38">
        <f ref="H19:P19" t="shared" si="283">=G19</f>
      </c>
      <c r="I19" s="38">
        <f t="shared" si="283"/>
      </c>
      <c r="J19" s="38">
        <f t="shared" si="283"/>
      </c>
      <c r="K19" s="38">
        <f t="shared" si="283"/>
      </c>
      <c r="L19" s="38">
        <f t="shared" si="283"/>
      </c>
      <c r="M19" s="38">
        <f t="shared" si="283"/>
      </c>
      <c r="N19" s="38">
        <f t="shared" si="283"/>
      </c>
      <c r="O19" s="38">
        <f t="shared" si="283"/>
      </c>
      <c r="P19" s="38">
        <f t="shared" si="283"/>
      </c>
    </row>
    <row r="21" ht="14.25" customHeight="true">
      <c r="B21" s="8" t="s">
        <v>356</v>
      </c>
      <c r="G21" s="31">
        <f ref="G21:P21" t="shared" si="284">=G10+G17+G19</f>
      </c>
      <c r="H21" s="31">
        <f t="shared" si="284"/>
      </c>
      <c r="I21" s="31">
        <f t="shared" si="284"/>
      </c>
      <c r="J21" s="31">
        <f t="shared" si="284"/>
      </c>
      <c r="K21" s="31">
        <f t="shared" si="284"/>
      </c>
      <c r="L21" s="31">
        <f t="shared" si="284"/>
      </c>
      <c r="M21" s="31">
        <f t="shared" si="284"/>
      </c>
      <c r="N21" s="31">
        <f t="shared" si="284"/>
      </c>
      <c r="O21" s="31">
        <f t="shared" si="284"/>
      </c>
      <c r="P21" s="31">
        <f t="shared" si="284"/>
      </c>
    </row>
    <row r="22" ht="14.25" customHeight="true">
      <c r="A22" s="36"/>
      <c r="B22" s="140" t="s">
        <v>357</v>
      </c>
      <c r="C22" s="141"/>
      <c r="D22" s="141"/>
      <c r="E22" s="141"/>
      <c r="F22" s="141"/>
      <c r="G22" s="93">
        <f>=(1+'Supuestos Proyeccion'!H9)/(1+'Supuestos Proyeccion'!H22)-1</f>
      </c>
      <c r="H22" s="93">
        <f>=(1+'Supuestos Proyeccion'!I9)/(1+'Supuestos Proyeccion'!I22)-1</f>
      </c>
      <c r="I22" s="93">
        <f>=(1+'Supuestos Proyeccion'!J9)/(1+'Supuestos Proyeccion'!J22)-1</f>
      </c>
      <c r="J22" s="93">
        <f>=(1+'Supuestos Proyeccion'!K9)/(1+'Supuestos Proyeccion'!K22)-1</f>
      </c>
      <c r="K22" s="93">
        <f>=(1+'Supuestos Proyeccion'!L9)/(1+'Supuestos Proyeccion'!L22)-1</f>
      </c>
      <c r="L22" s="93">
        <f>=(1+'Supuestos Proyeccion'!M9)/(1+'Supuestos Proyeccion'!M22)-1</f>
      </c>
      <c r="M22" s="93">
        <f>=(1+'Supuestos Proyeccion'!N9)/(1+'Supuestos Proyeccion'!N22)-1</f>
      </c>
      <c r="N22" s="93">
        <f>=(1+'Supuestos Proyeccion'!O9)/(1+'Supuestos Proyeccion'!O22)-1</f>
      </c>
      <c r="O22" s="93">
        <f>=(1+'Supuestos Proyeccion'!P9)/(1+'Supuestos Proyeccion'!P22)-1</f>
      </c>
      <c r="P22" s="93">
        <f>=(1+'Supuestos Proyeccion'!Q9)/(1+'Supuestos Proyeccion'!Q22)-1</f>
      </c>
    </row>
    <row r="23" ht="14.25" customHeight="true">
      <c r="A23" s="22"/>
      <c r="B23" s="21" t="s">
        <v>358</v>
      </c>
      <c r="G23" s="24">
        <f>=(1+G21)*(1+G22)-1</f>
      </c>
      <c r="H23" s="24">
        <f ref="H23:P23" t="shared" si="291">=(1+H21)*(1+H22)-1</f>
      </c>
      <c r="I23" s="24">
        <f t="shared" si="291"/>
      </c>
      <c r="J23" s="24">
        <f t="shared" si="291"/>
      </c>
      <c r="K23" s="24">
        <f t="shared" si="291"/>
      </c>
      <c r="L23" s="24">
        <f t="shared" si="291"/>
      </c>
      <c r="M23" s="24">
        <f t="shared" si="291"/>
      </c>
      <c r="N23" s="24">
        <f t="shared" si="291"/>
      </c>
      <c r="O23" s="24">
        <f t="shared" si="291"/>
      </c>
      <c r="P23" s="24">
        <f t="shared" si="291"/>
      </c>
      <c r="R23" s="11"/>
    </row>
    <row r="24" ht="14.25" customHeight="true">
      <c r="A24" s="22"/>
      <c r="B24" s="21" t="s">
        <v>359</v>
      </c>
      <c r="G24" s="24">
        <f>=(1+G23)/(1+'Supuestos Proyeccion'!H9)-1</f>
      </c>
      <c r="H24" s="24">
        <f>=(1+H23)/(1+'Supuestos Proyeccion'!I9)-1</f>
      </c>
      <c r="I24" s="24">
        <f>=(1+I23)/(1+'Supuestos Proyeccion'!J9)-1</f>
      </c>
      <c r="J24" s="24">
        <f>=(1+J23)/(1+'Supuestos Proyeccion'!K9)-1</f>
      </c>
      <c r="K24" s="24">
        <f>=(1+K23)/(1+'Supuestos Proyeccion'!L9)-1</f>
      </c>
      <c r="L24" s="24">
        <f>=(1+L23)/(1+'Supuestos Proyeccion'!M9)-1</f>
      </c>
      <c r="M24" s="24">
        <f>=(1+M23)/(1+'Supuestos Proyeccion'!N9)-1</f>
      </c>
      <c r="N24" s="24">
        <f>=(1+N23)/(1+'Supuestos Proyeccion'!O9)-1</f>
      </c>
      <c r="O24" s="24">
        <f>=(1+O23)/(1+'Supuestos Proyeccion'!P9)-1</f>
      </c>
      <c r="P24" s="24">
        <f>=(1+P23)/(1+'Supuestos Proyeccion'!Q9)-1</f>
      </c>
      <c r="R24" s="11"/>
    </row>
    <row r="26" ht="14.25" customHeight="true">
      <c r="B26" s="21" t="s">
        <v>360</v>
      </c>
    </row>
    <row r="27" ht="14.25" customHeight="true">
      <c r="A27" s="36"/>
      <c r="B27" s="89" t="s">
        <v>361</v>
      </c>
      <c r="G27" s="38">
        <f ref="G27:P27" t="shared" si="286">=(1+G28)*(1+G29)-1</f>
      </c>
      <c r="H27" s="38">
        <f t="shared" si="286"/>
      </c>
      <c r="I27" s="38">
        <f t="shared" si="286"/>
      </c>
      <c r="J27" s="38">
        <f t="shared" si="286"/>
      </c>
      <c r="K27" s="38">
        <f t="shared" si="286"/>
      </c>
      <c r="L27" s="38">
        <f t="shared" si="286"/>
      </c>
      <c r="M27" s="38">
        <f t="shared" si="286"/>
      </c>
      <c r="N27" s="38">
        <f t="shared" si="286"/>
      </c>
      <c r="O27" s="38">
        <f t="shared" si="286"/>
      </c>
      <c r="P27" s="38">
        <f t="shared" si="286"/>
      </c>
    </row>
    <row r="28" ht="14.25" customHeight="true">
      <c r="A28" s="36"/>
      <c r="B28" s="37" t="s">
        <v>362</v>
      </c>
      <c r="G28" s="69">
        <f>='Supuestos Proyeccion'!H19</f>
      </c>
      <c r="H28" s="69">
        <f>='Supuestos Proyeccion'!I19</f>
      </c>
      <c r="I28" s="69">
        <f>='Supuestos Proyeccion'!J19</f>
      </c>
      <c r="J28" s="69">
        <f>='Supuestos Proyeccion'!K19</f>
      </c>
      <c r="K28" s="69">
        <f>='Supuestos Proyeccion'!L19</f>
      </c>
      <c r="L28" s="69">
        <f>='Supuestos Proyeccion'!M19</f>
      </c>
      <c r="M28" s="69">
        <f>='Supuestos Proyeccion'!N19</f>
      </c>
      <c r="N28" s="69">
        <f>='Supuestos Proyeccion'!O19</f>
      </c>
      <c r="O28" s="69">
        <f>='Supuestos Proyeccion'!P19</f>
      </c>
      <c r="P28" s="69">
        <f>='Supuestos Proyeccion'!Q19</f>
      </c>
    </row>
    <row r="29" ht="14.25" customHeight="true">
      <c r="A29" s="36"/>
      <c r="B29" s="37" t="s">
        <v>363</v>
      </c>
      <c r="G29" s="69">
        <v>0.07</v>
      </c>
      <c r="H29" s="69">
        <f ref="H29:P29" t="shared" si="277">=G29</f>
      </c>
      <c r="I29" s="69">
        <f t="shared" si="277"/>
      </c>
      <c r="J29" s="69">
        <f t="shared" si="277"/>
      </c>
      <c r="K29" s="69">
        <f t="shared" si="277"/>
      </c>
      <c r="L29" s="69">
        <f t="shared" si="277"/>
      </c>
      <c r="M29" s="69">
        <f t="shared" si="277"/>
      </c>
      <c r="N29" s="69">
        <f t="shared" si="277"/>
      </c>
      <c r="O29" s="69">
        <f t="shared" si="277"/>
      </c>
      <c r="P29" s="69">
        <f t="shared" si="277"/>
      </c>
    </row>
    <row r="30" ht="14.25" customHeight="true">
      <c r="A30" s="31"/>
      <c r="B30" s="8" t="s">
        <v>364</v>
      </c>
      <c r="G30" s="31">
        <f>=IF('Supuestos Proyeccion'!H126&gt;'Supuestos Proyeccion'!H123,0%,'Supuestos Proyeccion'!H122)</f>
      </c>
      <c r="H30" s="31">
        <f>=IF('Supuestos Proyeccion'!I126&gt;'Supuestos Proyeccion'!I123,0%,'Supuestos Proyeccion'!I122)</f>
      </c>
      <c r="I30" s="31">
        <f>=IF('Supuestos Proyeccion'!J126&gt;'Supuestos Proyeccion'!J123,0%,'Supuestos Proyeccion'!J122)</f>
      </c>
      <c r="J30" s="31">
        <f>=IF('Supuestos Proyeccion'!K126&gt;'Supuestos Proyeccion'!K123,0%,'Supuestos Proyeccion'!K122)</f>
      </c>
      <c r="K30" s="31">
        <f>=IF('Supuestos Proyeccion'!L126&gt;'Supuestos Proyeccion'!L123,0%,'Supuestos Proyeccion'!L122)</f>
      </c>
      <c r="L30" s="31">
        <f>=IF('Supuestos Proyeccion'!M126&gt;'Supuestos Proyeccion'!M123,0%,'Supuestos Proyeccion'!M122)</f>
      </c>
      <c r="M30" s="31">
        <f>=IF('Supuestos Proyeccion'!N126&gt;'Supuestos Proyeccion'!N123,0%,'Supuestos Proyeccion'!N122)</f>
      </c>
      <c r="N30" s="31">
        <f>=IF('Supuestos Proyeccion'!O126&gt;'Supuestos Proyeccion'!O123,0%,'Supuestos Proyeccion'!O122)</f>
      </c>
      <c r="O30" s="31">
        <f>=IF('Supuestos Proyeccion'!P126&gt;'Supuestos Proyeccion'!P123,0%,'Supuestos Proyeccion'!P122)</f>
      </c>
      <c r="P30" s="31">
        <f>=IF('Supuestos Proyeccion'!Q126&gt;'Supuestos Proyeccion'!Q123,0%,'Supuestos Proyeccion'!Q122)</f>
      </c>
    </row>
    <row r="31" ht="14.25" customHeight="true">
      <c r="A31" s="22"/>
      <c r="B31" s="21" t="s">
        <v>365</v>
      </c>
      <c r="G31" s="24">
        <f ref="G31:P31" t="shared" si="297">=G27*(1-G30)</f>
      </c>
      <c r="H31" s="24">
        <f t="shared" si="297"/>
      </c>
      <c r="I31" s="24">
        <f t="shared" si="297"/>
      </c>
      <c r="J31" s="24">
        <f t="shared" si="297"/>
      </c>
      <c r="K31" s="24">
        <f t="shared" si="297"/>
      </c>
      <c r="L31" s="24">
        <f t="shared" si="297"/>
      </c>
      <c r="M31" s="24">
        <f t="shared" si="297"/>
      </c>
      <c r="N31" s="24">
        <f t="shared" si="297"/>
      </c>
      <c r="O31" s="24">
        <f t="shared" si="297"/>
      </c>
      <c r="P31" s="24">
        <f t="shared" si="297"/>
      </c>
    </row>
    <row r="32" ht="14.25" customHeight="true"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ht="14.25" customHeight="true">
      <c r="B33" s="8" t="s">
        <v>366</v>
      </c>
      <c r="G33" s="31">
        <f ref="G33:P33" t="shared" si="280">=G34+G35</f>
      </c>
      <c r="H33" s="31">
        <f t="shared" si="280"/>
      </c>
      <c r="I33" s="31">
        <f t="shared" si="280"/>
      </c>
      <c r="J33" s="31">
        <f t="shared" si="280"/>
      </c>
      <c r="K33" s="31">
        <f t="shared" si="280"/>
      </c>
      <c r="L33" s="31">
        <f t="shared" si="280"/>
      </c>
      <c r="M33" s="31">
        <f t="shared" si="280"/>
      </c>
      <c r="N33" s="31">
        <f t="shared" si="280"/>
      </c>
      <c r="O33" s="31">
        <f t="shared" si="280"/>
      </c>
      <c r="P33" s="31">
        <f t="shared" si="280"/>
      </c>
    </row>
    <row r="34" ht="14.25" customHeight="true">
      <c r="A34" s="36"/>
      <c r="B34" s="37" t="s">
        <v>367</v>
      </c>
      <c r="G34" s="69">
        <v>0.0485</v>
      </c>
      <c r="H34" s="69">
        <v>0.0505</v>
      </c>
      <c r="I34" s="69">
        <v>0.0527</v>
      </c>
      <c r="J34" s="69">
        <v>0.0535</v>
      </c>
      <c r="K34" s="69">
        <v>0.0535</v>
      </c>
      <c r="L34" s="69">
        <v>0.0535</v>
      </c>
      <c r="M34" s="69">
        <v>0.0535</v>
      </c>
      <c r="N34" s="69">
        <v>0.0535</v>
      </c>
      <c r="O34" s="69">
        <v>0.0535</v>
      </c>
      <c r="P34" s="69">
        <v>0.0535</v>
      </c>
    </row>
    <row r="35" ht="14.25" customHeight="true">
      <c r="A35" s="36"/>
      <c r="B35" s="37" t="s">
        <v>368</v>
      </c>
      <c r="G35" s="69">
        <v>0.02</v>
      </c>
      <c r="H35" s="69">
        <f ref="H35:P35" t="shared" si="282">=G35</f>
      </c>
      <c r="I35" s="69">
        <f t="shared" si="282"/>
      </c>
      <c r="J35" s="69">
        <f t="shared" si="282"/>
      </c>
      <c r="K35" s="69">
        <f t="shared" si="282"/>
      </c>
      <c r="L35" s="69">
        <f t="shared" si="282"/>
      </c>
      <c r="M35" s="69">
        <f t="shared" si="282"/>
      </c>
      <c r="N35" s="69">
        <f t="shared" si="282"/>
      </c>
      <c r="O35" s="69">
        <f t="shared" si="282"/>
      </c>
      <c r="P35" s="69">
        <f t="shared" si="282"/>
      </c>
    </row>
    <row r="36" ht="14.25" customHeight="true">
      <c r="A36" s="31"/>
      <c r="B36" s="8" t="s">
        <v>364</v>
      </c>
      <c r="G36" s="31">
        <f>=IF('Supuestos Proyeccion'!H126&gt;'Supuestos Proyeccion'!H123,0%,'Supuestos Proyeccion'!H122)</f>
      </c>
      <c r="H36" s="31">
        <f>=IF('Supuestos Proyeccion'!I126&gt;'Supuestos Proyeccion'!I123,0%,'Supuestos Proyeccion'!I122)</f>
      </c>
      <c r="I36" s="31">
        <f>=IF('Supuestos Proyeccion'!J126&gt;'Supuestos Proyeccion'!J123,0%,'Supuestos Proyeccion'!J122)</f>
      </c>
      <c r="J36" s="31">
        <f>=IF('Supuestos Proyeccion'!K126&gt;'Supuestos Proyeccion'!K123,0%,'Supuestos Proyeccion'!K122)</f>
      </c>
      <c r="K36" s="31">
        <f>=IF('Supuestos Proyeccion'!L126&gt;'Supuestos Proyeccion'!L123,0%,'Supuestos Proyeccion'!L122)</f>
      </c>
      <c r="L36" s="31">
        <f>=IF('Supuestos Proyeccion'!M126&gt;'Supuestos Proyeccion'!M123,0%,'Supuestos Proyeccion'!M122)</f>
      </c>
      <c r="M36" s="31">
        <f>=IF('Supuestos Proyeccion'!N126&gt;'Supuestos Proyeccion'!N123,0%,'Supuestos Proyeccion'!N122)</f>
      </c>
      <c r="N36" s="31">
        <f>=IF('Supuestos Proyeccion'!O126&gt;'Supuestos Proyeccion'!O123,0%,'Supuestos Proyeccion'!O122)</f>
      </c>
      <c r="O36" s="31">
        <f>=IF('Supuestos Proyeccion'!P126&gt;'Supuestos Proyeccion'!P123,0%,'Supuestos Proyeccion'!P122)</f>
      </c>
      <c r="P36" s="31">
        <f>=IF('Supuestos Proyeccion'!Q126&gt;'Supuestos Proyeccion'!Q123,0%,'Supuestos Proyeccion'!Q122)</f>
      </c>
    </row>
    <row r="37" ht="14.25" customHeight="true">
      <c r="A37" s="22"/>
      <c r="B37" s="142" t="s">
        <v>369</v>
      </c>
      <c r="C37" s="143"/>
      <c r="D37" s="143"/>
      <c r="E37" s="143"/>
      <c r="F37" s="143"/>
      <c r="G37" s="144">
        <f ref="G37:P37" t="shared" si="294">=G33*(1+G22)*(1-G30)</f>
      </c>
      <c r="H37" s="144">
        <f t="shared" si="294"/>
      </c>
      <c r="I37" s="144">
        <f t="shared" si="294"/>
      </c>
      <c r="J37" s="144">
        <f t="shared" si="294"/>
      </c>
      <c r="K37" s="144">
        <f t="shared" si="294"/>
      </c>
      <c r="L37" s="144">
        <f t="shared" si="294"/>
      </c>
      <c r="M37" s="144">
        <f t="shared" si="294"/>
      </c>
      <c r="N37" s="144">
        <f t="shared" si="294"/>
      </c>
      <c r="O37" s="144">
        <f t="shared" si="294"/>
      </c>
      <c r="P37" s="144">
        <f t="shared" si="294"/>
      </c>
    </row>
    <row r="38" ht="14.25" customHeight="true"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ht="14.25" customHeight="true">
      <c r="B39" s="21" t="s">
        <v>370</v>
      </c>
      <c r="G39" s="31">
        <f ref="G39:P39" t="shared" si="293">=G40+G41+G42</f>
      </c>
      <c r="H39" s="31">
        <f t="shared" si="293"/>
      </c>
      <c r="I39" s="31">
        <f t="shared" si="293"/>
      </c>
      <c r="J39" s="31">
        <f t="shared" si="293"/>
      </c>
      <c r="K39" s="31">
        <f t="shared" si="293"/>
      </c>
      <c r="L39" s="31">
        <f t="shared" si="293"/>
      </c>
      <c r="M39" s="31">
        <f t="shared" si="293"/>
      </c>
      <c r="N39" s="31">
        <f t="shared" si="293"/>
      </c>
      <c r="O39" s="31">
        <f t="shared" si="293"/>
      </c>
      <c r="P39" s="31">
        <f t="shared" si="293"/>
      </c>
    </row>
    <row r="40" ht="14.25" customHeight="true">
      <c r="B40" s="8" t="s">
        <v>371</v>
      </c>
      <c r="G40" s="30">
        <v>0.7</v>
      </c>
      <c r="H40" s="30">
        <f>=+G40</f>
      </c>
      <c r="I40" s="30">
        <f ref="I40:P40" t="shared" si="287">=+H40</f>
      </c>
      <c r="J40" s="30">
        <f t="shared" si="287"/>
      </c>
      <c r="K40" s="30">
        <f t="shared" si="287"/>
      </c>
      <c r="L40" s="30">
        <f t="shared" si="287"/>
      </c>
      <c r="M40" s="30">
        <f t="shared" si="287"/>
      </c>
      <c r="N40" s="30">
        <f t="shared" si="287"/>
      </c>
      <c r="O40" s="30">
        <f t="shared" si="287"/>
      </c>
      <c r="P40" s="30">
        <f t="shared" si="287"/>
      </c>
    </row>
    <row r="41" ht="14.25" customHeight="true">
      <c r="B41" s="8" t="s">
        <v>372</v>
      </c>
      <c r="G41" s="30">
        <v>0.3</v>
      </c>
      <c r="H41" s="30">
        <f>=+G41</f>
      </c>
      <c r="I41" s="30">
        <f ref="I41:P41" t="shared" si="296">=+H41</f>
      </c>
      <c r="J41" s="30">
        <f t="shared" si="296"/>
      </c>
      <c r="K41" s="30">
        <f t="shared" si="296"/>
      </c>
      <c r="L41" s="30">
        <f t="shared" si="296"/>
      </c>
      <c r="M41" s="30">
        <f t="shared" si="296"/>
      </c>
      <c r="N41" s="30">
        <f t="shared" si="296"/>
      </c>
      <c r="O41" s="30">
        <f t="shared" si="296"/>
      </c>
      <c r="P41" s="30">
        <f t="shared" si="296"/>
      </c>
    </row>
    <row r="42" ht="14.25" customHeight="true">
      <c r="B42" s="53" t="s">
        <v>373</v>
      </c>
      <c r="C42" s="145"/>
      <c r="D42" s="145"/>
      <c r="E42" s="145"/>
      <c r="F42" s="145"/>
      <c r="G42" s="55">
        <v>0</v>
      </c>
      <c r="H42" s="55">
        <f>=+G42</f>
      </c>
      <c r="I42" s="55">
        <f ref="I42:P42" t="shared" si="278">=+H42</f>
      </c>
      <c r="J42" s="55">
        <f t="shared" si="278"/>
      </c>
      <c r="K42" s="55">
        <f t="shared" si="278"/>
      </c>
      <c r="L42" s="55">
        <f t="shared" si="278"/>
      </c>
      <c r="M42" s="55">
        <f t="shared" si="278"/>
      </c>
      <c r="N42" s="55">
        <f t="shared" si="278"/>
      </c>
      <c r="O42" s="55">
        <f t="shared" si="278"/>
      </c>
      <c r="P42" s="55">
        <f t="shared" si="278"/>
      </c>
    </row>
    <row r="43" ht="14.25" customHeight="true">
      <c r="B43" s="146"/>
      <c r="C43" s="147"/>
      <c r="D43" s="147"/>
      <c r="E43" s="147"/>
      <c r="F43" s="147"/>
      <c r="G43" s="130"/>
      <c r="H43" s="130"/>
      <c r="I43" s="130"/>
      <c r="J43" s="130"/>
      <c r="K43" s="130"/>
      <c r="L43" s="130"/>
      <c r="M43" s="130"/>
      <c r="N43" s="130"/>
      <c r="O43" s="130"/>
      <c r="P43" s="130"/>
    </row>
    <row r="44" ht="14.25" customHeight="true">
      <c r="A44" s="22"/>
      <c r="B44" s="142" t="s">
        <v>374</v>
      </c>
      <c r="C44" s="143"/>
      <c r="D44" s="143"/>
      <c r="E44" s="143"/>
      <c r="F44" s="143"/>
      <c r="G44" s="144">
        <f ref="G44:P44" t="shared" si="288">=G23*G40+G31*G41+G37*G42</f>
      </c>
      <c r="H44" s="144">
        <f t="shared" si="288"/>
      </c>
      <c r="I44" s="144">
        <f t="shared" si="288"/>
      </c>
      <c r="J44" s="144">
        <f t="shared" si="288"/>
      </c>
      <c r="K44" s="144">
        <f t="shared" si="288"/>
      </c>
      <c r="L44" s="144">
        <f t="shared" si="288"/>
      </c>
      <c r="M44" s="144">
        <f t="shared" si="288"/>
      </c>
      <c r="N44" s="144">
        <f t="shared" si="288"/>
      </c>
      <c r="O44" s="144">
        <f t="shared" si="288"/>
      </c>
      <c r="P44" s="144">
        <f t="shared" si="288"/>
      </c>
    </row>
    <row r="47" ht="14.25" customHeight="true">
      <c r="B47" s="21" t="s">
        <v>375</v>
      </c>
    </row>
    <row r="48" ht="14.25" customHeight="true">
      <c r="B48" s="61" t="s">
        <v>376</v>
      </c>
      <c r="C48" s="61"/>
      <c r="D48" s="61"/>
      <c r="E48" s="62" t="s">
        <v>377</v>
      </c>
      <c r="F48" s="147"/>
      <c r="G48" s="148" t="s">
        <v>378</v>
      </c>
      <c r="H48" s="148"/>
      <c r="I48" s="148"/>
      <c r="J48" s="148"/>
      <c r="K48" s="148"/>
      <c r="L48" s="148"/>
      <c r="M48" s="148"/>
      <c r="N48" s="149"/>
      <c r="O48" s="149"/>
      <c r="P48" s="149"/>
    </row>
    <row r="49" ht="14.25" customHeight="true">
      <c r="B49" s="150"/>
      <c r="C49" s="151"/>
      <c r="D49" s="145"/>
      <c r="E49" s="151"/>
      <c r="F49" s="145"/>
      <c r="G49" s="151">
        <v>0</v>
      </c>
      <c r="H49" s="151"/>
      <c r="I49" s="151">
        <v>1</v>
      </c>
      <c r="J49" s="151">
        <v>2</v>
      </c>
      <c r="K49" s="151">
        <v>3</v>
      </c>
      <c r="L49" s="152"/>
      <c r="M49" s="151">
        <v>4</v>
      </c>
      <c r="N49" s="152"/>
      <c r="O49" s="152"/>
      <c r="P49" s="152"/>
    </row>
    <row r="50" ht="14.25" customHeight="true">
      <c r="B50" s="8" t="s">
        <v>379</v>
      </c>
      <c r="C50" s="8"/>
      <c r="E50" s="30">
        <v>3</v>
      </c>
      <c r="G50" s="31" t="s">
        <v>380</v>
      </c>
      <c r="I50" s="31" t="s">
        <v>381</v>
      </c>
      <c r="J50" s="31" t="s">
        <v>382</v>
      </c>
      <c r="K50" s="31" t="s">
        <v>383</v>
      </c>
      <c r="M50" s="31" t="s">
        <v>384</v>
      </c>
    </row>
    <row r="51" ht="14.25" customHeight="true">
      <c r="B51" s="8" t="s">
        <v>385</v>
      </c>
      <c r="C51" s="8"/>
      <c r="E51" s="30">
        <v>2</v>
      </c>
      <c r="G51" s="31" t="s">
        <v>386</v>
      </c>
      <c r="I51" s="31" t="s">
        <v>387</v>
      </c>
      <c r="J51" s="31" t="s">
        <v>388</v>
      </c>
      <c r="K51" s="31" t="s">
        <v>389</v>
      </c>
      <c r="M51" s="31" t="s">
        <v>390</v>
      </c>
    </row>
    <row r="52" ht="14.25" customHeight="true">
      <c r="B52" s="8" t="s">
        <v>391</v>
      </c>
      <c r="C52" s="8"/>
      <c r="E52" s="30">
        <v>2</v>
      </c>
      <c r="G52" s="31" t="s">
        <v>392</v>
      </c>
      <c r="I52" s="31" t="s">
        <v>393</v>
      </c>
      <c r="J52" s="31" t="s">
        <v>394</v>
      </c>
      <c r="K52" s="31" t="s">
        <v>395</v>
      </c>
      <c r="M52" s="31" t="s">
        <v>396</v>
      </c>
    </row>
    <row r="53" ht="14.25" customHeight="true">
      <c r="B53" s="8" t="s">
        <v>397</v>
      </c>
      <c r="C53" s="8"/>
      <c r="E53" s="30">
        <v>3</v>
      </c>
      <c r="G53" s="31" t="s">
        <v>398</v>
      </c>
      <c r="I53" s="31" t="s">
        <v>399</v>
      </c>
      <c r="J53" s="31" t="s">
        <v>400</v>
      </c>
      <c r="K53" s="31" t="s">
        <v>401</v>
      </c>
      <c r="M53" s="31" t="s">
        <v>402</v>
      </c>
    </row>
    <row r="54" ht="14.25" customHeight="true">
      <c r="B54" s="8" t="s">
        <v>403</v>
      </c>
      <c r="C54" s="8"/>
      <c r="E54" s="30">
        <v>1</v>
      </c>
      <c r="F54" s="9"/>
      <c r="G54" s="31" t="s">
        <v>404</v>
      </c>
      <c r="I54" s="31"/>
      <c r="J54" s="31"/>
      <c r="K54" s="31"/>
      <c r="M54" s="31" t="s">
        <v>405</v>
      </c>
      <c r="N54" s="31"/>
    </row>
    <row r="55" ht="14.25" customHeight="true">
      <c r="B55" s="8" t="s">
        <v>406</v>
      </c>
      <c r="C55" s="8"/>
      <c r="E55" s="30">
        <v>2</v>
      </c>
      <c r="F55" s="9"/>
      <c r="G55" s="31" t="s">
        <v>407</v>
      </c>
      <c r="I55" s="31"/>
      <c r="J55" s="31"/>
      <c r="K55" s="31"/>
      <c r="M55" s="31" t="s">
        <v>408</v>
      </c>
      <c r="N55" s="31"/>
    </row>
    <row r="56" ht="14.25" customHeight="true">
      <c r="B56" s="8" t="s">
        <v>409</v>
      </c>
      <c r="C56" s="8"/>
      <c r="E56" s="30">
        <v>2</v>
      </c>
      <c r="F56" s="9"/>
      <c r="G56" s="31" t="s">
        <v>410</v>
      </c>
      <c r="I56" s="31"/>
      <c r="J56" s="31"/>
      <c r="K56" s="31"/>
      <c r="M56" s="31" t="s">
        <v>411</v>
      </c>
      <c r="N56" s="31"/>
    </row>
    <row r="57" ht="14.25" customHeight="true">
      <c r="B57" s="8" t="s">
        <v>412</v>
      </c>
      <c r="C57" s="8"/>
      <c r="E57" s="30">
        <v>2</v>
      </c>
      <c r="F57" s="9"/>
      <c r="G57" s="31" t="s">
        <v>413</v>
      </c>
      <c r="I57" s="31"/>
      <c r="J57" s="31"/>
      <c r="K57" s="31"/>
      <c r="M57" s="31" t="s">
        <v>414</v>
      </c>
      <c r="N57" s="31"/>
    </row>
    <row r="58" ht="14.25" customHeight="true">
      <c r="B58" s="8" t="s">
        <v>415</v>
      </c>
      <c r="C58" s="8"/>
      <c r="E58" s="30">
        <v>0</v>
      </c>
      <c r="F58" s="9"/>
      <c r="G58" s="31">
        <v>1</v>
      </c>
      <c r="I58" s="31"/>
      <c r="J58" s="31"/>
      <c r="K58" s="31"/>
      <c r="M58" s="31">
        <v>0</v>
      </c>
      <c r="N58" s="31"/>
    </row>
    <row r="59" ht="14.25" customHeight="true">
      <c r="B59" s="8" t="s">
        <v>416</v>
      </c>
      <c r="C59" s="8"/>
      <c r="E59" s="30">
        <v>2</v>
      </c>
      <c r="F59" s="9"/>
      <c r="G59" s="31" t="s">
        <v>407</v>
      </c>
      <c r="I59" s="31"/>
      <c r="J59" s="31"/>
      <c r="L59" s="31"/>
      <c r="M59" s="31" t="s">
        <v>417</v>
      </c>
      <c r="N59" s="31"/>
      <c r="P59" s="31"/>
    </row>
    <row r="60" ht="14.25" customHeight="true">
      <c r="B60" s="8" t="s">
        <v>418</v>
      </c>
      <c r="C60" s="8"/>
      <c r="E60" s="30">
        <v>2</v>
      </c>
      <c r="F60" s="9"/>
      <c r="G60" s="31" t="s">
        <v>407</v>
      </c>
      <c r="I60" s="31"/>
      <c r="J60" s="31"/>
      <c r="K60" s="31"/>
      <c r="M60" s="31" t="s">
        <v>419</v>
      </c>
      <c r="N60" s="31"/>
    </row>
    <row r="61" ht="14.25" customHeight="true">
      <c r="B61" s="8" t="s">
        <v>420</v>
      </c>
      <c r="C61" s="8"/>
      <c r="E61" s="30">
        <v>2</v>
      </c>
      <c r="F61" s="9"/>
      <c r="G61" s="31" t="s">
        <v>421</v>
      </c>
      <c r="I61" s="31"/>
      <c r="J61" s="31"/>
      <c r="K61" s="31"/>
      <c r="M61" s="31" t="s">
        <v>422</v>
      </c>
      <c r="N61" s="31"/>
    </row>
    <row r="62" ht="14.25" customHeight="true">
      <c r="B62" s="8" t="s">
        <v>423</v>
      </c>
      <c r="C62" s="8"/>
      <c r="E62" s="30">
        <v>2</v>
      </c>
      <c r="F62" s="9"/>
      <c r="G62" s="31" t="s">
        <v>424</v>
      </c>
      <c r="I62" s="31"/>
      <c r="J62" s="31"/>
      <c r="K62" s="31"/>
      <c r="M62" s="31" t="s">
        <v>425</v>
      </c>
      <c r="N62" s="31"/>
    </row>
    <row r="63" ht="14.25" customHeight="true">
      <c r="B63" s="8" t="s">
        <v>426</v>
      </c>
      <c r="C63" s="8"/>
      <c r="E63" s="30">
        <v>2</v>
      </c>
      <c r="F63" s="9"/>
      <c r="G63" s="31" t="s">
        <v>427</v>
      </c>
      <c r="I63" s="31"/>
      <c r="J63" s="31"/>
      <c r="K63" s="31"/>
      <c r="M63" s="31" t="s">
        <v>428</v>
      </c>
      <c r="N63" s="31"/>
    </row>
    <row r="64" ht="14.25" customHeight="true">
      <c r="B64" s="8" t="s">
        <v>429</v>
      </c>
      <c r="C64" s="8"/>
      <c r="E64" s="30">
        <v>1</v>
      </c>
      <c r="F64" s="9"/>
      <c r="G64" s="31" t="s">
        <v>430</v>
      </c>
      <c r="I64" s="31"/>
      <c r="J64" s="31"/>
      <c r="K64" s="31"/>
      <c r="M64" s="31" t="s">
        <v>431</v>
      </c>
      <c r="N64" s="31"/>
    </row>
    <row r="65" ht="14.25" customHeight="true">
      <c r="B65" s="8" t="s">
        <v>432</v>
      </c>
      <c r="C65" s="8"/>
      <c r="E65" s="30">
        <v>1</v>
      </c>
      <c r="F65" s="9"/>
      <c r="G65" s="31" t="s">
        <v>433</v>
      </c>
      <c r="I65" s="31"/>
      <c r="J65" s="31"/>
      <c r="K65" s="31"/>
      <c r="M65" s="31" t="s">
        <v>434</v>
      </c>
      <c r="N65" s="31"/>
    </row>
    <row r="66" ht="14.25" customHeight="true">
      <c r="B66" s="8" t="s">
        <v>435</v>
      </c>
      <c r="C66" s="8"/>
      <c r="E66" s="30">
        <v>2</v>
      </c>
      <c r="F66" s="9"/>
      <c r="G66" s="31" t="s">
        <v>436</v>
      </c>
      <c r="I66" s="31"/>
      <c r="J66" s="31"/>
      <c r="K66" s="31"/>
      <c r="M66" s="31" t="s">
        <v>437</v>
      </c>
      <c r="N66" s="31"/>
    </row>
    <row r="67" ht="14.25" customHeight="true">
      <c r="B67" s="8" t="s">
        <v>438</v>
      </c>
      <c r="C67" s="8"/>
      <c r="E67" s="30">
        <v>1</v>
      </c>
      <c r="F67" s="9"/>
      <c r="G67" s="31" t="s">
        <v>433</v>
      </c>
      <c r="I67" s="31"/>
      <c r="J67" s="31"/>
      <c r="K67" s="31"/>
      <c r="M67" s="31" t="s">
        <v>434</v>
      </c>
      <c r="N67" s="31"/>
    </row>
    <row r="68" ht="14.25" customHeight="true">
      <c r="B68" s="153" t="s">
        <v>439</v>
      </c>
      <c r="C68" s="153"/>
      <c r="D68" s="77"/>
      <c r="E68" s="79">
        <v>0.04</v>
      </c>
      <c r="F68" s="77"/>
      <c r="G68" s="78"/>
      <c r="H68" s="154"/>
      <c r="I68" s="154"/>
      <c r="J68" s="154"/>
      <c r="K68" s="154"/>
      <c r="L68" s="154"/>
      <c r="M68" s="154"/>
      <c r="N68" s="154"/>
      <c r="O68" s="154"/>
      <c r="P68" s="154"/>
    </row>
    <row r="69" ht="14.25" customHeight="true">
      <c r="B69" s="155" t="s">
        <v>440</v>
      </c>
      <c r="C69" s="155"/>
      <c r="D69" s="77"/>
      <c r="E69" s="156">
        <f>=SUM(E50:E67)*E68/(18*4)</f>
      </c>
      <c r="F69" s="77"/>
      <c r="G69" s="78"/>
      <c r="H69" s="154"/>
      <c r="I69" s="154"/>
      <c r="J69" s="154"/>
      <c r="K69" s="154"/>
      <c r="L69" s="154"/>
      <c r="M69" s="154"/>
      <c r="N69" s="154"/>
      <c r="O69" s="154"/>
      <c r="P69" s="154"/>
    </row>
    <row r="72" ht="14.25" customHeight="true">
      <c r="B72" s="21" t="s">
        <v>441</v>
      </c>
    </row>
    <row r="73" ht="14.25" customHeight="true">
      <c r="B73" s="146" t="s">
        <v>442</v>
      </c>
      <c r="C73" s="147"/>
      <c r="D73" s="147"/>
      <c r="E73" s="147"/>
      <c r="F73" s="147"/>
      <c r="G73" s="130"/>
      <c r="H73" s="130"/>
      <c r="I73" s="130"/>
      <c r="J73" s="130"/>
      <c r="K73" s="130"/>
      <c r="L73" s="130"/>
      <c r="M73" s="130"/>
      <c r="N73" s="130"/>
      <c r="O73" s="130"/>
      <c r="P73" s="72">
        <v>0</v>
      </c>
    </row>
    <row r="74" ht="14.25" customHeight="true">
      <c r="B74" s="53" t="s">
        <v>443</v>
      </c>
      <c r="C74" s="145"/>
      <c r="D74" s="145"/>
      <c r="E74" s="145"/>
      <c r="F74" s="145"/>
      <c r="G74" s="152"/>
      <c r="H74" s="152"/>
      <c r="I74" s="152"/>
      <c r="J74" s="152"/>
      <c r="K74" s="152"/>
      <c r="L74" s="152"/>
      <c r="M74" s="152"/>
      <c r="N74" s="152"/>
      <c r="O74" s="152"/>
      <c r="P74" s="54">
        <f>=(1+P73)*(1+'Supuestos Proyeccion'!Q9)-1</f>
      </c>
    </row>
  </sheetData>
  <mergeCells count="1">
    <mergeCell ref="G48:M48"/>
  </mergeCells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/>
  <dimension ref="A1"/>
  <sheetViews>
    <sheetView showGridLines="0" tabSelected="0" workbookViewId="0">
      <pane xSplit="2" ySplit="5" topLeftCell="C6" activePane="bottomRight" state="frozen"/>
      <selection activeCell="A1" sqref="A1"/>
    </sheetView>
  </sheetViews>
  <sheetFormatPr defaultRowHeight="14.25" customHeight="1" defaultColWidth="8.34"/>
  <cols>
    <col min="1" max="1" width="3.43" customWidth="1" hidden="0"/>
    <col min="2" max="2" width="34.34" customWidth="1" hidden="0"/>
    <col min="3" max="13" width="10.79" customWidth="1" hidden="0"/>
    <col min="14" max="15" width="8.34" customWidth="1" hidden="0"/>
    <col min="16" max="17" width="8.34" customWidth="1" hidden="1"/>
    <col min="18" max="18" width="15.21" customWidth="1" hidden="1"/>
    <col min="19" max="21" width="8.34" customWidth="1" hidden="1"/>
    <col min="22" max="16384" width="8.34" customWidth="1" hidden="0"/>
  </cols>
  <sheetData>
    <row r="2" ht="14.25" customHeight="true">
      <c r="A2" s="17" t="s">
        <v>13</v>
      </c>
      <c r="B2" s="12" t="s">
        <v>444</v>
      </c>
      <c r="C2" s="127" t="s">
        <v>445</v>
      </c>
      <c r="AA2" s="8" t="s">
        <v>446</v>
      </c>
      <c r="AB2" s="11">
        <v>0</v>
      </c>
    </row>
    <row r="3" ht="14.25" customHeight="true">
      <c r="A3" s="96"/>
      <c r="B3" s="8">
        <f>=COVER!H15</f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AA3" s="8" t="s">
        <v>447</v>
      </c>
      <c r="AB3" s="11">
        <v>0</v>
      </c>
    </row>
    <row r="5" ht="14.25" customHeight="true">
      <c r="A5" s="18"/>
      <c r="B5" s="19">
        <f>=+ERI!B5</f>
      </c>
      <c r="C5" s="20"/>
      <c r="D5" s="20">
        <f>=CONCATENATE(COVER!$D$21,"p")</f>
      </c>
      <c r="E5" s="20">
        <f>=CONCATENATE(COVER!$D$21+1,"p")</f>
      </c>
      <c r="F5" s="20">
        <f>=CONCATENATE(COVER!$D$21+2,"p")</f>
      </c>
      <c r="G5" s="20">
        <f>=CONCATENATE(COVER!$D$21+3,"p")</f>
      </c>
      <c r="H5" s="20">
        <f>=CONCATENATE(COVER!$D$21+4,"p")</f>
      </c>
      <c r="I5" s="20">
        <f>=CONCATENATE(COVER!$D$21+5,"p")</f>
      </c>
      <c r="J5" s="20">
        <f>=CONCATENATE(COVER!$D$21+6,"p")</f>
      </c>
      <c r="K5" s="20">
        <f>=CONCATENATE(COVER!$D$21+7,"p")</f>
      </c>
      <c r="L5" s="20">
        <f>=CONCATENATE(COVER!$D$21+8,"p")</f>
      </c>
      <c r="M5" s="20">
        <f>=CONCATENATE(COVER!$D$21+9,"p")</f>
      </c>
    </row>
    <row r="6" ht="14.25" customHeight="true">
      <c r="A6" s="18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P6" s="157">
        <f>=VLOOKUP(P7,Q6:S25,3)</f>
      </c>
      <c r="Q6" s="158">
        <v>1</v>
      </c>
      <c r="R6" s="157">
        <f>=CONCATENATE(T6," ",COVER!$D$21)</f>
      </c>
      <c r="S6" s="157">
        <f ref="S6:S25" t="shared" si="247">=(7-Q6)/12</f>
      </c>
      <c r="T6" s="157" t="s">
        <v>448</v>
      </c>
      <c r="U6" s="157"/>
    </row>
    <row r="7" ht="14.25" customHeight="true">
      <c r="B7" s="21" t="s">
        <v>449</v>
      </c>
      <c r="C7" s="21"/>
      <c r="D7" s="21">
        <f>=FCLO!D28</f>
      </c>
      <c r="E7" s="21">
        <f>=FCLO!E28</f>
      </c>
      <c r="F7" s="21">
        <f>=FCLO!F28</f>
      </c>
      <c r="G7" s="21">
        <f>=FCLO!G28</f>
      </c>
      <c r="H7" s="21">
        <f>=FCLO!H28</f>
      </c>
      <c r="I7" s="21">
        <f>=FCLO!I28</f>
      </c>
      <c r="J7" s="21">
        <f>=FCLO!J28</f>
      </c>
      <c r="K7" s="21">
        <f>=FCLO!K28</f>
      </c>
      <c r="L7" s="21">
        <f>=FCLO!L28</f>
      </c>
      <c r="M7" s="21">
        <f>=FCLO!M28</f>
      </c>
      <c r="P7" s="159">
        <v>1</v>
      </c>
      <c r="Q7" s="158">
        <f ref="Q7:Q25" t="shared" si="246">=Q6+1</f>
      </c>
      <c r="R7" s="157">
        <f>=CONCATENATE(T7," ",COVER!$D$21)</f>
      </c>
      <c r="S7" s="157">
        <f t="shared" si="247"/>
      </c>
      <c r="T7" s="157" t="s">
        <v>450</v>
      </c>
      <c r="U7" s="157"/>
    </row>
    <row r="8" ht="14.25" customHeight="true">
      <c r="B8" s="21"/>
      <c r="C8" s="136"/>
      <c r="D8" s="21"/>
      <c r="E8" s="21"/>
      <c r="F8" s="21"/>
      <c r="G8" s="21"/>
      <c r="H8" s="21"/>
      <c r="I8" s="21"/>
      <c r="J8" s="21"/>
      <c r="K8" s="21"/>
      <c r="L8" s="21"/>
      <c r="M8" s="21"/>
      <c r="P8" s="157"/>
      <c r="Q8" s="158">
        <f t="shared" si="246"/>
      </c>
      <c r="R8" s="157">
        <f>=CONCATENATE(T8," ",COVER!$D$21)</f>
      </c>
      <c r="S8" s="157">
        <f t="shared" si="247"/>
      </c>
      <c r="T8" s="157" t="s">
        <v>451</v>
      </c>
      <c r="U8" s="157"/>
    </row>
    <row r="9" ht="14.25" customHeight="true">
      <c r="B9" s="127" t="s">
        <v>452</v>
      </c>
      <c r="C9" s="127"/>
      <c r="D9" s="127">
        <f>='Supuestos Valoracion'!G44+$AB$2</f>
      </c>
      <c r="E9" s="127">
        <f>='Supuestos Valoracion'!H44+$AB$2</f>
      </c>
      <c r="F9" s="127">
        <f>='Supuestos Valoracion'!I44+$AB$2</f>
      </c>
      <c r="G9" s="127">
        <f>='Supuestos Valoracion'!J44+$AB$2</f>
      </c>
      <c r="H9" s="127">
        <f>='Supuestos Valoracion'!K44+$AB$2</f>
      </c>
      <c r="I9" s="127">
        <f>='Supuestos Valoracion'!L44+$AB$2</f>
      </c>
      <c r="J9" s="127">
        <f>='Supuestos Valoracion'!M44+$AB$2</f>
      </c>
      <c r="K9" s="127">
        <f>='Supuestos Valoracion'!N44+$AB$2</f>
      </c>
      <c r="L9" s="127">
        <f>='Supuestos Valoracion'!O44+$AB$2</f>
      </c>
      <c r="M9" s="127">
        <f>='Supuestos Valoracion'!P44+$AB$2</f>
      </c>
      <c r="P9" s="157"/>
      <c r="Q9" s="158">
        <f>=#REF!+1</f>
      </c>
      <c r="R9" s="157">
        <f>=CONCATENATE(T9," ",COVER!$D$21)</f>
      </c>
      <c r="S9" s="157">
        <f t="shared" si="247"/>
      </c>
      <c r="T9" s="157" t="s">
        <v>453</v>
      </c>
      <c r="U9" s="157"/>
    </row>
    <row r="10" ht="14.25" customHeight="true">
      <c r="B10" s="127" t="s">
        <v>454</v>
      </c>
      <c r="C10" s="127"/>
      <c r="D10" s="127">
        <f>=(1+D9)^$P$6</f>
      </c>
      <c r="E10" s="127">
        <f ref="E10:M10" t="shared" si="248">=D10*(1+E9)</f>
      </c>
      <c r="F10" s="127">
        <f t="shared" si="248"/>
      </c>
      <c r="G10" s="127">
        <f t="shared" si="248"/>
      </c>
      <c r="H10" s="127">
        <f t="shared" si="248"/>
      </c>
      <c r="I10" s="127">
        <f t="shared" si="248"/>
      </c>
      <c r="J10" s="127">
        <f t="shared" si="248"/>
      </c>
      <c r="K10" s="127">
        <f t="shared" si="248"/>
      </c>
      <c r="L10" s="127">
        <f t="shared" si="248"/>
      </c>
      <c r="M10" s="127">
        <f t="shared" si="248"/>
      </c>
      <c r="P10" s="157"/>
      <c r="Q10" s="158">
        <f t="shared" si="246"/>
      </c>
      <c r="R10" s="157">
        <f>=CONCATENATE(T10," ",COVER!$D$21)</f>
      </c>
      <c r="S10" s="157">
        <f t="shared" si="247"/>
      </c>
      <c r="T10" s="157" t="s">
        <v>455</v>
      </c>
      <c r="U10" s="157"/>
    </row>
    <row r="11" ht="14.25" customHeight="true">
      <c r="B11" s="8" t="s">
        <v>456</v>
      </c>
      <c r="C11" s="8"/>
      <c r="D11" s="8">
        <f ref="D11:M11" t="shared" si="249">=D7/D10</f>
      </c>
      <c r="E11" s="8">
        <f t="shared" si="249"/>
      </c>
      <c r="F11" s="8">
        <f t="shared" si="249"/>
      </c>
      <c r="G11" s="8">
        <f t="shared" si="249"/>
      </c>
      <c r="H11" s="8">
        <f t="shared" si="249"/>
      </c>
      <c r="I11" s="8">
        <f t="shared" si="249"/>
      </c>
      <c r="J11" s="8">
        <f t="shared" si="249"/>
      </c>
      <c r="K11" s="8">
        <f t="shared" si="249"/>
      </c>
      <c r="L11" s="8">
        <f t="shared" si="249"/>
      </c>
      <c r="M11" s="8">
        <f t="shared" si="249"/>
      </c>
      <c r="P11" s="157"/>
      <c r="Q11" s="158">
        <f t="shared" si="246"/>
      </c>
      <c r="R11" s="157">
        <f>=CONCATENATE(T11," ",COVER!$D$21)</f>
      </c>
      <c r="S11" s="157">
        <f t="shared" si="247"/>
      </c>
      <c r="T11" s="157" t="s">
        <v>457</v>
      </c>
      <c r="U11" s="157"/>
    </row>
    <row r="12" ht="14.25" customHeight="true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P12" s="157"/>
      <c r="Q12" s="158"/>
      <c r="R12" s="157"/>
      <c r="S12" s="157"/>
      <c r="T12" s="157"/>
      <c r="U12" s="157"/>
    </row>
    <row r="13" ht="14.25" customHeight="true">
      <c r="B13" s="127" t="s">
        <v>458</v>
      </c>
      <c r="C13" s="127"/>
      <c r="D13" s="127">
        <f>=+FCLO!M42</f>
      </c>
      <c r="E13" s="8"/>
      <c r="F13" s="8"/>
      <c r="G13" s="8"/>
      <c r="H13" s="8"/>
      <c r="I13" s="8"/>
      <c r="J13" s="8"/>
      <c r="K13" s="8"/>
      <c r="L13" s="8"/>
      <c r="M13" s="8"/>
      <c r="P13" s="157"/>
      <c r="Q13" s="158"/>
      <c r="R13" s="157"/>
      <c r="S13" s="157"/>
      <c r="T13" s="157"/>
      <c r="U13" s="157"/>
    </row>
    <row r="14" ht="14.25" customHeight="true">
      <c r="B14" s="127" t="s">
        <v>459</v>
      </c>
      <c r="C14" s="127"/>
      <c r="D14" s="127">
        <f>=+FCLO!M49</f>
      </c>
      <c r="E14" s="8"/>
      <c r="F14" s="8"/>
      <c r="G14" s="8"/>
      <c r="H14" s="8"/>
      <c r="I14" s="8"/>
      <c r="J14" s="8"/>
      <c r="K14" s="8"/>
      <c r="L14" s="8"/>
      <c r="M14" s="8"/>
      <c r="P14" s="157"/>
      <c r="Q14" s="158"/>
      <c r="R14" s="157"/>
      <c r="S14" s="157"/>
      <c r="T14" s="157"/>
      <c r="U14" s="157"/>
    </row>
    <row r="15" ht="14.25" customHeight="true">
      <c r="B15" s="8" t="s">
        <v>460</v>
      </c>
      <c r="C15" s="8"/>
      <c r="D15" s="21">
        <f>=+D13*D14+$AB$3</f>
      </c>
      <c r="E15" s="96" t="s">
        <v>461</v>
      </c>
      <c r="F15" s="8"/>
      <c r="G15" s="8"/>
      <c r="H15" s="8"/>
      <c r="I15" s="8"/>
      <c r="J15" s="8"/>
      <c r="K15" s="8"/>
      <c r="L15" s="8"/>
      <c r="M15" s="8"/>
      <c r="P15" s="157"/>
      <c r="Q15" s="158"/>
      <c r="R15" s="157"/>
      <c r="S15" s="157"/>
      <c r="T15" s="157"/>
      <c r="U15" s="157"/>
    </row>
    <row r="16" ht="14.25" customHeight="true">
      <c r="B16" s="8" t="s">
        <v>462</v>
      </c>
      <c r="C16" s="8"/>
      <c r="D16" s="8">
        <f>=+M7*(1+D15)/(M9-D15)</f>
      </c>
      <c r="E16" s="8"/>
      <c r="F16" s="8"/>
      <c r="G16" s="8"/>
      <c r="H16" s="8"/>
      <c r="I16" s="8"/>
      <c r="J16" s="8"/>
      <c r="K16" s="8"/>
      <c r="L16" s="8"/>
      <c r="M16" s="8"/>
      <c r="P16" s="157"/>
      <c r="Q16" s="158"/>
      <c r="R16" s="157"/>
      <c r="S16" s="157"/>
      <c r="T16" s="157"/>
      <c r="U16" s="157"/>
    </row>
    <row r="17" ht="14.25" customHeight="true">
      <c r="B17" s="25" t="s">
        <v>463</v>
      </c>
      <c r="C17" s="25"/>
      <c r="D17" s="160">
        <f>=+D16/ERI!Q18</f>
      </c>
      <c r="E17" s="8"/>
      <c r="F17" s="8"/>
      <c r="G17" s="8"/>
      <c r="H17" s="8"/>
      <c r="I17" s="8"/>
      <c r="J17" s="8"/>
      <c r="K17" s="8"/>
      <c r="L17" s="8"/>
      <c r="M17" s="8"/>
      <c r="P17" s="157"/>
      <c r="Q17" s="158"/>
      <c r="R17" s="157"/>
      <c r="S17" s="157"/>
      <c r="T17" s="157"/>
      <c r="U17" s="157"/>
    </row>
    <row r="18" ht="14.25" customHeight="true">
      <c r="B18" s="8" t="s">
        <v>464</v>
      </c>
      <c r="C18" s="8"/>
      <c r="D18" s="8">
        <f>=+D16/M10</f>
      </c>
      <c r="E18" s="8"/>
      <c r="F18" s="8"/>
      <c r="G18" s="8"/>
      <c r="H18" s="8"/>
      <c r="I18" s="8"/>
      <c r="J18" s="8"/>
      <c r="K18" s="8"/>
      <c r="L18" s="8"/>
      <c r="M18" s="8"/>
      <c r="P18" s="157"/>
      <c r="Q18" s="158"/>
      <c r="R18" s="157"/>
      <c r="S18" s="157"/>
      <c r="T18" s="157"/>
      <c r="U18" s="157"/>
    </row>
    <row r="19" ht="14.25" customHeight="true"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P19" s="157"/>
      <c r="Q19" s="158"/>
      <c r="R19" s="157"/>
      <c r="S19" s="157"/>
      <c r="T19" s="157"/>
      <c r="U19" s="157"/>
    </row>
    <row r="20" ht="14.25" customHeight="true">
      <c r="B20" s="21" t="s">
        <v>465</v>
      </c>
      <c r="C20" s="21"/>
      <c r="D20" s="21">
        <f>=SUM(D11:M11)</f>
      </c>
      <c r="E20" s="161">
        <f>=+D20/(SUM(D20:D21))</f>
      </c>
      <c r="F20" s="8"/>
      <c r="G20" s="8"/>
      <c r="H20" s="8"/>
      <c r="I20" s="8"/>
      <c r="J20" s="8"/>
      <c r="K20" s="8"/>
      <c r="L20" s="8"/>
      <c r="M20" s="8"/>
      <c r="P20" s="157"/>
      <c r="Q20" s="158">
        <f>=Q11+1</f>
      </c>
      <c r="R20" s="157">
        <f>=CONCATENATE(T20," ",COVER!$D$21)</f>
      </c>
      <c r="S20" s="157">
        <f t="shared" si="247"/>
      </c>
      <c r="T20" s="157" t="s">
        <v>466</v>
      </c>
      <c r="U20" s="157"/>
    </row>
    <row r="21" ht="14.25" customHeight="true">
      <c r="B21" s="21" t="s">
        <v>467</v>
      </c>
      <c r="C21" s="21"/>
      <c r="D21" s="21">
        <f>=+D18</f>
      </c>
      <c r="E21" s="161">
        <f>=1-E20</f>
      </c>
      <c r="F21" s="8"/>
      <c r="G21" s="8"/>
      <c r="H21" s="8"/>
      <c r="I21" s="8"/>
      <c r="J21" s="8"/>
      <c r="K21" s="8"/>
      <c r="L21" s="8"/>
      <c r="M21" s="8"/>
      <c r="P21" s="157"/>
      <c r="Q21" s="158">
        <f t="shared" si="246"/>
      </c>
      <c r="R21" s="157">
        <f>=CONCATENATE(T21," ",COVER!$D$21)</f>
      </c>
      <c r="S21" s="157">
        <f t="shared" si="247"/>
      </c>
      <c r="T21" s="157" t="s">
        <v>468</v>
      </c>
      <c r="U21" s="157"/>
    </row>
    <row r="22" ht="14.25" customHeight="true">
      <c r="B22" s="11"/>
      <c r="D22" s="8"/>
      <c r="E22" s="8"/>
      <c r="F22" s="8"/>
      <c r="G22" s="8"/>
      <c r="H22" s="8"/>
      <c r="I22" s="8"/>
      <c r="J22" s="8"/>
      <c r="K22" s="8"/>
      <c r="L22" s="8"/>
      <c r="M22" s="8"/>
      <c r="P22" s="157"/>
      <c r="Q22" s="158">
        <f t="shared" si="246"/>
      </c>
      <c r="R22" s="157">
        <f>=CONCATENATE(T22," ",COVER!$D$21)</f>
      </c>
      <c r="S22" s="157">
        <f t="shared" si="247"/>
      </c>
      <c r="T22" s="157" t="s">
        <v>469</v>
      </c>
      <c r="U22" s="157"/>
    </row>
    <row r="23" ht="14.25" customHeight="true">
      <c r="B23" s="8" t="s">
        <v>470</v>
      </c>
      <c r="C23" s="8"/>
      <c r="D23" s="8">
        <f>=D20+D21</f>
      </c>
      <c r="E23" s="8"/>
      <c r="F23" s="8"/>
      <c r="G23" s="8"/>
      <c r="H23" s="8"/>
      <c r="I23" s="8"/>
      <c r="J23" s="8"/>
      <c r="K23" s="8"/>
      <c r="L23" s="8"/>
      <c r="M23" s="8"/>
      <c r="P23" s="157"/>
      <c r="Q23" s="158">
        <f t="shared" si="246"/>
      </c>
      <c r="R23" s="157">
        <f>=CONCATENATE(T23," ",COVER!$D$21)</f>
      </c>
      <c r="S23" s="157">
        <f t="shared" si="247"/>
      </c>
      <c r="T23" s="157" t="s">
        <v>471</v>
      </c>
      <c r="U23" s="157"/>
    </row>
    <row r="24" ht="14.25" customHeight="true">
      <c r="B24" s="8" t="s">
        <v>472</v>
      </c>
      <c r="C24" s="60"/>
      <c r="D24" s="8">
        <f>=ESF!G10</f>
      </c>
      <c r="E24" s="8"/>
      <c r="F24" s="8"/>
      <c r="G24" s="8"/>
      <c r="H24" s="8"/>
      <c r="I24" s="8"/>
      <c r="J24" s="8"/>
      <c r="K24" s="8"/>
      <c r="L24" s="8"/>
      <c r="M24" s="8"/>
      <c r="P24" s="157"/>
      <c r="Q24" s="158">
        <f t="shared" si="246"/>
      </c>
      <c r="R24" s="157">
        <f>=CONCATENATE(T24," ",COVER!$D$21)</f>
      </c>
      <c r="S24" s="157">
        <f t="shared" si="247"/>
      </c>
      <c r="T24" s="157" t="s">
        <v>473</v>
      </c>
      <c r="U24" s="157"/>
    </row>
    <row r="25" ht="14.25" customHeight="true">
      <c r="B25" s="8" t="s">
        <v>474</v>
      </c>
      <c r="C25" s="60"/>
      <c r="D25" s="8">
        <f>=ESF!G15+ESF!G25+ESF!G27</f>
      </c>
      <c r="E25" s="8"/>
      <c r="F25" s="8"/>
      <c r="G25" s="8"/>
      <c r="H25" s="8"/>
      <c r="I25" s="8"/>
      <c r="J25" s="8"/>
      <c r="K25" s="8"/>
      <c r="L25" s="8"/>
      <c r="M25" s="8"/>
      <c r="P25" s="157"/>
      <c r="Q25" s="158">
        <f t="shared" si="246"/>
      </c>
      <c r="R25" s="157">
        <f>=CONCATENATE(T25," ",COVER!$D$21)</f>
      </c>
      <c r="S25" s="157">
        <f t="shared" si="247"/>
      </c>
      <c r="T25" s="157" t="s">
        <v>475</v>
      </c>
      <c r="U25" s="157"/>
    </row>
    <row r="26" ht="14.25" customHeight="true">
      <c r="B26" s="162" t="s">
        <v>476</v>
      </c>
      <c r="C26" s="162"/>
      <c r="D26" s="162">
        <f>=D23+D24+D25</f>
      </c>
      <c r="E26" s="8"/>
      <c r="F26" s="8"/>
      <c r="G26" s="8"/>
      <c r="H26" s="8"/>
      <c r="I26" s="8"/>
      <c r="J26" s="8"/>
      <c r="K26" s="8"/>
      <c r="L26" s="8"/>
      <c r="M26" s="8"/>
    </row>
    <row r="27" ht="14.25" customHeight="true"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ht="14.25" customHeight="true">
      <c r="B28" s="8" t="s">
        <v>477</v>
      </c>
      <c r="C28" s="60"/>
      <c r="D28" s="8">
        <f>=ESF!G35+ESF!G38+ESF!G40+ESF!G44+ESF!G45</f>
      </c>
      <c r="E28" s="8"/>
      <c r="F28" s="8"/>
      <c r="G28" s="8"/>
      <c r="H28" s="8"/>
      <c r="I28" s="8"/>
      <c r="J28" s="8"/>
      <c r="K28" s="8"/>
      <c r="L28" s="8"/>
      <c r="M28" s="8"/>
    </row>
    <row r="29" ht="14.25" customHeight="true">
      <c r="A29" s="22"/>
      <c r="B29" s="162" t="s">
        <v>478</v>
      </c>
      <c r="C29" s="162"/>
      <c r="D29" s="162">
        <f>=D26-D28</f>
      </c>
      <c r="E29" s="8"/>
      <c r="F29" s="8"/>
      <c r="G29" s="8"/>
      <c r="H29" s="8"/>
      <c r="I29" s="8"/>
      <c r="J29" s="8"/>
      <c r="K29" s="8"/>
      <c r="L29" s="8"/>
      <c r="M29" s="8"/>
    </row>
    <row r="30" ht="14.25" customHeight="true">
      <c r="A30" s="22"/>
      <c r="B30" s="21"/>
      <c r="C30" s="21"/>
      <c r="D30" s="21"/>
      <c r="E30" s="11"/>
      <c r="F30" s="11"/>
      <c r="G30" s="11"/>
      <c r="H30" s="11"/>
      <c r="I30" s="11"/>
      <c r="J30" s="11"/>
      <c r="K30" s="11"/>
      <c r="L30" s="11"/>
      <c r="M30" s="11"/>
    </row>
    <row r="32" ht="14.25" customHeight="true">
      <c r="A32" s="18"/>
      <c r="B32" s="163" t="s">
        <v>479</v>
      </c>
      <c r="C32" s="163">
        <f>=+'Supuestos Proyeccion'!G5</f>
      </c>
      <c r="D32" s="163">
        <f>=D5</f>
      </c>
      <c r="E32" s="163"/>
      <c r="F32" s="163"/>
      <c r="G32" s="163"/>
      <c r="H32" s="163"/>
      <c r="I32" s="163"/>
      <c r="J32" s="163"/>
      <c r="K32" s="163"/>
      <c r="L32" s="163"/>
      <c r="M32" s="163"/>
    </row>
    <row r="33" ht="14.25" customHeight="true">
      <c r="A33" s="31"/>
      <c r="C33" s="31"/>
      <c r="D33" s="31"/>
      <c r="E33" s="31"/>
    </row>
    <row r="34" ht="14.25" customHeight="true">
      <c r="A34" s="31"/>
      <c r="B34" s="8" t="s">
        <v>480</v>
      </c>
      <c r="C34" s="38">
        <f>=$D$29/ESF!$G$57</f>
      </c>
      <c r="D34" s="38">
        <f>=$D$29/ESF!$H$57</f>
      </c>
      <c r="E34" s="31"/>
    </row>
    <row r="35" ht="14.25" customHeight="true">
      <c r="A35" s="31"/>
      <c r="B35" s="8" t="s">
        <v>481</v>
      </c>
      <c r="C35" s="38">
        <f>=$D$26/ERI!$G$7</f>
      </c>
      <c r="D35" s="38">
        <f>=$D$26/ERI!$H$7</f>
      </c>
      <c r="E35" s="31"/>
    </row>
    <row r="36" ht="14.25" customHeight="true">
      <c r="A36" s="31"/>
      <c r="B36" s="8" t="s">
        <v>482</v>
      </c>
      <c r="C36" s="38">
        <f>=$D$26/ERI!$G$16</f>
      </c>
      <c r="D36" s="38">
        <f>=D26/ERI!$H$16</f>
      </c>
      <c r="E36" s="31"/>
    </row>
    <row r="37" ht="14.25" customHeight="true">
      <c r="A37" s="31"/>
      <c r="B37" s="53" t="s">
        <v>483</v>
      </c>
      <c r="C37" s="93">
        <f>=$D$26/ERI!$G$18</f>
      </c>
      <c r="D37" s="93">
        <f>=$D$26/ERI!$H$18</f>
      </c>
      <c r="E37" s="54"/>
      <c r="F37" s="53"/>
      <c r="G37" s="53"/>
      <c r="H37" s="53"/>
      <c r="I37" s="53"/>
      <c r="J37" s="53"/>
      <c r="K37" s="53"/>
      <c r="L37" s="53"/>
      <c r="M37" s="53"/>
    </row>
    <row r="40" ht="14.25" customHeight="true">
      <c r="F40" s="164" t="s">
        <v>484</v>
      </c>
    </row>
    <row r="41" ht="14.25" customHeight="true">
      <c r="A41" s="66" t="s">
        <v>13</v>
      </c>
      <c r="B41" s="21" t="s">
        <v>485</v>
      </c>
      <c r="G41" s="165"/>
      <c r="H41" s="165"/>
      <c r="I41" s="165"/>
      <c r="J41" s="166" t="s">
        <v>446</v>
      </c>
      <c r="K41" s="165"/>
      <c r="L41" s="165"/>
    </row>
    <row r="42" ht="14.25" customHeight="true">
      <c r="B42" s="8" t="s">
        <v>486</v>
      </c>
      <c r="C42" s="127">
        <v>0.01</v>
      </c>
      <c r="F42" s="167"/>
      <c r="G42" s="168"/>
      <c r="H42" s="169">
        <f>=+$J$42+H43</f>
      </c>
      <c r="I42" s="169">
        <f>=+$J$42+I43</f>
      </c>
      <c r="J42" s="169">
        <f>=+AVERAGE(D9:M9)</f>
      </c>
      <c r="K42" s="169">
        <f>=+$J$42+K43</f>
      </c>
      <c r="L42" s="169">
        <f>=+$J$42+L43</f>
      </c>
    </row>
    <row r="43" ht="14.25" customHeight="true">
      <c r="B43" s="8" t="s">
        <v>487</v>
      </c>
      <c r="C43" s="127">
        <v>0.005</v>
      </c>
      <c r="F43" s="167"/>
      <c r="G43" s="1">
        <f>=+D26</f>
      </c>
      <c r="H43" s="1">
        <f>=+I43-$C$42</f>
      </c>
      <c r="I43" s="1">
        <f>=-$C$42</f>
      </c>
      <c r="J43" s="1"/>
      <c r="K43" s="1">
        <f>=+$C$42</f>
      </c>
      <c r="L43" s="1">
        <f>=+K43+$C$42</f>
      </c>
    </row>
    <row r="44" ht="14.25" customHeight="true">
      <c r="F44" s="169">
        <f>=+F46+G44</f>
      </c>
      <c r="G44" s="1">
        <f>=+G45-$C$43</f>
      </c>
      <c r="H44" s="170">
        <f>=</f>
      </c>
      <c r="I44" s="171">
        <v>124.317001474801</v>
      </c>
      <c r="J44" s="171">
        <v>124.317001474801</v>
      </c>
      <c r="K44" s="171">
        <v>124.317001474801</v>
      </c>
      <c r="L44" s="172">
        <v>124.317001474801</v>
      </c>
    </row>
    <row r="45" ht="14.25" customHeight="true">
      <c r="E45" s="173" t="s">
        <v>447</v>
      </c>
      <c r="F45" s="169">
        <f>=+F46+G45</f>
      </c>
      <c r="G45" s="1">
        <f>=-$C$43</f>
      </c>
      <c r="H45" s="174">
        <v>124.317001474801</v>
      </c>
      <c r="I45" s="96">
        <v>124.317001474801</v>
      </c>
      <c r="J45" s="96">
        <v>124.317001474801</v>
      </c>
      <c r="K45" s="96">
        <v>124.317001474801</v>
      </c>
      <c r="L45" s="175">
        <v>124.317001474801</v>
      </c>
    </row>
    <row r="46" ht="14.25" customHeight="true">
      <c r="F46" s="169">
        <f>=+D15</f>
      </c>
      <c r="G46" s="1"/>
      <c r="H46" s="174">
        <v>124.317001474801</v>
      </c>
      <c r="I46" s="96">
        <v>124.317001474801</v>
      </c>
      <c r="J46" s="176">
        <v>124.317001474801</v>
      </c>
      <c r="K46" s="96">
        <v>124.317001474801</v>
      </c>
      <c r="L46" s="175">
        <v>124.317001474801</v>
      </c>
    </row>
    <row r="47" ht="14.25" customHeight="true">
      <c r="F47" s="169">
        <f>=+F46+G47</f>
      </c>
      <c r="G47" s="1">
        <f>=+$C$43</f>
      </c>
      <c r="H47" s="174">
        <v>124.317001474801</v>
      </c>
      <c r="I47" s="96">
        <v>124.317001474801</v>
      </c>
      <c r="J47" s="96">
        <v>124.317001474801</v>
      </c>
      <c r="K47" s="96">
        <v>124.317001474801</v>
      </c>
      <c r="L47" s="175">
        <v>124.317001474801</v>
      </c>
    </row>
    <row r="48" ht="14.25" customHeight="true">
      <c r="F48" s="169">
        <f>=+F46+G48</f>
      </c>
      <c r="G48" s="1">
        <f>=+G47+$C$43</f>
      </c>
      <c r="H48" s="177">
        <v>124.317001474801</v>
      </c>
      <c r="I48" s="178">
        <v>124.317001474801</v>
      </c>
      <c r="J48" s="178">
        <v>124.317001474801</v>
      </c>
      <c r="K48" s="178">
        <v>124.317001474801</v>
      </c>
      <c r="L48" s="179">
        <v>124.317001474801</v>
      </c>
    </row>
    <row r="51" ht="14.25" customHeight="true">
      <c r="F51" s="180">
        <f>=":: Valor Compañía / Ebitda "&amp;ESF!G5</f>
      </c>
    </row>
    <row r="52" ht="14.25" customHeight="true">
      <c r="G52" s="165"/>
      <c r="H52" s="165"/>
      <c r="I52" s="165"/>
      <c r="J52" s="166" t="s">
        <v>446</v>
      </c>
      <c r="K52" s="165"/>
      <c r="L52" s="165"/>
    </row>
    <row r="53" ht="14.25" customHeight="true">
      <c r="F53" s="167"/>
      <c r="G53" s="168"/>
      <c r="H53" s="169">
        <f>=+H42</f>
      </c>
      <c r="I53" s="169">
        <f>=+I42</f>
      </c>
      <c r="J53" s="169">
        <f>=+J42</f>
      </c>
      <c r="K53" s="169">
        <f>=+K42</f>
      </c>
      <c r="L53" s="169">
        <f>=+L42</f>
      </c>
    </row>
    <row r="54" ht="14.25" customHeight="true">
      <c r="F54" s="167"/>
      <c r="G54" s="1"/>
      <c r="H54" s="1"/>
      <c r="I54" s="1"/>
      <c r="J54" s="1"/>
      <c r="K54" s="1"/>
      <c r="L54" s="1"/>
    </row>
    <row r="55" ht="14.25" customHeight="true">
      <c r="F55" s="169">
        <f>=+F44</f>
      </c>
      <c r="G55" s="1"/>
      <c r="H55" s="181">
        <f>=+H44/ERI!$G$18</f>
      </c>
      <c r="I55" s="182">
        <f>=+I44/ERI!$G$18</f>
      </c>
      <c r="J55" s="182">
        <f>=+J44/ERI!$G$18</f>
      </c>
      <c r="K55" s="182">
        <f>=+K44/ERI!$G$18</f>
      </c>
      <c r="L55" s="183">
        <f>=+L44/ERI!$G$18</f>
      </c>
    </row>
    <row r="56" ht="14.25" customHeight="true">
      <c r="E56" s="173" t="s">
        <v>447</v>
      </c>
      <c r="F56" s="169">
        <f>=+F45</f>
      </c>
      <c r="G56" s="1"/>
      <c r="H56" s="184">
        <f>=+H45/ERI!$G$18</f>
      </c>
      <c r="I56" s="38">
        <f>=+I45/ERI!$G$18</f>
      </c>
      <c r="J56" s="38">
        <f>=+J45/ERI!$G$18</f>
      </c>
      <c r="K56" s="38">
        <f>=+K45/ERI!$G$18</f>
      </c>
      <c r="L56" s="185">
        <f>=+L45/ERI!$G$18</f>
      </c>
    </row>
    <row r="57" ht="14.25" customHeight="true">
      <c r="F57" s="169">
        <f>=+F46</f>
      </c>
      <c r="G57" s="1"/>
      <c r="H57" s="184">
        <f>=+H46/ERI!$G$18</f>
      </c>
      <c r="I57" s="38">
        <f>=+I46/ERI!$G$18</f>
      </c>
      <c r="J57" s="186">
        <f>=+J46/ERI!$G$18</f>
      </c>
      <c r="K57" s="38">
        <f>=+K46/ERI!$G$18</f>
      </c>
      <c r="L57" s="185">
        <f>=+L46/ERI!$G$18</f>
      </c>
    </row>
    <row r="58" ht="14.25" customHeight="true">
      <c r="F58" s="169">
        <f>=+F47</f>
      </c>
      <c r="G58" s="1"/>
      <c r="H58" s="184">
        <f>=+H47/ERI!$G$18</f>
      </c>
      <c r="I58" s="38">
        <f>=+I47/ERI!$G$18</f>
      </c>
      <c r="J58" s="38">
        <f>=+J47/ERI!$G$18</f>
      </c>
      <c r="K58" s="38">
        <f>=+K47/ERI!$G$18</f>
      </c>
      <c r="L58" s="185">
        <f>=+L47/ERI!$G$18</f>
      </c>
    </row>
    <row r="59" ht="14.25" customHeight="true">
      <c r="F59" s="169">
        <f>=+F48</f>
      </c>
      <c r="G59" s="1"/>
      <c r="H59" s="187">
        <f>=+H48/ERI!$G$18</f>
      </c>
      <c r="I59" s="124">
        <f>=+I48/ERI!$G$18</f>
      </c>
      <c r="J59" s="124">
        <f>=+J48/ERI!$G$18</f>
      </c>
      <c r="K59" s="124">
        <f>=+K48/ERI!$G$18</f>
      </c>
      <c r="L59" s="188">
        <f>=+L48/ERI!$G$18</f>
      </c>
    </row>
    <row r="64" ht="14.25" customHeight="true">
      <c r="F64" s="189" t="s">
        <v>488</v>
      </c>
      <c r="G64" s="127"/>
      <c r="H64" s="127" t="s">
        <v>489</v>
      </c>
      <c r="I64" s="127" t="s">
        <v>490</v>
      </c>
      <c r="J64" s="127" t="s">
        <v>491</v>
      </c>
    </row>
    <row r="65" ht="14.25" customHeight="true">
      <c r="F65" s="190" t="s">
        <v>492</v>
      </c>
      <c r="G65" s="190"/>
      <c r="H65" s="191">
        <v>3</v>
      </c>
      <c r="I65" s="191">
        <v>5</v>
      </c>
      <c r="J65" s="191">
        <v>8</v>
      </c>
    </row>
    <row r="66" ht="14.25" customHeight="true">
      <c r="F66" s="127" t="s">
        <v>493</v>
      </c>
      <c r="G66" s="127"/>
      <c r="H66" s="192">
        <v>4</v>
      </c>
      <c r="I66" s="192">
        <v>5</v>
      </c>
      <c r="J66" s="192">
        <v>7.5</v>
      </c>
    </row>
    <row r="67" ht="14.25" customHeight="true">
      <c r="F67" s="193" t="s">
        <v>494</v>
      </c>
      <c r="G67" s="193"/>
      <c r="H67" s="194">
        <f>=+MIN(H55:L59)</f>
      </c>
      <c r="I67" s="194">
        <f>=+AVERAGE(H55:L59)</f>
      </c>
      <c r="J67" s="194">
        <f>=+MAX(H55:L59)</f>
      </c>
    </row>
  </sheetData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>
    <tabColor rgb="FF17375E"/>
  </sheetPr>
  <dimension ref="A1"/>
  <sheetViews>
    <sheetView showGridLines="0" tabSelected="0" workbookViewId="0">
      <selection activeCell="A1" sqref="A1"/>
    </sheetView>
  </sheetViews>
  <sheetFormatPr defaultRowHeight="18.75" customHeight="1" defaultColWidth="8.34"/>
  <cols>
    <col min="1" max="2" width="3.43" customWidth="1" hidden="0"/>
    <col min="3" max="3" width="19.26" customWidth="1" hidden="0"/>
    <col min="4" max="4" width="22.57" customWidth="1" hidden="0"/>
    <col min="5" max="17" width="8.34" customWidth="1" hidden="0"/>
    <col min="18" max="19" width="8.34" customWidth="1" hidden="1"/>
    <col min="20" max="27" width="3.07" customWidth="1" hidden="1"/>
  </cols>
  <sheetData>
    <row r="2" ht="14.25" customHeight="true">
      <c r="AA2" s="1" t="s">
        <v>0</v>
      </c>
    </row>
    <row r="3" ht="14.25" customHeight="true">
      <c r="AA3" s="1" t="s">
        <v>1</v>
      </c>
    </row>
    <row r="4" ht="14.25" customHeight="true">
      <c r="AA4" s="1"/>
    </row>
    <row r="5" ht="14.25" customHeight="true">
      <c r="AA5" s="1"/>
    </row>
    <row r="6" ht="14.25" customHeight="true">
      <c r="AA6" s="1"/>
    </row>
    <row r="7" ht="14.25" customHeight="true">
      <c r="A7" s="195"/>
      <c r="AA7" s="1"/>
    </row>
    <row r="8" ht="14.25" customHeight="true">
      <c r="A8" s="195"/>
      <c r="AA8" s="1"/>
    </row>
    <row r="9" ht="14.25" customHeight="true">
      <c r="A9" s="195"/>
      <c r="AA9" s="1"/>
    </row>
    <row r="10" ht="14.25" customHeight="true">
      <c r="A10" s="195"/>
      <c r="AA10" s="1"/>
    </row>
    <row r="11" ht="14.25" customHeight="true">
      <c r="AA11" s="1" t="s">
        <v>2</v>
      </c>
    </row>
    <row r="13" ht="14.25" customHeight="true">
      <c r="H13" s="4"/>
    </row>
    <row r="15" ht="14.25" customHeight="true">
      <c r="B15" s="2" t="s">
        <v>495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ht="5.25" customHeight="true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ht="14.25" customHeight="true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ht="5.25" customHeight="true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20" ht="14.25" customHeight="true">
      <c r="C20" s="9"/>
      <c r="D20" s="10"/>
      <c r="F20" s="196"/>
    </row>
    <row r="21" ht="14.25" customHeight="true">
      <c r="D21" s="10"/>
    </row>
    <row r="22" ht="14.25" customHeight="true">
      <c r="D22" s="9"/>
    </row>
    <row r="23" ht="14.25" customHeight="true">
      <c r="B23" s="11"/>
      <c r="D23" s="10"/>
    </row>
    <row r="24" ht="14.25" customHeight="true">
      <c r="B24" s="12"/>
    </row>
    <row r="25" ht="3.00" customHeight="true">
      <c r="C25" s="9"/>
    </row>
    <row r="26" ht="14.25" customHeight="true">
      <c r="B26" s="197"/>
    </row>
    <row r="27" ht="3.00" customHeight="true">
      <c r="C27" s="9"/>
    </row>
    <row r="29" ht="3.00" customHeight="true">
      <c r="C29" s="9"/>
    </row>
    <row r="30" ht="14.25" customHeight="true">
      <c r="B30" s="198"/>
    </row>
    <row r="31" ht="14.25" customHeight="true">
      <c r="B31" s="11"/>
      <c r="C31" s="11"/>
    </row>
    <row r="32" ht="14.25" customHeight="true">
      <c r="B32" s="16"/>
      <c r="C32" s="11"/>
    </row>
    <row r="33" ht="14.25" customHeight="true">
      <c r="B33" s="11"/>
      <c r="C33" s="11"/>
    </row>
    <row r="34" ht="14.25" customHeight="true">
      <c r="B34" s="199"/>
      <c r="C34" s="11"/>
      <c r="D34" s="76"/>
    </row>
    <row r="35" ht="14.25" customHeight="true">
      <c r="B35" s="11"/>
      <c r="C35" s="11"/>
    </row>
    <row r="36" hidden="1" ht="14.25" customHeight="true">
      <c r="B36" s="11"/>
      <c r="C36" s="11"/>
    </row>
    <row r="37" hidden="1" ht="14.25" customHeight="true">
      <c r="B37" s="11"/>
      <c r="C37" s="11"/>
    </row>
    <row r="38" hidden="1" ht="14.25" customHeight="true">
      <c r="B38" s="11"/>
      <c r="C38" s="11"/>
    </row>
    <row r="39" hidden="1" ht="14.25" customHeight="true">
      <c r="B39" s="11"/>
      <c r="C39" s="11"/>
    </row>
    <row r="40" hidden="1" ht="14.25" customHeight="true">
      <c r="B40" s="11"/>
      <c r="C40" s="11"/>
    </row>
    <row r="41" hidden="1" ht="14.25" customHeight="true">
      <c r="B41" s="11"/>
      <c r="C41" s="11"/>
    </row>
    <row r="42" hidden="1" ht="14.25" customHeight="true">
      <c r="B42" s="11"/>
      <c r="C42" s="11"/>
    </row>
    <row r="43" hidden="1" ht="14.25" customHeight="true">
      <c r="B43" s="11"/>
      <c r="C43" s="11"/>
    </row>
  </sheetData>
  <mergeCells count="1">
    <mergeCell ref="B15:O18"/>
  </mergeCells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/>
  <dimension ref="A1"/>
  <sheetViews>
    <sheetView showGridLines="0" tabSelected="0" workbookViewId="0">
      <selection activeCell="A1" sqref="A1"/>
    </sheetView>
  </sheetViews>
  <sheetFormatPr defaultRowHeight="14.25" customHeight="1" defaultColWidth="8.34"/>
  <cols>
    <col min="1" max="1" width="3.43" customWidth="1" hidden="0"/>
    <col min="2" max="2" width="25.76" customWidth="1" hidden="0"/>
    <col min="3" max="17" width="6.26" customWidth="1" hidden="0"/>
    <col min="18" max="16384" width="8.34" customWidth="1" hidden="0"/>
  </cols>
  <sheetData>
    <row r="2" ht="14.25" customHeight="true">
      <c r="A2" s="17" t="s">
        <v>13</v>
      </c>
      <c r="B2" s="12" t="s">
        <v>496</v>
      </c>
    </row>
    <row r="3" ht="14.25" customHeight="true">
      <c r="A3" s="96"/>
      <c r="B3" s="8">
        <f>=+COVER!H15</f>
      </c>
    </row>
    <row r="5" ht="14.25" customHeight="true">
      <c r="A5" s="18"/>
      <c r="B5" s="19">
        <f>=+ERI!B5</f>
      </c>
      <c r="C5" s="20">
        <f>=+ERI!C5</f>
      </c>
      <c r="D5" s="20">
        <f>=+ERI!D5</f>
      </c>
      <c r="E5" s="20">
        <f>=+ERI!E5</f>
      </c>
      <c r="F5" s="20">
        <f>=+ERI!F5</f>
      </c>
      <c r="G5" s="20">
        <f>=+ERI!G5</f>
      </c>
      <c r="H5" s="20">
        <f>=+ERI!H5</f>
      </c>
      <c r="I5" s="20">
        <f>=+ERI!I5</f>
      </c>
      <c r="J5" s="20">
        <f>=+ERI!J5</f>
      </c>
      <c r="K5" s="20">
        <f>=+ERI!K5</f>
      </c>
      <c r="L5" s="20">
        <f>=+ERI!L5</f>
      </c>
      <c r="M5" s="20">
        <f>=+ERI!M5</f>
      </c>
      <c r="N5" s="20">
        <f>=+ERI!N5</f>
      </c>
      <c r="O5" s="20">
        <f>=+ERI!O5</f>
      </c>
      <c r="P5" s="20">
        <f>=+ERI!P5</f>
      </c>
      <c r="Q5" s="20">
        <f>=+ERI!Q5</f>
      </c>
    </row>
    <row r="6" ht="14.25" customHeight="true">
      <c r="B6" s="8" t="s">
        <v>497</v>
      </c>
      <c r="C6" s="200">
        <f>=+ERI!C7</f>
      </c>
      <c r="D6" s="200">
        <f>=+ERI!D7</f>
      </c>
      <c r="E6" s="200">
        <f>=+ERI!E7</f>
      </c>
      <c r="F6" s="200">
        <f>=+ERI!F7</f>
      </c>
      <c r="G6" s="200">
        <f>=+ERI!G7</f>
      </c>
      <c r="H6" s="200">
        <f>=+ERI!H7</f>
      </c>
      <c r="I6" s="200">
        <f>=+ERI!I7</f>
      </c>
      <c r="J6" s="200">
        <f>=+ERI!J7</f>
      </c>
      <c r="K6" s="200">
        <f>=+ERI!K7</f>
      </c>
      <c r="L6" s="200">
        <f>=+ERI!L7</f>
      </c>
      <c r="M6" s="200">
        <f>=+ERI!M7</f>
      </c>
      <c r="N6" s="200">
        <f>=+ERI!N7</f>
      </c>
      <c r="O6" s="200">
        <f>=+ERI!O7</f>
      </c>
      <c r="P6" s="200">
        <f>=+ERI!P7</f>
      </c>
      <c r="Q6" s="200">
        <f>=+ERI!Q7</f>
      </c>
    </row>
    <row r="7" ht="14.25" customHeight="true">
      <c r="B7" s="8" t="s">
        <v>498</v>
      </c>
      <c r="C7" s="201">
        <f>=+ERI!C8</f>
      </c>
      <c r="D7" s="201">
        <f>=+ERI!D8</f>
      </c>
      <c r="E7" s="201">
        <f>=+ERI!E8</f>
      </c>
      <c r="F7" s="201">
        <f>=+ERI!F8</f>
      </c>
      <c r="G7" s="201">
        <f>=+ERI!G8</f>
      </c>
      <c r="H7" s="201">
        <f>=+ERI!H8</f>
      </c>
      <c r="I7" s="201">
        <f>=+ERI!I8</f>
      </c>
      <c r="J7" s="201">
        <f>=+ERI!J8</f>
      </c>
      <c r="K7" s="201">
        <f>=+ERI!K8</f>
      </c>
      <c r="L7" s="201">
        <f>=+ERI!L8</f>
      </c>
      <c r="M7" s="201">
        <f>=+ERI!M8</f>
      </c>
      <c r="N7" s="201">
        <f>=+ERI!N8</f>
      </c>
      <c r="O7" s="201">
        <f>=+ERI!O8</f>
      </c>
      <c r="P7" s="201">
        <f>=+ERI!P8</f>
      </c>
      <c r="Q7" s="201">
        <f>=+ERI!Q8</f>
      </c>
    </row>
    <row r="8" ht="14.25" customHeight="true">
      <c r="B8" s="8" t="s">
        <v>499</v>
      </c>
      <c r="C8" s="201"/>
      <c r="D8" s="201">
        <f>=+ERI!D7/ERI!C7-1</f>
      </c>
      <c r="E8" s="201">
        <f>=+ERI!E7/ERI!D7-1</f>
      </c>
      <c r="F8" s="201">
        <f>=+ERI!F7/ERI!E7-1</f>
      </c>
      <c r="G8" s="201">
        <f>=+ERI!G7/ERI!F7-1</f>
      </c>
      <c r="H8" s="201">
        <f>=+ERI!H7/ERI!G7-1</f>
      </c>
      <c r="I8" s="201">
        <f>=+ERI!I7/ERI!H7-1</f>
      </c>
      <c r="J8" s="201">
        <f>=+ERI!J7/ERI!I7-1</f>
      </c>
      <c r="K8" s="201">
        <f>=+ERI!K7/ERI!J7-1</f>
      </c>
      <c r="L8" s="201">
        <f>=+ERI!L7/ERI!K7-1</f>
      </c>
      <c r="M8" s="201">
        <f>=+ERI!M7/ERI!L7-1</f>
      </c>
      <c r="N8" s="201">
        <f>=+ERI!N7/ERI!M7-1</f>
      </c>
      <c r="O8" s="201">
        <f>=+ERI!O7/ERI!N7-1</f>
      </c>
      <c r="P8" s="201">
        <f>=+ERI!P7/ERI!O7-1</f>
      </c>
      <c r="Q8" s="201">
        <f>=+ERI!Q7/ERI!P7-1</f>
      </c>
    </row>
    <row r="9" ht="14.25" customHeight="true">
      <c r="B9" s="8" t="s">
        <v>17</v>
      </c>
      <c r="C9" s="201">
        <f>=+ERI!C9</f>
      </c>
      <c r="D9" s="201">
        <f>=+ERI!D9</f>
      </c>
      <c r="E9" s="201">
        <f>=+ERI!E9</f>
      </c>
      <c r="F9" s="201">
        <f>=+ERI!F9</f>
      </c>
      <c r="G9" s="201">
        <f>=+ERI!G9</f>
      </c>
      <c r="H9" s="201">
        <f>=+ERI!H9</f>
      </c>
      <c r="I9" s="201">
        <f>=+ERI!I9</f>
      </c>
      <c r="J9" s="201">
        <f>=+ERI!J9</f>
      </c>
      <c r="K9" s="201">
        <f>=+ERI!K9</f>
      </c>
      <c r="L9" s="201">
        <f>=+ERI!L9</f>
      </c>
      <c r="M9" s="201">
        <f>=+ERI!M9</f>
      </c>
      <c r="N9" s="201">
        <f>=+ERI!N9</f>
      </c>
      <c r="O9" s="201">
        <f>=+ERI!O9</f>
      </c>
      <c r="P9" s="201">
        <f>=+ERI!P9</f>
      </c>
      <c r="Q9" s="201">
        <f>=+ERI!Q9</f>
      </c>
    </row>
    <row r="10" ht="14.25" customHeight="true">
      <c r="B10" s="8" t="s">
        <v>18</v>
      </c>
      <c r="C10" s="201">
        <f>=ERI!C9/ERI!C7</f>
      </c>
      <c r="D10" s="201">
        <f>=ERI!D9/ERI!D7</f>
      </c>
      <c r="E10" s="201">
        <f>=ERI!E9/ERI!E7</f>
      </c>
      <c r="F10" s="201">
        <f>=ERI!F9/ERI!F7</f>
      </c>
      <c r="G10" s="201">
        <f>=ERI!G9/ERI!G7</f>
      </c>
      <c r="H10" s="201">
        <f>=ERI!H9/ERI!H7</f>
      </c>
      <c r="I10" s="201">
        <f>=ERI!I9/ERI!I7</f>
      </c>
      <c r="J10" s="201">
        <f>=ERI!J9/ERI!J7</f>
      </c>
      <c r="K10" s="201">
        <f>=ERI!K9/ERI!K7</f>
      </c>
      <c r="L10" s="201">
        <f>=ERI!L9/ERI!L7</f>
      </c>
      <c r="M10" s="201">
        <f>=ERI!M9/ERI!M7</f>
      </c>
      <c r="N10" s="201">
        <f>=ERI!N9/ERI!N7</f>
      </c>
      <c r="O10" s="201">
        <f>=ERI!O9/ERI!O7</f>
      </c>
      <c r="P10" s="201">
        <f>=ERI!P9/ERI!P7</f>
      </c>
      <c r="Q10" s="201">
        <f>=ERI!Q9/ERI!Q7</f>
      </c>
    </row>
    <row r="11" ht="14.25" customHeight="true">
      <c r="A11" s="18"/>
      <c r="B11" s="8" t="s">
        <v>24</v>
      </c>
      <c r="C11" s="201">
        <f>=+ERI!C16/ERI!C7</f>
      </c>
      <c r="D11" s="201">
        <f>=+ERI!D16/ERI!D7</f>
      </c>
      <c r="E11" s="201">
        <f>=+ERI!E16/ERI!E7</f>
      </c>
      <c r="F11" s="201">
        <f>=+ERI!F16/ERI!F7</f>
      </c>
      <c r="G11" s="201">
        <f>=+ERI!G16/ERI!G7</f>
      </c>
      <c r="H11" s="201">
        <f>=+ERI!H16/ERI!H7</f>
      </c>
      <c r="I11" s="201">
        <f>=+ERI!I16/ERI!I7</f>
      </c>
      <c r="J11" s="201">
        <f>=+ERI!J16/ERI!J7</f>
      </c>
      <c r="K11" s="201">
        <f>=+ERI!K16/ERI!K7</f>
      </c>
      <c r="L11" s="201">
        <f>=+ERI!L16/ERI!L7</f>
      </c>
      <c r="M11" s="201">
        <f>=+ERI!M16/ERI!M7</f>
      </c>
      <c r="N11" s="201">
        <f>=+ERI!N16/ERI!N7</f>
      </c>
      <c r="O11" s="201">
        <f>=+ERI!O16/ERI!O7</f>
      </c>
      <c r="P11" s="201">
        <f>=+ERI!P16/ERI!P7</f>
      </c>
      <c r="Q11" s="201">
        <f>=+ERI!Q16/ERI!Q7</f>
      </c>
    </row>
    <row r="12" ht="14.25" customHeight="true">
      <c r="A12" s="18"/>
      <c r="B12" s="8" t="s">
        <v>25</v>
      </c>
      <c r="C12" s="201">
        <v>90</v>
      </c>
      <c r="D12" s="201">
        <f>=+ERI!D18</f>
      </c>
      <c r="E12" s="201">
        <f>=+ERI!E18</f>
      </c>
      <c r="F12" s="201">
        <f>=+ERI!F18</f>
      </c>
      <c r="G12" s="201">
        <f>=+ERI!G18</f>
      </c>
      <c r="H12" s="201">
        <f>=+ERI!H18</f>
      </c>
      <c r="I12" s="201">
        <f>=+ERI!I18</f>
      </c>
      <c r="J12" s="201">
        <f>=+ERI!J18</f>
      </c>
      <c r="K12" s="201">
        <f>=+ERI!K18</f>
      </c>
      <c r="L12" s="201">
        <f>=+ERI!L18</f>
      </c>
      <c r="M12" s="201">
        <f>=+ERI!M18</f>
      </c>
      <c r="N12" s="201">
        <f>=+ERI!N18</f>
      </c>
      <c r="O12" s="201">
        <f>=+ERI!O18</f>
      </c>
      <c r="P12" s="201">
        <f>=+ERI!P18</f>
      </c>
      <c r="Q12" s="201">
        <f>=+ERI!Q18</f>
      </c>
    </row>
    <row r="13" ht="14.25" customHeight="true">
      <c r="A13" s="18"/>
      <c r="B13" s="8" t="s">
        <v>500</v>
      </c>
      <c r="C13" s="201"/>
      <c r="D13" s="201">
        <f>=+D12/C12-1</f>
      </c>
      <c r="E13" s="201">
        <f ref="E13:Q13" t="shared" si="80">=+E12/D12-1</f>
      </c>
      <c r="F13" s="201">
        <f t="shared" si="80"/>
      </c>
      <c r="G13" s="201">
        <f t="shared" si="80"/>
      </c>
      <c r="H13" s="201">
        <f t="shared" si="80"/>
      </c>
      <c r="I13" s="201">
        <f t="shared" si="80"/>
      </c>
      <c r="J13" s="201">
        <f t="shared" si="80"/>
      </c>
      <c r="K13" s="201">
        <f t="shared" si="80"/>
      </c>
      <c r="L13" s="201">
        <f t="shared" si="80"/>
      </c>
      <c r="M13" s="201">
        <f t="shared" si="80"/>
      </c>
      <c r="N13" s="201">
        <f t="shared" si="80"/>
      </c>
      <c r="O13" s="201">
        <f t="shared" si="80"/>
      </c>
      <c r="P13" s="201">
        <f t="shared" si="80"/>
      </c>
      <c r="Q13" s="201">
        <f t="shared" si="80"/>
      </c>
    </row>
    <row r="14" ht="14.25" customHeight="true">
      <c r="A14" s="18"/>
      <c r="B14" s="8" t="s">
        <v>26</v>
      </c>
      <c r="C14" s="201">
        <f>=+ERI!C18/ERI!C7</f>
      </c>
      <c r="D14" s="201">
        <f>=+ERI!D18/ERI!D7</f>
      </c>
      <c r="E14" s="201">
        <f>=+ERI!E18/ERI!E7</f>
      </c>
      <c r="F14" s="201">
        <f>=+ERI!F18/ERI!F7</f>
      </c>
      <c r="G14" s="201">
        <f>=+ERI!G18/ERI!G7</f>
      </c>
      <c r="H14" s="201">
        <f>=+ERI!H18/ERI!H7</f>
      </c>
      <c r="I14" s="201">
        <f>=+ERI!I18/ERI!I7</f>
      </c>
      <c r="J14" s="201">
        <f>=+ERI!J18/ERI!J7</f>
      </c>
      <c r="K14" s="201">
        <f>=+ERI!K18/ERI!K7</f>
      </c>
      <c r="L14" s="201">
        <f>=+ERI!L18/ERI!L7</f>
      </c>
      <c r="M14" s="201">
        <f>=+ERI!M18/ERI!M7</f>
      </c>
      <c r="N14" s="201">
        <f>=+ERI!N18/ERI!N7</f>
      </c>
      <c r="O14" s="201">
        <f>=+ERI!O18/ERI!O7</f>
      </c>
      <c r="P14" s="201">
        <f>=+ERI!P18/ERI!P7</f>
      </c>
      <c r="Q14" s="201">
        <f>=+ERI!Q18/ERI!Q7</f>
      </c>
    </row>
    <row r="15" ht="14.25" customHeight="true">
      <c r="A15" s="18"/>
      <c r="B15" s="8" t="s">
        <v>230</v>
      </c>
      <c r="C15" s="202"/>
      <c r="D15" s="202"/>
      <c r="E15" s="202"/>
      <c r="F15" s="202"/>
      <c r="G15" s="202"/>
      <c r="H15" s="201"/>
      <c r="I15" s="201"/>
      <c r="J15" s="201"/>
      <c r="K15" s="201"/>
      <c r="L15" s="201"/>
      <c r="M15" s="201"/>
      <c r="N15" s="201"/>
      <c r="O15" s="201"/>
      <c r="P15" s="201"/>
      <c r="Q15" s="201"/>
    </row>
    <row r="16" ht="14.25" customHeight="true">
      <c r="A16" s="18"/>
      <c r="B16" s="8" t="s">
        <v>501</v>
      </c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</row>
    <row r="17" ht="14.25" customHeight="true">
      <c r="A17" s="18"/>
      <c r="B17" s="8" t="s">
        <v>502</v>
      </c>
      <c r="C17" s="201"/>
      <c r="D17" s="201"/>
      <c r="E17" s="201"/>
      <c r="F17" s="201"/>
      <c r="G17" s="201"/>
      <c r="H17" s="201">
        <f>=+FCLO!D28</f>
      </c>
      <c r="I17" s="201">
        <f>=+FCLO!E28</f>
      </c>
      <c r="J17" s="201">
        <f>=+FCLO!F28</f>
      </c>
      <c r="K17" s="201">
        <f>=+FCLO!G28</f>
      </c>
      <c r="L17" s="201">
        <f>=+FCLO!H28</f>
      </c>
      <c r="M17" s="201">
        <f>=+FCLO!I28</f>
      </c>
      <c r="N17" s="201">
        <f>=+FCLO!J28</f>
      </c>
      <c r="O17" s="201">
        <f>=+FCLO!K28</f>
      </c>
      <c r="P17" s="201">
        <f>=+FCLO!L28</f>
      </c>
      <c r="Q17" s="201">
        <f>=+FCLO!M28</f>
      </c>
    </row>
    <row r="18" ht="14.25" customHeight="true">
      <c r="A18" s="18"/>
      <c r="B18" s="53" t="s">
        <v>503</v>
      </c>
      <c r="C18" s="203"/>
      <c r="D18" s="203"/>
      <c r="E18" s="204"/>
      <c r="F18" s="205"/>
      <c r="G18" s="205"/>
      <c r="H18" s="205"/>
      <c r="I18" s="203">
        <f>=+I17/H17-1</f>
      </c>
      <c r="J18" s="203">
        <f ref="J18:Q18" t="shared" si="79">=+J17/I17-1</f>
      </c>
      <c r="K18" s="203">
        <f t="shared" si="79"/>
      </c>
      <c r="L18" s="203">
        <f t="shared" si="79"/>
      </c>
      <c r="M18" s="203">
        <f t="shared" si="79"/>
      </c>
      <c r="N18" s="203">
        <f t="shared" si="79"/>
      </c>
      <c r="O18" s="203">
        <f t="shared" si="79"/>
      </c>
      <c r="P18" s="203">
        <f t="shared" si="79"/>
      </c>
      <c r="Q18" s="203">
        <f t="shared" si="79"/>
      </c>
    </row>
    <row r="19" ht="14.25" customHeight="true">
      <c r="A19" s="18"/>
      <c r="B19" s="8"/>
      <c r="C19" s="134"/>
      <c r="D19" s="134"/>
      <c r="E19" s="66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</row>
    <row r="20" ht="14.25" customHeight="true">
      <c r="A20" s="18"/>
      <c r="B20" s="57" t="s">
        <v>504</v>
      </c>
      <c r="C20" s="134"/>
      <c r="D20" s="134"/>
      <c r="E20" s="66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57"/>
      <c r="Q20" s="132"/>
    </row>
    <row r="21" ht="14.25" customHeight="true">
      <c r="A21" s="18"/>
      <c r="B21" s="57"/>
      <c r="C21" s="134"/>
      <c r="D21" s="134"/>
      <c r="E21" s="66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57"/>
      <c r="Q21" s="132"/>
    </row>
    <row r="22" ht="14.25" customHeight="true">
      <c r="A22" s="18"/>
      <c r="B22" s="57"/>
      <c r="C22" s="134"/>
      <c r="D22" s="134"/>
      <c r="E22" s="66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57"/>
      <c r="Q22" s="132"/>
    </row>
    <row r="23" ht="14.25" customHeight="true">
      <c r="A23" s="18"/>
      <c r="B23" s="57"/>
      <c r="C23" s="134"/>
      <c r="D23" s="134"/>
      <c r="E23" s="66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57"/>
      <c r="Q23" s="132"/>
    </row>
    <row r="24" ht="14.25" customHeight="true">
      <c r="A24" s="18"/>
      <c r="B24" s="57"/>
      <c r="C24" s="134"/>
      <c r="D24" s="134"/>
      <c r="E24" s="66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57"/>
      <c r="Q24" s="132"/>
    </row>
    <row r="25" ht="14.25" customHeight="true">
      <c r="A25" s="18"/>
      <c r="B25" s="57"/>
      <c r="C25" s="134"/>
      <c r="D25" s="134"/>
      <c r="E25" s="66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57"/>
      <c r="Q25" s="132"/>
    </row>
    <row r="26" ht="14.25" customHeight="true">
      <c r="A26" s="18"/>
      <c r="B26" s="57"/>
      <c r="C26" s="134"/>
      <c r="D26" s="134"/>
      <c r="E26" s="66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57"/>
      <c r="Q26" s="132"/>
    </row>
    <row r="27" ht="14.25" customHeight="true">
      <c r="A27" s="18"/>
      <c r="B27" s="57"/>
      <c r="C27" s="134"/>
      <c r="D27" s="134"/>
      <c r="E27" s="66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57"/>
      <c r="Q27" s="132"/>
    </row>
    <row r="28" ht="14.25" customHeight="true">
      <c r="A28" s="18"/>
      <c r="B28" s="57"/>
      <c r="C28" s="134"/>
      <c r="D28" s="134"/>
      <c r="E28" s="66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57"/>
      <c r="Q28" s="132"/>
    </row>
    <row r="29" ht="14.25" customHeight="true">
      <c r="A29" s="18"/>
      <c r="B29" s="57"/>
      <c r="C29" s="134"/>
      <c r="D29" s="134"/>
      <c r="E29" s="66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57"/>
      <c r="Q29" s="132"/>
    </row>
    <row r="30" ht="14.25" customHeight="true">
      <c r="A30" s="18"/>
      <c r="B30" s="57"/>
      <c r="C30" s="134"/>
      <c r="D30" s="134"/>
      <c r="E30" s="66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57"/>
      <c r="Q30" s="132"/>
    </row>
    <row r="31" ht="14.25" customHeight="true">
      <c r="A31" s="18"/>
      <c r="B31" s="57"/>
      <c r="C31" s="134"/>
      <c r="D31" s="134"/>
      <c r="E31" s="66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57"/>
      <c r="Q31" s="132"/>
    </row>
    <row r="32" ht="14.25" customHeight="true">
      <c r="A32" s="18"/>
      <c r="B32" s="57"/>
      <c r="C32" s="134"/>
      <c r="D32" s="134"/>
      <c r="E32" s="66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57"/>
      <c r="Q32" s="132"/>
    </row>
    <row r="33" ht="14.25" customHeight="true">
      <c r="A33" s="18"/>
      <c r="B33" s="57"/>
      <c r="C33" s="134"/>
      <c r="D33" s="134"/>
      <c r="E33" s="66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57"/>
      <c r="Q33" s="132"/>
    </row>
    <row r="34" ht="14.25" customHeight="true">
      <c r="A34" s="18"/>
      <c r="B34" s="57"/>
      <c r="C34" s="134"/>
      <c r="D34" s="134"/>
      <c r="E34" s="66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57"/>
      <c r="Q34" s="132"/>
    </row>
    <row r="35" ht="14.25" customHeight="true">
      <c r="A35" s="18"/>
      <c r="B35" s="57"/>
      <c r="C35" s="134"/>
      <c r="D35" s="134"/>
      <c r="E35" s="66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57"/>
      <c r="Q35" s="132"/>
    </row>
    <row r="36" ht="14.25" customHeight="true">
      <c r="A36" s="18"/>
      <c r="B36" s="57"/>
      <c r="C36" s="134"/>
      <c r="D36" s="134"/>
      <c r="E36" s="66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57"/>
      <c r="Q36" s="132"/>
    </row>
    <row r="37" ht="14.25" customHeight="true">
      <c r="A37" s="18"/>
      <c r="B37" s="57"/>
      <c r="C37" s="134"/>
      <c r="D37" s="134"/>
      <c r="E37" s="66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57"/>
      <c r="Q37" s="132"/>
    </row>
    <row r="38" ht="14.25" customHeight="true">
      <c r="A38" s="18"/>
      <c r="B38" s="57"/>
      <c r="C38" s="134"/>
      <c r="D38" s="134"/>
      <c r="E38" s="66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57"/>
      <c r="Q38" s="132"/>
    </row>
    <row r="39" ht="14.25" customHeight="true">
      <c r="A39" s="18"/>
      <c r="B39" s="57"/>
      <c r="C39" s="134"/>
      <c r="D39" s="134"/>
      <c r="E39" s="66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57"/>
      <c r="Q39" s="132"/>
    </row>
    <row r="40" ht="14.25" customHeight="true">
      <c r="A40" s="18"/>
      <c r="B40" s="57"/>
      <c r="C40" s="134"/>
      <c r="D40" s="134"/>
      <c r="E40" s="66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57"/>
      <c r="Q40" s="132"/>
    </row>
    <row r="41" ht="14.25" customHeight="true">
      <c r="A41" s="18"/>
      <c r="B41" s="57" t="s">
        <v>505</v>
      </c>
      <c r="C41" s="134"/>
      <c r="D41" s="134"/>
      <c r="E41" s="66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57"/>
      <c r="Q41" s="132"/>
    </row>
    <row r="42" ht="14.25" customHeight="true">
      <c r="A42" s="18"/>
      <c r="B42" s="57"/>
      <c r="C42" s="134"/>
      <c r="D42" s="134"/>
      <c r="E42" s="66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57"/>
      <c r="Q42" s="132"/>
    </row>
    <row r="43" ht="14.25" customHeight="true">
      <c r="A43" s="18"/>
      <c r="B43" s="57"/>
      <c r="C43" s="134"/>
      <c r="D43" s="134"/>
      <c r="E43" s="66"/>
      <c r="F43" s="132"/>
      <c r="G43" s="132"/>
      <c r="H43" s="132"/>
      <c r="I43" s="132"/>
      <c r="J43" s="132"/>
      <c r="K43" s="132"/>
      <c r="L43" s="132"/>
      <c r="M43" s="132"/>
      <c r="N43" s="132"/>
      <c r="O43" s="132"/>
      <c r="P43" s="57"/>
      <c r="Q43" s="132"/>
    </row>
    <row r="44" ht="14.25" customHeight="true">
      <c r="A44" s="18"/>
      <c r="B44" s="57"/>
      <c r="C44" s="134"/>
      <c r="D44" s="134"/>
      <c r="E44" s="66"/>
      <c r="F44" s="132"/>
      <c r="G44" s="132"/>
      <c r="H44" s="132"/>
      <c r="I44" s="132"/>
      <c r="J44" s="132"/>
      <c r="K44" s="132"/>
      <c r="L44" s="132"/>
      <c r="M44" s="132"/>
      <c r="N44" s="132"/>
      <c r="O44" s="132"/>
      <c r="P44" s="57"/>
      <c r="Q44" s="132"/>
    </row>
    <row r="45" ht="14.25" customHeight="true">
      <c r="A45" s="18"/>
      <c r="B45" s="57"/>
      <c r="C45" s="134"/>
      <c r="D45" s="134"/>
      <c r="E45" s="66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57"/>
      <c r="Q45" s="132"/>
    </row>
    <row r="46" ht="14.25" customHeight="true">
      <c r="A46" s="18"/>
      <c r="B46" s="57"/>
      <c r="C46" s="134"/>
      <c r="D46" s="134"/>
      <c r="E46" s="66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57"/>
      <c r="Q46" s="132"/>
    </row>
    <row r="47" ht="14.25" customHeight="true">
      <c r="A47" s="18"/>
      <c r="B47" s="57"/>
      <c r="C47" s="134"/>
      <c r="D47" s="134"/>
      <c r="E47" s="66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57"/>
      <c r="Q47" s="132"/>
    </row>
    <row r="48" ht="14.25" customHeight="true">
      <c r="A48" s="18"/>
      <c r="B48" s="57"/>
      <c r="C48" s="134"/>
      <c r="D48" s="134"/>
      <c r="E48" s="66"/>
      <c r="F48" s="132"/>
      <c r="G48" s="132"/>
      <c r="H48" s="132"/>
      <c r="I48" s="132"/>
      <c r="J48" s="132"/>
      <c r="K48" s="132"/>
      <c r="L48" s="132"/>
      <c r="M48" s="132"/>
      <c r="N48" s="132"/>
      <c r="O48" s="132"/>
      <c r="P48" s="57"/>
      <c r="Q48" s="132"/>
    </row>
    <row r="49" ht="14.25" customHeight="true">
      <c r="A49" s="18"/>
      <c r="B49" s="57"/>
      <c r="C49" s="134"/>
      <c r="D49" s="134"/>
      <c r="E49" s="66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57"/>
      <c r="Q49" s="132"/>
    </row>
    <row r="50" ht="14.25" customHeight="true">
      <c r="A50" s="18"/>
      <c r="B50" s="57"/>
      <c r="C50" s="134"/>
      <c r="D50" s="134"/>
      <c r="E50" s="66"/>
      <c r="F50" s="132"/>
      <c r="G50" s="132"/>
      <c r="H50" s="132"/>
      <c r="I50" s="132"/>
      <c r="J50" s="132"/>
      <c r="K50" s="132"/>
      <c r="L50" s="132"/>
      <c r="M50" s="132"/>
      <c r="N50" s="132"/>
      <c r="O50" s="132"/>
      <c r="P50" s="57"/>
      <c r="Q50" s="132"/>
    </row>
    <row r="51" ht="14.25" customHeight="true">
      <c r="A51" s="18"/>
      <c r="B51" s="57"/>
      <c r="C51" s="134"/>
      <c r="D51" s="134"/>
      <c r="E51" s="66"/>
      <c r="F51" s="132"/>
      <c r="G51" s="132"/>
      <c r="H51" s="132"/>
      <c r="I51" s="132"/>
      <c r="J51" s="132"/>
      <c r="K51" s="132"/>
      <c r="L51" s="132"/>
      <c r="M51" s="132"/>
      <c r="N51" s="132"/>
      <c r="O51" s="132"/>
      <c r="P51" s="57"/>
      <c r="Q51" s="132"/>
    </row>
    <row r="52" ht="14.25" customHeight="true">
      <c r="A52" s="18"/>
      <c r="B52" s="57"/>
      <c r="C52" s="134"/>
      <c r="D52" s="134"/>
      <c r="E52" s="66"/>
      <c r="F52" s="132"/>
      <c r="G52" s="132"/>
      <c r="H52" s="132"/>
      <c r="I52" s="132"/>
      <c r="J52" s="132"/>
      <c r="K52" s="132"/>
      <c r="L52" s="132"/>
      <c r="M52" s="132"/>
      <c r="N52" s="132"/>
      <c r="O52" s="132"/>
      <c r="P52" s="57"/>
      <c r="Q52" s="132"/>
    </row>
    <row r="53" ht="14.25" customHeight="true">
      <c r="A53" s="18"/>
      <c r="B53" s="57"/>
      <c r="C53" s="134"/>
      <c r="D53" s="134"/>
      <c r="E53" s="66"/>
      <c r="F53" s="132"/>
      <c r="G53" s="132"/>
      <c r="H53" s="132"/>
      <c r="I53" s="132"/>
      <c r="J53" s="132"/>
      <c r="K53" s="132"/>
      <c r="L53" s="132"/>
      <c r="M53" s="132"/>
      <c r="N53" s="132"/>
      <c r="O53" s="132"/>
      <c r="P53" s="57"/>
      <c r="Q53" s="132"/>
    </row>
    <row r="54" ht="14.25" customHeight="true">
      <c r="A54" s="18"/>
      <c r="B54" s="57"/>
      <c r="C54" s="134"/>
      <c r="D54" s="134"/>
      <c r="E54" s="66"/>
      <c r="F54" s="132"/>
      <c r="G54" s="132"/>
      <c r="H54" s="132"/>
      <c r="I54" s="132"/>
      <c r="J54" s="132"/>
      <c r="K54" s="132"/>
      <c r="L54" s="132"/>
      <c r="M54" s="132"/>
      <c r="N54" s="132"/>
      <c r="O54" s="132"/>
      <c r="P54" s="57"/>
      <c r="Q54" s="132"/>
    </row>
    <row r="55" ht="14.25" customHeight="true">
      <c r="A55" s="18"/>
      <c r="B55" s="57"/>
      <c r="C55" s="134"/>
      <c r="D55" s="134"/>
      <c r="E55" s="66"/>
      <c r="F55" s="132"/>
      <c r="G55" s="132"/>
      <c r="H55" s="132"/>
      <c r="I55" s="132"/>
      <c r="J55" s="132"/>
      <c r="K55" s="132"/>
      <c r="L55" s="132"/>
      <c r="M55" s="132"/>
      <c r="N55" s="132"/>
      <c r="O55" s="132"/>
      <c r="P55" s="57"/>
      <c r="Q55" s="132"/>
    </row>
    <row r="56" ht="14.25" customHeight="true">
      <c r="A56" s="18"/>
      <c r="B56" s="57"/>
      <c r="C56" s="134"/>
      <c r="D56" s="134"/>
      <c r="E56" s="66"/>
      <c r="F56" s="132"/>
      <c r="G56" s="132"/>
      <c r="H56" s="132"/>
      <c r="I56" s="132"/>
      <c r="J56" s="132"/>
      <c r="K56" s="132"/>
      <c r="L56" s="132"/>
      <c r="M56" s="132"/>
      <c r="N56" s="132"/>
      <c r="O56" s="132"/>
      <c r="P56" s="57"/>
      <c r="Q56" s="132"/>
    </row>
    <row r="57" ht="14.25" customHeight="true">
      <c r="A57" s="18"/>
      <c r="B57" s="57"/>
      <c r="C57" s="134"/>
      <c r="D57" s="134"/>
      <c r="E57" s="66"/>
      <c r="F57" s="132"/>
      <c r="G57" s="132"/>
      <c r="H57" s="132"/>
      <c r="I57" s="132"/>
      <c r="J57" s="132"/>
      <c r="K57" s="132"/>
      <c r="L57" s="132"/>
      <c r="M57" s="132"/>
      <c r="N57" s="132"/>
      <c r="O57" s="132"/>
      <c r="P57" s="57"/>
      <c r="Q57" s="132"/>
    </row>
    <row r="58" ht="14.25" customHeight="true">
      <c r="A58" s="18"/>
      <c r="B58" s="57"/>
      <c r="C58" s="134"/>
      <c r="D58" s="134"/>
      <c r="E58" s="66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57"/>
      <c r="Q58" s="132"/>
    </row>
    <row r="59" ht="14.25" customHeight="true">
      <c r="A59" s="18"/>
      <c r="B59" s="57"/>
      <c r="C59" s="134"/>
      <c r="D59" s="134"/>
      <c r="E59" s="66"/>
      <c r="F59" s="132"/>
      <c r="G59" s="132"/>
      <c r="H59" s="132"/>
      <c r="I59" s="132"/>
      <c r="J59" s="132"/>
      <c r="K59" s="132"/>
      <c r="L59" s="132"/>
      <c r="M59" s="132"/>
      <c r="N59" s="132"/>
      <c r="O59" s="132"/>
      <c r="P59" s="57"/>
      <c r="Q59" s="132"/>
    </row>
    <row r="60" ht="14.25" customHeight="true">
      <c r="A60" s="18"/>
      <c r="B60" s="57"/>
      <c r="C60" s="134"/>
      <c r="D60" s="134"/>
      <c r="E60" s="66"/>
      <c r="F60" s="132"/>
      <c r="G60" s="132"/>
      <c r="H60" s="132"/>
      <c r="I60" s="132"/>
      <c r="J60" s="132"/>
      <c r="K60" s="132"/>
      <c r="L60" s="132"/>
      <c r="M60" s="132"/>
      <c r="N60" s="132"/>
      <c r="O60" s="132"/>
      <c r="P60" s="57"/>
      <c r="Q60" s="132"/>
    </row>
    <row r="61" ht="14.25" customHeight="true">
      <c r="A61" s="18"/>
      <c r="B61" s="57"/>
      <c r="C61" s="134"/>
      <c r="D61" s="134"/>
      <c r="E61" s="66"/>
      <c r="F61" s="132"/>
      <c r="G61" s="132"/>
      <c r="H61" s="132"/>
      <c r="I61" s="132"/>
      <c r="J61" s="132"/>
      <c r="K61" s="132"/>
      <c r="L61" s="132"/>
      <c r="M61" s="132"/>
      <c r="N61" s="132"/>
      <c r="O61" s="132"/>
      <c r="P61" s="57"/>
      <c r="Q61" s="132"/>
    </row>
    <row r="62" ht="14.25" customHeight="true">
      <c r="A62" s="18"/>
      <c r="B62" s="57" t="s">
        <v>506</v>
      </c>
      <c r="C62" s="134"/>
      <c r="D62" s="134"/>
      <c r="E62" s="66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57"/>
      <c r="Q62" s="132"/>
    </row>
    <row r="63" ht="14.25" customHeight="true">
      <c r="A63" s="18"/>
      <c r="B63" s="57"/>
      <c r="C63" s="134"/>
      <c r="D63" s="134"/>
      <c r="E63" s="66"/>
      <c r="F63" s="132"/>
      <c r="G63" s="132"/>
      <c r="H63" s="132"/>
      <c r="I63" s="132"/>
      <c r="J63" s="132"/>
      <c r="K63" s="132"/>
      <c r="L63" s="132"/>
      <c r="M63" s="132"/>
      <c r="N63" s="132"/>
      <c r="O63" s="132"/>
      <c r="P63" s="57"/>
      <c r="Q63" s="132"/>
    </row>
    <row r="64" ht="14.25" customHeight="true">
      <c r="A64" s="18"/>
      <c r="B64" s="57"/>
      <c r="C64" s="134"/>
      <c r="D64" s="134"/>
      <c r="E64" s="66"/>
      <c r="F64" s="132"/>
      <c r="G64" s="132"/>
      <c r="H64" s="132"/>
      <c r="I64" s="132"/>
      <c r="J64" s="132"/>
      <c r="K64" s="132"/>
      <c r="L64" s="132"/>
      <c r="M64" s="132"/>
      <c r="N64" s="132"/>
      <c r="O64" s="132"/>
      <c r="P64" s="57"/>
      <c r="Q64" s="132"/>
    </row>
    <row r="65" ht="14.25" customHeight="true">
      <c r="A65" s="18"/>
      <c r="B65" s="57"/>
      <c r="C65" s="134"/>
      <c r="D65" s="134"/>
      <c r="E65" s="66"/>
      <c r="F65" s="132"/>
      <c r="G65" s="132"/>
      <c r="H65" s="132"/>
      <c r="I65" s="132"/>
      <c r="J65" s="132"/>
      <c r="K65" s="132"/>
      <c r="L65" s="132"/>
      <c r="M65" s="132"/>
      <c r="N65" s="132"/>
      <c r="O65" s="132"/>
      <c r="P65" s="57"/>
      <c r="Q65" s="132"/>
    </row>
    <row r="66" ht="14.25" customHeight="true">
      <c r="A66" s="18"/>
      <c r="B66" s="57"/>
      <c r="C66" s="134"/>
      <c r="D66" s="134"/>
      <c r="E66" s="66"/>
      <c r="F66" s="132"/>
      <c r="G66" s="132"/>
      <c r="H66" s="132"/>
      <c r="I66" s="132"/>
      <c r="J66" s="132"/>
      <c r="K66" s="132"/>
      <c r="L66" s="132"/>
      <c r="M66" s="132"/>
      <c r="N66" s="132"/>
      <c r="O66" s="132"/>
      <c r="P66" s="57"/>
      <c r="Q66" s="132"/>
    </row>
    <row r="67" ht="14.25" customHeight="true">
      <c r="A67" s="18"/>
      <c r="B67" s="57"/>
      <c r="C67" s="134"/>
      <c r="D67" s="134"/>
      <c r="E67" s="66"/>
      <c r="F67" s="132"/>
      <c r="G67" s="132"/>
      <c r="H67" s="132"/>
      <c r="I67" s="132"/>
      <c r="J67" s="132"/>
      <c r="K67" s="132"/>
      <c r="L67" s="132"/>
      <c r="M67" s="132"/>
      <c r="N67" s="132"/>
      <c r="O67" s="132"/>
      <c r="P67" s="57"/>
      <c r="Q67" s="132"/>
    </row>
    <row r="68" ht="14.25" customHeight="true">
      <c r="A68" s="18"/>
      <c r="B68" s="57"/>
      <c r="C68" s="134"/>
      <c r="D68" s="134"/>
      <c r="E68" s="66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57"/>
      <c r="Q68" s="132"/>
    </row>
    <row r="69" ht="14.25" customHeight="true">
      <c r="A69" s="18"/>
      <c r="B69" s="57"/>
      <c r="C69" s="134"/>
      <c r="D69" s="134"/>
      <c r="E69" s="66"/>
      <c r="F69" s="132"/>
      <c r="G69" s="132"/>
      <c r="H69" s="132"/>
      <c r="I69" s="132"/>
      <c r="J69" s="132"/>
      <c r="K69" s="132"/>
      <c r="L69" s="132"/>
      <c r="M69" s="132"/>
      <c r="N69" s="132"/>
      <c r="O69" s="132"/>
      <c r="P69" s="57"/>
      <c r="Q69" s="132"/>
    </row>
    <row r="70" ht="14.25" customHeight="true">
      <c r="A70" s="18"/>
      <c r="B70" s="57"/>
      <c r="C70" s="134"/>
      <c r="D70" s="134"/>
      <c r="E70" s="66"/>
      <c r="F70" s="132"/>
      <c r="G70" s="132"/>
      <c r="H70" s="132"/>
      <c r="I70" s="132"/>
      <c r="J70" s="132"/>
      <c r="K70" s="132"/>
      <c r="L70" s="132"/>
      <c r="M70" s="132"/>
      <c r="N70" s="132"/>
      <c r="O70" s="132"/>
      <c r="P70" s="57"/>
      <c r="Q70" s="132"/>
    </row>
    <row r="71" ht="14.25" customHeight="true">
      <c r="A71" s="18"/>
      <c r="B71" s="57"/>
      <c r="C71" s="134"/>
      <c r="D71" s="134"/>
      <c r="E71" s="66"/>
      <c r="F71" s="132"/>
      <c r="G71" s="132"/>
      <c r="H71" s="132"/>
      <c r="I71" s="132"/>
      <c r="J71" s="132"/>
      <c r="K71" s="132"/>
      <c r="L71" s="132"/>
      <c r="M71" s="132"/>
      <c r="N71" s="132"/>
      <c r="O71" s="132"/>
      <c r="P71" s="57"/>
      <c r="Q71" s="132"/>
    </row>
    <row r="72" ht="14.25" customHeight="true">
      <c r="A72" s="18"/>
      <c r="B72" s="57"/>
      <c r="C72" s="134"/>
      <c r="D72" s="134"/>
      <c r="E72" s="66"/>
      <c r="F72" s="132"/>
      <c r="G72" s="132"/>
      <c r="H72" s="132"/>
      <c r="I72" s="132"/>
      <c r="J72" s="132"/>
      <c r="K72" s="132"/>
      <c r="L72" s="132"/>
      <c r="M72" s="132"/>
      <c r="N72" s="132"/>
      <c r="O72" s="132"/>
      <c r="P72" s="57"/>
      <c r="Q72" s="132"/>
    </row>
    <row r="73" ht="14.25" customHeight="true">
      <c r="A73" s="18"/>
      <c r="B73" s="57"/>
      <c r="C73" s="134"/>
      <c r="D73" s="134"/>
      <c r="E73" s="66"/>
      <c r="F73" s="132"/>
      <c r="G73" s="132"/>
      <c r="H73" s="132"/>
      <c r="I73" s="132"/>
      <c r="J73" s="132"/>
      <c r="K73" s="132"/>
      <c r="L73" s="132"/>
      <c r="M73" s="132"/>
      <c r="N73" s="132"/>
      <c r="O73" s="132"/>
      <c r="P73" s="57"/>
      <c r="Q73" s="132"/>
    </row>
    <row r="74" ht="14.25" customHeight="true">
      <c r="A74" s="18"/>
      <c r="B74" s="57"/>
      <c r="C74" s="134"/>
      <c r="D74" s="134"/>
      <c r="E74" s="66"/>
      <c r="F74" s="132"/>
      <c r="G74" s="132"/>
      <c r="H74" s="132"/>
      <c r="I74" s="132"/>
      <c r="J74" s="132"/>
      <c r="K74" s="132"/>
      <c r="L74" s="132"/>
      <c r="M74" s="132"/>
      <c r="N74" s="132"/>
      <c r="O74" s="132"/>
      <c r="P74" s="57"/>
      <c r="Q74" s="132"/>
    </row>
    <row r="75" ht="14.25" customHeight="true">
      <c r="A75" s="18"/>
      <c r="B75" s="57"/>
      <c r="C75" s="134"/>
      <c r="D75" s="134"/>
      <c r="E75" s="66"/>
      <c r="F75" s="132"/>
      <c r="G75" s="132"/>
      <c r="H75" s="132"/>
      <c r="I75" s="132"/>
      <c r="J75" s="132"/>
      <c r="K75" s="132"/>
      <c r="L75" s="132"/>
      <c r="M75" s="132"/>
      <c r="N75" s="132"/>
      <c r="O75" s="132"/>
      <c r="P75" s="57"/>
      <c r="Q75" s="132"/>
    </row>
    <row r="76" ht="14.25" customHeight="true">
      <c r="A76" s="18"/>
      <c r="B76" s="57"/>
      <c r="C76" s="134"/>
      <c r="D76" s="134"/>
      <c r="E76" s="66"/>
      <c r="F76" s="132"/>
      <c r="G76" s="132"/>
      <c r="H76" s="132"/>
      <c r="I76" s="132"/>
      <c r="J76" s="132"/>
      <c r="K76" s="132"/>
      <c r="L76" s="132"/>
      <c r="M76" s="132"/>
      <c r="N76" s="132"/>
      <c r="O76" s="132"/>
      <c r="P76" s="57"/>
      <c r="Q76" s="132"/>
    </row>
    <row r="77" ht="14.25" customHeight="true">
      <c r="A77" s="18"/>
      <c r="B77" s="57"/>
      <c r="C77" s="134"/>
      <c r="D77" s="134"/>
      <c r="E77" s="66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57"/>
      <c r="Q77" s="132"/>
    </row>
    <row r="78" ht="14.25" customHeight="true">
      <c r="A78" s="18"/>
      <c r="B78" s="57"/>
      <c r="C78" s="134"/>
      <c r="D78" s="134"/>
      <c r="E78" s="66"/>
      <c r="F78" s="132"/>
      <c r="G78" s="132"/>
      <c r="H78" s="132"/>
      <c r="I78" s="132"/>
      <c r="J78" s="132"/>
      <c r="K78" s="132"/>
      <c r="L78" s="132"/>
      <c r="M78" s="132"/>
      <c r="N78" s="132"/>
      <c r="O78" s="132"/>
      <c r="P78" s="57"/>
      <c r="Q78" s="132"/>
    </row>
    <row r="79" ht="14.25" customHeight="true">
      <c r="A79" s="18"/>
      <c r="B79" s="57"/>
      <c r="C79" s="134"/>
      <c r="D79" s="134"/>
      <c r="E79" s="66"/>
      <c r="F79" s="132"/>
      <c r="G79" s="132"/>
      <c r="H79" s="132"/>
      <c r="I79" s="132"/>
      <c r="J79" s="132"/>
      <c r="K79" s="132"/>
      <c r="L79" s="132"/>
      <c r="M79" s="132"/>
      <c r="N79" s="132"/>
      <c r="O79" s="132"/>
      <c r="P79" s="57"/>
      <c r="Q79" s="132"/>
    </row>
    <row r="80" ht="14.25" customHeight="true">
      <c r="A80" s="18"/>
      <c r="B80" s="57"/>
      <c r="C80" s="134"/>
      <c r="D80" s="134"/>
      <c r="E80" s="66"/>
      <c r="F80" s="132"/>
      <c r="G80" s="132"/>
      <c r="H80" s="132"/>
      <c r="I80" s="132"/>
      <c r="J80" s="132"/>
      <c r="K80" s="132"/>
      <c r="L80" s="132"/>
      <c r="M80" s="132"/>
      <c r="N80" s="132"/>
      <c r="O80" s="132"/>
      <c r="P80" s="57"/>
      <c r="Q80" s="132"/>
    </row>
    <row r="81" ht="14.25" customHeight="true">
      <c r="A81" s="18"/>
      <c r="B81" s="57" t="s">
        <v>507</v>
      </c>
      <c r="C81" s="134"/>
      <c r="D81" s="134"/>
      <c r="E81" s="66"/>
      <c r="F81" s="132"/>
      <c r="G81" s="132"/>
      <c r="H81" s="132"/>
      <c r="I81" s="132"/>
      <c r="J81" s="132"/>
      <c r="K81" s="132"/>
      <c r="L81" s="132"/>
      <c r="M81" s="132"/>
      <c r="N81" s="132"/>
      <c r="O81" s="132"/>
      <c r="P81" s="57"/>
      <c r="Q81" s="132"/>
    </row>
    <row r="82" ht="14.25" customHeight="true">
      <c r="A82" s="18"/>
      <c r="B82" s="57"/>
      <c r="C82" s="134"/>
      <c r="D82" s="134"/>
      <c r="E82" s="66"/>
      <c r="F82" s="132"/>
      <c r="G82" s="132"/>
      <c r="H82" s="132"/>
      <c r="I82" s="132"/>
      <c r="J82" s="132"/>
      <c r="K82" s="132"/>
      <c r="L82" s="132"/>
      <c r="M82" s="132"/>
      <c r="N82" s="132"/>
      <c r="O82" s="132"/>
      <c r="P82" s="57"/>
      <c r="Q82" s="132"/>
    </row>
    <row r="83" ht="14.25" customHeight="true">
      <c r="A83" s="18"/>
      <c r="B83" s="57"/>
      <c r="C83" s="134"/>
      <c r="D83" s="134"/>
      <c r="E83" s="66"/>
      <c r="F83" s="132"/>
      <c r="G83" s="132"/>
      <c r="H83" s="132"/>
      <c r="I83" s="132"/>
      <c r="J83" s="132"/>
      <c r="K83" s="132"/>
      <c r="L83" s="132"/>
      <c r="M83" s="132"/>
      <c r="N83" s="132"/>
      <c r="O83" s="132"/>
      <c r="P83" s="57"/>
      <c r="Q83" s="132"/>
    </row>
    <row r="84" ht="14.25" customHeight="true">
      <c r="A84" s="18"/>
      <c r="B84" s="57"/>
      <c r="C84" s="134"/>
      <c r="D84" s="134"/>
      <c r="E84" s="66"/>
      <c r="F84" s="132"/>
      <c r="G84" s="132"/>
      <c r="H84" s="132"/>
      <c r="I84" s="132"/>
      <c r="J84" s="132"/>
      <c r="K84" s="132"/>
      <c r="L84" s="132"/>
      <c r="M84" s="132"/>
      <c r="N84" s="132"/>
      <c r="O84" s="132"/>
      <c r="P84" s="57"/>
      <c r="Q84" s="132"/>
    </row>
    <row r="85" ht="14.25" customHeight="true">
      <c r="A85" s="18"/>
      <c r="B85" s="57"/>
      <c r="C85" s="134"/>
      <c r="D85" s="134"/>
      <c r="E85" s="66"/>
      <c r="F85" s="132"/>
      <c r="G85" s="132"/>
      <c r="H85" s="132"/>
      <c r="I85" s="132"/>
      <c r="J85" s="132"/>
      <c r="K85" s="132"/>
      <c r="L85" s="132"/>
      <c r="M85" s="132"/>
      <c r="N85" s="132"/>
      <c r="O85" s="132"/>
      <c r="P85" s="57"/>
      <c r="Q85" s="132"/>
    </row>
    <row r="86" ht="14.25" customHeight="true">
      <c r="A86" s="18"/>
      <c r="B86" s="57"/>
      <c r="C86" s="134"/>
      <c r="D86" s="134"/>
      <c r="E86" s="66"/>
      <c r="F86" s="132"/>
      <c r="G86" s="132"/>
      <c r="H86" s="132"/>
      <c r="I86" s="132"/>
      <c r="J86" s="132"/>
      <c r="K86" s="132"/>
      <c r="L86" s="132"/>
      <c r="M86" s="132"/>
      <c r="N86" s="132"/>
      <c r="O86" s="132"/>
      <c r="P86" s="57"/>
      <c r="Q86" s="132"/>
    </row>
    <row r="87" ht="14.25" customHeight="true">
      <c r="A87" s="18"/>
      <c r="B87" s="57"/>
      <c r="C87" s="134"/>
      <c r="D87" s="134"/>
      <c r="E87" s="66"/>
      <c r="F87" s="132"/>
      <c r="G87" s="132"/>
      <c r="H87" s="132"/>
      <c r="I87" s="132"/>
      <c r="J87" s="132"/>
      <c r="K87" s="132"/>
      <c r="L87" s="132"/>
      <c r="M87" s="132"/>
      <c r="N87" s="132"/>
      <c r="O87" s="132"/>
      <c r="P87" s="57"/>
      <c r="Q87" s="132"/>
    </row>
    <row r="88" ht="14.25" customHeight="true">
      <c r="A88" s="18"/>
      <c r="B88" s="57"/>
      <c r="C88" s="134"/>
      <c r="D88" s="134"/>
      <c r="E88" s="66"/>
      <c r="F88" s="132"/>
      <c r="G88" s="132"/>
      <c r="H88" s="132"/>
      <c r="I88" s="132"/>
      <c r="J88" s="132"/>
      <c r="K88" s="132"/>
      <c r="L88" s="132"/>
      <c r="M88" s="132"/>
      <c r="N88" s="132"/>
      <c r="O88" s="132"/>
      <c r="P88" s="57"/>
      <c r="Q88" s="132"/>
    </row>
    <row r="89" ht="14.25" customHeight="true">
      <c r="A89" s="18"/>
      <c r="B89" s="57"/>
      <c r="C89" s="134"/>
      <c r="D89" s="134"/>
      <c r="E89" s="66"/>
      <c r="F89" s="132"/>
      <c r="G89" s="132"/>
      <c r="H89" s="132"/>
      <c r="I89" s="132"/>
      <c r="J89" s="132"/>
      <c r="K89" s="132"/>
      <c r="L89" s="132"/>
      <c r="M89" s="132"/>
      <c r="N89" s="132"/>
      <c r="O89" s="132"/>
      <c r="P89" s="57"/>
      <c r="Q89" s="132"/>
    </row>
    <row r="90" ht="14.25" customHeight="true">
      <c r="A90" s="18"/>
      <c r="B90" s="57"/>
      <c r="C90" s="134"/>
      <c r="D90" s="134"/>
      <c r="E90" s="66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57"/>
      <c r="Q90" s="132"/>
    </row>
    <row r="91" ht="14.25" customHeight="true">
      <c r="A91" s="18"/>
      <c r="B91" s="57"/>
      <c r="C91" s="134"/>
      <c r="D91" s="134"/>
      <c r="E91" s="66"/>
      <c r="F91" s="132"/>
      <c r="G91" s="132"/>
      <c r="H91" s="132"/>
      <c r="I91" s="132"/>
      <c r="J91" s="132"/>
      <c r="K91" s="132"/>
      <c r="L91" s="132"/>
      <c r="M91" s="132"/>
      <c r="N91" s="132"/>
      <c r="O91" s="132"/>
      <c r="P91" s="57"/>
      <c r="Q91" s="132"/>
    </row>
    <row r="92" ht="14.25" customHeight="true">
      <c r="A92" s="18"/>
      <c r="B92" s="57"/>
      <c r="C92" s="134"/>
      <c r="D92" s="134"/>
      <c r="E92" s="66"/>
      <c r="F92" s="132"/>
      <c r="G92" s="132"/>
      <c r="H92" s="132"/>
      <c r="I92" s="132"/>
      <c r="J92" s="132"/>
      <c r="K92" s="132"/>
      <c r="L92" s="132"/>
      <c r="M92" s="132"/>
      <c r="N92" s="132"/>
      <c r="O92" s="132"/>
      <c r="P92" s="57"/>
      <c r="Q92" s="132"/>
    </row>
    <row r="93" ht="14.25" customHeight="true">
      <c r="A93" s="18"/>
      <c r="B93" s="57"/>
      <c r="C93" s="134"/>
      <c r="D93" s="134"/>
      <c r="E93" s="66"/>
      <c r="F93" s="132"/>
      <c r="G93" s="132"/>
      <c r="H93" s="132"/>
      <c r="I93" s="132"/>
      <c r="J93" s="132"/>
      <c r="K93" s="132"/>
      <c r="L93" s="132"/>
      <c r="M93" s="132"/>
      <c r="N93" s="132"/>
      <c r="O93" s="132"/>
      <c r="P93" s="57"/>
      <c r="Q93" s="132"/>
    </row>
    <row r="94" ht="14.25" customHeight="true">
      <c r="A94" s="18"/>
      <c r="B94" s="57"/>
      <c r="C94" s="134"/>
      <c r="D94" s="134"/>
      <c r="E94" s="66"/>
      <c r="F94" s="132"/>
      <c r="G94" s="132"/>
      <c r="H94" s="132"/>
      <c r="I94" s="132"/>
      <c r="J94" s="132"/>
      <c r="K94" s="132"/>
      <c r="L94" s="132"/>
      <c r="M94" s="132"/>
      <c r="N94" s="132"/>
      <c r="O94" s="132"/>
      <c r="P94" s="57"/>
      <c r="Q94" s="132"/>
    </row>
    <row r="95" ht="14.25" customHeight="true">
      <c r="A95" s="18"/>
      <c r="B95" s="57"/>
      <c r="C95" s="134"/>
      <c r="D95" s="134"/>
      <c r="E95" s="66"/>
      <c r="F95" s="132"/>
      <c r="G95" s="132"/>
      <c r="H95" s="132"/>
      <c r="I95" s="132"/>
      <c r="J95" s="132"/>
      <c r="K95" s="132"/>
      <c r="L95" s="132"/>
      <c r="M95" s="132"/>
      <c r="N95" s="132"/>
      <c r="O95" s="132"/>
      <c r="P95" s="57"/>
      <c r="Q95" s="132"/>
    </row>
    <row r="96" ht="14.25" customHeight="true">
      <c r="A96" s="18"/>
      <c r="B96" s="57"/>
      <c r="C96" s="134"/>
      <c r="D96" s="134"/>
      <c r="E96" s="66"/>
      <c r="F96" s="132"/>
      <c r="G96" s="132"/>
      <c r="H96" s="132"/>
      <c r="I96" s="132"/>
      <c r="J96" s="132"/>
      <c r="K96" s="132"/>
      <c r="L96" s="132"/>
      <c r="M96" s="132"/>
      <c r="N96" s="132"/>
      <c r="O96" s="132"/>
      <c r="P96" s="57"/>
      <c r="Q96" s="132"/>
    </row>
    <row r="97" ht="14.25" customHeight="true">
      <c r="A97" s="18"/>
      <c r="B97" s="57"/>
      <c r="C97" s="134"/>
      <c r="D97" s="134"/>
      <c r="E97" s="66"/>
      <c r="F97" s="132"/>
      <c r="G97" s="132"/>
      <c r="H97" s="132"/>
      <c r="I97" s="132"/>
      <c r="J97" s="132"/>
      <c r="K97" s="132"/>
      <c r="L97" s="132"/>
      <c r="M97" s="132"/>
      <c r="N97" s="132"/>
      <c r="O97" s="132"/>
      <c r="P97" s="57"/>
      <c r="Q97" s="132"/>
    </row>
    <row r="98" ht="14.25" customHeight="true">
      <c r="A98" s="18"/>
      <c r="B98" s="57"/>
      <c r="C98" s="134"/>
      <c r="D98" s="134"/>
      <c r="E98" s="66"/>
      <c r="F98" s="132"/>
      <c r="G98" s="132"/>
      <c r="H98" s="132"/>
      <c r="I98" s="132"/>
      <c r="J98" s="132"/>
      <c r="K98" s="132"/>
      <c r="L98" s="132"/>
      <c r="M98" s="132"/>
      <c r="N98" s="132"/>
      <c r="O98" s="132"/>
      <c r="P98" s="57"/>
      <c r="Q98" s="132"/>
    </row>
    <row r="99" ht="14.25" customHeight="true">
      <c r="A99" s="18"/>
      <c r="B99" s="57"/>
      <c r="C99" s="134"/>
      <c r="D99" s="134"/>
      <c r="E99" s="66"/>
      <c r="F99" s="132"/>
      <c r="G99" s="132"/>
      <c r="H99" s="132"/>
      <c r="I99" s="132"/>
      <c r="J99" s="132"/>
      <c r="K99" s="132"/>
      <c r="L99" s="132"/>
      <c r="M99" s="132"/>
      <c r="N99" s="132"/>
      <c r="O99" s="132"/>
      <c r="P99" s="57"/>
      <c r="Q99" s="132"/>
    </row>
    <row r="100" ht="14.25" customHeight="true">
      <c r="A100" s="18"/>
      <c r="B100" s="57"/>
      <c r="C100" s="134"/>
      <c r="D100" s="134"/>
      <c r="E100" s="66"/>
      <c r="F100" s="132"/>
      <c r="G100" s="132"/>
      <c r="H100" s="132"/>
      <c r="I100" s="132"/>
      <c r="J100" s="132"/>
      <c r="K100" s="132"/>
      <c r="L100" s="132"/>
      <c r="M100" s="132"/>
      <c r="N100" s="132"/>
      <c r="O100" s="132"/>
      <c r="P100" s="57"/>
      <c r="Q100" s="132"/>
    </row>
    <row r="101" ht="14.25" customHeight="true">
      <c r="A101" s="18"/>
      <c r="B101" s="57"/>
      <c r="C101" s="134"/>
      <c r="D101" s="134"/>
      <c r="E101" s="66"/>
      <c r="F101" s="132"/>
      <c r="G101" s="132"/>
      <c r="H101" s="132"/>
      <c r="I101" s="132"/>
      <c r="J101" s="132"/>
      <c r="K101" s="132"/>
      <c r="L101" s="132"/>
      <c r="M101" s="132"/>
      <c r="N101" s="132"/>
      <c r="O101" s="132"/>
      <c r="P101" s="57"/>
      <c r="Q101" s="132"/>
    </row>
    <row r="102" ht="14.25" customHeight="true">
      <c r="A102" s="18"/>
      <c r="B102" s="57"/>
      <c r="C102" s="134"/>
      <c r="D102" s="134"/>
      <c r="E102" s="66"/>
      <c r="F102" s="132"/>
      <c r="G102" s="132"/>
      <c r="H102" s="132"/>
      <c r="I102" s="132"/>
      <c r="J102" s="132"/>
      <c r="K102" s="132"/>
      <c r="L102" s="132"/>
      <c r="M102" s="132"/>
      <c r="N102" s="132"/>
      <c r="O102" s="132"/>
      <c r="P102" s="57"/>
      <c r="Q102" s="132"/>
    </row>
    <row r="103" ht="14.25" customHeight="true">
      <c r="A103" s="18"/>
      <c r="B103" s="57"/>
      <c r="C103" s="134"/>
      <c r="D103" s="134"/>
      <c r="E103" s="66"/>
      <c r="F103" s="132"/>
      <c r="G103" s="132"/>
      <c r="H103" s="132"/>
      <c r="I103" s="132"/>
      <c r="J103" s="132"/>
      <c r="K103" s="132"/>
      <c r="L103" s="132"/>
      <c r="M103" s="132"/>
      <c r="N103" s="132"/>
      <c r="O103" s="132"/>
      <c r="P103" s="57"/>
      <c r="Q103" s="132"/>
    </row>
    <row r="104" ht="14.25" customHeight="true">
      <c r="A104" s="18"/>
      <c r="B104" s="57"/>
      <c r="C104" s="134"/>
      <c r="D104" s="134"/>
      <c r="E104" s="66"/>
      <c r="F104" s="132"/>
      <c r="G104" s="132"/>
      <c r="H104" s="132"/>
      <c r="I104" s="132"/>
      <c r="J104" s="132"/>
      <c r="K104" s="132"/>
      <c r="L104" s="132"/>
      <c r="M104" s="132"/>
      <c r="N104" s="132"/>
      <c r="O104" s="132"/>
      <c r="P104" s="57"/>
      <c r="Q104" s="132"/>
    </row>
    <row r="105" ht="14.25" customHeight="true">
      <c r="A105" s="18"/>
      <c r="B105" s="57"/>
      <c r="C105" s="134"/>
      <c r="D105" s="134"/>
      <c r="E105" s="66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57"/>
      <c r="Q105" s="132"/>
    </row>
    <row r="106" ht="14.25" customHeight="true">
      <c r="A106" s="18"/>
      <c r="B106" s="57"/>
      <c r="C106" s="134"/>
      <c r="D106" s="134"/>
      <c r="E106" s="66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57"/>
      <c r="Q106" s="132"/>
    </row>
    <row r="107" ht="14.25" customHeight="true">
      <c r="A107" s="18"/>
      <c r="B107" s="57"/>
      <c r="C107" s="134"/>
      <c r="D107" s="134"/>
      <c r="E107" s="66"/>
      <c r="F107" s="132"/>
      <c r="G107" s="132"/>
      <c r="H107" s="132"/>
      <c r="I107" s="132"/>
      <c r="J107" s="132"/>
      <c r="K107" s="132"/>
      <c r="L107" s="132"/>
      <c r="M107" s="132"/>
      <c r="N107" s="132"/>
      <c r="O107" s="132"/>
      <c r="P107" s="57"/>
      <c r="Q107" s="132"/>
    </row>
    <row r="108" ht="14.25" customHeight="true">
      <c r="A108" s="18"/>
      <c r="B108" s="57"/>
      <c r="C108" s="134"/>
      <c r="D108" s="134"/>
      <c r="E108" s="66"/>
      <c r="F108" s="132"/>
      <c r="G108" s="132"/>
      <c r="H108" s="132"/>
      <c r="I108" s="132"/>
      <c r="J108" s="132"/>
      <c r="K108" s="132"/>
      <c r="L108" s="132"/>
      <c r="M108" s="132"/>
      <c r="N108" s="132"/>
      <c r="O108" s="132"/>
      <c r="P108" s="57"/>
      <c r="Q108" s="132"/>
    </row>
    <row r="109" ht="14.25" customHeight="true">
      <c r="A109" s="18"/>
      <c r="B109" s="57"/>
      <c r="C109" s="134"/>
      <c r="D109" s="134"/>
      <c r="E109" s="66"/>
      <c r="F109" s="132"/>
      <c r="G109" s="132"/>
      <c r="H109" s="132"/>
      <c r="I109" s="132"/>
      <c r="J109" s="132"/>
      <c r="K109" s="132"/>
      <c r="L109" s="132"/>
      <c r="M109" s="132"/>
      <c r="N109" s="132"/>
      <c r="O109" s="132"/>
      <c r="P109" s="57"/>
      <c r="Q109" s="132"/>
    </row>
    <row r="110" ht="14.25" customHeight="true">
      <c r="A110" s="18"/>
      <c r="B110" s="57"/>
      <c r="C110" s="134"/>
      <c r="D110" s="134"/>
      <c r="E110" s="66"/>
      <c r="F110" s="132"/>
      <c r="G110" s="132"/>
      <c r="H110" s="132"/>
      <c r="I110" s="132"/>
      <c r="J110" s="132"/>
      <c r="K110" s="132"/>
      <c r="L110" s="132"/>
      <c r="M110" s="132"/>
      <c r="N110" s="132"/>
      <c r="O110" s="132"/>
      <c r="P110" s="57"/>
      <c r="Q110" s="132"/>
    </row>
    <row r="111" ht="14.25" customHeight="true">
      <c r="A111" s="18"/>
      <c r="B111" s="57"/>
      <c r="C111" s="134"/>
      <c r="D111" s="134"/>
      <c r="E111" s="66"/>
      <c r="F111" s="132"/>
      <c r="G111" s="132"/>
      <c r="H111" s="132"/>
      <c r="I111" s="132"/>
      <c r="J111" s="132"/>
      <c r="K111" s="132"/>
      <c r="L111" s="132"/>
      <c r="M111" s="132"/>
      <c r="N111" s="132"/>
      <c r="O111" s="132"/>
      <c r="P111" s="57"/>
      <c r="Q111" s="132"/>
    </row>
    <row r="112" ht="14.25" customHeight="true">
      <c r="A112" s="18"/>
      <c r="B112" s="57"/>
      <c r="C112" s="134"/>
      <c r="D112" s="134"/>
      <c r="E112" s="66"/>
      <c r="F112" s="132"/>
      <c r="G112" s="132"/>
      <c r="H112" s="132"/>
      <c r="I112" s="132"/>
      <c r="J112" s="132"/>
      <c r="K112" s="132"/>
      <c r="L112" s="132"/>
      <c r="M112" s="132"/>
      <c r="N112" s="132"/>
      <c r="O112" s="132"/>
      <c r="P112" s="57"/>
      <c r="Q112" s="132"/>
    </row>
    <row r="113" ht="14.25" customHeight="true">
      <c r="A113" s="18"/>
      <c r="B113" s="57"/>
      <c r="C113" s="134"/>
      <c r="D113" s="134"/>
      <c r="E113" s="66"/>
      <c r="F113" s="132"/>
      <c r="G113" s="132"/>
      <c r="H113" s="132"/>
      <c r="I113" s="132"/>
      <c r="J113" s="132"/>
      <c r="K113" s="132"/>
      <c r="L113" s="132"/>
      <c r="M113" s="132"/>
      <c r="N113" s="132"/>
      <c r="O113" s="132"/>
      <c r="P113" s="57"/>
      <c r="Q113" s="132"/>
    </row>
    <row r="114" ht="14.25" customHeight="true">
      <c r="A114" s="18"/>
      <c r="B114" s="57"/>
      <c r="C114" s="134"/>
      <c r="D114" s="134"/>
      <c r="E114" s="66"/>
      <c r="F114" s="132"/>
      <c r="G114" s="132"/>
      <c r="H114" s="132"/>
      <c r="I114" s="132"/>
      <c r="J114" s="132"/>
      <c r="K114" s="132"/>
      <c r="L114" s="132"/>
      <c r="M114" s="132"/>
      <c r="N114" s="132"/>
      <c r="O114" s="132"/>
      <c r="P114" s="57"/>
      <c r="Q114" s="132"/>
    </row>
    <row r="115" ht="14.25" customHeight="true">
      <c r="A115" s="18"/>
      <c r="B115" s="57"/>
      <c r="C115" s="134"/>
      <c r="D115" s="134"/>
      <c r="E115" s="66"/>
      <c r="F115" s="132"/>
      <c r="G115" s="132"/>
      <c r="H115" s="132"/>
      <c r="I115" s="132"/>
      <c r="J115" s="132"/>
      <c r="K115" s="132"/>
      <c r="L115" s="132"/>
      <c r="M115" s="132"/>
      <c r="N115" s="132"/>
      <c r="O115" s="132"/>
      <c r="P115" s="57"/>
      <c r="Q115" s="132"/>
    </row>
    <row r="116" ht="14.25" customHeight="true">
      <c r="A116" s="18"/>
      <c r="B116" s="57"/>
      <c r="C116" s="134"/>
      <c r="D116" s="134"/>
      <c r="E116" s="66"/>
      <c r="F116" s="132"/>
      <c r="G116" s="132"/>
      <c r="H116" s="132"/>
      <c r="I116" s="132"/>
      <c r="J116" s="132"/>
      <c r="K116" s="132"/>
      <c r="L116" s="132"/>
      <c r="M116" s="132"/>
      <c r="N116" s="132"/>
      <c r="O116" s="132"/>
      <c r="P116" s="57"/>
      <c r="Q116" s="132"/>
    </row>
    <row r="117" ht="14.25" customHeight="true">
      <c r="A117" s="18"/>
      <c r="B117" s="57"/>
      <c r="C117" s="134"/>
      <c r="D117" s="134"/>
      <c r="E117" s="66"/>
      <c r="F117" s="132"/>
      <c r="G117" s="132"/>
      <c r="H117" s="132"/>
      <c r="I117" s="132"/>
      <c r="J117" s="132"/>
      <c r="K117" s="132"/>
      <c r="L117" s="132"/>
      <c r="M117" s="132"/>
      <c r="N117" s="132"/>
      <c r="O117" s="132"/>
      <c r="P117" s="57"/>
      <c r="Q117" s="132"/>
    </row>
    <row r="118" ht="14.25" customHeight="true">
      <c r="A118" s="18"/>
      <c r="B118" s="57"/>
      <c r="C118" s="134"/>
      <c r="D118" s="134"/>
      <c r="E118" s="66"/>
      <c r="F118" s="132"/>
      <c r="G118" s="132"/>
      <c r="H118" s="132"/>
      <c r="I118" s="132"/>
      <c r="J118" s="132"/>
      <c r="K118" s="132"/>
      <c r="L118" s="132"/>
      <c r="M118" s="132"/>
      <c r="N118" s="132"/>
      <c r="O118" s="132"/>
      <c r="P118" s="57"/>
      <c r="Q118" s="132"/>
    </row>
    <row r="119" ht="14.25" customHeight="true">
      <c r="A119" s="18"/>
      <c r="B119" s="57"/>
      <c r="C119" s="134"/>
      <c r="D119" s="134"/>
      <c r="E119" s="66"/>
      <c r="F119" s="132"/>
      <c r="G119" s="132"/>
      <c r="H119" s="132"/>
      <c r="I119" s="132"/>
      <c r="J119" s="132"/>
      <c r="K119" s="132"/>
      <c r="L119" s="132"/>
      <c r="M119" s="132"/>
      <c r="N119" s="132"/>
      <c r="O119" s="132"/>
      <c r="P119" s="57"/>
      <c r="Q119" s="132"/>
    </row>
    <row r="120" ht="14.25" customHeight="true">
      <c r="A120" s="18"/>
      <c r="B120" s="57"/>
      <c r="C120" s="134"/>
      <c r="D120" s="134"/>
      <c r="E120" s="66"/>
      <c r="F120" s="132"/>
      <c r="G120" s="132"/>
      <c r="H120" s="132"/>
      <c r="I120" s="132"/>
      <c r="J120" s="132"/>
      <c r="K120" s="132"/>
      <c r="L120" s="132"/>
      <c r="M120" s="132"/>
      <c r="N120" s="132"/>
      <c r="O120" s="132"/>
      <c r="P120" s="57"/>
      <c r="Q120" s="132"/>
    </row>
    <row r="121" ht="14.25" customHeight="true">
      <c r="A121" s="18"/>
      <c r="B121" s="57"/>
      <c r="C121" s="134"/>
      <c r="D121" s="134"/>
      <c r="E121" s="66"/>
      <c r="F121" s="132"/>
      <c r="G121" s="132"/>
      <c r="H121" s="132"/>
      <c r="I121" s="132"/>
      <c r="J121" s="132"/>
      <c r="K121" s="132"/>
      <c r="L121" s="132"/>
      <c r="M121" s="132"/>
      <c r="N121" s="132"/>
      <c r="O121" s="132"/>
      <c r="P121" s="57"/>
      <c r="Q121" s="132"/>
    </row>
    <row r="122" ht="14.25" customHeight="true">
      <c r="A122" s="18"/>
      <c r="B122" s="57"/>
      <c r="C122" s="134"/>
      <c r="D122" s="134"/>
      <c r="E122" s="66"/>
      <c r="F122" s="132"/>
      <c r="G122" s="132"/>
      <c r="H122" s="132"/>
      <c r="I122" s="132"/>
      <c r="J122" s="132"/>
      <c r="K122" s="132"/>
      <c r="L122" s="132"/>
      <c r="M122" s="132"/>
      <c r="N122" s="132"/>
      <c r="O122" s="132"/>
      <c r="P122" s="57"/>
      <c r="Q122" s="132"/>
    </row>
    <row r="123" ht="14.25" customHeight="true">
      <c r="A123" s="18"/>
      <c r="B123" s="57"/>
      <c r="C123" s="134"/>
      <c r="D123" s="134"/>
      <c r="E123" s="66"/>
      <c r="F123" s="132"/>
      <c r="G123" s="132"/>
      <c r="H123" s="132"/>
      <c r="I123" s="132"/>
      <c r="J123" s="132"/>
      <c r="K123" s="132"/>
      <c r="L123" s="132"/>
      <c r="M123" s="132"/>
      <c r="N123" s="132"/>
      <c r="O123" s="132"/>
      <c r="P123" s="57"/>
      <c r="Q123" s="132"/>
    </row>
    <row r="124" ht="14.25" customHeight="true">
      <c r="A124" s="18"/>
      <c r="B124" s="57"/>
      <c r="C124" s="134"/>
      <c r="D124" s="134"/>
      <c r="E124" s="66"/>
      <c r="F124" s="132"/>
      <c r="G124" s="132"/>
      <c r="H124" s="132"/>
      <c r="I124" s="132"/>
      <c r="J124" s="132"/>
      <c r="K124" s="132"/>
      <c r="L124" s="132"/>
      <c r="M124" s="132"/>
      <c r="N124" s="132"/>
      <c r="O124" s="132"/>
      <c r="P124" s="57"/>
      <c r="Q124" s="132"/>
    </row>
    <row r="125" ht="14.25" customHeight="true">
      <c r="A125" s="18"/>
      <c r="B125" s="57"/>
      <c r="C125" s="134"/>
      <c r="D125" s="134"/>
      <c r="E125" s="66"/>
      <c r="F125" s="132"/>
      <c r="G125" s="132"/>
      <c r="H125" s="132"/>
      <c r="I125" s="132"/>
      <c r="J125" s="132"/>
      <c r="K125" s="132"/>
      <c r="L125" s="132"/>
      <c r="M125" s="132"/>
      <c r="N125" s="132"/>
      <c r="O125" s="132"/>
      <c r="P125" s="57"/>
      <c r="Q125" s="132"/>
    </row>
    <row r="126" ht="14.25" customHeight="true">
      <c r="A126" s="18"/>
      <c r="B126" s="57"/>
      <c r="C126" s="134"/>
      <c r="D126" s="134"/>
      <c r="E126" s="66"/>
      <c r="F126" s="132"/>
      <c r="G126" s="132"/>
      <c r="H126" s="132"/>
      <c r="I126" s="132"/>
      <c r="J126" s="132"/>
      <c r="K126" s="132"/>
      <c r="L126" s="132"/>
      <c r="M126" s="132"/>
      <c r="N126" s="132"/>
      <c r="O126" s="132"/>
      <c r="P126" s="57"/>
      <c r="Q126" s="132"/>
    </row>
    <row r="127" ht="14.25" customHeight="true">
      <c r="A127" s="18"/>
      <c r="B127" s="57"/>
      <c r="C127" s="134"/>
      <c r="D127" s="134"/>
      <c r="E127" s="66"/>
      <c r="F127" s="132"/>
      <c r="G127" s="132"/>
      <c r="H127" s="132"/>
      <c r="I127" s="132"/>
      <c r="J127" s="132"/>
      <c r="K127" s="132"/>
      <c r="L127" s="132"/>
      <c r="M127" s="132"/>
      <c r="N127" s="132"/>
      <c r="O127" s="132"/>
      <c r="P127" s="57"/>
      <c r="Q127" s="132"/>
    </row>
    <row r="128" ht="14.25" customHeight="true">
      <c r="A128" s="18"/>
      <c r="B128" s="57"/>
      <c r="C128" s="134"/>
      <c r="D128" s="134"/>
      <c r="E128" s="66"/>
      <c r="F128" s="132"/>
      <c r="G128" s="132"/>
      <c r="H128" s="132"/>
      <c r="I128" s="132"/>
      <c r="J128" s="132"/>
      <c r="K128" s="132"/>
      <c r="L128" s="132"/>
      <c r="M128" s="132"/>
      <c r="N128" s="132"/>
      <c r="O128" s="132"/>
      <c r="P128" s="57"/>
      <c r="Q128" s="132"/>
    </row>
    <row r="129" ht="14.25" customHeight="true">
      <c r="A129" s="18"/>
      <c r="B129" s="57"/>
      <c r="C129" s="134"/>
      <c r="D129" s="134"/>
      <c r="E129" s="66"/>
      <c r="F129" s="132"/>
      <c r="G129" s="132"/>
      <c r="H129" s="132"/>
      <c r="I129" s="132"/>
      <c r="J129" s="132"/>
      <c r="K129" s="132"/>
      <c r="L129" s="132"/>
      <c r="M129" s="132"/>
      <c r="N129" s="132"/>
      <c r="O129" s="132"/>
      <c r="P129" s="57"/>
      <c r="Q129" s="132"/>
    </row>
    <row r="130" ht="14.25" customHeight="true">
      <c r="A130" s="18"/>
      <c r="B130" s="57"/>
      <c r="C130" s="134"/>
      <c r="D130" s="134"/>
      <c r="E130" s="66"/>
      <c r="F130" s="132"/>
      <c r="G130" s="132"/>
      <c r="H130" s="132"/>
      <c r="I130" s="132"/>
      <c r="J130" s="132"/>
      <c r="K130" s="132"/>
      <c r="L130" s="132"/>
      <c r="M130" s="132"/>
      <c r="N130" s="132"/>
      <c r="O130" s="132"/>
      <c r="P130" s="57"/>
      <c r="Q130" s="132"/>
    </row>
    <row r="131" ht="14.25" customHeight="true">
      <c r="A131" s="18"/>
      <c r="B131" s="57"/>
      <c r="C131" s="134"/>
      <c r="D131" s="134"/>
      <c r="E131" s="66"/>
      <c r="F131" s="132"/>
      <c r="G131" s="132"/>
      <c r="H131" s="132"/>
      <c r="I131" s="132"/>
      <c r="J131" s="132"/>
      <c r="K131" s="132"/>
      <c r="L131" s="132"/>
      <c r="M131" s="132"/>
      <c r="N131" s="132"/>
      <c r="O131" s="132"/>
      <c r="P131" s="57"/>
      <c r="Q131" s="132"/>
    </row>
    <row r="132" ht="14.25" customHeight="true">
      <c r="A132" s="18"/>
      <c r="B132" s="57"/>
      <c r="C132" s="134"/>
      <c r="D132" s="134"/>
      <c r="E132" s="66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57"/>
      <c r="Q132" s="132"/>
    </row>
    <row r="133" ht="14.25" customHeight="true">
      <c r="A133" s="18"/>
      <c r="B133" s="57"/>
      <c r="C133" s="134"/>
      <c r="D133" s="134"/>
      <c r="E133" s="66"/>
      <c r="F133" s="132"/>
      <c r="G133" s="132"/>
      <c r="H133" s="132"/>
      <c r="I133" s="132"/>
      <c r="J133" s="132"/>
      <c r="K133" s="132"/>
      <c r="L133" s="132"/>
      <c r="M133" s="132"/>
      <c r="N133" s="132"/>
      <c r="O133" s="132"/>
      <c r="P133" s="57"/>
      <c r="Q133" s="132"/>
    </row>
    <row r="134" ht="14.25" customHeight="true">
      <c r="A134" s="18"/>
      <c r="B134" s="57"/>
      <c r="C134" s="134"/>
      <c r="D134" s="134"/>
      <c r="E134" s="66"/>
      <c r="F134" s="132"/>
      <c r="G134" s="132"/>
      <c r="H134" s="132"/>
      <c r="I134" s="132"/>
      <c r="J134" s="132"/>
      <c r="K134" s="132"/>
      <c r="L134" s="132"/>
      <c r="M134" s="132"/>
      <c r="N134" s="132"/>
      <c r="O134" s="132"/>
      <c r="P134" s="57"/>
      <c r="Q134" s="132"/>
    </row>
    <row r="135" ht="14.25" customHeight="true">
      <c r="A135" s="18"/>
      <c r="B135" s="57"/>
      <c r="C135" s="134"/>
      <c r="D135" s="134"/>
      <c r="E135" s="66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57"/>
      <c r="Q135" s="132"/>
    </row>
    <row r="136" ht="14.25" customHeight="true">
      <c r="A136" s="18"/>
      <c r="B136" s="57"/>
      <c r="C136" s="134"/>
      <c r="D136" s="134"/>
      <c r="E136" s="66"/>
      <c r="F136" s="132"/>
      <c r="G136" s="132"/>
      <c r="H136" s="132"/>
      <c r="I136" s="132"/>
      <c r="J136" s="132"/>
      <c r="K136" s="132"/>
      <c r="L136" s="132"/>
      <c r="M136" s="132"/>
      <c r="N136" s="132"/>
      <c r="O136" s="132"/>
      <c r="P136" s="57"/>
      <c r="Q136" s="132"/>
    </row>
    <row r="137" ht="14.25" customHeight="true">
      <c r="A137" s="18"/>
      <c r="B137" s="57"/>
      <c r="C137" s="134"/>
      <c r="D137" s="134"/>
      <c r="E137" s="66"/>
      <c r="F137" s="132"/>
      <c r="G137" s="132"/>
      <c r="H137" s="132"/>
      <c r="I137" s="132"/>
      <c r="J137" s="132"/>
      <c r="K137" s="132"/>
      <c r="L137" s="132"/>
      <c r="M137" s="132"/>
      <c r="N137" s="132"/>
      <c r="O137" s="132"/>
      <c r="P137" s="57"/>
      <c r="Q137" s="132"/>
    </row>
    <row r="138" ht="14.25" customHeight="true">
      <c r="A138" s="18"/>
      <c r="B138" s="57"/>
      <c r="C138" s="134"/>
      <c r="D138" s="134"/>
      <c r="E138" s="66"/>
      <c r="F138" s="132"/>
      <c r="G138" s="132"/>
      <c r="H138" s="132"/>
      <c r="I138" s="132"/>
      <c r="J138" s="132"/>
      <c r="K138" s="132"/>
      <c r="L138" s="132"/>
      <c r="M138" s="132"/>
      <c r="N138" s="132"/>
      <c r="O138" s="132"/>
      <c r="P138" s="57"/>
      <c r="Q138" s="132"/>
    </row>
    <row r="139" ht="14.25" customHeight="true">
      <c r="A139" s="18"/>
      <c r="B139" s="57"/>
      <c r="C139" s="134"/>
      <c r="D139" s="134"/>
      <c r="E139" s="66"/>
      <c r="F139" s="132"/>
      <c r="G139" s="132"/>
      <c r="H139" s="132"/>
      <c r="I139" s="132"/>
      <c r="J139" s="132"/>
      <c r="K139" s="132"/>
      <c r="L139" s="132"/>
      <c r="M139" s="132"/>
      <c r="N139" s="132"/>
      <c r="O139" s="132"/>
      <c r="P139" s="57"/>
      <c r="Q139" s="132"/>
    </row>
    <row r="140" ht="14.25" customHeight="true">
      <c r="A140" s="18"/>
      <c r="B140" s="57"/>
      <c r="C140" s="134"/>
      <c r="D140" s="134"/>
      <c r="E140" s="66"/>
      <c r="F140" s="132"/>
      <c r="G140" s="132"/>
      <c r="H140" s="132"/>
      <c r="I140" s="132"/>
      <c r="J140" s="132"/>
      <c r="K140" s="132"/>
      <c r="L140" s="132"/>
      <c r="M140" s="132"/>
      <c r="N140" s="132"/>
      <c r="O140" s="132"/>
      <c r="P140" s="57"/>
      <c r="Q140" s="132"/>
    </row>
    <row r="141" ht="14.25" customHeight="true">
      <c r="A141" s="18"/>
      <c r="B141" s="57"/>
      <c r="C141" s="134"/>
      <c r="D141" s="134"/>
      <c r="E141" s="66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57"/>
      <c r="Q141" s="132"/>
    </row>
    <row r="142" ht="14.25" customHeight="true">
      <c r="A142" s="18"/>
      <c r="B142" s="57"/>
      <c r="C142" s="134"/>
      <c r="D142" s="134"/>
      <c r="E142" s="66"/>
      <c r="F142" s="132"/>
      <c r="G142" s="132"/>
      <c r="H142" s="132"/>
      <c r="I142" s="132"/>
      <c r="J142" s="132"/>
      <c r="K142" s="132"/>
      <c r="L142" s="132"/>
      <c r="M142" s="132"/>
      <c r="N142" s="132"/>
      <c r="O142" s="132"/>
      <c r="P142" s="57"/>
      <c r="Q142" s="132"/>
    </row>
    <row r="143" ht="14.25" customHeight="true">
      <c r="A143" s="18"/>
      <c r="B143" s="57"/>
      <c r="C143" s="134"/>
      <c r="D143" s="134"/>
      <c r="E143" s="66"/>
      <c r="F143" s="132"/>
      <c r="G143" s="132"/>
      <c r="H143" s="132"/>
      <c r="I143" s="132"/>
      <c r="J143" s="132"/>
      <c r="K143" s="132"/>
      <c r="L143" s="132"/>
      <c r="M143" s="132"/>
      <c r="N143" s="132"/>
      <c r="O143" s="132"/>
      <c r="P143" s="57"/>
      <c r="Q143" s="132"/>
    </row>
    <row r="144" ht="14.25" customHeight="true">
      <c r="A144" s="18"/>
      <c r="B144" s="57"/>
      <c r="C144" s="134"/>
      <c r="D144" s="134"/>
      <c r="E144" s="66"/>
      <c r="F144" s="132"/>
      <c r="G144" s="132"/>
      <c r="H144" s="132"/>
      <c r="I144" s="132"/>
      <c r="J144" s="132"/>
      <c r="K144" s="132"/>
      <c r="L144" s="132"/>
      <c r="M144" s="132"/>
      <c r="N144" s="132"/>
      <c r="O144" s="132"/>
      <c r="P144" s="57"/>
      <c r="Q144" s="132"/>
    </row>
    <row r="145" ht="14.25" customHeight="true">
      <c r="A145" s="18"/>
      <c r="B145" s="57"/>
      <c r="C145" s="134"/>
      <c r="D145" s="134"/>
      <c r="E145" s="66"/>
      <c r="F145" s="132"/>
      <c r="G145" s="132"/>
      <c r="H145" s="132"/>
      <c r="I145" s="132"/>
      <c r="J145" s="132"/>
      <c r="K145" s="132"/>
      <c r="L145" s="132"/>
      <c r="M145" s="132"/>
      <c r="N145" s="132"/>
      <c r="O145" s="132"/>
      <c r="P145" s="57"/>
      <c r="Q145" s="132"/>
    </row>
    <row r="146" ht="14.25" customHeight="true">
      <c r="A146" s="18"/>
      <c r="B146" s="57"/>
      <c r="C146" s="134"/>
      <c r="D146" s="134"/>
      <c r="E146" s="66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57"/>
      <c r="Q146" s="132"/>
    </row>
    <row r="147" ht="14.25" customHeight="true">
      <c r="A147" s="18"/>
      <c r="B147" s="57"/>
      <c r="C147" s="134"/>
      <c r="D147" s="134"/>
      <c r="E147" s="66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57"/>
      <c r="Q147" s="132"/>
    </row>
    <row r="148" ht="14.25" customHeight="true">
      <c r="A148" s="18"/>
      <c r="B148" s="57"/>
      <c r="C148" s="134"/>
      <c r="D148" s="134"/>
      <c r="E148" s="66"/>
      <c r="F148" s="132"/>
      <c r="G148" s="132"/>
      <c r="H148" s="132"/>
      <c r="I148" s="132"/>
      <c r="J148" s="132"/>
      <c r="K148" s="132"/>
      <c r="L148" s="132"/>
      <c r="M148" s="132"/>
      <c r="N148" s="132"/>
      <c r="O148" s="132"/>
      <c r="P148" s="57"/>
      <c r="Q148" s="132"/>
    </row>
    <row r="149" ht="14.25" customHeight="true">
      <c r="A149" s="18"/>
      <c r="B149" s="57"/>
      <c r="C149" s="134"/>
      <c r="D149" s="134"/>
      <c r="E149" s="66"/>
      <c r="F149" s="132"/>
      <c r="G149" s="132"/>
      <c r="H149" s="132"/>
      <c r="I149" s="132"/>
      <c r="J149" s="132"/>
      <c r="K149" s="132"/>
      <c r="L149" s="132"/>
      <c r="M149" s="132"/>
      <c r="N149" s="132"/>
      <c r="O149" s="132"/>
      <c r="P149" s="57"/>
      <c r="Q149" s="132"/>
    </row>
    <row r="150" ht="14.25" customHeight="true">
      <c r="A150" s="18"/>
      <c r="B150" s="57"/>
      <c r="C150" s="134"/>
      <c r="D150" s="134"/>
      <c r="E150" s="66"/>
      <c r="F150" s="132"/>
      <c r="G150" s="132"/>
      <c r="H150" s="132"/>
      <c r="I150" s="132"/>
      <c r="J150" s="132"/>
      <c r="K150" s="132"/>
      <c r="L150" s="132"/>
      <c r="M150" s="132"/>
      <c r="N150" s="132"/>
      <c r="O150" s="132"/>
      <c r="P150" s="57"/>
      <c r="Q150" s="132"/>
    </row>
    <row r="151" ht="14.25" customHeight="true">
      <c r="A151" s="18"/>
      <c r="B151" s="57"/>
      <c r="C151" s="134"/>
      <c r="D151" s="134"/>
      <c r="E151" s="66"/>
      <c r="F151" s="132"/>
      <c r="G151" s="132"/>
      <c r="H151" s="132"/>
      <c r="I151" s="132"/>
      <c r="J151" s="132"/>
      <c r="K151" s="132"/>
      <c r="L151" s="132"/>
      <c r="M151" s="132"/>
      <c r="N151" s="132"/>
      <c r="O151" s="132"/>
      <c r="P151" s="57"/>
      <c r="Q151" s="132"/>
    </row>
    <row r="152" ht="14.25" customHeight="true">
      <c r="A152" s="18"/>
      <c r="B152" s="57"/>
      <c r="C152" s="134"/>
      <c r="D152" s="134"/>
      <c r="E152" s="66"/>
      <c r="F152" s="132"/>
      <c r="G152" s="132"/>
      <c r="H152" s="132"/>
      <c r="I152" s="132"/>
      <c r="J152" s="132"/>
      <c r="K152" s="132"/>
      <c r="L152" s="132"/>
      <c r="M152" s="132"/>
      <c r="N152" s="132"/>
      <c r="O152" s="132"/>
      <c r="P152" s="57"/>
      <c r="Q152" s="132"/>
    </row>
    <row r="153" ht="14.25" customHeight="true">
      <c r="A153" s="18"/>
      <c r="B153" s="57"/>
      <c r="C153" s="134"/>
      <c r="D153" s="134"/>
      <c r="E153" s="66"/>
      <c r="F153" s="132"/>
      <c r="G153" s="132"/>
      <c r="H153" s="132"/>
      <c r="I153" s="132"/>
      <c r="J153" s="132"/>
      <c r="K153" s="132"/>
      <c r="L153" s="132"/>
      <c r="M153" s="132"/>
      <c r="N153" s="132"/>
      <c r="O153" s="132"/>
      <c r="P153" s="57"/>
      <c r="Q153" s="132"/>
    </row>
    <row r="154" ht="14.25" customHeight="true">
      <c r="A154" s="18"/>
      <c r="B154" s="57"/>
      <c r="C154" s="134"/>
      <c r="D154" s="134"/>
      <c r="E154" s="66"/>
      <c r="F154" s="132"/>
      <c r="G154" s="132"/>
      <c r="H154" s="132"/>
      <c r="I154" s="132"/>
      <c r="J154" s="132"/>
      <c r="K154" s="132"/>
      <c r="L154" s="132"/>
      <c r="M154" s="132"/>
      <c r="N154" s="132"/>
      <c r="O154" s="132"/>
      <c r="P154" s="57"/>
      <c r="Q154" s="132"/>
    </row>
    <row r="155" ht="14.25" customHeight="true">
      <c r="A155" s="18"/>
      <c r="B155" s="57"/>
      <c r="C155" s="134"/>
      <c r="D155" s="134"/>
      <c r="E155" s="66"/>
      <c r="F155" s="132"/>
      <c r="G155" s="132"/>
      <c r="H155" s="132"/>
      <c r="I155" s="132"/>
      <c r="J155" s="132"/>
      <c r="K155" s="132"/>
      <c r="L155" s="132"/>
      <c r="M155" s="132"/>
      <c r="N155" s="132"/>
      <c r="O155" s="132"/>
      <c r="P155" s="57"/>
      <c r="Q155" s="132"/>
    </row>
    <row r="156" ht="14.25" customHeight="true">
      <c r="A156" s="18"/>
      <c r="B156" s="57"/>
      <c r="C156" s="134"/>
      <c r="D156" s="134"/>
      <c r="E156" s="66"/>
      <c r="F156" s="132"/>
      <c r="G156" s="132"/>
      <c r="H156" s="132"/>
      <c r="I156" s="132"/>
      <c r="J156" s="132"/>
      <c r="K156" s="132"/>
      <c r="L156" s="132"/>
      <c r="M156" s="132"/>
      <c r="N156" s="132"/>
      <c r="O156" s="132"/>
      <c r="P156" s="57"/>
      <c r="Q156" s="132"/>
    </row>
    <row r="157" ht="14.25" customHeight="true">
      <c r="A157" s="18"/>
      <c r="B157" s="57"/>
      <c r="C157" s="134"/>
      <c r="D157" s="134"/>
      <c r="E157" s="66"/>
      <c r="F157" s="132"/>
      <c r="G157" s="132"/>
      <c r="H157" s="132"/>
      <c r="I157" s="132"/>
      <c r="J157" s="132"/>
      <c r="K157" s="132"/>
      <c r="L157" s="132"/>
      <c r="M157" s="132"/>
      <c r="N157" s="132"/>
      <c r="O157" s="132"/>
      <c r="P157" s="57"/>
      <c r="Q157" s="132"/>
    </row>
    <row r="158" ht="14.25" customHeight="true">
      <c r="A158" s="18"/>
      <c r="B158" s="57"/>
      <c r="C158" s="134"/>
      <c r="D158" s="134"/>
      <c r="E158" s="66"/>
      <c r="F158" s="132"/>
      <c r="G158" s="132"/>
      <c r="H158" s="132"/>
      <c r="I158" s="132"/>
      <c r="J158" s="132"/>
      <c r="K158" s="132"/>
      <c r="L158" s="132"/>
      <c r="M158" s="132"/>
      <c r="N158" s="132"/>
      <c r="O158" s="132"/>
      <c r="P158" s="57"/>
      <c r="Q158" s="132"/>
    </row>
    <row r="159" ht="14.25" customHeight="true">
      <c r="A159" s="18"/>
      <c r="B159" s="57"/>
      <c r="C159" s="134"/>
      <c r="D159" s="134"/>
      <c r="E159" s="66"/>
      <c r="F159" s="132"/>
      <c r="G159" s="132"/>
      <c r="H159" s="132"/>
      <c r="I159" s="132"/>
      <c r="J159" s="132"/>
      <c r="K159" s="132"/>
      <c r="L159" s="132"/>
      <c r="M159" s="132"/>
      <c r="N159" s="132"/>
      <c r="O159" s="132"/>
      <c r="P159" s="57"/>
      <c r="Q159" s="132"/>
    </row>
    <row r="160" ht="14.25" customHeight="true">
      <c r="A160" s="18"/>
      <c r="B160" s="8"/>
      <c r="N160" s="18"/>
      <c r="O160" s="8"/>
    </row>
    <row r="161" ht="14.25" customHeight="true">
      <c r="A161" s="18"/>
      <c r="B161" s="8"/>
      <c r="N161" s="18"/>
      <c r="O161" s="8"/>
    </row>
    <row r="162" ht="14.25" customHeight="true">
      <c r="A162" s="18"/>
      <c r="B162" s="8"/>
      <c r="N162" s="18"/>
      <c r="O162" s="8"/>
    </row>
    <row r="163" ht="14.25" customHeight="true">
      <c r="C163" s="11"/>
      <c r="D163" s="11"/>
      <c r="N163" s="18"/>
      <c r="O163" s="8"/>
    </row>
    <row r="164" ht="14.25" customHeight="true">
      <c r="C164" s="11"/>
      <c r="D164" s="11"/>
      <c r="N164" s="18"/>
      <c r="O164" s="8"/>
    </row>
    <row r="165" ht="14.25" customHeight="true">
      <c r="C165" s="11"/>
      <c r="D165" s="11"/>
      <c r="N165" s="18"/>
      <c r="O165" s="8"/>
    </row>
    <row r="166" ht="14.25" customHeight="true">
      <c r="C166" s="11"/>
      <c r="D166" s="11"/>
      <c r="N166" s="18"/>
      <c r="O166" s="8"/>
    </row>
    <row r="167" ht="14.25" customHeight="true">
      <c r="C167" s="11"/>
      <c r="D167" s="11"/>
      <c r="N167" s="18"/>
      <c r="O167" s="8"/>
    </row>
    <row r="168" ht="14.25" customHeight="true">
      <c r="C168" s="11"/>
      <c r="D168" s="11"/>
      <c r="N168" s="18"/>
      <c r="O168" s="8"/>
    </row>
    <row r="169" ht="14.25" customHeight="true">
      <c r="C169" s="11"/>
      <c r="D169" s="11"/>
      <c r="N169" s="18"/>
      <c r="O169" s="8"/>
    </row>
    <row r="170" ht="14.25" customHeight="true">
      <c r="C170" s="11"/>
      <c r="D170" s="11"/>
      <c r="N170" s="18"/>
      <c r="O170" s="8"/>
    </row>
    <row r="171" ht="14.25" customHeight="true">
      <c r="C171" s="11"/>
      <c r="D171" s="11"/>
      <c r="N171" s="18"/>
      <c r="O171" s="8"/>
    </row>
    <row r="172" ht="14.25" customHeight="true">
      <c r="C172" s="11"/>
      <c r="D172" s="11"/>
      <c r="N172" s="18"/>
      <c r="O172" s="8"/>
    </row>
    <row r="173" ht="14.25" customHeight="true">
      <c r="C173" s="11"/>
      <c r="D173" s="11"/>
      <c r="N173" s="18"/>
      <c r="O173" s="8"/>
    </row>
    <row r="174" ht="14.25" customHeight="true">
      <c r="C174" s="11"/>
      <c r="D174" s="11"/>
      <c r="N174" s="18"/>
      <c r="O174" s="8"/>
    </row>
    <row r="175" ht="14.25" customHeight="true">
      <c r="C175" s="11"/>
      <c r="D175" s="11"/>
      <c r="N175" s="18"/>
      <c r="O175" s="8"/>
    </row>
    <row r="176" ht="14.25" customHeight="true">
      <c r="C176" s="11"/>
      <c r="D176" s="11"/>
      <c r="N176" s="18"/>
      <c r="O176" s="8"/>
    </row>
    <row r="177" ht="14.25" customHeight="true">
      <c r="C177" s="11"/>
      <c r="D177" s="11"/>
      <c r="N177" s="18"/>
      <c r="O177" s="8"/>
    </row>
    <row r="178" ht="14.25" customHeight="true">
      <c r="C178" s="11"/>
      <c r="D178" s="11"/>
      <c r="N178" s="18"/>
      <c r="O178" s="8"/>
    </row>
    <row r="179" ht="14.25" customHeight="true">
      <c r="C179" s="11"/>
      <c r="D179" s="11"/>
      <c r="N179" s="18"/>
      <c r="O179" s="8"/>
    </row>
    <row r="180" ht="14.25" customHeight="true">
      <c r="C180" s="11"/>
      <c r="D180" s="11"/>
      <c r="N180" s="18"/>
      <c r="O180" s="8"/>
    </row>
    <row r="181" ht="14.25" customHeight="true">
      <c r="C181" s="11"/>
      <c r="D181" s="11"/>
      <c r="N181" s="18"/>
      <c r="O181" s="8"/>
    </row>
    <row r="182" ht="14.25" customHeight="true">
      <c r="C182" s="11"/>
      <c r="D182" s="11"/>
      <c r="N182" s="18"/>
      <c r="O182" s="8"/>
    </row>
    <row r="183" ht="14.25" customHeight="true">
      <c r="B183" s="57" t="s">
        <v>508</v>
      </c>
      <c r="C183" s="11"/>
      <c r="D183" s="11"/>
      <c r="N183" s="18"/>
      <c r="O183" s="8"/>
      <c r="P183" s="57" t="s">
        <v>509</v>
      </c>
    </row>
    <row r="184" ht="14.25" customHeight="true">
      <c r="A184" s="8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N184" s="18"/>
      <c r="O184" s="8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</row>
    <row r="185" ht="14.25" customHeight="true">
      <c r="A185" s="8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N185" s="18"/>
      <c r="O185" s="8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</row>
    <row r="186" ht="14.25" customHeight="true">
      <c r="A186" s="8"/>
      <c r="B186" s="136"/>
      <c r="C186" s="136"/>
      <c r="D186" s="136"/>
      <c r="E186" s="136"/>
      <c r="F186" s="136"/>
      <c r="G186" s="136"/>
      <c r="H186" s="136"/>
      <c r="I186" s="136"/>
      <c r="J186" s="136"/>
      <c r="K186" s="136"/>
      <c r="N186" s="18"/>
      <c r="O186" s="8"/>
      <c r="P186" s="136"/>
      <c r="Q186" s="136"/>
      <c r="R186" s="136"/>
      <c r="S186" s="136"/>
      <c r="T186" s="136"/>
      <c r="U186" s="136"/>
      <c r="V186" s="136"/>
      <c r="W186" s="136"/>
      <c r="X186" s="136"/>
      <c r="Y186" s="136"/>
      <c r="Z186" s="136"/>
    </row>
    <row r="187" ht="14.25" customHeight="true">
      <c r="A187" s="8"/>
      <c r="B187" s="11"/>
      <c r="C187" s="11"/>
      <c r="D187" s="11"/>
      <c r="N187" s="18"/>
      <c r="O187" s="8"/>
    </row>
    <row r="188" ht="14.25" customHeight="true">
      <c r="A188" s="8"/>
      <c r="B188" s="11"/>
      <c r="C188" s="11"/>
      <c r="D188" s="11"/>
      <c r="N188" s="18"/>
      <c r="O188" s="8"/>
    </row>
    <row r="189" ht="14.25" customHeight="true">
      <c r="A189" s="8"/>
      <c r="B189" s="11"/>
      <c r="C189" s="11"/>
      <c r="D189" s="11"/>
      <c r="N189" s="18"/>
      <c r="O189" s="8"/>
    </row>
    <row r="190" ht="14.25" customHeight="true">
      <c r="A190" s="8"/>
      <c r="B190" s="11"/>
      <c r="C190" s="11"/>
      <c r="D190" s="11"/>
      <c r="N190" s="18"/>
      <c r="O190" s="8"/>
    </row>
    <row r="191" ht="14.25" customHeight="true">
      <c r="A191" s="8"/>
      <c r="B191" s="11"/>
      <c r="C191" s="11"/>
      <c r="D191" s="11"/>
      <c r="N191" s="18"/>
      <c r="O191" s="8"/>
    </row>
    <row r="192" ht="14.25" customHeight="true">
      <c r="A192" s="8"/>
      <c r="B192" s="11"/>
      <c r="C192" s="11"/>
      <c r="D192" s="11"/>
      <c r="N192" s="18"/>
      <c r="O192" s="8"/>
    </row>
    <row r="193" ht="14.25" customHeight="true">
      <c r="A193" s="8"/>
      <c r="B193" s="11"/>
      <c r="C193" s="11"/>
      <c r="D193" s="11"/>
      <c r="N193" s="18"/>
      <c r="O193" s="8"/>
    </row>
    <row r="194" ht="14.25" customHeight="true">
      <c r="A194" s="8"/>
      <c r="B194" s="11"/>
      <c r="C194" s="11"/>
      <c r="D194" s="11"/>
      <c r="N194" s="18"/>
      <c r="O194" s="8"/>
    </row>
    <row r="195" ht="14.25" customHeight="true">
      <c r="A195" s="8"/>
      <c r="B195" s="11"/>
      <c r="C195" s="11"/>
      <c r="D195" s="11"/>
      <c r="N195" s="18"/>
      <c r="O195" s="8"/>
    </row>
    <row r="196" ht="14.25" customHeight="true">
      <c r="A196" s="8"/>
      <c r="B196" s="11"/>
      <c r="C196" s="11"/>
      <c r="D196" s="11"/>
      <c r="N196" s="18"/>
      <c r="O196" s="8"/>
    </row>
    <row r="197" ht="14.25" customHeight="true">
      <c r="A197" s="8"/>
      <c r="B197" s="11"/>
      <c r="C197" s="11"/>
      <c r="D197" s="11"/>
      <c r="N197" s="18"/>
      <c r="O197" s="8"/>
    </row>
    <row r="198" ht="14.25" customHeight="true">
      <c r="A198" s="8"/>
      <c r="B198" s="11"/>
      <c r="C198" s="11"/>
      <c r="D198" s="11"/>
      <c r="N198" s="18"/>
      <c r="O198" s="8"/>
    </row>
    <row r="199" ht="14.25" customHeight="true">
      <c r="A199" s="8"/>
      <c r="B199" s="11"/>
      <c r="C199" s="11"/>
      <c r="D199" s="11"/>
      <c r="N199" s="18"/>
      <c r="O199" s="8"/>
    </row>
    <row r="200" ht="14.25" customHeight="true">
      <c r="A200" s="8"/>
      <c r="B200" s="11"/>
      <c r="C200" s="11"/>
      <c r="D200" s="11"/>
      <c r="N200" s="18"/>
      <c r="O200" s="8"/>
    </row>
    <row r="201" ht="14.25" customHeight="true">
      <c r="A201" s="8"/>
      <c r="B201" s="11"/>
      <c r="C201" s="11"/>
      <c r="D201" s="11"/>
      <c r="N201" s="18"/>
      <c r="O201" s="8"/>
    </row>
    <row r="202" ht="14.25" customHeight="true">
      <c r="A202" s="8"/>
      <c r="B202" s="11"/>
      <c r="C202" s="11"/>
      <c r="D202" s="11"/>
      <c r="N202" s="18"/>
      <c r="O202" s="8"/>
    </row>
    <row r="203" ht="14.25" customHeight="true">
      <c r="A203" s="8"/>
      <c r="B203" s="11"/>
      <c r="C203" s="11"/>
      <c r="D203" s="11"/>
      <c r="N203" s="18"/>
      <c r="O203" s="8"/>
    </row>
    <row r="204" ht="14.25" customHeight="true">
      <c r="A204" s="8"/>
      <c r="B204" s="11"/>
      <c r="C204" s="11"/>
      <c r="D204" s="11"/>
      <c r="N204" s="18"/>
      <c r="O204" s="8"/>
    </row>
    <row r="205" ht="14.25" customHeight="true">
      <c r="A205" s="8"/>
      <c r="B205" s="11"/>
      <c r="C205" s="11"/>
      <c r="D205" s="11"/>
      <c r="N205" s="18"/>
      <c r="O205" s="8"/>
    </row>
    <row r="206" ht="14.25" customHeight="true">
      <c r="A206" s="8"/>
      <c r="B206" s="11"/>
      <c r="C206" s="11"/>
      <c r="D206" s="11"/>
      <c r="N206" s="18"/>
      <c r="O206" s="8"/>
    </row>
    <row r="207" ht="14.25" customHeight="true">
      <c r="C207" s="11"/>
      <c r="D207" s="11"/>
    </row>
    <row r="208" ht="14.25" customHeight="true">
      <c r="C208" s="11"/>
      <c r="D208" s="11"/>
    </row>
    <row r="209" ht="14.25" customHeight="true">
      <c r="C209" s="11"/>
      <c r="D209" s="11"/>
    </row>
    <row r="210" ht="14.25" customHeight="true">
      <c r="C210" s="11"/>
      <c r="D210" s="11"/>
    </row>
    <row r="211" ht="14.25" customHeight="true">
      <c r="C211" s="11"/>
      <c r="D211" s="11"/>
    </row>
    <row r="212" ht="14.25" customHeight="true">
      <c r="C212" s="11"/>
      <c r="D212" s="11"/>
    </row>
    <row r="213" ht="14.25" customHeight="true">
      <c r="C213" s="11"/>
      <c r="D213" s="11"/>
    </row>
    <row r="214" ht="14.25" customHeight="true">
      <c r="C214" s="11"/>
      <c r="D214" s="11"/>
    </row>
    <row r="215" ht="14.25" customHeight="true">
      <c r="C215" s="11"/>
      <c r="D215" s="11"/>
    </row>
    <row r="216" ht="14.25" customHeight="true">
      <c r="C216" s="11"/>
      <c r="D216" s="11"/>
    </row>
    <row r="217" ht="14.25" customHeight="true">
      <c r="C217" s="11"/>
      <c r="D217" s="11"/>
    </row>
    <row r="218" ht="14.25" customHeight="true">
      <c r="C218" s="11"/>
      <c r="D218" s="11"/>
    </row>
    <row r="219" ht="14.25" customHeight="true">
      <c r="C219" s="11"/>
      <c r="D219" s="11"/>
    </row>
    <row r="220" ht="14.25" customHeight="true">
      <c r="C220" s="11"/>
      <c r="D220" s="11"/>
    </row>
    <row r="221" ht="14.25" customHeight="true">
      <c r="C221" s="11"/>
      <c r="D221" s="11"/>
    </row>
    <row r="222" ht="14.25" customHeight="true">
      <c r="C222" s="11"/>
      <c r="D222" s="11"/>
    </row>
    <row r="223" ht="14.25" customHeight="true">
      <c r="C223" s="11"/>
      <c r="D223" s="11"/>
    </row>
    <row r="224" ht="14.25" customHeight="true">
      <c r="C224" s="11"/>
      <c r="D224" s="11"/>
    </row>
    <row r="225" ht="14.25" customHeight="true">
      <c r="C225" s="11"/>
      <c r="D225" s="11"/>
    </row>
    <row r="226" ht="14.25" customHeight="true">
      <c r="C226" s="11"/>
      <c r="D226" s="11"/>
    </row>
    <row r="227" ht="14.25" customHeight="true">
      <c r="C227" s="11"/>
      <c r="D227" s="11"/>
    </row>
    <row r="228" ht="14.25" customHeight="true">
      <c r="C228" s="11"/>
      <c r="D228" s="11"/>
    </row>
    <row r="229" ht="14.25" customHeight="true">
      <c r="C229" s="11"/>
      <c r="D229" s="11"/>
    </row>
    <row r="230" ht="14.25" customHeight="true">
      <c r="C230" s="11"/>
      <c r="D230" s="11"/>
    </row>
    <row r="231" ht="14.25" customHeight="true">
      <c r="C231" s="11"/>
      <c r="D231" s="11"/>
    </row>
    <row r="232" ht="14.25" customHeight="true">
      <c r="C232" s="11"/>
      <c r="D232" s="11"/>
    </row>
    <row r="233" ht="14.25" customHeight="true">
      <c r="C233" s="11"/>
      <c r="D233" s="11"/>
    </row>
    <row r="234" ht="14.25" customHeight="true">
      <c r="C234" s="11"/>
      <c r="D234" s="11"/>
    </row>
    <row r="235" ht="14.25" customHeight="true">
      <c r="C235" s="11"/>
      <c r="D235" s="11"/>
    </row>
    <row r="236" ht="14.25" customHeight="true">
      <c r="C236" s="11"/>
      <c r="D236" s="11"/>
    </row>
    <row r="237" ht="14.25" customHeight="true">
      <c r="C237" s="11"/>
      <c r="D237" s="11"/>
    </row>
    <row r="238" ht="14.25" customHeight="true">
      <c r="C238" s="11"/>
      <c r="D238" s="11"/>
    </row>
    <row r="239" ht="14.25" customHeight="true">
      <c r="C239" s="11"/>
      <c r="D239" s="11"/>
    </row>
    <row r="240" ht="14.25" customHeight="true">
      <c r="C240" s="11"/>
      <c r="D240" s="11"/>
    </row>
    <row r="241" ht="14.25" customHeight="true">
      <c r="C241" s="11"/>
      <c r="D241" s="11"/>
    </row>
    <row r="242" ht="14.25" customHeight="true">
      <c r="C242" s="11"/>
      <c r="D242" s="11"/>
    </row>
    <row r="243" ht="14.25" customHeight="true">
      <c r="C243" s="11"/>
      <c r="D243" s="11"/>
    </row>
    <row r="244" ht="14.25" customHeight="true">
      <c r="C244" s="11"/>
      <c r="D244" s="11"/>
    </row>
    <row r="245" ht="14.25" customHeight="true">
      <c r="C245" s="11"/>
      <c r="D245" s="11"/>
    </row>
    <row r="246" ht="14.25" customHeight="true">
      <c r="C246" s="11"/>
      <c r="D246" s="11"/>
    </row>
    <row r="247" ht="14.25" customHeight="true">
      <c r="C247" s="11"/>
      <c r="D247" s="11"/>
    </row>
    <row r="248" ht="14.25" customHeight="true">
      <c r="C248" s="11"/>
      <c r="D248" s="11"/>
    </row>
    <row r="249" ht="14.25" customHeight="true">
      <c r="C249" s="11"/>
      <c r="D249" s="11"/>
    </row>
    <row r="250" ht="14.25" customHeight="true">
      <c r="C250" s="11"/>
      <c r="D250" s="11"/>
    </row>
    <row r="251" ht="14.25" customHeight="true">
      <c r="C251" s="11"/>
      <c r="D251" s="11"/>
    </row>
    <row r="252" ht="14.25" customHeight="true">
      <c r="C252" s="11"/>
      <c r="D252" s="11"/>
    </row>
    <row r="253" ht="14.25" customHeight="true">
      <c r="C253" s="11"/>
      <c r="D253" s="11"/>
    </row>
    <row r="254" ht="14.25" customHeight="true">
      <c r="C254" s="11"/>
      <c r="D254" s="11"/>
    </row>
    <row r="255" ht="14.25" customHeight="true">
      <c r="C255" s="11"/>
      <c r="D255" s="11"/>
    </row>
    <row r="256" ht="14.25" customHeight="true">
      <c r="C256" s="11"/>
      <c r="D256" s="11"/>
    </row>
    <row r="257" ht="14.25" customHeight="true">
      <c r="C257" s="11"/>
      <c r="D257" s="11"/>
    </row>
    <row r="258" ht="14.25" customHeight="true">
      <c r="C258" s="11"/>
      <c r="D258" s="11"/>
    </row>
    <row r="259" ht="14.25" customHeight="true">
      <c r="C259" s="11"/>
      <c r="D259" s="11"/>
    </row>
    <row r="260" ht="14.25" customHeight="true">
      <c r="C260" s="11"/>
      <c r="D260" s="11"/>
    </row>
    <row r="261" ht="14.25" customHeight="true">
      <c r="C261" s="11"/>
      <c r="D261" s="11"/>
    </row>
    <row r="262" ht="14.25" customHeight="true">
      <c r="C262" s="11"/>
      <c r="D262" s="11"/>
    </row>
    <row r="263" ht="14.25" customHeight="true">
      <c r="C263" s="11"/>
      <c r="D263" s="11"/>
    </row>
    <row r="264" ht="14.25" customHeight="true">
      <c r="C264" s="11"/>
      <c r="D264" s="11"/>
    </row>
    <row r="265" ht="14.25" customHeight="true">
      <c r="C265" s="11"/>
      <c r="D265" s="11"/>
    </row>
    <row r="266" ht="14.25" customHeight="true">
      <c r="C266" s="11"/>
      <c r="D266" s="11"/>
    </row>
    <row r="267" ht="14.25" customHeight="true">
      <c r="C267" s="11"/>
      <c r="D267" s="11"/>
    </row>
    <row r="268" ht="14.25" customHeight="true">
      <c r="C268" s="11"/>
      <c r="D268" s="11"/>
    </row>
    <row r="269" ht="14.25" customHeight="true">
      <c r="C269" s="11"/>
      <c r="D269" s="11"/>
    </row>
    <row r="270" ht="14.25" customHeight="true">
      <c r="C270" s="11"/>
      <c r="D270" s="11"/>
    </row>
    <row r="271" ht="14.25" customHeight="true">
      <c r="C271" s="11"/>
      <c r="D271" s="11"/>
    </row>
    <row r="272" ht="14.25" customHeight="true">
      <c r="C272" s="11"/>
      <c r="D272" s="11"/>
    </row>
    <row r="273" ht="14.25" customHeight="true">
      <c r="C273" s="11"/>
      <c r="D273" s="11"/>
    </row>
    <row r="274" ht="14.25" customHeight="true">
      <c r="C274" s="11"/>
      <c r="D274" s="11"/>
    </row>
    <row r="275" ht="14.25" customHeight="true">
      <c r="C275" s="11"/>
      <c r="D275" s="11"/>
    </row>
    <row r="276" ht="14.25" customHeight="true">
      <c r="C276" s="11"/>
      <c r="D276" s="11"/>
    </row>
    <row r="277" ht="14.25" customHeight="true">
      <c r="C277" s="11"/>
      <c r="D277" s="11"/>
    </row>
    <row r="278" ht="14.25" customHeight="true">
      <c r="C278" s="11"/>
      <c r="D278" s="11"/>
    </row>
    <row r="279" ht="14.25" customHeight="true">
      <c r="C279" s="11"/>
      <c r="D279" s="11"/>
    </row>
    <row r="280" ht="14.25" customHeight="true">
      <c r="C280" s="11"/>
      <c r="D280" s="11"/>
    </row>
    <row r="281" ht="14.25" customHeight="true">
      <c r="C281" s="11"/>
      <c r="D281" s="11"/>
    </row>
    <row r="282" ht="14.25" customHeight="true">
      <c r="C282" s="11"/>
      <c r="D282" s="11"/>
    </row>
    <row r="283" ht="14.25" customHeight="true">
      <c r="C283" s="11"/>
      <c r="D283" s="11"/>
    </row>
    <row r="284" ht="14.25" customHeight="true">
      <c r="C284" s="11"/>
      <c r="D284" s="11"/>
    </row>
    <row r="285" ht="14.25" customHeight="true">
      <c r="C285" s="11"/>
      <c r="D285" s="11"/>
    </row>
    <row r="286" ht="14.25" customHeight="true">
      <c r="C286" s="11"/>
      <c r="D286" s="11"/>
    </row>
    <row r="287" ht="14.25" customHeight="true">
      <c r="C287" s="11"/>
      <c r="D287" s="11"/>
    </row>
    <row r="288" ht="14.25" customHeight="true">
      <c r="C288" s="11"/>
      <c r="D288" s="11"/>
    </row>
    <row r="289" ht="14.25" customHeight="true">
      <c r="C289" s="11"/>
      <c r="D289" s="11"/>
    </row>
    <row r="290" ht="14.25" customHeight="true">
      <c r="C290" s="11"/>
      <c r="D290" s="11"/>
    </row>
    <row r="291" ht="14.25" customHeight="true">
      <c r="C291" s="11"/>
      <c r="D291" s="11"/>
    </row>
    <row r="292" ht="14.25" customHeight="true">
      <c r="C292" s="11"/>
      <c r="D292" s="11"/>
    </row>
    <row r="293" ht="14.25" customHeight="true">
      <c r="C293" s="11"/>
      <c r="D293" s="11"/>
    </row>
    <row r="294" ht="14.25" customHeight="true">
      <c r="C294" s="11"/>
      <c r="D294" s="11"/>
    </row>
    <row r="295" ht="14.25" customHeight="true">
      <c r="C295" s="11"/>
      <c r="D295" s="11"/>
    </row>
    <row r="296" ht="14.25" customHeight="true">
      <c r="C296" s="11"/>
      <c r="D296" s="11"/>
    </row>
    <row r="297" ht="14.25" customHeight="true">
      <c r="C297" s="11"/>
      <c r="D297" s="11"/>
    </row>
    <row r="298" ht="14.25" customHeight="true">
      <c r="C298" s="11"/>
      <c r="D298" s="11"/>
    </row>
    <row r="299" ht="14.25" customHeight="true">
      <c r="C299" s="11"/>
      <c r="D299" s="11"/>
    </row>
    <row r="300" ht="14.25" customHeight="true">
      <c r="C300" s="11"/>
      <c r="D300" s="11"/>
    </row>
    <row r="301" ht="14.25" customHeight="true">
      <c r="C301" s="11"/>
      <c r="D301" s="11"/>
    </row>
    <row r="302" ht="14.25" customHeight="true">
      <c r="C302" s="11"/>
      <c r="D302" s="11"/>
    </row>
    <row r="303" ht="14.25" customHeight="true">
      <c r="C303" s="11"/>
      <c r="D303" s="11"/>
    </row>
    <row r="304" ht="14.25" customHeight="true">
      <c r="C304" s="11"/>
      <c r="D304" s="11"/>
    </row>
    <row r="305" ht="14.25" customHeight="true">
      <c r="C305" s="11"/>
      <c r="D305" s="11"/>
    </row>
    <row r="306" ht="14.25" customHeight="true">
      <c r="C306" s="11"/>
      <c r="D306" s="11"/>
    </row>
    <row r="307" ht="14.25" customHeight="true">
      <c r="C307" s="11"/>
      <c r="D307" s="11"/>
    </row>
    <row r="308" ht="14.25" customHeight="true">
      <c r="C308" s="11"/>
      <c r="D308" s="11"/>
    </row>
    <row r="309" ht="14.25" customHeight="true">
      <c r="C309" s="11"/>
      <c r="D309" s="11"/>
    </row>
    <row r="310" ht="14.25" customHeight="true">
      <c r="C310" s="11"/>
      <c r="D310" s="11"/>
    </row>
    <row r="311" ht="14.25" customHeight="true">
      <c r="C311" s="11"/>
      <c r="D311" s="11"/>
    </row>
    <row r="312" ht="14.25" customHeight="true">
      <c r="C312" s="11"/>
      <c r="D312" s="11"/>
    </row>
    <row r="313" ht="14.25" customHeight="true">
      <c r="C313" s="11"/>
      <c r="D313" s="11"/>
    </row>
    <row r="314" ht="14.25" customHeight="true">
      <c r="C314" s="11"/>
      <c r="D314" s="11"/>
    </row>
    <row r="315" ht="14.25" customHeight="true">
      <c r="C315" s="11"/>
      <c r="D315" s="11"/>
    </row>
    <row r="316" ht="14.25" customHeight="true">
      <c r="C316" s="11"/>
      <c r="D316" s="11"/>
    </row>
    <row r="317" ht="14.25" customHeight="true">
      <c r="C317" s="11"/>
      <c r="D317" s="11"/>
    </row>
  </sheetData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>
    <tabColor rgb="FF17375E"/>
  </sheetPr>
  <dimension ref="A1"/>
  <sheetViews>
    <sheetView showGridLines="0" tabSelected="0" workbookViewId="0">
      <pane xSplit="9" ySplit="5" topLeftCell="J6" activePane="bottomRight" state="frozen"/>
      <selection activeCell="A1" sqref="A1"/>
    </sheetView>
  </sheetViews>
  <sheetFormatPr defaultRowHeight="14.25" customHeight="1" defaultColWidth="8.34"/>
  <cols>
    <col min="1" max="1" width="2.21" customWidth="1" hidden="0"/>
    <col min="2" max="2" width="39.13" customWidth="1" hidden="0"/>
    <col min="3" max="3" width="2.58" customWidth="1" hidden="0"/>
    <col min="4" max="4" width="9.08" customWidth="1" hidden="0"/>
    <col min="5" max="5" width="2.58" customWidth="1" hidden="0"/>
    <col min="6" max="9" width="10.43" customWidth="1" hidden="1"/>
    <col min="10" max="20" width="10.43" customWidth="1" hidden="0"/>
    <col min="21" max="16384" width="8.34" customWidth="1" hidden="0"/>
  </cols>
  <sheetData>
    <row r="1" ht="14.25" customHeight="true">
      <c r="A1" s="65"/>
      <c r="C1" s="206"/>
      <c r="E1" s="206"/>
    </row>
    <row r="2" ht="14.25" customHeight="true">
      <c r="A2" s="17" t="s">
        <v>13</v>
      </c>
      <c r="B2" s="207" t="s">
        <v>510</v>
      </c>
      <c r="C2" s="206"/>
      <c r="D2" s="208"/>
      <c r="E2" s="206"/>
    </row>
    <row r="3" ht="14.25" customHeight="true">
      <c r="B3" s="8" t="s">
        <v>5</v>
      </c>
      <c r="C3" s="206"/>
      <c r="D3" s="208"/>
      <c r="E3" s="206"/>
    </row>
    <row r="4" ht="14.25" customHeight="true">
      <c r="C4" s="206"/>
      <c r="E4" s="206"/>
    </row>
    <row r="5" ht="14.25" customHeight="true">
      <c r="A5" s="65"/>
      <c r="B5" s="209"/>
      <c r="C5" s="206"/>
      <c r="D5" s="20" t="s">
        <v>511</v>
      </c>
      <c r="E5" s="206"/>
      <c r="F5" s="210"/>
      <c r="G5" s="210"/>
      <c r="H5" s="210"/>
      <c r="I5" s="210"/>
      <c r="J5" s="20">
        <f>=+'Modulo Tesoreria'!F5</f>
      </c>
      <c r="K5" s="20">
        <f>=+'Modulo Tesoreria'!G5</f>
      </c>
      <c r="L5" s="20">
        <f>=+'Modulo Tesoreria'!H5</f>
      </c>
      <c r="M5" s="20">
        <f>=+'Modulo Tesoreria'!I5</f>
      </c>
      <c r="N5" s="20">
        <f>=+'Modulo Tesoreria'!J5</f>
      </c>
      <c r="O5" s="20">
        <f>=+'Modulo Tesoreria'!K5</f>
      </c>
      <c r="P5" s="20">
        <f>=+'Modulo Tesoreria'!L5</f>
      </c>
      <c r="Q5" s="20">
        <f>=+'Modulo Tesoreria'!M5</f>
      </c>
      <c r="R5" s="20">
        <f>=+'Modulo Tesoreria'!N5</f>
      </c>
      <c r="S5" s="20">
        <f>=+'Modulo Tesoreria'!O5</f>
      </c>
      <c r="T5" s="166"/>
    </row>
    <row r="6" ht="14.25" customHeight="true">
      <c r="A6" s="65"/>
      <c r="B6" s="209"/>
      <c r="C6" s="206"/>
      <c r="D6" s="211"/>
      <c r="E6" s="206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</row>
    <row r="7" ht="14.25" customHeight="true">
      <c r="A7" s="213"/>
      <c r="B7" s="214" t="s">
        <v>512</v>
      </c>
      <c r="C7" s="215"/>
      <c r="E7" s="215"/>
      <c r="F7" s="216"/>
      <c r="G7" s="216"/>
      <c r="H7" s="216"/>
      <c r="J7" s="216"/>
    </row>
    <row r="8" ht="14.25" customHeight="true">
      <c r="A8" s="206"/>
      <c r="B8" s="209"/>
      <c r="C8" s="206"/>
      <c r="D8" s="211"/>
      <c r="E8" s="206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</row>
    <row r="9" ht="14.25" customHeight="true">
      <c r="A9" s="215"/>
      <c r="B9" s="217" t="s">
        <v>513</v>
      </c>
      <c r="C9" s="215"/>
      <c r="E9" s="215"/>
      <c r="F9" s="212"/>
      <c r="G9" s="212"/>
      <c r="H9" s="212"/>
      <c r="I9" s="212"/>
      <c r="J9" s="216"/>
    </row>
    <row r="10" ht="14.25" customHeight="true">
      <c r="A10" s="206"/>
      <c r="B10" s="209"/>
      <c r="C10" s="206"/>
      <c r="D10" s="211"/>
      <c r="E10" s="206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8"/>
    </row>
    <row r="11" ht="14.25" customHeight="true">
      <c r="A11" s="38"/>
      <c r="B11" s="219" t="s">
        <v>514</v>
      </c>
      <c r="C11" s="4"/>
      <c r="D11" s="220" t="s">
        <v>515</v>
      </c>
      <c r="E11" s="68"/>
      <c r="F11" s="212"/>
      <c r="G11" s="212"/>
      <c r="H11" s="212"/>
      <c r="I11" s="212"/>
      <c r="J11" s="221">
        <f>=+Covenants!G16</f>
      </c>
      <c r="K11" s="221">
        <f>=+Covenants!H16</f>
      </c>
      <c r="L11" s="221">
        <f>=+Covenants!I16</f>
      </c>
      <c r="M11" s="221">
        <f>=+Covenants!J16</f>
      </c>
      <c r="N11" s="221">
        <f>=+Covenants!K16</f>
      </c>
      <c r="O11" s="221">
        <f>=+Covenants!L16</f>
      </c>
      <c r="P11" s="221">
        <f>=+Covenants!M16</f>
      </c>
      <c r="Q11" s="221">
        <f>=+Covenants!N16</f>
      </c>
      <c r="R11" s="221">
        <f>=+Covenants!O16</f>
      </c>
      <c r="S11" s="221">
        <f>=+Covenants!P16</f>
      </c>
      <c r="T11" s="31"/>
    </row>
    <row r="12" ht="14.25" customHeight="true">
      <c r="A12" s="38"/>
      <c r="B12" s="9" t="s">
        <v>516</v>
      </c>
      <c r="C12" s="4"/>
      <c r="D12" s="220" t="s">
        <v>517</v>
      </c>
      <c r="E12" s="68"/>
      <c r="F12" s="212"/>
      <c r="G12" s="212"/>
      <c r="H12" s="212"/>
      <c r="I12" s="212"/>
      <c r="J12" s="31">
        <f>=+IF(Covenants!G13=0,1000,Covenants!G7/Covenants!G13)</f>
      </c>
      <c r="K12" s="31">
        <f>=+IF(Covenants!H13=0,1000,Covenants!H7/Covenants!H13)</f>
      </c>
      <c r="L12" s="31">
        <f>=+IF(Covenants!I13=0,1000,Covenants!I7/Covenants!I13)</f>
      </c>
      <c r="M12" s="31">
        <f>=+IF(Covenants!J13=0,1000,Covenants!J7/Covenants!J13)</f>
      </c>
      <c r="N12" s="31">
        <f>=+IF(Covenants!K13=0,1000,Covenants!K7/Covenants!K13)</f>
      </c>
      <c r="O12" s="31">
        <f>=+IF(Covenants!L13=0,1000,Covenants!L7/Covenants!L13)</f>
      </c>
      <c r="P12" s="31">
        <f>=+IF(Covenants!M13=0,1000,Covenants!M7/Covenants!M13)</f>
      </c>
      <c r="Q12" s="31">
        <f>=+IF(Covenants!N13=0,1000,Covenants!N7/Covenants!N13)</f>
      </c>
      <c r="R12" s="31">
        <f>=+IF(Covenants!O13=0,1000,Covenants!O7/Covenants!O13)</f>
      </c>
      <c r="S12" s="31">
        <f>=+IF(Covenants!P13=0,1000,Covenants!P7/Covenants!P13)</f>
      </c>
      <c r="T12" s="31"/>
    </row>
    <row r="13" ht="14.25" customHeight="true">
      <c r="A13" s="38"/>
      <c r="B13" s="9" t="s">
        <v>518</v>
      </c>
      <c r="C13" s="4"/>
      <c r="D13" s="220" t="s">
        <v>515</v>
      </c>
      <c r="E13" s="68"/>
      <c r="F13" s="212"/>
      <c r="G13" s="212"/>
      <c r="H13" s="212"/>
      <c r="I13" s="212"/>
      <c r="J13" s="31">
        <f>=+Covenants!G13/Covenants!G8</f>
      </c>
      <c r="K13" s="31">
        <f>=+Covenants!H13/Covenants!H8</f>
      </c>
      <c r="L13" s="31">
        <f>=+Covenants!I13/Covenants!I8</f>
      </c>
      <c r="M13" s="31">
        <f>=+Covenants!J13/Covenants!J8</f>
      </c>
      <c r="N13" s="31">
        <f>=+Covenants!K13/Covenants!K8</f>
      </c>
      <c r="O13" s="31">
        <f>=+Covenants!L13/Covenants!L8</f>
      </c>
      <c r="P13" s="31">
        <f>=+Covenants!M13/Covenants!M8</f>
      </c>
      <c r="Q13" s="31">
        <f>=+Covenants!N13/Covenants!N8</f>
      </c>
      <c r="R13" s="31">
        <f>=+Covenants!O13/Covenants!O8</f>
      </c>
      <c r="S13" s="31">
        <f>=+Covenants!P13/Covenants!P8</f>
      </c>
      <c r="T13" s="31"/>
    </row>
    <row r="14" ht="14.25" customHeight="true">
      <c r="A14" s="38"/>
      <c r="B14" s="9" t="s">
        <v>519</v>
      </c>
      <c r="C14" s="4"/>
      <c r="D14" s="220" t="s">
        <v>515</v>
      </c>
      <c r="E14" s="68"/>
      <c r="F14" s="212"/>
      <c r="G14" s="212"/>
      <c r="H14" s="212"/>
      <c r="I14" s="218"/>
      <c r="J14" s="31">
        <f>=+IF(Covenants!G12=0,100,Covenants!G8/Covenants!G12)</f>
      </c>
      <c r="K14" s="31">
        <f>=+IF(Covenants!H12=0,100,Covenants!H8/Covenants!H12)</f>
      </c>
      <c r="L14" s="31">
        <f>=+IF(Covenants!I12=0,100,Covenants!I8/Covenants!I12)</f>
      </c>
      <c r="M14" s="31">
        <f>=+IF(Covenants!J12=0,100,Covenants!J8/Covenants!J12)</f>
      </c>
      <c r="N14" s="31">
        <f>=+IF(Covenants!K12=0,100,Covenants!K8/Covenants!K12)</f>
      </c>
      <c r="O14" s="31">
        <f>=+IF(Covenants!L12=0,100,Covenants!L8/Covenants!L12)</f>
      </c>
      <c r="P14" s="31">
        <f>=+IF(Covenants!M12=0,100,Covenants!M8/Covenants!M12)</f>
      </c>
      <c r="Q14" s="31">
        <f>=+IF(Covenants!N12=0,100,Covenants!N8/Covenants!N12)</f>
      </c>
      <c r="R14" s="31">
        <f>=+IF(Covenants!O12=0,100,Covenants!O8/Covenants!O12)</f>
      </c>
      <c r="S14" s="31">
        <f>=+IF(Covenants!P12=0,100,Covenants!P8/Covenants!P12)</f>
      </c>
      <c r="T14" s="31"/>
    </row>
    <row r="15" ht="14.25" customHeight="true">
      <c r="A15" s="38"/>
      <c r="B15" s="9" t="s">
        <v>520</v>
      </c>
      <c r="C15" s="4"/>
      <c r="D15" s="220" t="s">
        <v>517</v>
      </c>
      <c r="E15" s="68"/>
      <c r="F15" s="212"/>
      <c r="G15" s="212"/>
      <c r="H15" s="212"/>
      <c r="I15" s="218"/>
      <c r="J15" s="31">
        <f>=+IF(Covenants!G13=0,1000,('Modulo Tesoreria'!F14-'Modulo Tesoreria'!F11)/Covenants!G13)</f>
      </c>
      <c r="K15" s="31">
        <f>=+IF(Covenants!H13=0,1000,('Modulo Tesoreria'!G14-'Modulo Tesoreria'!G11)/Covenants!H13)</f>
      </c>
      <c r="L15" s="31">
        <f>=+IF(Covenants!I13=0,1000,('Modulo Tesoreria'!H14-'Modulo Tesoreria'!H11)/Covenants!I13)</f>
      </c>
      <c r="M15" s="31">
        <f>=+IF(Covenants!J13=0,1000,('Modulo Tesoreria'!I14-'Modulo Tesoreria'!I11)/Covenants!J13)</f>
      </c>
      <c r="N15" s="31">
        <f>=+IF(Covenants!K13=0,1000,('Modulo Tesoreria'!J14-'Modulo Tesoreria'!J11)/Covenants!K13)</f>
      </c>
      <c r="O15" s="31">
        <f>=+IF(Covenants!L13=0,1000,('Modulo Tesoreria'!K14-'Modulo Tesoreria'!K11)/Covenants!L13)</f>
      </c>
      <c r="P15" s="31">
        <f>=+IF(Covenants!M13=0,1000,('Modulo Tesoreria'!L14-'Modulo Tesoreria'!L11)/Covenants!M13)</f>
      </c>
      <c r="Q15" s="31">
        <f>=+IF(Covenants!N13=0,1000,('Modulo Tesoreria'!M14-'Modulo Tesoreria'!M11)/Covenants!N13)</f>
      </c>
      <c r="R15" s="31">
        <f>=+IF(Covenants!O13=0,1000,('Modulo Tesoreria'!N14-'Modulo Tesoreria'!N11)/Covenants!O13)</f>
      </c>
      <c r="S15" s="31">
        <f>=+IF(Covenants!P13=0,1000,('Modulo Tesoreria'!O14-'Modulo Tesoreria'!O11)/Covenants!P13)</f>
      </c>
      <c r="T15" s="31"/>
    </row>
    <row r="16" ht="14.25" customHeight="true">
      <c r="A16" s="38"/>
      <c r="B16" s="222" t="s">
        <v>521</v>
      </c>
      <c r="C16" s="4"/>
      <c r="D16" s="220" t="s">
        <v>517</v>
      </c>
      <c r="E16" s="68"/>
      <c r="F16" s="212"/>
      <c r="G16" s="212"/>
      <c r="H16" s="212"/>
      <c r="I16" s="218"/>
      <c r="J16" s="223">
        <f>=+IF(Covenants!G13=0,1000,'Modulo Tesoreria'!F14/Covenants!G13)</f>
      </c>
      <c r="K16" s="223">
        <f>=+IF(Covenants!H13=0,1000,'Modulo Tesoreria'!G14/Covenants!H13)</f>
      </c>
      <c r="L16" s="223">
        <f>=+IF(Covenants!I13=0,1000,'Modulo Tesoreria'!H14/Covenants!I13)</f>
      </c>
      <c r="M16" s="223">
        <f>=+IF(Covenants!J13=0,1000,'Modulo Tesoreria'!I14/Covenants!J13)</f>
      </c>
      <c r="N16" s="223">
        <f>=+IF(Covenants!K13=0,1000,'Modulo Tesoreria'!J14/Covenants!K13)</f>
      </c>
      <c r="O16" s="223">
        <f>=+IF(Covenants!L13=0,1000,'Modulo Tesoreria'!K14/Covenants!L13)</f>
      </c>
      <c r="P16" s="223">
        <f>=+IF(Covenants!M13=0,1000,'Modulo Tesoreria'!L14/Covenants!M13)</f>
      </c>
      <c r="Q16" s="223">
        <f>=+IF(Covenants!N13=0,1000,'Modulo Tesoreria'!M14/Covenants!N13)</f>
      </c>
      <c r="R16" s="223">
        <f>=+IF(Covenants!O13=0,1000,'Modulo Tesoreria'!N14/Covenants!O13)</f>
      </c>
      <c r="S16" s="223">
        <f>=+IF(Covenants!P13=0,1000,'Modulo Tesoreria'!O14/Covenants!P13)</f>
      </c>
      <c r="T16" s="31"/>
    </row>
    <row r="17" ht="14.25" customHeight="true">
      <c r="A17" s="65"/>
      <c r="B17" s="209"/>
      <c r="C17" s="206"/>
      <c r="D17" s="211"/>
      <c r="E17" s="206"/>
      <c r="F17" s="212"/>
      <c r="G17" s="212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  <c r="S17" s="212"/>
      <c r="T17" s="218"/>
    </row>
    <row r="18" ht="14.25" customHeight="true">
      <c r="F18" s="212"/>
      <c r="G18" s="212"/>
      <c r="H18" s="212"/>
      <c r="I18" s="212"/>
      <c r="T18" s="8"/>
    </row>
    <row r="19" ht="14.25" customHeight="true">
      <c r="A19" s="215"/>
      <c r="B19" s="217" t="s">
        <v>522</v>
      </c>
      <c r="C19" s="215"/>
      <c r="E19" s="215"/>
      <c r="F19" s="212"/>
      <c r="G19" s="212"/>
      <c r="H19" s="212"/>
      <c r="I19" s="212"/>
      <c r="J19" s="216"/>
      <c r="T19" s="224"/>
    </row>
    <row r="20" ht="14.25" customHeight="true">
      <c r="F20" s="212"/>
      <c r="G20" s="212"/>
      <c r="H20" s="212"/>
      <c r="I20" s="212"/>
      <c r="T20" s="8"/>
    </row>
    <row r="21" ht="15.00" customHeight="true">
      <c r="A21" s="38"/>
      <c r="B21" s="225" t="s">
        <v>523</v>
      </c>
      <c r="C21" s="68"/>
      <c r="D21" s="226" t="s">
        <v>515</v>
      </c>
      <c r="E21" s="68"/>
      <c r="F21" s="212"/>
      <c r="G21" s="212"/>
      <c r="H21" s="212"/>
      <c r="I21" s="227" t="s">
        <v>524</v>
      </c>
      <c r="J21" s="221">
        <f>=+(ESF!H16-ESF!H41)/ESF!H30</f>
      </c>
      <c r="K21" s="221">
        <f>=+(ESF!I16-ESF!I41)/ESF!I30</f>
      </c>
      <c r="L21" s="221">
        <f>=+(ESF!J16-ESF!J41)/ESF!J30</f>
      </c>
      <c r="M21" s="221">
        <f>=+(ESF!K16-ESF!K41)/ESF!K30</f>
      </c>
      <c r="N21" s="221">
        <f>=+(ESF!L16-ESF!L41)/ESF!L30</f>
      </c>
      <c r="O21" s="221">
        <f>=+(ESF!M16-ESF!M41)/ESF!M30</f>
      </c>
      <c r="P21" s="221">
        <f>=+(ESF!N16-ESF!N41)/ESF!N30</f>
      </c>
      <c r="Q21" s="221">
        <f>=+(ESF!O16-ESF!O41)/ESF!O30</f>
      </c>
      <c r="R21" s="221">
        <f>=+(ESF!P16-ESF!P41)/ESF!P30</f>
      </c>
      <c r="S21" s="221">
        <f>=+(ESF!Q16-ESF!Q41)/ESF!Q30</f>
      </c>
      <c r="T21" s="31"/>
    </row>
    <row r="22" ht="15.00" customHeight="true">
      <c r="A22" s="38"/>
      <c r="B22" s="37" t="s">
        <v>525</v>
      </c>
      <c r="C22" s="68"/>
      <c r="D22" s="226" t="s">
        <v>515</v>
      </c>
      <c r="E22" s="68"/>
      <c r="F22" s="212"/>
      <c r="G22" s="212"/>
      <c r="H22" s="212"/>
      <c r="I22" s="227" t="s">
        <v>526</v>
      </c>
      <c r="J22" s="31">
        <f>=+ESF!H54/ESF!H30</f>
      </c>
      <c r="K22" s="31">
        <f>=+ESF!I54/ESF!I30</f>
      </c>
      <c r="L22" s="31">
        <f>=+ESF!J54/ESF!J30</f>
      </c>
      <c r="M22" s="31">
        <f>=+ESF!K54/ESF!K30</f>
      </c>
      <c r="N22" s="31">
        <f>=+ESF!L54/ESF!L30</f>
      </c>
      <c r="O22" s="31">
        <f>=+ESF!M54/ESF!M30</f>
      </c>
      <c r="P22" s="31">
        <f>=+ESF!N54/ESF!N30</f>
      </c>
      <c r="Q22" s="31">
        <f>=+ESF!O54/ESF!O30</f>
      </c>
      <c r="R22" s="31">
        <f>=+ESF!P54/ESF!P30</f>
      </c>
      <c r="S22" s="31">
        <f>=+ESF!Q54/ESF!Q30</f>
      </c>
      <c r="T22" s="31"/>
    </row>
    <row r="23" ht="15.00" customHeight="true">
      <c r="A23" s="38"/>
      <c r="B23" s="37" t="s">
        <v>527</v>
      </c>
      <c r="C23" s="68"/>
      <c r="D23" s="226" t="s">
        <v>515</v>
      </c>
      <c r="E23" s="68"/>
      <c r="F23" s="212"/>
      <c r="G23" s="212"/>
      <c r="H23" s="212"/>
      <c r="I23" s="227" t="s">
        <v>528</v>
      </c>
      <c r="J23" s="31">
        <f>=+ERI!H16/ESF!H30</f>
      </c>
      <c r="K23" s="31">
        <f>=+ERI!I16/ESF!I30</f>
      </c>
      <c r="L23" s="31">
        <f>=+ERI!J16/ESF!J30</f>
      </c>
      <c r="M23" s="31">
        <f>=+ERI!K16/ESF!K30</f>
      </c>
      <c r="N23" s="31">
        <f>=+ERI!L16/ESF!L30</f>
      </c>
      <c r="O23" s="31">
        <f>=+ERI!M16/ESF!M30</f>
      </c>
      <c r="P23" s="31">
        <f>=+ERI!N16/ESF!N30</f>
      </c>
      <c r="Q23" s="31">
        <f>=+ERI!O16/ESF!O30</f>
      </c>
      <c r="R23" s="31">
        <f>=+ERI!P16/ESF!P30</f>
      </c>
      <c r="S23" s="31">
        <f>=+ERI!Q16/ESF!Q30</f>
      </c>
      <c r="T23" s="31"/>
    </row>
    <row r="24" ht="15.75" customHeight="true">
      <c r="A24" s="38"/>
      <c r="B24" s="228" t="s">
        <v>529</v>
      </c>
      <c r="C24" s="68"/>
      <c r="D24" s="226" t="s">
        <v>515</v>
      </c>
      <c r="E24" s="68"/>
      <c r="F24" s="212"/>
      <c r="G24" s="212"/>
      <c r="H24" s="212"/>
      <c r="I24" s="227" t="s">
        <v>530</v>
      </c>
      <c r="J24" s="223">
        <f>=+ESF!H57/ESF!H48</f>
      </c>
      <c r="K24" s="223">
        <f>=+ESF!I57/ESF!I48</f>
      </c>
      <c r="L24" s="223">
        <f>=+ESF!J57/ESF!J48</f>
      </c>
      <c r="M24" s="223">
        <f>=+ESF!K57/ESF!K48</f>
      </c>
      <c r="N24" s="223">
        <f>=+ESF!L57/ESF!L48</f>
      </c>
      <c r="O24" s="223">
        <f>=+ESF!M57/ESF!M48</f>
      </c>
      <c r="P24" s="223">
        <f>=+ESF!N57/ESF!N48</f>
      </c>
      <c r="Q24" s="223">
        <f>=+ESF!O57/ESF!O48</f>
      </c>
      <c r="R24" s="223">
        <f>=+ESF!P57/ESF!P48</f>
      </c>
      <c r="S24" s="223">
        <f>=+ESF!Q57/ESF!Q48</f>
      </c>
      <c r="T24" s="31"/>
    </row>
    <row r="25" ht="14.25" customHeight="true">
      <c r="F25" s="212"/>
      <c r="G25" s="212"/>
      <c r="H25" s="212"/>
      <c r="I25" s="212"/>
      <c r="T25" s="8"/>
    </row>
    <row r="26" ht="14.25" customHeight="true">
      <c r="A26" s="213"/>
      <c r="B26" s="214" t="s">
        <v>531</v>
      </c>
      <c r="C26" s="215"/>
      <c r="E26" s="215"/>
      <c r="F26" s="212"/>
      <c r="G26" s="212"/>
      <c r="H26" s="212"/>
      <c r="I26" s="212"/>
      <c r="J26" s="216"/>
      <c r="T26" s="224"/>
    </row>
    <row r="27" ht="14.25" customHeight="true">
      <c r="F27" s="212"/>
      <c r="G27" s="212"/>
      <c r="H27" s="212"/>
      <c r="I27" s="212"/>
      <c r="T27" s="8"/>
    </row>
    <row r="28" ht="14.25" customHeight="true">
      <c r="A28" s="215"/>
      <c r="B28" s="217" t="s">
        <v>513</v>
      </c>
      <c r="C28" s="215"/>
      <c r="E28" s="215"/>
      <c r="F28" s="212"/>
      <c r="G28" s="212"/>
      <c r="H28" s="212"/>
      <c r="I28" s="212"/>
      <c r="J28" s="216"/>
      <c r="T28" s="224"/>
    </row>
    <row r="29" ht="14.25" customHeight="true">
      <c r="F29" s="212"/>
      <c r="G29" s="212"/>
      <c r="H29" s="212"/>
      <c r="I29" s="212"/>
      <c r="T29" s="8"/>
    </row>
    <row r="30" ht="14.25" customHeight="true">
      <c r="A30" s="38"/>
      <c r="B30" s="229" t="s">
        <v>510</v>
      </c>
      <c r="C30" s="4"/>
      <c r="D30" s="31"/>
      <c r="E30" s="4"/>
      <c r="F30" s="218"/>
      <c r="G30" s="218"/>
      <c r="H30" s="218"/>
      <c r="I30" s="218"/>
      <c r="J30" s="230">
        <f>=+J50</f>
      </c>
      <c r="K30" s="230">
        <f ref="K30:S30" t="shared" si="252">=+K50</f>
      </c>
      <c r="L30" s="230">
        <f t="shared" si="252"/>
      </c>
      <c r="M30" s="230">
        <f t="shared" si="252"/>
      </c>
      <c r="N30" s="230">
        <f t="shared" si="252"/>
      </c>
      <c r="O30" s="230">
        <f t="shared" si="252"/>
      </c>
      <c r="P30" s="230">
        <f t="shared" si="252"/>
      </c>
      <c r="Q30" s="230">
        <f t="shared" si="252"/>
      </c>
      <c r="R30" s="230">
        <f t="shared" si="252"/>
      </c>
      <c r="S30" s="230">
        <f t="shared" si="252"/>
      </c>
      <c r="T30" s="31"/>
    </row>
    <row r="31" ht="14.25" customHeight="true">
      <c r="A31" s="38"/>
      <c r="B31" s="231" t="s">
        <v>532</v>
      </c>
      <c r="C31" s="4"/>
      <c r="D31" s="31"/>
      <c r="E31" s="4"/>
      <c r="F31" s="218"/>
      <c r="G31" s="218"/>
      <c r="H31" s="218"/>
      <c r="I31" s="218"/>
      <c r="J31" s="232">
        <f>=+J51</f>
      </c>
      <c r="K31" s="232">
        <f ref="K31:S31" t="shared" si="259">=+K51</f>
      </c>
      <c r="L31" s="232">
        <f t="shared" si="259"/>
      </c>
      <c r="M31" s="232">
        <f t="shared" si="259"/>
      </c>
      <c r="N31" s="232">
        <f t="shared" si="259"/>
      </c>
      <c r="O31" s="232">
        <f t="shared" si="259"/>
      </c>
      <c r="P31" s="232">
        <f t="shared" si="259"/>
      </c>
      <c r="Q31" s="232">
        <f t="shared" si="259"/>
      </c>
      <c r="R31" s="232">
        <f t="shared" si="259"/>
      </c>
      <c r="S31" s="232">
        <f t="shared" si="259"/>
      </c>
      <c r="T31" s="31"/>
    </row>
    <row r="32" ht="14.25" customHeight="true">
      <c r="A32" s="65"/>
      <c r="B32" s="68"/>
      <c r="C32" s="68"/>
      <c r="D32" s="65"/>
      <c r="E32" s="68"/>
      <c r="F32" s="212"/>
      <c r="G32" s="212"/>
      <c r="H32" s="212"/>
      <c r="I32" s="212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24"/>
    </row>
    <row r="33" ht="14.25" customHeight="true">
      <c r="A33" s="215"/>
      <c r="B33" s="217" t="s">
        <v>533</v>
      </c>
      <c r="C33" s="215"/>
      <c r="E33" s="215"/>
      <c r="F33" s="212"/>
      <c r="G33" s="212"/>
      <c r="H33" s="212"/>
      <c r="I33" s="212"/>
      <c r="J33" s="216"/>
      <c r="T33" s="224"/>
    </row>
    <row r="34" ht="14.25" customHeight="true">
      <c r="A34" s="65"/>
      <c r="B34" s="68"/>
      <c r="C34" s="68"/>
      <c r="D34" s="65"/>
      <c r="E34" s="68"/>
      <c r="F34" s="212"/>
      <c r="G34" s="212"/>
      <c r="H34" s="212"/>
      <c r="I34" s="212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24"/>
    </row>
    <row r="35" ht="14.25" customHeight="true">
      <c r="A35" s="65"/>
      <c r="B35" s="229" t="s">
        <v>510</v>
      </c>
      <c r="C35" s="4"/>
      <c r="D35" s="31"/>
      <c r="E35" s="4"/>
      <c r="F35" s="218"/>
      <c r="G35" s="218"/>
      <c r="H35" s="218"/>
      <c r="I35" s="218"/>
      <c r="J35" s="230">
        <f>=+J84</f>
      </c>
      <c r="K35" s="230">
        <f ref="K35:S35" t="shared" si="251">=+K84</f>
      </c>
      <c r="L35" s="230">
        <f t="shared" si="251"/>
      </c>
      <c r="M35" s="230">
        <f t="shared" si="251"/>
      </c>
      <c r="N35" s="230">
        <f t="shared" si="251"/>
      </c>
      <c r="O35" s="230">
        <f t="shared" si="251"/>
      </c>
      <c r="P35" s="230">
        <f t="shared" si="251"/>
      </c>
      <c r="Q35" s="230">
        <f t="shared" si="251"/>
      </c>
      <c r="R35" s="230">
        <f t="shared" si="251"/>
      </c>
      <c r="S35" s="230">
        <f t="shared" si="251"/>
      </c>
      <c r="T35" s="31"/>
    </row>
    <row r="36" ht="14.25" customHeight="true">
      <c r="A36" s="65"/>
      <c r="B36" s="231" t="s">
        <v>532</v>
      </c>
      <c r="C36" s="4"/>
      <c r="D36" s="31"/>
      <c r="E36" s="4"/>
      <c r="F36" s="218"/>
      <c r="G36" s="218"/>
      <c r="H36" s="218"/>
      <c r="I36" s="218"/>
      <c r="J36" s="232">
        <f>=+J85</f>
      </c>
      <c r="K36" s="232">
        <f ref="K36:S36" t="shared" si="265">=+K85</f>
      </c>
      <c r="L36" s="232">
        <f t="shared" si="265"/>
      </c>
      <c r="M36" s="232">
        <f t="shared" si="265"/>
      </c>
      <c r="N36" s="232">
        <f t="shared" si="265"/>
      </c>
      <c r="O36" s="232">
        <f t="shared" si="265"/>
      </c>
      <c r="P36" s="232">
        <f t="shared" si="265"/>
      </c>
      <c r="Q36" s="232">
        <f t="shared" si="265"/>
      </c>
      <c r="R36" s="232">
        <f t="shared" si="265"/>
      </c>
      <c r="S36" s="232">
        <f t="shared" si="265"/>
      </c>
      <c r="T36" s="31"/>
    </row>
    <row r="37" ht="14.25" customHeight="true">
      <c r="A37" s="65"/>
      <c r="B37" s="209"/>
      <c r="C37" s="206"/>
      <c r="D37" s="211"/>
      <c r="E37" s="206"/>
      <c r="F37" s="212"/>
      <c r="G37" s="212"/>
      <c r="H37" s="212"/>
      <c r="I37" s="212"/>
      <c r="J37" s="212"/>
      <c r="K37" s="212"/>
      <c r="L37" s="212"/>
      <c r="M37" s="212"/>
      <c r="N37" s="212"/>
      <c r="O37" s="212"/>
      <c r="P37" s="212"/>
      <c r="Q37" s="212"/>
      <c r="R37" s="212"/>
      <c r="S37" s="212"/>
      <c r="T37" s="212"/>
    </row>
    <row r="38" ht="14.25" customHeight="true">
      <c r="A38" s="65"/>
      <c r="B38" s="209"/>
      <c r="C38" s="206"/>
      <c r="D38" s="211"/>
      <c r="E38" s="206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212"/>
    </row>
    <row r="39" ht="14.25" customHeight="true">
      <c r="A39" s="213"/>
      <c r="B39" s="214" t="s">
        <v>534</v>
      </c>
      <c r="C39" s="215"/>
      <c r="E39" s="215"/>
      <c r="F39" s="212"/>
      <c r="G39" s="212"/>
      <c r="H39" s="212"/>
      <c r="I39" s="212"/>
      <c r="J39" s="216"/>
    </row>
    <row r="40" ht="14.25" customHeight="true">
      <c r="A40" s="65"/>
      <c r="B40" s="209"/>
      <c r="C40" s="206"/>
      <c r="D40" s="211"/>
      <c r="E40" s="206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  <c r="T40" s="212"/>
    </row>
    <row r="41" ht="14.25" customHeight="true">
      <c r="A41" s="215"/>
      <c r="B41" s="217" t="s">
        <v>535</v>
      </c>
      <c r="C41" s="215"/>
      <c r="E41" s="215"/>
      <c r="F41" s="212"/>
      <c r="G41" s="212"/>
      <c r="H41" s="212"/>
      <c r="I41" s="212"/>
      <c r="J41" s="216"/>
      <c r="T41" s="224"/>
    </row>
    <row r="42" ht="14.25" customHeight="true">
      <c r="A42" s="65"/>
      <c r="B42" s="209"/>
      <c r="C42" s="206"/>
      <c r="D42" s="206" t="s">
        <v>536</v>
      </c>
      <c r="E42" s="206"/>
      <c r="F42" s="212"/>
      <c r="G42" s="212"/>
      <c r="H42" s="212"/>
      <c r="I42" s="212"/>
      <c r="J42" s="212"/>
      <c r="K42" s="212"/>
      <c r="L42" s="212"/>
      <c r="M42" s="212"/>
      <c r="N42" s="212"/>
      <c r="O42" s="212"/>
      <c r="P42" s="212"/>
      <c r="Q42" s="212"/>
      <c r="R42" s="212"/>
      <c r="S42" s="212"/>
      <c r="T42" s="218"/>
    </row>
    <row r="43" ht="14.25" customHeight="true">
      <c r="A43" s="65"/>
      <c r="B43" s="233" t="s">
        <v>514</v>
      </c>
      <c r="C43" s="234"/>
      <c r="D43" s="235">
        <v>0.3</v>
      </c>
      <c r="E43" s="206"/>
      <c r="F43" s="212"/>
      <c r="G43" s="212"/>
      <c r="H43" s="212"/>
      <c r="I43" s="212"/>
      <c r="J43" s="236">
        <f>=LOOKUP(J11,$N$62:$N$68,$O$62:$O$68)</f>
      </c>
      <c r="K43" s="237">
        <f ref="K43:S43" t="shared" si="258">=LOOKUP(K11,$N$62:$N$68,$O$62:$O$68)</f>
      </c>
      <c r="L43" s="237">
        <f t="shared" si="258"/>
      </c>
      <c r="M43" s="237">
        <f t="shared" si="258"/>
      </c>
      <c r="N43" s="237">
        <f t="shared" si="258"/>
      </c>
      <c r="O43" s="237">
        <f t="shared" si="258"/>
      </c>
      <c r="P43" s="237">
        <f t="shared" si="258"/>
      </c>
      <c r="Q43" s="237">
        <f t="shared" si="258"/>
      </c>
      <c r="R43" s="237">
        <f t="shared" si="258"/>
      </c>
      <c r="S43" s="238">
        <f t="shared" si="258"/>
      </c>
      <c r="T43" s="31"/>
      <c r="U43" s="89"/>
    </row>
    <row r="44" ht="14.25" customHeight="true">
      <c r="A44" s="65"/>
      <c r="B44" s="239" t="s">
        <v>516</v>
      </c>
      <c r="C44" s="206"/>
      <c r="D44" s="240">
        <v>0.15</v>
      </c>
      <c r="E44" s="206"/>
      <c r="F44" s="212"/>
      <c r="G44" s="212"/>
      <c r="H44" s="212"/>
      <c r="I44" s="212"/>
      <c r="J44" s="241">
        <f>=LOOKUP(J12,$Q$62:$Q$68,$R$62:$R$68)</f>
      </c>
      <c r="K44" s="242">
        <f ref="K44:S44" t="shared" si="257">=LOOKUP(K12,$Q$62:$Q$68,$R$62:$R$68)</f>
      </c>
      <c r="L44" s="242">
        <f t="shared" si="257"/>
      </c>
      <c r="M44" s="242">
        <f t="shared" si="257"/>
      </c>
      <c r="N44" s="242">
        <f t="shared" si="257"/>
      </c>
      <c r="O44" s="242">
        <f t="shared" si="257"/>
      </c>
      <c r="P44" s="242">
        <f t="shared" si="257"/>
      </c>
      <c r="Q44" s="242">
        <f t="shared" si="257"/>
      </c>
      <c r="R44" s="242">
        <f t="shared" si="257"/>
      </c>
      <c r="S44" s="243">
        <f t="shared" si="257"/>
      </c>
      <c r="T44" s="31"/>
      <c r="U44" s="89"/>
    </row>
    <row r="45" ht="14.25" customHeight="true">
      <c r="A45" s="65"/>
      <c r="B45" s="239" t="s">
        <v>518</v>
      </c>
      <c r="C45" s="206"/>
      <c r="D45" s="240">
        <v>0.2</v>
      </c>
      <c r="E45" s="206"/>
      <c r="F45" s="212"/>
      <c r="G45" s="212"/>
      <c r="H45" s="212"/>
      <c r="I45" s="212"/>
      <c r="J45" s="241">
        <f>=LOOKUP(J13,$T$62:$T$68,$U$62:$U$68)</f>
      </c>
      <c r="K45" s="242">
        <f ref="K45:S45" t="shared" si="253">=LOOKUP(K13,$T$62:$T$68,$U$62:$U$68)</f>
      </c>
      <c r="L45" s="242">
        <f t="shared" si="253"/>
      </c>
      <c r="M45" s="242">
        <f t="shared" si="253"/>
      </c>
      <c r="N45" s="242">
        <f t="shared" si="253"/>
      </c>
      <c r="O45" s="242">
        <f t="shared" si="253"/>
      </c>
      <c r="P45" s="242">
        <f t="shared" si="253"/>
      </c>
      <c r="Q45" s="242">
        <f t="shared" si="253"/>
      </c>
      <c r="R45" s="242">
        <f t="shared" si="253"/>
      </c>
      <c r="S45" s="243">
        <f t="shared" si="253"/>
      </c>
      <c r="T45" s="31"/>
      <c r="U45" s="89"/>
    </row>
    <row r="46" ht="14.25" customHeight="true">
      <c r="A46" s="65"/>
      <c r="B46" s="239" t="s">
        <v>519</v>
      </c>
      <c r="C46" s="206"/>
      <c r="D46" s="240">
        <v>0.15</v>
      </c>
      <c r="E46" s="206"/>
      <c r="F46" s="212"/>
      <c r="G46" s="212"/>
      <c r="H46" s="212"/>
      <c r="I46" s="212"/>
      <c r="J46" s="241">
        <f>=LOOKUP(J14,$N$72:$N$78,$O$72:$O$78)</f>
      </c>
      <c r="K46" s="242">
        <f ref="K46:S46" t="shared" si="266">=LOOKUP(K14,$N$72:$N$78,$O$72:$O$78)</f>
      </c>
      <c r="L46" s="242">
        <f t="shared" si="266"/>
      </c>
      <c r="M46" s="242">
        <f t="shared" si="266"/>
      </c>
      <c r="N46" s="242">
        <f t="shared" si="266"/>
      </c>
      <c r="O46" s="242">
        <f t="shared" si="266"/>
      </c>
      <c r="P46" s="242">
        <f t="shared" si="266"/>
      </c>
      <c r="Q46" s="242">
        <f t="shared" si="266"/>
      </c>
      <c r="R46" s="242">
        <f t="shared" si="266"/>
      </c>
      <c r="S46" s="243">
        <f t="shared" si="266"/>
      </c>
      <c r="T46" s="31"/>
      <c r="U46" s="89"/>
    </row>
    <row r="47" ht="14.25" customHeight="true">
      <c r="A47" s="65"/>
      <c r="B47" s="239" t="s">
        <v>520</v>
      </c>
      <c r="C47" s="206"/>
      <c r="D47" s="240">
        <v>0.1</v>
      </c>
      <c r="E47" s="206"/>
      <c r="F47" s="212"/>
      <c r="G47" s="212"/>
      <c r="H47" s="212"/>
      <c r="I47" s="212"/>
      <c r="J47" s="241">
        <f>=LOOKUP(J15,$Q$72:$Q$78,$R$72:$R$78)</f>
      </c>
      <c r="K47" s="242">
        <f ref="K47:S47" t="shared" si="254">=LOOKUP(K15,$Q$72:$Q$78,$R$72:$R$78)</f>
      </c>
      <c r="L47" s="242">
        <f t="shared" si="254"/>
      </c>
      <c r="M47" s="242">
        <f t="shared" si="254"/>
      </c>
      <c r="N47" s="242">
        <f t="shared" si="254"/>
      </c>
      <c r="O47" s="242">
        <f t="shared" si="254"/>
      </c>
      <c r="P47" s="242">
        <f t="shared" si="254"/>
      </c>
      <c r="Q47" s="242">
        <f t="shared" si="254"/>
      </c>
      <c r="R47" s="242">
        <f t="shared" si="254"/>
      </c>
      <c r="S47" s="243">
        <f t="shared" si="254"/>
      </c>
      <c r="T47" s="31"/>
      <c r="U47" s="89"/>
    </row>
    <row r="48" ht="14.25" customHeight="true">
      <c r="A48" s="65"/>
      <c r="B48" s="239" t="s">
        <v>521</v>
      </c>
      <c r="C48" s="206"/>
      <c r="D48" s="240">
        <v>0.1</v>
      </c>
      <c r="E48" s="206"/>
      <c r="F48" s="212"/>
      <c r="G48" s="212"/>
      <c r="H48" s="212"/>
      <c r="I48" s="212"/>
      <c r="J48" s="241">
        <f>=LOOKUP(J16,$T$72:$T$78,$U$72:$U$78)</f>
      </c>
      <c r="K48" s="242">
        <f ref="K48:S48" t="shared" si="250">=LOOKUP(K16,$T$72:$T$78,$U$72:$U$78)</f>
      </c>
      <c r="L48" s="242">
        <f t="shared" si="250"/>
      </c>
      <c r="M48" s="242">
        <f t="shared" si="250"/>
      </c>
      <c r="N48" s="242">
        <f t="shared" si="250"/>
      </c>
      <c r="O48" s="242">
        <f t="shared" si="250"/>
      </c>
      <c r="P48" s="242">
        <f t="shared" si="250"/>
      </c>
      <c r="Q48" s="242">
        <f t="shared" si="250"/>
      </c>
      <c r="R48" s="242">
        <f t="shared" si="250"/>
      </c>
      <c r="S48" s="243">
        <f t="shared" si="250"/>
      </c>
      <c r="T48" s="31"/>
      <c r="U48" s="89"/>
    </row>
    <row r="49" ht="14.25" customHeight="true">
      <c r="A49" s="38"/>
      <c r="B49" s="244" t="s">
        <v>537</v>
      </c>
      <c r="C49" s="245"/>
      <c r="D49" s="246">
        <f>=+SUM(D43:D48)</f>
      </c>
      <c r="E49" s="68"/>
      <c r="F49" s="212"/>
      <c r="G49" s="212"/>
      <c r="H49" s="212"/>
      <c r="I49" s="212"/>
      <c r="J49" s="247">
        <f>=+SUMPRODUCT($D$43:$D$48,J43:J48)</f>
      </c>
      <c r="K49" s="248">
        <f ref="K49:S49" t="shared" si="262">=+SUMPRODUCT($D$43:$D$48,K43:K48)</f>
      </c>
      <c r="L49" s="248">
        <f t="shared" si="262"/>
      </c>
      <c r="M49" s="248">
        <f t="shared" si="262"/>
      </c>
      <c r="N49" s="248">
        <f t="shared" si="262"/>
      </c>
      <c r="O49" s="248">
        <f t="shared" si="262"/>
      </c>
      <c r="P49" s="248">
        <f t="shared" si="262"/>
      </c>
      <c r="Q49" s="248">
        <f t="shared" si="262"/>
      </c>
      <c r="R49" s="248">
        <f t="shared" si="262"/>
      </c>
      <c r="S49" s="249">
        <f t="shared" si="262"/>
      </c>
      <c r="T49" s="31"/>
    </row>
    <row r="50" ht="14.25" customHeight="true">
      <c r="A50" s="65"/>
      <c r="B50" s="37" t="s">
        <v>510</v>
      </c>
      <c r="C50" s="68"/>
      <c r="D50" s="38"/>
      <c r="E50" s="68"/>
      <c r="F50" s="212"/>
      <c r="G50" s="212"/>
      <c r="H50" s="212"/>
      <c r="I50" s="212"/>
      <c r="J50" s="31">
        <f>=LOOKUP(J49,$J$62:$J$68,$K$62:$K$68)</f>
      </c>
      <c r="K50" s="31">
        <f ref="K50:S50" t="shared" si="263">=LOOKUP(K49,$J$62:$J$68,$K$62:$K$68)</f>
      </c>
      <c r="L50" s="31">
        <f t="shared" si="263"/>
      </c>
      <c r="M50" s="31">
        <f t="shared" si="263"/>
      </c>
      <c r="N50" s="31">
        <f t="shared" si="263"/>
      </c>
      <c r="O50" s="31">
        <f t="shared" si="263"/>
      </c>
      <c r="P50" s="31">
        <f t="shared" si="263"/>
      </c>
      <c r="Q50" s="31">
        <f t="shared" si="263"/>
      </c>
      <c r="R50" s="31">
        <f t="shared" si="263"/>
      </c>
      <c r="S50" s="31">
        <f t="shared" si="263"/>
      </c>
      <c r="T50" s="31"/>
    </row>
    <row r="51" ht="14.25" customHeight="true">
      <c r="A51" s="65"/>
      <c r="B51" s="37" t="s">
        <v>532</v>
      </c>
      <c r="C51" s="68"/>
      <c r="D51" s="38"/>
      <c r="E51" s="68"/>
      <c r="F51" s="212"/>
      <c r="G51" s="212"/>
      <c r="H51" s="212"/>
      <c r="I51" s="212"/>
      <c r="J51" s="31">
        <f>=LOOKUP(J49,$J$62:$J$68,$L$62:$L$68)</f>
      </c>
      <c r="K51" s="31">
        <f ref="K51:S51" t="shared" si="261">=LOOKUP(K49,$J$62:$J$68,$L$62:$L$68)</f>
      </c>
      <c r="L51" s="31">
        <f t="shared" si="261"/>
      </c>
      <c r="M51" s="31">
        <f t="shared" si="261"/>
      </c>
      <c r="N51" s="31">
        <f t="shared" si="261"/>
      </c>
      <c r="O51" s="31">
        <f t="shared" si="261"/>
      </c>
      <c r="P51" s="31">
        <f t="shared" si="261"/>
      </c>
      <c r="Q51" s="31">
        <f t="shared" si="261"/>
      </c>
      <c r="R51" s="31">
        <f t="shared" si="261"/>
      </c>
      <c r="S51" s="31">
        <f t="shared" si="261"/>
      </c>
      <c r="T51" s="31"/>
    </row>
    <row r="52" ht="14.25" customHeight="true">
      <c r="A52" s="65"/>
      <c r="B52" s="68"/>
      <c r="C52" s="68"/>
      <c r="D52" s="65"/>
      <c r="E52" s="68"/>
      <c r="F52" s="212"/>
      <c r="G52" s="212"/>
      <c r="H52" s="212"/>
      <c r="I52" s="212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24"/>
    </row>
    <row r="53" ht="14.25" customHeight="true">
      <c r="A53" s="38"/>
      <c r="B53" s="250" t="s">
        <v>538</v>
      </c>
      <c r="C53" s="251"/>
      <c r="D53" s="252" t="s">
        <v>539</v>
      </c>
      <c r="E53" s="68"/>
      <c r="F53" s="212"/>
      <c r="G53" s="212"/>
      <c r="H53" s="212"/>
      <c r="I53" s="212"/>
      <c r="J53" s="252">
        <f>=+VLOOKUP(J50,$K$72:$L$78,2,0)</f>
      </c>
      <c r="K53" s="252">
        <f ref="K53:S53" t="shared" si="256">=+VLOOKUP(K50,$K$72:$L$78,2,0)</f>
      </c>
      <c r="L53" s="252">
        <f t="shared" si="256"/>
      </c>
      <c r="M53" s="252">
        <f t="shared" si="256"/>
      </c>
      <c r="N53" s="252">
        <f t="shared" si="256"/>
      </c>
      <c r="O53" s="252">
        <f t="shared" si="256"/>
      </c>
      <c r="P53" s="252">
        <f t="shared" si="256"/>
      </c>
      <c r="Q53" s="252">
        <f t="shared" si="256"/>
      </c>
      <c r="R53" s="252">
        <f t="shared" si="256"/>
      </c>
      <c r="S53" s="252">
        <f t="shared" si="256"/>
      </c>
      <c r="T53" s="31"/>
    </row>
    <row r="54" ht="14.25" customHeight="true">
      <c r="A54" s="65"/>
      <c r="B54" s="68"/>
      <c r="C54" s="68"/>
      <c r="D54" s="65"/>
      <c r="E54" s="68"/>
      <c r="F54" s="212"/>
      <c r="G54" s="212"/>
      <c r="H54" s="212"/>
      <c r="I54" s="212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</row>
    <row r="55" ht="14.25" customHeight="true">
      <c r="A55" s="65"/>
      <c r="B55" s="68"/>
      <c r="C55" s="68"/>
      <c r="D55" s="65"/>
      <c r="E55" s="68"/>
      <c r="F55" s="212"/>
      <c r="G55" s="212"/>
      <c r="H55" s="212"/>
      <c r="I55" s="212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</row>
    <row r="56" ht="14.25" customHeight="true">
      <c r="A56" s="213"/>
      <c r="B56" s="214" t="s">
        <v>540</v>
      </c>
      <c r="C56" s="215"/>
      <c r="E56" s="215"/>
      <c r="F56" s="212"/>
      <c r="G56" s="212"/>
      <c r="H56" s="212"/>
      <c r="I56" s="212"/>
      <c r="J56" s="216"/>
    </row>
    <row r="57" ht="14.25" customHeight="true">
      <c r="A57" s="206"/>
      <c r="B57" s="209"/>
      <c r="C57" s="206"/>
      <c r="D57" s="211"/>
      <c r="E57" s="206"/>
      <c r="F57" s="212"/>
      <c r="G57" s="212"/>
      <c r="H57" s="212"/>
      <c r="I57" s="212"/>
      <c r="J57" s="212"/>
      <c r="K57" s="212"/>
      <c r="L57" s="212"/>
      <c r="M57" s="212"/>
      <c r="N57" s="212"/>
      <c r="O57" s="212"/>
      <c r="P57" s="212"/>
      <c r="Q57" s="212"/>
      <c r="R57" s="212"/>
      <c r="S57" s="212"/>
      <c r="T57" s="212"/>
    </row>
    <row r="58" ht="14.25" customHeight="true">
      <c r="A58" s="215"/>
      <c r="B58" s="217" t="s">
        <v>541</v>
      </c>
      <c r="C58" s="215"/>
      <c r="E58" s="215"/>
      <c r="F58" s="212"/>
      <c r="G58" s="212"/>
      <c r="H58" s="212"/>
      <c r="I58" s="212"/>
      <c r="J58" s="216"/>
    </row>
    <row r="59" ht="14.25" customHeight="true">
      <c r="A59" s="206"/>
      <c r="B59" s="209"/>
      <c r="C59" s="206"/>
      <c r="D59" s="211"/>
      <c r="E59" s="206"/>
      <c r="F59" s="212"/>
      <c r="G59" s="212"/>
      <c r="H59" s="212"/>
      <c r="I59" s="212"/>
      <c r="J59" s="212"/>
      <c r="K59" s="212"/>
      <c r="L59" s="212"/>
      <c r="M59" s="212"/>
      <c r="N59" s="212"/>
      <c r="O59" s="212"/>
      <c r="P59" s="212"/>
      <c r="Q59" s="212"/>
      <c r="R59" s="212"/>
      <c r="S59" s="212"/>
      <c r="T59" s="212"/>
    </row>
    <row r="60" ht="14.25" customHeight="true">
      <c r="A60" s="206"/>
      <c r="B60" s="209"/>
      <c r="C60" s="206"/>
      <c r="D60" s="211"/>
      <c r="E60" s="206"/>
      <c r="F60" s="212"/>
      <c r="G60" s="212"/>
      <c r="H60" s="212"/>
      <c r="I60" s="212"/>
      <c r="J60" s="253" t="s">
        <v>542</v>
      </c>
      <c r="K60" s="253"/>
      <c r="L60" s="253"/>
      <c r="M60" s="212"/>
      <c r="N60" s="254" t="s">
        <v>514</v>
      </c>
      <c r="O60" s="254"/>
      <c r="P60" s="212"/>
      <c r="Q60" s="254" t="s">
        <v>516</v>
      </c>
      <c r="R60" s="254"/>
      <c r="S60" s="212"/>
      <c r="T60" s="254" t="s">
        <v>518</v>
      </c>
      <c r="U60" s="254"/>
    </row>
    <row r="61" ht="14.25" customHeight="true">
      <c r="A61" s="206"/>
      <c r="B61" s="209"/>
      <c r="C61" s="206"/>
      <c r="D61" s="211"/>
      <c r="E61" s="206"/>
      <c r="F61" s="212"/>
      <c r="G61" s="212"/>
      <c r="H61" s="212"/>
      <c r="I61" s="212"/>
      <c r="J61" s="253" t="s">
        <v>537</v>
      </c>
      <c r="K61" s="253" t="s">
        <v>510</v>
      </c>
      <c r="L61" s="253" t="s">
        <v>532</v>
      </c>
      <c r="M61" s="212"/>
      <c r="N61" s="253" t="s">
        <v>543</v>
      </c>
      <c r="O61" s="253" t="s">
        <v>544</v>
      </c>
      <c r="Q61" s="253" t="s">
        <v>543</v>
      </c>
      <c r="R61" s="253" t="s">
        <v>544</v>
      </c>
      <c r="S61" s="212"/>
      <c r="T61" s="253" t="s">
        <v>543</v>
      </c>
      <c r="U61" s="253" t="s">
        <v>544</v>
      </c>
    </row>
    <row r="62" ht="14.25" customHeight="true">
      <c r="A62" s="206"/>
      <c r="B62" s="209"/>
      <c r="C62" s="206"/>
      <c r="D62" s="211"/>
      <c r="E62" s="206"/>
      <c r="F62" s="212"/>
      <c r="G62" s="212"/>
      <c r="H62" s="212"/>
      <c r="I62" s="212"/>
      <c r="J62" s="255">
        <v>0</v>
      </c>
      <c r="K62" s="256" t="s">
        <v>545</v>
      </c>
      <c r="L62" s="257" t="s">
        <v>546</v>
      </c>
      <c r="M62" s="212"/>
      <c r="N62" s="255">
        <v>-100</v>
      </c>
      <c r="O62" s="256">
        <v>0</v>
      </c>
      <c r="Q62" s="255">
        <v>-1</v>
      </c>
      <c r="R62" s="256">
        <v>10</v>
      </c>
      <c r="S62" s="212"/>
      <c r="T62" s="255">
        <v>-100</v>
      </c>
      <c r="U62" s="256">
        <v>100</v>
      </c>
    </row>
    <row r="63" ht="14.25" customHeight="true">
      <c r="A63" s="206"/>
      <c r="B63" s="209"/>
      <c r="C63" s="206"/>
      <c r="D63" s="211"/>
      <c r="E63" s="206"/>
      <c r="F63" s="212"/>
      <c r="G63" s="212"/>
      <c r="H63" s="212"/>
      <c r="I63" s="212"/>
      <c r="J63" s="255">
        <v>10</v>
      </c>
      <c r="K63" s="256" t="s">
        <v>547</v>
      </c>
      <c r="L63" s="257" t="s">
        <v>546</v>
      </c>
      <c r="M63" s="212"/>
      <c r="N63" s="255">
        <v>0.4</v>
      </c>
      <c r="O63" s="256">
        <v>10</v>
      </c>
      <c r="Q63" s="255">
        <v>0.05</v>
      </c>
      <c r="R63" s="256">
        <v>25</v>
      </c>
      <c r="S63" s="212"/>
      <c r="T63" s="255">
        <v>1.4</v>
      </c>
      <c r="U63" s="256">
        <v>85</v>
      </c>
    </row>
    <row r="64" ht="14.25" customHeight="true">
      <c r="A64" s="206"/>
      <c r="B64" s="209"/>
      <c r="C64" s="206"/>
      <c r="D64" s="211"/>
      <c r="E64" s="206"/>
      <c r="F64" s="212"/>
      <c r="G64" s="212"/>
      <c r="H64" s="212"/>
      <c r="I64" s="212"/>
      <c r="J64" s="255">
        <v>25</v>
      </c>
      <c r="K64" s="256" t="s">
        <v>548</v>
      </c>
      <c r="L64" s="257" t="s">
        <v>549</v>
      </c>
      <c r="M64" s="212"/>
      <c r="N64" s="255">
        <v>0.7</v>
      </c>
      <c r="O64" s="256">
        <v>25</v>
      </c>
      <c r="Q64" s="255">
        <v>0.15</v>
      </c>
      <c r="R64" s="256">
        <v>40</v>
      </c>
      <c r="S64" s="212"/>
      <c r="T64" s="255">
        <v>1.65</v>
      </c>
      <c r="U64" s="256">
        <v>70</v>
      </c>
    </row>
    <row r="65" ht="14.25" customHeight="true">
      <c r="A65" s="206"/>
      <c r="B65" s="209"/>
      <c r="C65" s="206"/>
      <c r="D65" s="211"/>
      <c r="E65" s="206"/>
      <c r="F65" s="212"/>
      <c r="G65" s="212"/>
      <c r="H65" s="212"/>
      <c r="I65" s="212"/>
      <c r="J65" s="255">
        <v>40</v>
      </c>
      <c r="K65" s="256" t="s">
        <v>550</v>
      </c>
      <c r="L65" s="257" t="s">
        <v>401</v>
      </c>
      <c r="M65" s="212"/>
      <c r="N65" s="255">
        <v>1</v>
      </c>
      <c r="O65" s="256">
        <v>55</v>
      </c>
      <c r="Q65" s="255">
        <v>0.2</v>
      </c>
      <c r="R65" s="256">
        <v>55</v>
      </c>
      <c r="S65" s="212"/>
      <c r="T65" s="255">
        <v>1.9</v>
      </c>
      <c r="U65" s="256">
        <v>55</v>
      </c>
    </row>
    <row r="66" ht="14.25" customHeight="true">
      <c r="A66" s="206"/>
      <c r="B66" s="209"/>
      <c r="C66" s="206"/>
      <c r="D66" s="211"/>
      <c r="E66" s="206"/>
      <c r="F66" s="212"/>
      <c r="G66" s="212"/>
      <c r="H66" s="212"/>
      <c r="I66" s="212"/>
      <c r="J66" s="255">
        <v>55</v>
      </c>
      <c r="K66" s="256" t="s">
        <v>551</v>
      </c>
      <c r="L66" s="257" t="s">
        <v>552</v>
      </c>
      <c r="M66" s="212"/>
      <c r="N66" s="255">
        <v>1.4</v>
      </c>
      <c r="O66" s="256">
        <v>70</v>
      </c>
      <c r="Q66" s="255">
        <v>0.3</v>
      </c>
      <c r="R66" s="256">
        <v>70</v>
      </c>
      <c r="S66" s="212"/>
      <c r="T66" s="255">
        <v>2.9</v>
      </c>
      <c r="U66" s="256">
        <v>40</v>
      </c>
    </row>
    <row r="67" ht="14.25" customHeight="true">
      <c r="A67" s="206"/>
      <c r="B67" s="209"/>
      <c r="C67" s="206"/>
      <c r="D67" s="211"/>
      <c r="E67" s="206"/>
      <c r="F67" s="212"/>
      <c r="G67" s="212"/>
      <c r="H67" s="212"/>
      <c r="I67" s="212"/>
      <c r="J67" s="255">
        <v>70</v>
      </c>
      <c r="K67" s="256" t="s">
        <v>553</v>
      </c>
      <c r="L67" s="257" t="s">
        <v>554</v>
      </c>
      <c r="M67" s="212"/>
      <c r="N67" s="255">
        <v>1.7</v>
      </c>
      <c r="O67" s="256">
        <v>85</v>
      </c>
      <c r="Q67" s="255">
        <v>0.38</v>
      </c>
      <c r="R67" s="256">
        <v>85</v>
      </c>
      <c r="S67" s="212"/>
      <c r="T67" s="255">
        <v>4.75</v>
      </c>
      <c r="U67" s="256">
        <v>25</v>
      </c>
    </row>
    <row r="68" ht="14.25" customHeight="true">
      <c r="A68" s="206"/>
      <c r="B68" s="209"/>
      <c r="C68" s="206"/>
      <c r="D68" s="211"/>
      <c r="E68" s="206"/>
      <c r="F68" s="212"/>
      <c r="G68" s="212"/>
      <c r="H68" s="212"/>
      <c r="I68" s="212"/>
      <c r="J68" s="255">
        <v>85</v>
      </c>
      <c r="K68" s="256" t="s">
        <v>555</v>
      </c>
      <c r="L68" s="257" t="s">
        <v>554</v>
      </c>
      <c r="M68" s="212"/>
      <c r="N68" s="255">
        <v>2</v>
      </c>
      <c r="O68" s="256">
        <v>100</v>
      </c>
      <c r="Q68" s="255">
        <v>0.45</v>
      </c>
      <c r="R68" s="256">
        <v>100</v>
      </c>
      <c r="S68" s="212"/>
      <c r="T68" s="255">
        <v>5.25</v>
      </c>
      <c r="U68" s="256">
        <v>0</v>
      </c>
    </row>
    <row r="69" ht="14.25" customHeight="true">
      <c r="A69" s="206"/>
      <c r="B69" s="209"/>
      <c r="C69" s="206"/>
      <c r="D69" s="211"/>
      <c r="E69" s="206"/>
      <c r="F69" s="212"/>
      <c r="G69" s="212"/>
      <c r="H69" s="212"/>
      <c r="I69" s="212"/>
      <c r="M69" s="212"/>
      <c r="N69" s="212"/>
      <c r="Q69" s="212"/>
      <c r="R69" s="212"/>
      <c r="S69" s="212"/>
      <c r="T69" s="212"/>
    </row>
    <row r="70" ht="14.25" customHeight="true">
      <c r="A70" s="206"/>
      <c r="B70" s="209"/>
      <c r="C70" s="206"/>
      <c r="D70" s="211"/>
      <c r="E70" s="206"/>
      <c r="F70" s="212"/>
      <c r="G70" s="212"/>
      <c r="H70" s="212"/>
      <c r="I70" s="212"/>
      <c r="J70" s="212"/>
      <c r="K70" s="254" t="s">
        <v>538</v>
      </c>
      <c r="L70" s="254"/>
      <c r="M70" s="212"/>
      <c r="N70" s="254" t="s">
        <v>519</v>
      </c>
      <c r="O70" s="254"/>
      <c r="Q70" s="254" t="s">
        <v>520</v>
      </c>
      <c r="R70" s="254"/>
      <c r="S70" s="212"/>
      <c r="T70" s="254" t="s">
        <v>521</v>
      </c>
      <c r="U70" s="254"/>
    </row>
    <row r="71" ht="14.25" customHeight="true">
      <c r="A71" s="206"/>
      <c r="B71" s="209"/>
      <c r="C71" s="206"/>
      <c r="D71" s="211"/>
      <c r="E71" s="206"/>
      <c r="F71" s="212"/>
      <c r="G71" s="212"/>
      <c r="H71" s="212"/>
      <c r="I71" s="212"/>
      <c r="J71" s="212"/>
      <c r="K71" s="253" t="s">
        <v>542</v>
      </c>
      <c r="L71" s="253" t="s">
        <v>556</v>
      </c>
      <c r="M71" s="212"/>
      <c r="N71" s="253" t="s">
        <v>543</v>
      </c>
      <c r="O71" s="253" t="s">
        <v>544</v>
      </c>
      <c r="Q71" s="253" t="s">
        <v>543</v>
      </c>
      <c r="R71" s="253" t="s">
        <v>544</v>
      </c>
      <c r="S71" s="212"/>
      <c r="T71" s="253" t="s">
        <v>543</v>
      </c>
      <c r="U71" s="253" t="s">
        <v>544</v>
      </c>
    </row>
    <row r="72" ht="14.25" customHeight="true">
      <c r="A72" s="206"/>
      <c r="B72" s="209"/>
      <c r="C72" s="206"/>
      <c r="D72" s="211"/>
      <c r="E72" s="206"/>
      <c r="F72" s="212"/>
      <c r="G72" s="212"/>
      <c r="H72" s="212"/>
      <c r="I72" s="212"/>
      <c r="J72" s="212"/>
      <c r="K72" s="258" t="s">
        <v>545</v>
      </c>
      <c r="L72" s="259">
        <v>900</v>
      </c>
      <c r="M72" s="212"/>
      <c r="N72" s="255">
        <v>-100</v>
      </c>
      <c r="O72" s="256">
        <v>0</v>
      </c>
      <c r="Q72" s="255">
        <v>-1</v>
      </c>
      <c r="R72" s="256">
        <v>10</v>
      </c>
      <c r="S72" s="212"/>
      <c r="T72" s="255">
        <v>-1</v>
      </c>
      <c r="U72" s="256">
        <v>10</v>
      </c>
    </row>
    <row r="73" ht="14.25" customHeight="true">
      <c r="A73" s="206"/>
      <c r="B73" s="209"/>
      <c r="C73" s="206"/>
      <c r="D73" s="211"/>
      <c r="E73" s="206"/>
      <c r="F73" s="212"/>
      <c r="G73" s="212"/>
      <c r="H73" s="212"/>
      <c r="I73" s="212"/>
      <c r="J73" s="212"/>
      <c r="K73" s="258" t="s">
        <v>547</v>
      </c>
      <c r="L73" s="259">
        <v>700</v>
      </c>
      <c r="M73" s="212"/>
      <c r="N73" s="255">
        <v>1.5</v>
      </c>
      <c r="O73" s="256">
        <v>25</v>
      </c>
      <c r="P73" s="65"/>
      <c r="Q73" s="255">
        <v>0.05</v>
      </c>
      <c r="R73" s="256">
        <v>25</v>
      </c>
      <c r="S73" s="212"/>
      <c r="T73" s="255">
        <v>0.045</v>
      </c>
      <c r="U73" s="256">
        <v>25</v>
      </c>
    </row>
    <row r="74" ht="14.25" customHeight="true">
      <c r="A74" s="206"/>
      <c r="B74" s="209"/>
      <c r="C74" s="206"/>
      <c r="D74" s="211"/>
      <c r="E74" s="206"/>
      <c r="F74" s="212"/>
      <c r="G74" s="212"/>
      <c r="H74" s="212"/>
      <c r="I74" s="212"/>
      <c r="J74" s="212"/>
      <c r="K74" s="258" t="s">
        <v>548</v>
      </c>
      <c r="L74" s="259">
        <v>500</v>
      </c>
      <c r="M74" s="212"/>
      <c r="N74" s="255">
        <v>2.5</v>
      </c>
      <c r="O74" s="256">
        <v>40</v>
      </c>
      <c r="P74" s="65"/>
      <c r="Q74" s="255">
        <v>0.1</v>
      </c>
      <c r="R74" s="256">
        <v>40</v>
      </c>
      <c r="S74" s="212"/>
      <c r="T74" s="255">
        <v>0.09</v>
      </c>
      <c r="U74" s="256">
        <v>40</v>
      </c>
    </row>
    <row r="75" ht="14.25" customHeight="true">
      <c r="A75" s="206"/>
      <c r="B75" s="209"/>
      <c r="C75" s="206"/>
      <c r="D75" s="211"/>
      <c r="E75" s="206"/>
      <c r="F75" s="212"/>
      <c r="G75" s="212"/>
      <c r="H75" s="212"/>
      <c r="I75" s="212"/>
      <c r="J75" s="212"/>
      <c r="K75" s="258" t="s">
        <v>550</v>
      </c>
      <c r="L75" s="259">
        <v>150</v>
      </c>
      <c r="M75" s="212"/>
      <c r="N75" s="255">
        <v>3.8</v>
      </c>
      <c r="O75" s="256">
        <v>55</v>
      </c>
      <c r="P75" s="65"/>
      <c r="Q75" s="255">
        <v>0.15</v>
      </c>
      <c r="R75" s="256">
        <v>55</v>
      </c>
      <c r="S75" s="212"/>
      <c r="T75" s="255">
        <v>0.135</v>
      </c>
      <c r="U75" s="256">
        <v>55</v>
      </c>
    </row>
    <row r="76" ht="14.25" customHeight="true">
      <c r="A76" s="206"/>
      <c r="B76" s="209"/>
      <c r="C76" s="206"/>
      <c r="D76" s="211"/>
      <c r="E76" s="206"/>
      <c r="F76" s="212"/>
      <c r="G76" s="212"/>
      <c r="H76" s="212"/>
      <c r="I76" s="212"/>
      <c r="J76" s="212"/>
      <c r="K76" s="258" t="s">
        <v>551</v>
      </c>
      <c r="L76" s="259">
        <v>100</v>
      </c>
      <c r="M76" s="212"/>
      <c r="N76" s="255">
        <v>4.3</v>
      </c>
      <c r="O76" s="256">
        <v>70</v>
      </c>
      <c r="P76" s="65"/>
      <c r="Q76" s="255">
        <v>0.2</v>
      </c>
      <c r="R76" s="256">
        <v>70</v>
      </c>
      <c r="S76" s="212"/>
      <c r="T76" s="255">
        <v>0.18</v>
      </c>
      <c r="U76" s="256">
        <v>70</v>
      </c>
    </row>
    <row r="77" ht="14.25" customHeight="true">
      <c r="A77" s="206"/>
      <c r="B77" s="209"/>
      <c r="C77" s="206"/>
      <c r="D77" s="211"/>
      <c r="E77" s="206"/>
      <c r="F77" s="212"/>
      <c r="G77" s="212"/>
      <c r="H77" s="212"/>
      <c r="I77" s="212"/>
      <c r="J77" s="212"/>
      <c r="K77" s="258" t="s">
        <v>553</v>
      </c>
      <c r="L77" s="259">
        <v>60</v>
      </c>
      <c r="M77" s="212"/>
      <c r="N77" s="255">
        <v>5</v>
      </c>
      <c r="O77" s="256">
        <v>85</v>
      </c>
      <c r="P77" s="65"/>
      <c r="Q77" s="255">
        <v>0.25</v>
      </c>
      <c r="R77" s="256">
        <v>85</v>
      </c>
      <c r="S77" s="212"/>
      <c r="T77" s="255">
        <v>0.225</v>
      </c>
      <c r="U77" s="256">
        <v>85</v>
      </c>
    </row>
    <row r="78" ht="14.25" customHeight="true">
      <c r="A78" s="206"/>
      <c r="B78" s="209"/>
      <c r="C78" s="206"/>
      <c r="D78" s="211"/>
      <c r="E78" s="206"/>
      <c r="F78" s="212"/>
      <c r="G78" s="212"/>
      <c r="H78" s="212"/>
      <c r="I78" s="212"/>
      <c r="J78" s="212"/>
      <c r="K78" s="258" t="s">
        <v>555</v>
      </c>
      <c r="L78" s="259">
        <v>0</v>
      </c>
      <c r="M78" s="212"/>
      <c r="N78" s="255">
        <v>5.5</v>
      </c>
      <c r="O78" s="256">
        <v>100</v>
      </c>
      <c r="P78" s="65"/>
      <c r="Q78" s="255">
        <v>0.3</v>
      </c>
      <c r="R78" s="256">
        <v>100</v>
      </c>
      <c r="S78" s="212"/>
      <c r="T78" s="255">
        <v>0.27</v>
      </c>
      <c r="U78" s="256">
        <v>100</v>
      </c>
    </row>
    <row r="79" ht="14.25" customHeight="true">
      <c r="A79" s="206"/>
      <c r="B79" s="209"/>
      <c r="C79" s="206"/>
      <c r="D79" s="211"/>
      <c r="E79" s="206"/>
      <c r="F79" s="212"/>
      <c r="G79" s="212"/>
      <c r="H79" s="212"/>
      <c r="I79" s="212"/>
      <c r="J79" s="212"/>
      <c r="K79" s="212"/>
      <c r="L79" s="212"/>
      <c r="M79" s="212"/>
      <c r="N79" s="260"/>
      <c r="O79" s="212"/>
      <c r="Q79" s="212"/>
      <c r="R79" s="212"/>
      <c r="S79" s="212"/>
      <c r="T79" s="212"/>
      <c r="U79" s="212"/>
      <c r="V79" s="212"/>
    </row>
    <row r="80" ht="14.25" customHeight="true">
      <c r="A80" s="213"/>
      <c r="B80" s="214" t="s">
        <v>557</v>
      </c>
      <c r="C80" s="215"/>
      <c r="E80" s="215"/>
      <c r="F80" s="212"/>
      <c r="G80" s="212"/>
      <c r="H80" s="212"/>
      <c r="I80" s="212"/>
      <c r="J80" s="216"/>
    </row>
    <row r="81" ht="14.25" customHeight="true">
      <c r="A81" s="206"/>
      <c r="B81" s="209"/>
      <c r="C81" s="206"/>
      <c r="D81" s="211"/>
      <c r="E81" s="206"/>
      <c r="F81" s="212"/>
      <c r="G81" s="212"/>
      <c r="H81" s="212"/>
      <c r="I81" s="212"/>
      <c r="J81" s="212"/>
      <c r="K81" s="212"/>
      <c r="L81" s="212"/>
      <c r="M81" s="212"/>
      <c r="N81" s="212"/>
      <c r="O81" s="212"/>
      <c r="P81" s="212"/>
      <c r="Q81" s="212"/>
      <c r="R81" s="212"/>
      <c r="S81" s="212"/>
      <c r="T81" s="212"/>
    </row>
    <row r="82" ht="14.25" customHeight="true">
      <c r="A82" s="38"/>
      <c r="B82" s="229" t="s">
        <v>537</v>
      </c>
      <c r="C82" s="261"/>
      <c r="D82" s="182"/>
      <c r="E82" s="68"/>
      <c r="F82" s="212"/>
      <c r="G82" s="212"/>
      <c r="H82" s="212"/>
      <c r="I82" s="212"/>
      <c r="J82" s="262">
        <f>=IF((SUMPRODUCT(J21:J24,$L91:$L94)+$L$90)&lt;0,0,SUMPRODUCT(J21:J24,$L91:$L94)+$L$90)</f>
      </c>
      <c r="K82" s="262">
        <f ref="K82:S82" t="shared" si="260">=IF((SUMPRODUCT(K21:K24,$L91:$L94)+$L$90)&lt;0,0,SUMPRODUCT(K21:K24,$L91:$L94)+$L$90)</f>
      </c>
      <c r="L82" s="262">
        <f t="shared" si="260"/>
      </c>
      <c r="M82" s="262">
        <f t="shared" si="260"/>
      </c>
      <c r="N82" s="262">
        <f t="shared" si="260"/>
      </c>
      <c r="O82" s="262">
        <f t="shared" si="260"/>
      </c>
      <c r="P82" s="262">
        <f t="shared" si="260"/>
      </c>
      <c r="Q82" s="262">
        <f t="shared" si="260"/>
      </c>
      <c r="R82" s="262">
        <f t="shared" si="260"/>
      </c>
      <c r="S82" s="262">
        <f t="shared" si="260"/>
      </c>
      <c r="T82" s="31"/>
    </row>
    <row r="83" ht="14.25" customHeight="true">
      <c r="A83" s="65"/>
      <c r="B83" s="209"/>
      <c r="C83" s="206"/>
      <c r="D83" s="211"/>
      <c r="E83" s="206"/>
      <c r="F83" s="212"/>
      <c r="G83" s="212"/>
      <c r="H83" s="212"/>
      <c r="I83" s="212"/>
      <c r="J83" s="212"/>
      <c r="K83" s="212"/>
      <c r="L83" s="212"/>
      <c r="M83" s="212"/>
      <c r="N83" s="212"/>
      <c r="O83" s="212"/>
      <c r="P83" s="212"/>
      <c r="Q83" s="212"/>
      <c r="R83" s="212"/>
      <c r="S83" s="212"/>
      <c r="T83" s="218"/>
    </row>
    <row r="84" ht="14.25" customHeight="true">
      <c r="A84" s="65"/>
      <c r="B84" s="37" t="s">
        <v>510</v>
      </c>
      <c r="C84" s="68"/>
      <c r="D84" s="38"/>
      <c r="E84" s="68"/>
      <c r="F84" s="212"/>
      <c r="G84" s="212"/>
      <c r="H84" s="212"/>
      <c r="I84" s="212"/>
      <c r="J84" s="31">
        <f>=LOOKUP(J82,$N$91:$N$108,$P$91:$P$108)</f>
      </c>
      <c r="K84" s="31">
        <f ref="K84:S84" t="shared" si="255">=LOOKUP(K82,$N$91:$N$108,$P$91:$P$108)</f>
      </c>
      <c r="L84" s="31">
        <f t="shared" si="255"/>
      </c>
      <c r="M84" s="31">
        <f t="shared" si="255"/>
      </c>
      <c r="N84" s="31">
        <f t="shared" si="255"/>
      </c>
      <c r="O84" s="31">
        <f t="shared" si="255"/>
      </c>
      <c r="P84" s="31">
        <f t="shared" si="255"/>
      </c>
      <c r="Q84" s="31">
        <f t="shared" si="255"/>
      </c>
      <c r="R84" s="31">
        <f t="shared" si="255"/>
      </c>
      <c r="S84" s="31">
        <f t="shared" si="255"/>
      </c>
      <c r="T84" s="31"/>
    </row>
    <row r="85" ht="14.25" customHeight="true">
      <c r="A85" s="65"/>
      <c r="B85" s="231" t="s">
        <v>532</v>
      </c>
      <c r="C85" s="245"/>
      <c r="D85" s="263"/>
      <c r="E85" s="68"/>
      <c r="F85" s="212"/>
      <c r="G85" s="212"/>
      <c r="H85" s="212"/>
      <c r="I85" s="212"/>
      <c r="J85" s="223">
        <f>=LOOKUP(J82,$N$91:$N$108,$Q$91:$Q$108)</f>
      </c>
      <c r="K85" s="223">
        <f ref="K85:S85" t="shared" si="264">=LOOKUP(K82,$N$91:$N$108,$Q$91:$Q$108)</f>
      </c>
      <c r="L85" s="223">
        <f t="shared" si="264"/>
      </c>
      <c r="M85" s="223">
        <f t="shared" si="264"/>
      </c>
      <c r="N85" s="223">
        <f t="shared" si="264"/>
      </c>
      <c r="O85" s="223">
        <f t="shared" si="264"/>
      </c>
      <c r="P85" s="223">
        <f t="shared" si="264"/>
      </c>
      <c r="Q85" s="223">
        <f t="shared" si="264"/>
      </c>
      <c r="R85" s="223">
        <f t="shared" si="264"/>
      </c>
      <c r="S85" s="223">
        <f t="shared" si="264"/>
      </c>
      <c r="T85" s="31"/>
    </row>
    <row r="86" ht="14.25" customHeight="true">
      <c r="F86" s="212"/>
      <c r="G86" s="212"/>
      <c r="H86" s="212"/>
      <c r="I86" s="212"/>
    </row>
    <row r="87" ht="14.25" customHeight="true">
      <c r="F87" s="212"/>
      <c r="G87" s="212"/>
      <c r="H87" s="212"/>
      <c r="I87" s="212"/>
    </row>
    <row r="88" ht="14.25" customHeight="true">
      <c r="A88" s="213"/>
      <c r="B88" s="214" t="s">
        <v>558</v>
      </c>
      <c r="C88" s="215"/>
      <c r="E88" s="215"/>
      <c r="F88" s="212"/>
      <c r="G88" s="212"/>
      <c r="H88" s="212"/>
      <c r="I88" s="212"/>
      <c r="J88" s="216"/>
      <c r="P88" s="89"/>
      <c r="Q88" s="89"/>
      <c r="R88" s="89"/>
    </row>
    <row r="89" ht="14.25" customHeight="true">
      <c r="F89" s="212"/>
      <c r="G89" s="212"/>
      <c r="H89" s="212"/>
      <c r="I89" s="212"/>
      <c r="J89" s="212"/>
      <c r="K89" s="264" t="s">
        <v>559</v>
      </c>
      <c r="L89" s="265"/>
      <c r="N89" s="266" t="s">
        <v>542</v>
      </c>
      <c r="O89" s="266"/>
      <c r="P89" s="266"/>
      <c r="Q89" s="266"/>
    </row>
    <row r="90" ht="15.00" customHeight="true">
      <c r="F90" s="212"/>
      <c r="G90" s="212"/>
      <c r="H90" s="212"/>
      <c r="I90" s="212"/>
      <c r="J90" s="212"/>
      <c r="K90" s="256" t="s">
        <v>560</v>
      </c>
      <c r="L90" s="267">
        <v>3.25</v>
      </c>
      <c r="N90" s="266" t="s">
        <v>537</v>
      </c>
      <c r="O90" s="266" t="s">
        <v>561</v>
      </c>
      <c r="P90" s="266" t="s">
        <v>562</v>
      </c>
      <c r="Q90" s="266" t="s">
        <v>532</v>
      </c>
    </row>
    <row r="91" ht="15.00" customHeight="true">
      <c r="F91" s="212"/>
      <c r="G91" s="212"/>
      <c r="H91" s="212"/>
      <c r="I91" s="212"/>
      <c r="J91" s="212"/>
      <c r="K91" s="256" t="s">
        <v>563</v>
      </c>
      <c r="L91" s="267">
        <v>6.56</v>
      </c>
      <c r="N91" s="253">
        <v>0</v>
      </c>
      <c r="O91" s="253" t="s">
        <v>564</v>
      </c>
      <c r="P91" s="253" t="s">
        <v>565</v>
      </c>
      <c r="Q91" s="253" t="s">
        <v>546</v>
      </c>
    </row>
    <row r="92" ht="15.00" customHeight="true">
      <c r="F92" s="212"/>
      <c r="G92" s="212"/>
      <c r="H92" s="212"/>
      <c r="I92" s="212"/>
      <c r="J92" s="212"/>
      <c r="K92" s="256" t="s">
        <v>566</v>
      </c>
      <c r="L92" s="267">
        <v>3.26</v>
      </c>
      <c r="N92" s="253">
        <v>1.75</v>
      </c>
      <c r="O92" s="253" t="s">
        <v>567</v>
      </c>
      <c r="P92" s="256" t="s">
        <v>568</v>
      </c>
      <c r="Q92" s="253" t="s">
        <v>546</v>
      </c>
    </row>
    <row r="93" ht="15.00" customHeight="true">
      <c r="F93" s="212"/>
      <c r="G93" s="212"/>
      <c r="H93" s="212"/>
      <c r="I93" s="212"/>
      <c r="J93" s="212"/>
      <c r="K93" s="256" t="s">
        <v>569</v>
      </c>
      <c r="L93" s="267">
        <v>6.72</v>
      </c>
      <c r="N93" s="253">
        <v>2.5</v>
      </c>
      <c r="O93" s="253" t="s">
        <v>570</v>
      </c>
      <c r="P93" s="256" t="s">
        <v>571</v>
      </c>
      <c r="Q93" s="253" t="s">
        <v>546</v>
      </c>
    </row>
    <row r="94" ht="15.00" customHeight="true">
      <c r="F94" s="212"/>
      <c r="G94" s="212"/>
      <c r="H94" s="212"/>
      <c r="I94" s="212"/>
      <c r="J94" s="212"/>
      <c r="K94" s="256" t="s">
        <v>572</v>
      </c>
      <c r="L94" s="267">
        <v>1.05</v>
      </c>
      <c r="N94" s="253">
        <v>3.2</v>
      </c>
      <c r="O94" s="253" t="s">
        <v>573</v>
      </c>
      <c r="P94" s="253" t="s">
        <v>545</v>
      </c>
      <c r="Q94" s="253" t="s">
        <v>546</v>
      </c>
    </row>
    <row r="95" ht="14.25" customHeight="true">
      <c r="F95" s="212"/>
      <c r="G95" s="212"/>
      <c r="H95" s="212"/>
      <c r="I95" s="212"/>
      <c r="J95" s="212"/>
      <c r="N95" s="253">
        <v>3.75</v>
      </c>
      <c r="O95" s="253" t="s">
        <v>574</v>
      </c>
      <c r="P95" s="253" t="s">
        <v>547</v>
      </c>
      <c r="Q95" s="253" t="s">
        <v>546</v>
      </c>
    </row>
    <row r="96" ht="14.25" customHeight="true">
      <c r="F96" s="212"/>
      <c r="G96" s="212"/>
      <c r="H96" s="212"/>
      <c r="I96" s="212"/>
      <c r="J96" s="212"/>
      <c r="N96" s="253">
        <v>4.15</v>
      </c>
      <c r="O96" s="253" t="s">
        <v>575</v>
      </c>
      <c r="P96" s="253" t="s">
        <v>548</v>
      </c>
      <c r="Q96" s="253" t="s">
        <v>549</v>
      </c>
    </row>
    <row r="97" ht="14.25" customHeight="true">
      <c r="F97" s="212"/>
      <c r="G97" s="212"/>
      <c r="H97" s="212"/>
      <c r="I97" s="212"/>
      <c r="J97" s="212"/>
      <c r="N97" s="253">
        <v>4.5</v>
      </c>
      <c r="O97" s="253" t="s">
        <v>576</v>
      </c>
      <c r="P97" s="253" t="s">
        <v>550</v>
      </c>
      <c r="Q97" s="253" t="s">
        <v>401</v>
      </c>
    </row>
    <row r="98" ht="14.25" customHeight="true">
      <c r="F98" s="212"/>
      <c r="G98" s="212"/>
      <c r="H98" s="212"/>
      <c r="I98" s="212"/>
      <c r="J98" s="212"/>
      <c r="N98" s="253">
        <v>4.75</v>
      </c>
      <c r="O98" s="253" t="s">
        <v>577</v>
      </c>
      <c r="P98" s="253" t="s">
        <v>551</v>
      </c>
      <c r="Q98" s="253" t="s">
        <v>552</v>
      </c>
    </row>
    <row r="99" ht="14.25" customHeight="true">
      <c r="F99" s="212"/>
      <c r="G99" s="212"/>
      <c r="H99" s="212"/>
      <c r="I99" s="212"/>
      <c r="J99" s="212"/>
      <c r="N99" s="253">
        <v>4.95</v>
      </c>
      <c r="O99" s="253" t="s">
        <v>578</v>
      </c>
      <c r="P99" s="253" t="s">
        <v>553</v>
      </c>
      <c r="Q99" s="253" t="s">
        <v>554</v>
      </c>
    </row>
    <row r="100" ht="14.25" customHeight="true">
      <c r="F100" s="212"/>
      <c r="G100" s="212"/>
      <c r="H100" s="212"/>
      <c r="I100" s="212"/>
      <c r="J100" s="212"/>
      <c r="N100" s="253">
        <v>5.25</v>
      </c>
      <c r="O100" s="253" t="s">
        <v>579</v>
      </c>
      <c r="P100" s="253" t="s">
        <v>555</v>
      </c>
      <c r="Q100" s="253" t="s">
        <v>554</v>
      </c>
    </row>
    <row r="101" ht="14.25" customHeight="true">
      <c r="F101" s="212"/>
      <c r="G101" s="212"/>
      <c r="H101" s="212"/>
      <c r="I101" s="212"/>
      <c r="J101" s="212"/>
      <c r="N101" s="253">
        <v>5.65</v>
      </c>
      <c r="O101" s="253" t="s">
        <v>565</v>
      </c>
      <c r="P101" s="253" t="s">
        <v>555</v>
      </c>
      <c r="Q101" s="253" t="s">
        <v>554</v>
      </c>
    </row>
    <row r="102" ht="14.25" customHeight="true">
      <c r="F102" s="212"/>
      <c r="G102" s="212"/>
      <c r="H102" s="212"/>
      <c r="I102" s="212"/>
      <c r="J102" s="212"/>
      <c r="N102" s="256">
        <v>5.85</v>
      </c>
      <c r="O102" s="256" t="s">
        <v>568</v>
      </c>
      <c r="P102" s="253" t="s">
        <v>555</v>
      </c>
      <c r="Q102" s="253" t="s">
        <v>554</v>
      </c>
    </row>
    <row r="103" ht="14.25" customHeight="true">
      <c r="F103" s="212"/>
      <c r="G103" s="212"/>
      <c r="H103" s="212"/>
      <c r="I103" s="212"/>
      <c r="J103" s="212"/>
      <c r="N103" s="256">
        <v>6.25</v>
      </c>
      <c r="O103" s="256" t="s">
        <v>571</v>
      </c>
      <c r="P103" s="253" t="s">
        <v>555</v>
      </c>
      <c r="Q103" s="253" t="s">
        <v>554</v>
      </c>
    </row>
    <row r="104" ht="14.25" customHeight="true">
      <c r="F104" s="212"/>
      <c r="G104" s="212"/>
      <c r="H104" s="212"/>
      <c r="I104" s="212"/>
      <c r="J104" s="212"/>
      <c r="N104" s="256">
        <v>6.4</v>
      </c>
      <c r="O104" s="256" t="s">
        <v>545</v>
      </c>
      <c r="P104" s="253" t="s">
        <v>555</v>
      </c>
      <c r="Q104" s="253" t="s">
        <v>554</v>
      </c>
    </row>
    <row r="105" ht="14.25" customHeight="true">
      <c r="F105" s="212"/>
      <c r="G105" s="212"/>
      <c r="H105" s="212"/>
      <c r="I105" s="212"/>
      <c r="J105" s="212"/>
      <c r="N105" s="256">
        <v>6.65</v>
      </c>
      <c r="O105" s="256" t="s">
        <v>547</v>
      </c>
      <c r="P105" s="253" t="s">
        <v>555</v>
      </c>
      <c r="Q105" s="253" t="s">
        <v>554</v>
      </c>
    </row>
    <row r="106" ht="14.25" customHeight="true">
      <c r="F106" s="212"/>
      <c r="G106" s="212"/>
      <c r="H106" s="212"/>
      <c r="I106" s="212"/>
      <c r="J106" s="212"/>
      <c r="N106" s="256">
        <v>6.85</v>
      </c>
      <c r="O106" s="256" t="s">
        <v>548</v>
      </c>
      <c r="P106" s="253" t="s">
        <v>555</v>
      </c>
      <c r="Q106" s="253" t="s">
        <v>554</v>
      </c>
    </row>
    <row r="107" ht="14.25" customHeight="true">
      <c r="F107" s="212"/>
      <c r="G107" s="212"/>
      <c r="H107" s="212"/>
      <c r="I107" s="212"/>
      <c r="J107" s="212"/>
      <c r="N107" s="256">
        <v>7.16</v>
      </c>
      <c r="O107" s="256" t="s">
        <v>580</v>
      </c>
      <c r="P107" s="253" t="s">
        <v>555</v>
      </c>
      <c r="Q107" s="253" t="s">
        <v>554</v>
      </c>
    </row>
    <row r="108" ht="14.25" customHeight="true">
      <c r="N108" s="256">
        <v>8.15</v>
      </c>
      <c r="O108" s="256" t="s">
        <v>581</v>
      </c>
      <c r="P108" s="253" t="s">
        <v>555</v>
      </c>
      <c r="Q108" s="253" t="s">
        <v>554</v>
      </c>
    </row>
  </sheetData>
  <mergeCells count="10">
    <mergeCell ref="K89:L89"/>
    <mergeCell ref="N89:Q89"/>
    <mergeCell ref="J60:L60"/>
    <mergeCell ref="N60:O60"/>
    <mergeCell ref="Q60:R60"/>
    <mergeCell ref="T60:U60"/>
    <mergeCell ref="K70:L70"/>
    <mergeCell ref="N70:O70"/>
    <mergeCell ref="Q70:R70"/>
    <mergeCell ref="T70:U70"/>
  </mergeCells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>
    <tabColor rgb="FF17375E"/>
  </sheetPr>
  <dimension ref="A1"/>
  <sheetViews>
    <sheetView showGridLines="0" tabSelected="0" workbookViewId="0">
      <pane xSplit="1" ySplit="5" topLeftCell="B6" activePane="bottomRight" state="frozen"/>
      <selection activeCell="A1" sqref="A1"/>
    </sheetView>
  </sheetViews>
  <sheetFormatPr defaultRowHeight="14.25" customHeight="1" defaultColWidth="8.34"/>
  <cols>
    <col min="1" max="3" width="3.92" customWidth="1" hidden="0"/>
    <col min="4" max="4" width="34.59" customWidth="1" hidden="0"/>
    <col min="5" max="16" width="12.39" customWidth="1" hidden="0"/>
    <col min="17" max="16384" width="8.34" customWidth="1" hidden="0"/>
  </cols>
  <sheetData>
    <row r="2" ht="14.25" customHeight="true">
      <c r="A2" s="17" t="s">
        <v>13</v>
      </c>
      <c r="B2" s="12" t="s">
        <v>582</v>
      </c>
    </row>
    <row r="3" ht="14.25" customHeight="true">
      <c r="B3" s="8" t="s">
        <v>5</v>
      </c>
      <c r="C3" s="17"/>
      <c r="D3" s="12"/>
      <c r="E3" s="17"/>
      <c r="F3" s="12"/>
      <c r="G3" s="17"/>
      <c r="H3" s="12"/>
      <c r="I3" s="17"/>
      <c r="J3" s="12"/>
      <c r="K3" s="17"/>
      <c r="L3" s="12"/>
      <c r="M3" s="17"/>
      <c r="N3" s="12"/>
      <c r="O3" s="17"/>
      <c r="P3" s="12"/>
      <c r="Q3" s="17"/>
      <c r="R3" s="12"/>
      <c r="S3" s="17"/>
      <c r="T3" s="12"/>
      <c r="U3" s="17"/>
      <c r="V3" s="12"/>
      <c r="W3" s="17"/>
      <c r="X3" s="12"/>
      <c r="Y3" s="17"/>
      <c r="Z3" s="12"/>
      <c r="AA3" s="17"/>
      <c r="AB3" s="12"/>
      <c r="AC3" s="17"/>
      <c r="AD3" s="12"/>
      <c r="AE3" s="17"/>
      <c r="AF3" s="12"/>
      <c r="AG3" s="17"/>
      <c r="AH3" s="12"/>
      <c r="AI3" s="17"/>
      <c r="AJ3" s="12"/>
      <c r="AK3" s="17"/>
      <c r="AL3" s="12"/>
      <c r="AM3" s="17"/>
      <c r="AN3" s="12"/>
      <c r="AO3" s="17"/>
      <c r="AP3" s="12"/>
      <c r="AQ3" s="17"/>
      <c r="AR3" s="12"/>
      <c r="AS3" s="17"/>
      <c r="AT3" s="12"/>
      <c r="AU3" s="17"/>
      <c r="AV3" s="12"/>
      <c r="AW3" s="17"/>
      <c r="AX3" s="12"/>
      <c r="AY3" s="17"/>
      <c r="AZ3" s="12"/>
      <c r="BA3" s="17"/>
      <c r="BB3" s="12"/>
      <c r="BC3" s="17"/>
      <c r="BD3" s="12"/>
      <c r="BE3" s="17"/>
      <c r="BF3" s="12"/>
      <c r="BG3" s="17"/>
      <c r="BH3" s="12"/>
      <c r="BI3" s="17"/>
      <c r="BJ3" s="12"/>
      <c r="BK3" s="17"/>
      <c r="BL3" s="12"/>
      <c r="BM3" s="17"/>
      <c r="BN3" s="12"/>
      <c r="BO3" s="17"/>
      <c r="BP3" s="12"/>
      <c r="BQ3" s="17"/>
      <c r="BR3" s="12"/>
      <c r="BS3" s="17"/>
      <c r="BT3" s="12"/>
      <c r="BU3" s="17"/>
      <c r="BV3" s="12"/>
      <c r="BW3" s="17"/>
      <c r="BX3" s="12"/>
      <c r="BY3" s="17"/>
      <c r="BZ3" s="12"/>
      <c r="CA3" s="17"/>
      <c r="CB3" s="12"/>
      <c r="CC3" s="17"/>
      <c r="CD3" s="12"/>
      <c r="CE3" s="17"/>
      <c r="CF3" s="12"/>
      <c r="CG3" s="17"/>
      <c r="CH3" s="12"/>
      <c r="CI3" s="17"/>
      <c r="CJ3" s="12"/>
      <c r="CK3" s="17"/>
      <c r="CL3" s="12"/>
      <c r="CM3" s="17"/>
      <c r="CN3" s="12"/>
      <c r="CO3" s="17"/>
      <c r="CP3" s="12"/>
      <c r="CQ3" s="17"/>
      <c r="CR3" s="12"/>
      <c r="CS3" s="17"/>
      <c r="CT3" s="12"/>
      <c r="CU3" s="17"/>
      <c r="CV3" s="12"/>
      <c r="CW3" s="17"/>
      <c r="CX3" s="12"/>
      <c r="CY3" s="17"/>
      <c r="CZ3" s="12"/>
      <c r="DA3" s="17"/>
      <c r="DB3" s="12"/>
      <c r="DC3" s="17"/>
      <c r="DD3" s="12"/>
      <c r="DE3" s="17"/>
      <c r="DF3" s="12"/>
      <c r="DG3" s="17"/>
      <c r="DH3" s="12"/>
      <c r="DI3" s="17"/>
      <c r="DJ3" s="12"/>
      <c r="DK3" s="17"/>
      <c r="DL3" s="12"/>
      <c r="DM3" s="17"/>
      <c r="DN3" s="12"/>
      <c r="DO3" s="17"/>
      <c r="DP3" s="12"/>
      <c r="DQ3" s="17"/>
      <c r="DR3" s="12"/>
      <c r="DS3" s="17"/>
      <c r="DT3" s="12"/>
      <c r="DU3" s="17"/>
      <c r="DV3" s="12"/>
      <c r="DW3" s="17"/>
      <c r="DX3" s="12"/>
      <c r="DY3" s="17"/>
      <c r="DZ3" s="12"/>
      <c r="EA3" s="17"/>
      <c r="EB3" s="12"/>
      <c r="EC3" s="17"/>
      <c r="ED3" s="12"/>
      <c r="EE3" s="17"/>
      <c r="EF3" s="12"/>
      <c r="EG3" s="17"/>
      <c r="EH3" s="12"/>
      <c r="EI3" s="17"/>
      <c r="EJ3" s="12"/>
      <c r="EK3" s="17"/>
      <c r="EL3" s="12"/>
      <c r="EM3" s="17"/>
      <c r="EN3" s="12"/>
      <c r="EO3" s="17"/>
      <c r="EP3" s="12"/>
      <c r="EQ3" s="17"/>
      <c r="ER3" s="12"/>
      <c r="ES3" s="17"/>
      <c r="ET3" s="12"/>
      <c r="EU3" s="17"/>
      <c r="EV3" s="12"/>
      <c r="EW3" s="17"/>
      <c r="EX3" s="12"/>
      <c r="EY3" s="17"/>
      <c r="EZ3" s="12"/>
      <c r="FA3" s="17"/>
      <c r="FB3" s="12"/>
      <c r="FC3" s="17"/>
      <c r="FD3" s="12"/>
      <c r="FE3" s="17"/>
      <c r="FF3" s="12"/>
      <c r="FG3" s="17"/>
      <c r="FH3" s="12"/>
      <c r="FI3" s="17"/>
      <c r="FJ3" s="12"/>
      <c r="FK3" s="17"/>
      <c r="FL3" s="12"/>
      <c r="FM3" s="17"/>
      <c r="FN3" s="12"/>
      <c r="FO3" s="17"/>
      <c r="FP3" s="12"/>
      <c r="FQ3" s="17"/>
      <c r="FR3" s="12"/>
      <c r="FS3" s="17"/>
      <c r="FT3" s="12"/>
      <c r="FU3" s="17"/>
      <c r="FV3" s="12"/>
      <c r="FW3" s="17"/>
      <c r="FX3" s="12"/>
      <c r="FY3" s="17"/>
      <c r="FZ3" s="12"/>
      <c r="GA3" s="17"/>
      <c r="GB3" s="12"/>
      <c r="GC3" s="17"/>
      <c r="GD3" s="12"/>
      <c r="GE3" s="17"/>
      <c r="GF3" s="12"/>
      <c r="GG3" s="17"/>
      <c r="GH3" s="12"/>
      <c r="GI3" s="17"/>
      <c r="GJ3" s="12"/>
      <c r="GK3" s="17"/>
      <c r="GL3" s="12"/>
      <c r="GM3" s="17"/>
      <c r="GN3" s="12"/>
      <c r="GO3" s="17"/>
      <c r="GP3" s="12"/>
      <c r="GQ3" s="17"/>
      <c r="GR3" s="12"/>
      <c r="GS3" s="17"/>
      <c r="GT3" s="12"/>
      <c r="GU3" s="17"/>
      <c r="GV3" s="12"/>
      <c r="GW3" s="17"/>
      <c r="GX3" s="12"/>
      <c r="GY3" s="17"/>
      <c r="GZ3" s="12"/>
      <c r="HA3" s="17"/>
      <c r="HB3" s="12"/>
      <c r="HC3" s="17"/>
      <c r="HD3" s="12"/>
      <c r="HE3" s="17"/>
      <c r="HF3" s="12"/>
      <c r="HG3" s="17"/>
      <c r="HH3" s="12"/>
      <c r="HI3" s="17"/>
      <c r="HJ3" s="12"/>
      <c r="HK3" s="17"/>
      <c r="HL3" s="12"/>
      <c r="HM3" s="17"/>
      <c r="HN3" s="12"/>
      <c r="HO3" s="17"/>
      <c r="HP3" s="12"/>
      <c r="HQ3" s="17"/>
      <c r="HR3" s="12"/>
      <c r="HS3" s="17"/>
      <c r="HT3" s="12"/>
      <c r="HU3" s="17"/>
      <c r="HV3" s="12"/>
      <c r="HW3" s="17"/>
      <c r="HX3" s="12"/>
      <c r="HY3" s="17"/>
      <c r="HZ3" s="12"/>
      <c r="IA3" s="17"/>
      <c r="IB3" s="12"/>
      <c r="IC3" s="17"/>
      <c r="ID3" s="12"/>
      <c r="IE3" s="17"/>
      <c r="IF3" s="12"/>
      <c r="IG3" s="17"/>
      <c r="IH3" s="12"/>
      <c r="II3" s="17"/>
      <c r="IJ3" s="12"/>
      <c r="IK3" s="17"/>
      <c r="IL3" s="12"/>
      <c r="IM3" s="17"/>
      <c r="IN3" s="12"/>
      <c r="IO3" s="17"/>
      <c r="IP3" s="12"/>
      <c r="IQ3" s="17"/>
      <c r="IR3" s="12"/>
      <c r="IS3" s="17"/>
      <c r="IT3" s="12"/>
      <c r="IU3" s="17"/>
      <c r="IV3" s="12"/>
    </row>
    <row r="4" ht="14.25" customHeight="true">
      <c r="B4" s="8"/>
      <c r="D4" s="8"/>
      <c r="F4" s="8"/>
      <c r="H4" s="8"/>
      <c r="J4" s="8"/>
      <c r="L4" s="8"/>
      <c r="N4" s="8"/>
      <c r="P4" s="8"/>
      <c r="R4" s="8"/>
      <c r="T4" s="8"/>
      <c r="V4" s="8"/>
      <c r="X4" s="8"/>
      <c r="Z4" s="8"/>
      <c r="AB4" s="8"/>
      <c r="AD4" s="8"/>
      <c r="AF4" s="8"/>
      <c r="AH4" s="8"/>
      <c r="AJ4" s="8"/>
      <c r="AL4" s="8"/>
      <c r="AN4" s="8"/>
      <c r="AP4" s="8"/>
      <c r="AR4" s="8"/>
      <c r="AT4" s="8"/>
      <c r="AV4" s="8"/>
      <c r="AX4" s="8"/>
      <c r="AZ4" s="8"/>
      <c r="BB4" s="8"/>
      <c r="BD4" s="8"/>
      <c r="BF4" s="8"/>
      <c r="BH4" s="8"/>
      <c r="BJ4" s="8"/>
      <c r="BL4" s="8"/>
      <c r="BN4" s="8"/>
      <c r="BP4" s="8"/>
      <c r="BR4" s="8"/>
      <c r="BT4" s="8"/>
      <c r="BV4" s="8"/>
      <c r="BX4" s="8"/>
      <c r="BZ4" s="8"/>
      <c r="CB4" s="8"/>
      <c r="CD4" s="8"/>
      <c r="CF4" s="8"/>
      <c r="CH4" s="8"/>
      <c r="CJ4" s="8"/>
      <c r="CL4" s="8"/>
      <c r="CN4" s="8"/>
      <c r="CP4" s="8"/>
      <c r="CR4" s="8"/>
      <c r="CT4" s="8"/>
      <c r="CV4" s="8"/>
      <c r="CX4" s="8"/>
      <c r="CZ4" s="8"/>
      <c r="DB4" s="8"/>
      <c r="DD4" s="8"/>
      <c r="DF4" s="8"/>
      <c r="DH4" s="8"/>
      <c r="DJ4" s="8"/>
      <c r="DL4" s="8"/>
      <c r="DN4" s="8"/>
      <c r="DP4" s="8"/>
      <c r="DR4" s="8"/>
      <c r="DT4" s="8"/>
      <c r="DV4" s="8"/>
      <c r="DX4" s="8"/>
      <c r="DZ4" s="8"/>
      <c r="EB4" s="8"/>
      <c r="ED4" s="8"/>
      <c r="EF4" s="8"/>
      <c r="EH4" s="8"/>
      <c r="EJ4" s="8"/>
      <c r="EL4" s="8"/>
      <c r="EN4" s="8"/>
      <c r="EP4" s="8"/>
      <c r="ER4" s="8"/>
      <c r="ET4" s="8"/>
      <c r="EV4" s="8"/>
      <c r="EX4" s="8"/>
      <c r="EZ4" s="8"/>
      <c r="FB4" s="8"/>
      <c r="FD4" s="8"/>
      <c r="FF4" s="8"/>
      <c r="FH4" s="8"/>
      <c r="FJ4" s="8"/>
      <c r="FL4" s="8"/>
      <c r="FN4" s="8"/>
      <c r="FP4" s="8"/>
      <c r="FR4" s="8"/>
      <c r="FT4" s="8"/>
      <c r="FV4" s="8"/>
      <c r="FX4" s="8"/>
      <c r="FZ4" s="8"/>
      <c r="GB4" s="8"/>
      <c r="GD4" s="8"/>
      <c r="GF4" s="8"/>
      <c r="GH4" s="8"/>
      <c r="GJ4" s="8"/>
      <c r="GL4" s="8"/>
      <c r="GN4" s="8"/>
      <c r="GP4" s="8"/>
      <c r="GR4" s="8"/>
      <c r="GT4" s="8"/>
      <c r="GV4" s="8"/>
      <c r="GX4" s="8"/>
      <c r="GZ4" s="8"/>
      <c r="HB4" s="8"/>
      <c r="HD4" s="8"/>
      <c r="HF4" s="8"/>
      <c r="HH4" s="8"/>
      <c r="HJ4" s="8"/>
      <c r="HL4" s="8"/>
      <c r="HN4" s="8"/>
      <c r="HP4" s="8"/>
      <c r="HR4" s="8"/>
      <c r="HT4" s="8"/>
      <c r="HV4" s="8"/>
      <c r="HX4" s="8"/>
      <c r="HZ4" s="8"/>
      <c r="IB4" s="8"/>
      <c r="ID4" s="8"/>
      <c r="IF4" s="8"/>
      <c r="IH4" s="8"/>
      <c r="IJ4" s="8"/>
      <c r="IL4" s="8"/>
      <c r="IN4" s="8"/>
      <c r="IP4" s="8"/>
      <c r="IR4" s="8"/>
      <c r="IT4" s="8"/>
      <c r="IV4" s="8"/>
    </row>
    <row r="5" ht="14.25" customHeight="true">
      <c r="B5" s="19" t="s">
        <v>250</v>
      </c>
      <c r="C5" s="19"/>
      <c r="D5" s="19"/>
      <c r="E5" s="268"/>
      <c r="F5" s="268"/>
      <c r="G5" s="268">
        <f>=+'Modulo Tesoreria'!F5</f>
      </c>
      <c r="H5" s="268">
        <f>=+'Modulo Tesoreria'!G5</f>
      </c>
      <c r="I5" s="268">
        <f>=+'Modulo Tesoreria'!H5</f>
      </c>
      <c r="J5" s="268">
        <f>=+'Modulo Tesoreria'!I5</f>
      </c>
      <c r="K5" s="268">
        <f>=+'Modulo Tesoreria'!J5</f>
      </c>
      <c r="L5" s="268">
        <f>=+'Modulo Tesoreria'!K5</f>
      </c>
      <c r="M5" s="268">
        <f>=+'Modulo Tesoreria'!L5</f>
      </c>
      <c r="N5" s="268">
        <f>=+'Modulo Tesoreria'!M5</f>
      </c>
      <c r="O5" s="268">
        <f>=+'Modulo Tesoreria'!N5</f>
      </c>
      <c r="P5" s="268">
        <f>=+'Modulo Tesoreria'!O5</f>
      </c>
    </row>
    <row r="7" ht="14.25" customHeight="true">
      <c r="B7" s="8"/>
      <c r="C7" s="21" t="s">
        <v>583</v>
      </c>
      <c r="D7" s="21"/>
      <c r="E7" s="21"/>
      <c r="F7" s="21"/>
      <c r="G7" s="21">
        <f>=+'Modulo Tesoreria'!F22</f>
      </c>
      <c r="H7" s="21">
        <f>=+'Modulo Tesoreria'!G22</f>
      </c>
      <c r="I7" s="21">
        <f>=+'Modulo Tesoreria'!H22</f>
      </c>
      <c r="J7" s="21">
        <f>=+'Modulo Tesoreria'!I22</f>
      </c>
      <c r="K7" s="21">
        <f>=+'Modulo Tesoreria'!J22</f>
      </c>
      <c r="L7" s="21">
        <f>=+'Modulo Tesoreria'!K22</f>
      </c>
      <c r="M7" s="21">
        <f>=+'Modulo Tesoreria'!L22</f>
      </c>
      <c r="N7" s="21">
        <f>=+'Modulo Tesoreria'!M22</f>
      </c>
      <c r="O7" s="21">
        <f>=+'Modulo Tesoreria'!N22</f>
      </c>
      <c r="P7" s="21">
        <f>=+'Modulo Tesoreria'!O22</f>
      </c>
    </row>
    <row r="8" ht="14.25" customHeight="true">
      <c r="B8" s="8"/>
      <c r="C8" s="25" t="s">
        <v>225</v>
      </c>
      <c r="D8" s="25"/>
      <c r="E8" s="25"/>
      <c r="F8" s="25"/>
      <c r="G8" s="25">
        <f>=+ERI!H18</f>
      </c>
      <c r="H8" s="25">
        <f>=+ERI!I18</f>
      </c>
      <c r="I8" s="25">
        <f>=+ERI!J18</f>
      </c>
      <c r="J8" s="25">
        <f>=+ERI!K18</f>
      </c>
      <c r="K8" s="25">
        <f>=+ERI!L18</f>
      </c>
      <c r="L8" s="25">
        <f>=+ERI!M18</f>
      </c>
      <c r="M8" s="25">
        <f>=+ERI!N18</f>
      </c>
      <c r="N8" s="25">
        <f>=+ERI!O18</f>
      </c>
      <c r="O8" s="25">
        <f>=+ERI!P18</f>
      </c>
      <c r="P8" s="25">
        <f>=+ERI!Q18</f>
      </c>
    </row>
    <row r="9" ht="14.25" customHeight="true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</row>
    <row r="10" ht="14.25" customHeight="true">
      <c r="B10" s="8"/>
      <c r="C10" s="21" t="s">
        <v>584</v>
      </c>
      <c r="D10" s="21"/>
      <c r="E10" s="21"/>
      <c r="F10" s="21"/>
      <c r="G10" s="21">
        <f>=+SUM(G11:G12)</f>
      </c>
      <c r="H10" s="21">
        <f ref="H10:P10" t="shared" si="312">=+SUM(H11:H12)</f>
      </c>
      <c r="I10" s="21">
        <f t="shared" si="312"/>
      </c>
      <c r="J10" s="21">
        <f t="shared" si="312"/>
      </c>
      <c r="K10" s="21">
        <f t="shared" si="312"/>
      </c>
      <c r="L10" s="21">
        <f t="shared" si="312"/>
      </c>
      <c r="M10" s="21">
        <f t="shared" si="312"/>
      </c>
      <c r="N10" s="21">
        <f t="shared" si="312"/>
      </c>
      <c r="O10" s="21">
        <f t="shared" si="312"/>
      </c>
      <c r="P10" s="21">
        <f t="shared" si="312"/>
      </c>
    </row>
    <row r="11" ht="14.25" customHeight="true">
      <c r="B11" s="8"/>
      <c r="C11" s="8"/>
      <c r="D11" s="8" t="s">
        <v>585</v>
      </c>
      <c r="E11" s="8"/>
      <c r="F11" s="8"/>
      <c r="G11" s="8">
        <f>=-('Modulo Tesoreria'!F26+'Modulo Tesoreria'!F30)</f>
      </c>
      <c r="H11" s="8">
        <f>=-('Modulo Tesoreria'!G26+'Modulo Tesoreria'!G30)</f>
      </c>
      <c r="I11" s="8">
        <f>=-('Modulo Tesoreria'!H26+'Modulo Tesoreria'!H30)</f>
      </c>
      <c r="J11" s="8">
        <f>=-('Modulo Tesoreria'!I26+'Modulo Tesoreria'!I30)</f>
      </c>
      <c r="K11" s="8">
        <f>=-('Modulo Tesoreria'!J26+'Modulo Tesoreria'!J30)</f>
      </c>
      <c r="L11" s="8">
        <f>=-('Modulo Tesoreria'!K26+'Modulo Tesoreria'!K30)</f>
      </c>
      <c r="M11" s="8">
        <f>=-('Modulo Tesoreria'!L26+'Modulo Tesoreria'!L30)</f>
      </c>
      <c r="N11" s="8">
        <f>=-('Modulo Tesoreria'!M26+'Modulo Tesoreria'!M30)</f>
      </c>
      <c r="O11" s="8">
        <f>=-('Modulo Tesoreria'!N26+'Modulo Tesoreria'!N30)</f>
      </c>
      <c r="P11" s="8">
        <f>=-('Modulo Tesoreria'!O26+'Modulo Tesoreria'!O30)</f>
      </c>
    </row>
    <row r="12" ht="14.25" customHeight="true">
      <c r="B12" s="8"/>
      <c r="C12" s="8"/>
      <c r="D12" s="8" t="s">
        <v>586</v>
      </c>
      <c r="E12" s="8"/>
      <c r="F12" s="8"/>
      <c r="G12" s="8">
        <f>=-('Modulo Tesoreria'!F27+'Modulo Tesoreria'!F31)</f>
      </c>
      <c r="H12" s="8">
        <f>=-('Modulo Tesoreria'!G27+'Modulo Tesoreria'!G31)</f>
      </c>
      <c r="I12" s="8">
        <f>=-('Modulo Tesoreria'!H27+'Modulo Tesoreria'!H31)</f>
      </c>
      <c r="J12" s="8">
        <f>=-('Modulo Tesoreria'!I27+'Modulo Tesoreria'!I31)</f>
      </c>
      <c r="K12" s="8">
        <f>=-('Modulo Tesoreria'!J27+'Modulo Tesoreria'!J31)</f>
      </c>
      <c r="L12" s="8">
        <f>=-('Modulo Tesoreria'!K27+'Modulo Tesoreria'!K31)</f>
      </c>
      <c r="M12" s="8">
        <f>=-('Modulo Tesoreria'!L27+'Modulo Tesoreria'!L31)</f>
      </c>
      <c r="N12" s="8">
        <f>=-('Modulo Tesoreria'!M27+'Modulo Tesoreria'!M31)</f>
      </c>
      <c r="O12" s="8">
        <f>=-('Modulo Tesoreria'!N27+'Modulo Tesoreria'!N31)</f>
      </c>
      <c r="P12" s="8">
        <f>=-('Modulo Tesoreria'!O27+'Modulo Tesoreria'!O31)</f>
      </c>
    </row>
    <row r="13" ht="14.25" customHeight="true">
      <c r="B13" s="8"/>
      <c r="C13" s="269"/>
      <c r="D13" s="269" t="s">
        <v>587</v>
      </c>
      <c r="E13" s="269"/>
      <c r="F13" s="269"/>
      <c r="G13" s="269">
        <f>=+ESF!H35+ESF!H44</f>
      </c>
      <c r="H13" s="269">
        <f>=+ESF!I35+ESF!I44</f>
      </c>
      <c r="I13" s="269">
        <f>=+ESF!J35+ESF!J44</f>
      </c>
      <c r="J13" s="269">
        <f>=+ESF!K35+ESF!K44</f>
      </c>
      <c r="K13" s="269">
        <f>=+ESF!L35+ESF!L44</f>
      </c>
      <c r="L13" s="269">
        <f>=+ESF!M35+ESF!M44</f>
      </c>
      <c r="M13" s="269">
        <f>=+ESF!N35+ESF!N44</f>
      </c>
      <c r="N13" s="269">
        <f>=+ESF!O35+ESF!O44</f>
      </c>
      <c r="O13" s="269">
        <f>=+ESF!P35+ESF!P44</f>
      </c>
      <c r="P13" s="269">
        <f>=+ESF!Q35+ESF!Q44</f>
      </c>
    </row>
    <row r="14" ht="14.25" customHeight="true">
      <c r="B14" s="8"/>
    </row>
    <row r="15" ht="14.25" customHeight="true">
      <c r="B15" s="8"/>
    </row>
    <row r="16" ht="14.25" customHeight="true">
      <c r="B16" s="8"/>
      <c r="C16" s="8" t="s">
        <v>588</v>
      </c>
      <c r="D16" s="8"/>
      <c r="E16" s="8"/>
      <c r="F16" s="8"/>
      <c r="G16" s="31">
        <f>=+IF(G10=0,1000,G7/G10)</f>
      </c>
      <c r="H16" s="31">
        <f ref="H16:P16" t="shared" si="313">=+IF(H10=0,1000,H7/H10)</f>
      </c>
      <c r="I16" s="31">
        <f t="shared" si="313"/>
      </c>
      <c r="J16" s="31">
        <f t="shared" si="313"/>
      </c>
      <c r="K16" s="31">
        <f t="shared" si="313"/>
      </c>
      <c r="L16" s="31">
        <f t="shared" si="313"/>
      </c>
      <c r="M16" s="31">
        <f t="shared" si="313"/>
      </c>
      <c r="N16" s="31">
        <f t="shared" si="313"/>
      </c>
      <c r="O16" s="31">
        <f t="shared" si="313"/>
      </c>
      <c r="P16" s="31">
        <f t="shared" si="313"/>
      </c>
    </row>
    <row r="17" ht="14.25" customHeight="true">
      <c r="B17" s="8"/>
      <c r="C17" s="8" t="s">
        <v>589</v>
      </c>
      <c r="D17" s="8"/>
      <c r="E17" s="8"/>
      <c r="F17" s="8"/>
      <c r="G17" s="270">
        <v>1.2</v>
      </c>
      <c r="H17" s="220">
        <f>=+G17</f>
      </c>
      <c r="I17" s="220">
        <f ref="I17:P17" t="shared" si="311">=+H17</f>
      </c>
      <c r="J17" s="220">
        <f t="shared" si="311"/>
      </c>
      <c r="K17" s="220">
        <f t="shared" si="311"/>
      </c>
      <c r="L17" s="220">
        <f t="shared" si="311"/>
      </c>
      <c r="M17" s="220">
        <f t="shared" si="311"/>
      </c>
      <c r="N17" s="220">
        <f t="shared" si="311"/>
      </c>
      <c r="O17" s="220">
        <f t="shared" si="311"/>
      </c>
      <c r="P17" s="220">
        <f t="shared" si="311"/>
      </c>
    </row>
    <row r="18" ht="14.25" customHeight="true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</row>
    <row r="19" ht="14.25" customHeight="true"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</row>
    <row r="20" ht="14.25" customHeight="true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</row>
    <row r="21" ht="14.25" customHeight="true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</row>
    <row r="22" ht="14.25" customHeight="true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</row>
    <row r="23" ht="14.25" customHeight="true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</row>
  </sheetData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>
    <tabColor rgb="FF17375E"/>
  </sheetPr>
  <dimension ref="A1"/>
  <sheetViews>
    <sheetView showGridLines="0" tabSelected="0" workbookViewId="0">
      <pane xSplit="1" ySplit="3" topLeftCell="B4" activePane="bottomRight" state="frozen"/>
      <selection activeCell="A1" sqref="A1"/>
    </sheetView>
  </sheetViews>
  <sheetFormatPr defaultRowHeight="14.25" customHeight="1" defaultColWidth="8.34"/>
  <cols>
    <col min="1" max="3" width="3.92" customWidth="1" hidden="0"/>
    <col min="4" max="4" width="17.66" customWidth="1" hidden="0"/>
    <col min="5" max="14" width="12.39" customWidth="1" hidden="0"/>
    <col min="15" max="16" width="8.34" customWidth="1" hidden="0"/>
    <col min="17" max="17" width="10.92" customWidth="1" hidden="0"/>
    <col min="18" max="19" width="11.04" customWidth="1" hidden="0"/>
    <col min="20" max="16384" width="8.34" customWidth="1" hidden="0"/>
  </cols>
  <sheetData>
    <row r="2" ht="14.25" customHeight="true">
      <c r="E2" s="271"/>
      <c r="F2" s="272"/>
      <c r="G2" s="272"/>
      <c r="H2" s="272"/>
      <c r="I2" s="272"/>
      <c r="J2" s="272"/>
      <c r="K2" s="272"/>
      <c r="L2" s="272"/>
      <c r="M2" s="272"/>
      <c r="N2" s="272"/>
    </row>
    <row r="3" ht="14.25" customHeight="true">
      <c r="A3" s="17" t="s">
        <v>13</v>
      </c>
      <c r="B3" s="19" t="s">
        <v>250</v>
      </c>
      <c r="C3" s="19"/>
      <c r="D3" s="19"/>
      <c r="E3" s="268">
        <f>=+Covenants!G5</f>
      </c>
      <c r="F3" s="268">
        <f>=+Covenants!H5</f>
      </c>
      <c r="G3" s="268">
        <f>=+Covenants!I5</f>
      </c>
      <c r="H3" s="268">
        <f>=+Covenants!J5</f>
      </c>
      <c r="I3" s="268">
        <f>=+Covenants!K5</f>
      </c>
      <c r="J3" s="268">
        <f>=+Covenants!L5</f>
      </c>
      <c r="K3" s="268">
        <f>=+Covenants!M5</f>
      </c>
      <c r="L3" s="268">
        <f>=+Covenants!N5</f>
      </c>
      <c r="M3" s="268">
        <f>=+Covenants!O5</f>
      </c>
      <c r="N3" s="268">
        <f>=+Covenants!P5</f>
      </c>
    </row>
    <row r="5" ht="14.25" customHeight="true">
      <c r="B5" s="8"/>
      <c r="C5" s="21" t="s">
        <v>583</v>
      </c>
      <c r="D5" s="21"/>
      <c r="E5" s="21">
        <f>=+Covenants!G7</f>
      </c>
      <c r="F5" s="21">
        <f>=+Covenants!H7</f>
      </c>
      <c r="G5" s="21">
        <f>=+Covenants!I7</f>
      </c>
      <c r="H5" s="21">
        <f>=+Covenants!J7</f>
      </c>
      <c r="I5" s="21">
        <f>=+Covenants!K7</f>
      </c>
      <c r="J5" s="21">
        <f>=+Covenants!L7</f>
      </c>
      <c r="K5" s="21">
        <f>=+Covenants!M7</f>
      </c>
      <c r="L5" s="21">
        <f>=+Covenants!N7</f>
      </c>
      <c r="M5" s="21">
        <f>=+Covenants!O7</f>
      </c>
      <c r="N5" s="21">
        <f>=+Covenants!P7</f>
      </c>
    </row>
    <row r="6" ht="14.25" customHeight="true">
      <c r="B6" s="8"/>
      <c r="C6" s="8" t="s">
        <v>225</v>
      </c>
      <c r="D6" s="8"/>
      <c r="E6" s="8">
        <f>=+Covenants!G8</f>
      </c>
      <c r="F6" s="8">
        <f>=+Covenants!H8</f>
      </c>
      <c r="G6" s="8">
        <f>=+Covenants!I8</f>
      </c>
      <c r="H6" s="8">
        <f>=+Covenants!J8</f>
      </c>
      <c r="I6" s="8">
        <f>=+Covenants!K8</f>
      </c>
      <c r="J6" s="8">
        <f>=+Covenants!L8</f>
      </c>
      <c r="K6" s="8">
        <f>=+Covenants!M8</f>
      </c>
      <c r="L6" s="8">
        <f>=+Covenants!N8</f>
      </c>
      <c r="M6" s="8">
        <f>=+Covenants!O8</f>
      </c>
      <c r="N6" s="8">
        <f>=+Covenants!P8</f>
      </c>
    </row>
    <row r="7" ht="14.25" customHeight="true"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</row>
    <row r="8" ht="14.25" customHeight="true">
      <c r="B8" s="8"/>
      <c r="C8" s="127" t="s">
        <v>590</v>
      </c>
      <c r="D8" s="127"/>
      <c r="E8" s="127">
        <f>=+E5/$E$19</f>
      </c>
      <c r="F8" s="127">
        <f ref="F8:N8" t="shared" si="8">=+F5/$E$19</f>
      </c>
      <c r="G8" s="127">
        <f t="shared" si="8"/>
      </c>
      <c r="H8" s="127">
        <f t="shared" si="8"/>
      </c>
      <c r="I8" s="127">
        <f t="shared" si="8"/>
      </c>
      <c r="J8" s="127">
        <f t="shared" si="8"/>
      </c>
      <c r="K8" s="127">
        <f t="shared" si="8"/>
      </c>
      <c r="L8" s="127">
        <f t="shared" si="8"/>
      </c>
      <c r="M8" s="127">
        <f t="shared" si="8"/>
      </c>
      <c r="N8" s="127">
        <f t="shared" si="8"/>
      </c>
    </row>
    <row r="11" ht="14.25" customHeight="true">
      <c r="A11" s="17" t="s">
        <v>13</v>
      </c>
      <c r="B11" s="12" t="s">
        <v>591</v>
      </c>
    </row>
    <row r="12" ht="14.25" customHeight="true">
      <c r="B12" s="8"/>
      <c r="C12" s="8"/>
      <c r="D12" s="8"/>
      <c r="E12" s="31"/>
      <c r="F12" s="31"/>
      <c r="G12" s="31"/>
      <c r="H12" s="31"/>
      <c r="I12" s="31"/>
      <c r="J12" s="31"/>
      <c r="K12" s="31"/>
      <c r="L12" s="31"/>
      <c r="M12" s="31"/>
      <c r="N12" s="31"/>
    </row>
    <row r="13" ht="14.25" customHeight="true">
      <c r="B13" s="8"/>
      <c r="C13" s="8" t="s">
        <v>592</v>
      </c>
      <c r="D13" s="8"/>
      <c r="E13" s="96">
        <v>1</v>
      </c>
      <c r="F13" s="96">
        <v>2</v>
      </c>
      <c r="G13" s="96">
        <v>3</v>
      </c>
      <c r="H13" s="96">
        <v>4</v>
      </c>
      <c r="I13" s="96">
        <v>5</v>
      </c>
      <c r="J13" s="96">
        <v>6</v>
      </c>
      <c r="K13" s="96">
        <v>7</v>
      </c>
      <c r="L13" s="96">
        <v>8</v>
      </c>
      <c r="M13" s="96">
        <v>9</v>
      </c>
      <c r="N13" s="96">
        <v>10</v>
      </c>
      <c r="Q13" s="273" t="s">
        <v>593</v>
      </c>
      <c r="R13" s="274" t="s">
        <v>555</v>
      </c>
      <c r="S13" s="274" t="s">
        <v>553</v>
      </c>
    </row>
    <row r="14" ht="14.25" customHeight="true">
      <c r="B14" s="8"/>
      <c r="C14" s="96" t="s">
        <v>594</v>
      </c>
      <c r="E14" s="275">
        <v>0.008</v>
      </c>
      <c r="F14" s="275">
        <v>0.01</v>
      </c>
      <c r="G14" s="276">
        <v>0.0125</v>
      </c>
      <c r="H14" s="275">
        <v>0.03</v>
      </c>
      <c r="I14" s="276">
        <v>0.031</v>
      </c>
      <c r="J14" s="275">
        <v>0.035</v>
      </c>
      <c r="K14" s="276">
        <v>0.037</v>
      </c>
      <c r="L14" s="275">
        <v>0.042</v>
      </c>
      <c r="M14" s="275">
        <v>0.044</v>
      </c>
      <c r="N14" s="276">
        <v>0.045</v>
      </c>
      <c r="Q14" s="96"/>
      <c r="R14" s="96"/>
      <c r="S14" s="96"/>
    </row>
    <row r="15" ht="14.25" customHeight="true">
      <c r="B15" s="8"/>
      <c r="C15" s="21" t="s">
        <v>595</v>
      </c>
      <c r="D15" s="21"/>
      <c r="E15" s="21">
        <f>=+(1+$R$25)*(1+E14)-1</f>
      </c>
      <c r="F15" s="21">
        <f>=+(1+$R$25)*(1+F14)-1</f>
      </c>
      <c r="G15" s="21">
        <f>=+(1+$R$25)*(1+G14)-1</f>
      </c>
      <c r="H15" s="21">
        <f ref="H15:N15" t="shared" si="5">=+(1+$R$26)*(1+H14)-1</f>
      </c>
      <c r="I15" s="21">
        <f t="shared" si="5"/>
      </c>
      <c r="J15" s="21">
        <f t="shared" si="5"/>
      </c>
      <c r="K15" s="21">
        <f t="shared" si="5"/>
      </c>
      <c r="L15" s="21">
        <f t="shared" si="5"/>
      </c>
      <c r="M15" s="21">
        <f t="shared" si="5"/>
      </c>
      <c r="N15" s="21">
        <f t="shared" si="5"/>
      </c>
      <c r="Q15" s="273" t="s">
        <v>596</v>
      </c>
      <c r="R15" s="274" t="s">
        <v>597</v>
      </c>
      <c r="S15" s="274" t="s">
        <v>597</v>
      </c>
    </row>
    <row r="16" ht="14.25" customHeight="true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273"/>
      <c r="R16" s="274" t="s">
        <v>598</v>
      </c>
      <c r="S16" s="274" t="s">
        <v>598</v>
      </c>
    </row>
    <row r="17" ht="14.25" customHeight="true">
      <c r="A17" s="17" t="s">
        <v>13</v>
      </c>
      <c r="B17" s="12" t="s">
        <v>599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277" t="s">
        <v>600</v>
      </c>
      <c r="R17" s="278" t="s">
        <v>601</v>
      </c>
      <c r="S17" s="278" t="s">
        <v>602</v>
      </c>
    </row>
    <row r="18" ht="14.25" customHeight="true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279" t="s">
        <v>603</v>
      </c>
      <c r="R18" s="280" t="s">
        <v>604</v>
      </c>
      <c r="S18" s="280" t="s">
        <v>605</v>
      </c>
    </row>
    <row r="19" ht="14.25" customHeight="true">
      <c r="B19" s="8"/>
      <c r="C19" s="8" t="s">
        <v>588</v>
      </c>
      <c r="D19" s="8"/>
      <c r="E19" s="270">
        <v>1.2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277" t="s">
        <v>606</v>
      </c>
      <c r="R19" s="278" t="s">
        <v>607</v>
      </c>
      <c r="S19" s="278" t="s">
        <v>608</v>
      </c>
    </row>
    <row r="20" ht="14.25" customHeight="true">
      <c r="Q20" s="279" t="s">
        <v>609</v>
      </c>
      <c r="R20" s="280" t="s">
        <v>610</v>
      </c>
      <c r="S20" s="280" t="s">
        <v>611</v>
      </c>
    </row>
    <row r="21" ht="14.25" customHeight="true">
      <c r="A21" s="17" t="s">
        <v>13</v>
      </c>
      <c r="B21" s="12" t="s">
        <v>612</v>
      </c>
      <c r="D21" s="8"/>
      <c r="Q21" s="277" t="s">
        <v>613</v>
      </c>
      <c r="R21" s="278" t="s">
        <v>614</v>
      </c>
      <c r="S21" s="278" t="s">
        <v>615</v>
      </c>
    </row>
    <row r="22" ht="14.25" customHeight="true">
      <c r="F22" s="165" t="s">
        <v>616</v>
      </c>
      <c r="G22" s="165"/>
      <c r="H22" s="165"/>
      <c r="I22" s="165"/>
      <c r="J22" s="165"/>
      <c r="K22" s="165"/>
      <c r="Q22" s="279" t="s">
        <v>617</v>
      </c>
      <c r="R22" s="280" t="s">
        <v>618</v>
      </c>
      <c r="S22" s="280" t="s">
        <v>619</v>
      </c>
    </row>
    <row r="23" ht="14.25" customHeight="true">
      <c r="F23" s="96">
        <v>1</v>
      </c>
      <c r="G23" s="96">
        <f>=+F23-10%</f>
      </c>
      <c r="H23" s="96">
        <f>=+G23-10%</f>
      </c>
      <c r="I23" s="96">
        <f>=+H23-10%</f>
      </c>
      <c r="J23" s="96">
        <f>=+I23-10%</f>
      </c>
      <c r="K23" s="96">
        <f>=+J23-10%</f>
      </c>
    </row>
    <row r="24" ht="14.25" customHeight="true">
      <c r="D24" s="281" t="s">
        <v>620</v>
      </c>
      <c r="E24" s="165">
        <v>1</v>
      </c>
      <c r="F24" s="171">
        <f ref="F24:K24" t="shared" si="3">=+NPV($E$15,$E$8)*F$23</f>
      </c>
      <c r="G24" s="171">
        <f t="shared" si="3"/>
      </c>
      <c r="H24" s="171">
        <f t="shared" si="3"/>
      </c>
      <c r="I24" s="171">
        <f t="shared" si="3"/>
      </c>
      <c r="J24" s="171">
        <f t="shared" si="3"/>
      </c>
      <c r="K24" s="171">
        <f t="shared" si="3"/>
      </c>
      <c r="Q24" s="96">
        <v>42055</v>
      </c>
    </row>
    <row r="25" ht="14.25" customHeight="true">
      <c r="D25" s="281"/>
      <c r="E25" s="165">
        <v>2</v>
      </c>
      <c r="F25" s="96">
        <f ref="F25:K25" t="shared" si="4">=+NPV($F$15,$E$8:$F$8)*F$23</f>
      </c>
      <c r="G25" s="96">
        <f t="shared" si="4"/>
      </c>
      <c r="H25" s="96">
        <f t="shared" si="4"/>
      </c>
      <c r="I25" s="96">
        <f t="shared" si="4"/>
      </c>
      <c r="J25" s="96">
        <f t="shared" si="4"/>
      </c>
      <c r="K25" s="96">
        <f t="shared" si="4"/>
      </c>
      <c r="Q25" s="96" t="s">
        <v>621</v>
      </c>
      <c r="R25" s="96">
        <f>=+'Supuestos Proyeccion'!H18</f>
      </c>
    </row>
    <row r="26" ht="14.25" customHeight="true">
      <c r="D26" s="281"/>
      <c r="E26" s="165">
        <v>3</v>
      </c>
      <c r="F26" s="96">
        <f ref="F26:K26" t="shared" si="1">=+NPV($G$15,$E$8:$G$8)*F$23</f>
      </c>
      <c r="G26" s="96">
        <f t="shared" si="1"/>
      </c>
      <c r="H26" s="96">
        <f t="shared" si="1"/>
      </c>
      <c r="I26" s="96">
        <f t="shared" si="1"/>
      </c>
      <c r="J26" s="96">
        <f t="shared" si="1"/>
      </c>
      <c r="K26" s="96">
        <f t="shared" si="1"/>
      </c>
      <c r="Q26" s="96" t="s">
        <v>622</v>
      </c>
      <c r="R26" s="96">
        <f>=+'Supuestos Proyeccion'!H9</f>
      </c>
    </row>
    <row r="27" ht="14.25" customHeight="true">
      <c r="D27" s="281"/>
      <c r="E27" s="165">
        <v>4</v>
      </c>
      <c r="F27" s="96">
        <f ref="F27:K27" t="shared" si="2">=+NPV($H$15,$E$8:$H$8)*F$23</f>
      </c>
      <c r="G27" s="96">
        <f t="shared" si="2"/>
      </c>
      <c r="H27" s="96">
        <f t="shared" si="2"/>
      </c>
      <c r="I27" s="96">
        <f t="shared" si="2"/>
      </c>
      <c r="J27" s="96">
        <f t="shared" si="2"/>
      </c>
      <c r="K27" s="96">
        <f t="shared" si="2"/>
      </c>
    </row>
    <row r="28" ht="14.25" customHeight="true">
      <c r="D28" s="281"/>
      <c r="E28" s="165">
        <v>5</v>
      </c>
      <c r="F28" s="96">
        <f ref="F28:K28" t="shared" si="9">=+NPV($I$15,$E$8:$I$8)*F$23</f>
      </c>
      <c r="G28" s="96">
        <f t="shared" si="9"/>
      </c>
      <c r="H28" s="96">
        <f t="shared" si="9"/>
      </c>
      <c r="I28" s="96">
        <f t="shared" si="9"/>
      </c>
      <c r="J28" s="96">
        <f t="shared" si="9"/>
      </c>
      <c r="K28" s="96">
        <f t="shared" si="9"/>
      </c>
    </row>
    <row r="29" ht="14.25" customHeight="true">
      <c r="D29" s="281"/>
      <c r="E29" s="165">
        <v>6</v>
      </c>
      <c r="F29" s="96">
        <f ref="F29:K29" t="shared" si="21">=+NPV($J$15,$E$8:$J$8)*F$23</f>
      </c>
      <c r="G29" s="96">
        <f t="shared" si="21"/>
      </c>
      <c r="H29" s="96">
        <f t="shared" si="21"/>
      </c>
      <c r="I29" s="96">
        <f t="shared" si="21"/>
      </c>
      <c r="J29" s="96">
        <f t="shared" si="21"/>
      </c>
      <c r="K29" s="96">
        <f t="shared" si="21"/>
      </c>
    </row>
    <row r="30" ht="14.25" customHeight="true">
      <c r="D30" s="281"/>
      <c r="E30" s="165">
        <v>7</v>
      </c>
      <c r="F30" s="96">
        <f ref="F30:K30" t="shared" si="20">=+NPV($K$15,$E$8:$K$8)*F$23</f>
      </c>
      <c r="G30" s="96">
        <f t="shared" si="20"/>
      </c>
      <c r="H30" s="96">
        <f t="shared" si="20"/>
      </c>
      <c r="I30" s="96">
        <f t="shared" si="20"/>
      </c>
      <c r="J30" s="96">
        <f t="shared" si="20"/>
      </c>
      <c r="K30" s="96">
        <f t="shared" si="20"/>
      </c>
    </row>
    <row r="31" ht="14.25" customHeight="true">
      <c r="D31" s="281"/>
      <c r="E31" s="165">
        <v>8</v>
      </c>
      <c r="F31" s="96">
        <f ref="F31:K31" t="shared" si="6">=+NPV($L$15,$E$8:$L$8)*F$23</f>
      </c>
      <c r="G31" s="96">
        <f t="shared" si="6"/>
      </c>
      <c r="H31" s="96">
        <f t="shared" si="6"/>
      </c>
      <c r="I31" s="96">
        <f t="shared" si="6"/>
      </c>
      <c r="J31" s="96">
        <f t="shared" si="6"/>
      </c>
      <c r="K31" s="96">
        <f t="shared" si="6"/>
      </c>
    </row>
    <row r="32" ht="14.25" customHeight="true">
      <c r="D32" s="281"/>
      <c r="E32" s="165">
        <v>9</v>
      </c>
      <c r="F32" s="96">
        <f ref="F32:K32" t="shared" si="7">=+NPV($M$15,$E$8:$M$8)*F$23</f>
      </c>
      <c r="G32" s="96">
        <f t="shared" si="7"/>
      </c>
      <c r="H32" s="96">
        <f t="shared" si="7"/>
      </c>
      <c r="I32" s="96">
        <f t="shared" si="7"/>
      </c>
      <c r="J32" s="96">
        <f t="shared" si="7"/>
      </c>
      <c r="K32" s="96">
        <f t="shared" si="7"/>
      </c>
    </row>
    <row r="33" ht="14.25" customHeight="true">
      <c r="D33" s="281"/>
      <c r="E33" s="165">
        <v>10</v>
      </c>
      <c r="F33" s="178">
        <f ref="F33:K33" t="shared" si="0">=+NPV($N$15,$E$8:$N$8)*F$23</f>
      </c>
      <c r="G33" s="178">
        <f t="shared" si="0"/>
      </c>
      <c r="H33" s="178">
        <f t="shared" si="0"/>
      </c>
      <c r="I33" s="178">
        <f t="shared" si="0"/>
      </c>
      <c r="J33" s="178">
        <f t="shared" si="0"/>
      </c>
      <c r="K33" s="178">
        <f t="shared" si="0"/>
      </c>
    </row>
    <row r="36" ht="14.25" customHeight="true">
      <c r="F36" s="165" t="s">
        <v>620</v>
      </c>
      <c r="G36" s="165"/>
      <c r="H36" s="165"/>
      <c r="I36" s="165"/>
      <c r="J36" s="165"/>
      <c r="K36" s="165"/>
      <c r="L36" s="165"/>
      <c r="M36" s="165"/>
      <c r="N36" s="165"/>
      <c r="O36" s="165"/>
    </row>
    <row r="37" ht="14.25" customHeight="true">
      <c r="F37" s="165">
        <v>1</v>
      </c>
      <c r="G37" s="165">
        <v>2</v>
      </c>
      <c r="H37" s="165">
        <v>3</v>
      </c>
      <c r="I37" s="165">
        <v>4</v>
      </c>
      <c r="J37" s="165">
        <v>5</v>
      </c>
      <c r="K37" s="165">
        <v>6</v>
      </c>
      <c r="L37" s="165">
        <v>7</v>
      </c>
      <c r="M37" s="165">
        <v>8</v>
      </c>
      <c r="N37" s="165">
        <v>9</v>
      </c>
      <c r="O37" s="165">
        <v>10</v>
      </c>
    </row>
    <row r="38" ht="15.00" customHeight="true">
      <c r="D38" s="281" t="s">
        <v>616</v>
      </c>
      <c r="E38" s="31">
        <v>10</v>
      </c>
      <c r="F38" s="171">
        <f>=+NPV($E$15,$E$8)/$E38</f>
      </c>
      <c r="G38" s="171">
        <f>=+NPV($F$15,$E$8:$F$8)/$E38</f>
      </c>
      <c r="H38" s="171">
        <f>=+NPV($G$15,$E$8:$G$8)/$E38</f>
      </c>
      <c r="I38" s="171">
        <f>=+NPV($H$15,$E$8:$H$8)/$E38</f>
      </c>
      <c r="J38" s="171">
        <f>=+NPV($I$15,$E$8:$I$8)/$E38</f>
      </c>
      <c r="K38" s="171">
        <f>=+NPV($J$15,$E$8:$J$8)/$E38</f>
      </c>
      <c r="L38" s="171">
        <f>=+NPV($K$15,$E$8:$K$8)/$E38</f>
      </c>
      <c r="M38" s="171">
        <f>=+NPV($L$15,$E$8:$L$8)/$E38</f>
      </c>
      <c r="N38" s="171">
        <f>=+NPV($M$15,$E$8:$M$8)/$E38</f>
      </c>
      <c r="O38" s="171">
        <f>=+NPV($N$15,$E$8:$N$8)/$E38</f>
      </c>
    </row>
    <row r="39" ht="14.25" customHeight="true">
      <c r="D39" s="281"/>
      <c r="E39" s="31">
        <v>5</v>
      </c>
      <c r="F39" s="96">
        <f ref="F39:F47" t="shared" si="18">=+NPV($E$15,$E$8)/$E39</f>
      </c>
      <c r="G39" s="96">
        <f ref="G39:G47" t="shared" si="12">=+NPV($F$15,$E$8:$F$8)/$E39</f>
      </c>
      <c r="H39" s="96">
        <f ref="H39:H47" t="shared" si="19">=+NPV($G$15,$E$8:$G$8)/$E39</f>
      </c>
      <c r="I39" s="96">
        <f ref="I39:I47" t="shared" si="13">=+NPV($H$15,$E$8:$H$8)/$E39</f>
      </c>
      <c r="J39" s="96">
        <f ref="J39:J47" t="shared" si="16">=+NPV($I$15,$E$8:$I$8)/$E39</f>
      </c>
      <c r="K39" s="96">
        <f ref="K39:K47" t="shared" si="11">=+NPV($J$15,$E$8:$J$8)/$E39</f>
      </c>
      <c r="L39" s="96">
        <f ref="L39:L47" t="shared" si="14">=+NPV($K$15,$E$8:$K$8)/$E39</f>
      </c>
      <c r="M39" s="96">
        <f ref="M39:M47" t="shared" si="10">=+NPV($L$15,$E$8:$L$8)/$E39</f>
      </c>
      <c r="N39" s="96">
        <f ref="N39:N47" t="shared" si="15">=+NPV($M$15,$E$8:$M$8)/$E39</f>
      </c>
      <c r="O39" s="96">
        <f ref="O39:O47" t="shared" si="17">=+NPV($N$15,$E$8:$N$8)/$E39</f>
      </c>
    </row>
    <row r="40" ht="14.25" customHeight="true">
      <c r="D40" s="281"/>
      <c r="E40" s="31">
        <v>3.33333333333333</v>
      </c>
      <c r="F40" s="96">
        <f t="shared" si="18"/>
      </c>
      <c r="G40" s="96">
        <f t="shared" si="12"/>
      </c>
      <c r="H40" s="96">
        <f t="shared" si="19"/>
      </c>
      <c r="I40" s="96">
        <f t="shared" si="13"/>
      </c>
      <c r="J40" s="96">
        <f t="shared" si="16"/>
      </c>
      <c r="K40" s="96">
        <f t="shared" si="11"/>
      </c>
      <c r="L40" s="96">
        <f t="shared" si="14"/>
      </c>
      <c r="M40" s="96">
        <f t="shared" si="10"/>
      </c>
      <c r="N40" s="96">
        <f t="shared" si="15"/>
      </c>
      <c r="O40" s="96">
        <f t="shared" si="17"/>
      </c>
    </row>
    <row r="41" ht="14.25" customHeight="true">
      <c r="D41" s="281"/>
      <c r="E41" s="31">
        <v>2.5</v>
      </c>
      <c r="F41" s="96">
        <f t="shared" si="18"/>
      </c>
      <c r="G41" s="96">
        <f t="shared" si="12"/>
      </c>
      <c r="H41" s="96">
        <f t="shared" si="19"/>
      </c>
      <c r="I41" s="96">
        <f t="shared" si="13"/>
      </c>
      <c r="J41" s="96">
        <f t="shared" si="16"/>
      </c>
      <c r="K41" s="96">
        <f t="shared" si="11"/>
      </c>
      <c r="L41" s="96">
        <f t="shared" si="14"/>
      </c>
      <c r="M41" s="96">
        <f t="shared" si="10"/>
      </c>
      <c r="N41" s="96">
        <f t="shared" si="15"/>
      </c>
      <c r="O41" s="96">
        <f t="shared" si="17"/>
      </c>
    </row>
    <row r="42" ht="14.25" customHeight="true">
      <c r="D42" s="281"/>
      <c r="E42" s="31">
        <v>2</v>
      </c>
      <c r="F42" s="96">
        <f t="shared" si="18"/>
      </c>
      <c r="G42" s="96">
        <f t="shared" si="12"/>
      </c>
      <c r="H42" s="96">
        <f t="shared" si="19"/>
      </c>
      <c r="I42" s="96">
        <f t="shared" si="13"/>
      </c>
      <c r="J42" s="96">
        <f t="shared" si="16"/>
      </c>
      <c r="K42" s="96">
        <f t="shared" si="11"/>
      </c>
      <c r="L42" s="96">
        <f t="shared" si="14"/>
      </c>
      <c r="M42" s="96">
        <f t="shared" si="10"/>
      </c>
      <c r="N42" s="96">
        <f t="shared" si="15"/>
      </c>
      <c r="O42" s="96">
        <f t="shared" si="17"/>
      </c>
    </row>
    <row r="43" ht="14.25" customHeight="true">
      <c r="D43" s="281"/>
      <c r="E43" s="31">
        <v>1.66666666666666</v>
      </c>
      <c r="F43" s="96">
        <f t="shared" si="18"/>
      </c>
      <c r="G43" s="96">
        <f t="shared" si="12"/>
      </c>
      <c r="H43" s="96">
        <f t="shared" si="19"/>
      </c>
      <c r="I43" s="96">
        <f t="shared" si="13"/>
      </c>
      <c r="J43" s="96">
        <f t="shared" si="16"/>
      </c>
      <c r="K43" s="96">
        <f t="shared" si="11"/>
      </c>
      <c r="L43" s="96">
        <f t="shared" si="14"/>
      </c>
      <c r="M43" s="96">
        <f t="shared" si="10"/>
      </c>
      <c r="N43" s="96">
        <f t="shared" si="15"/>
      </c>
      <c r="O43" s="96">
        <f t="shared" si="17"/>
      </c>
    </row>
    <row r="44" ht="14.25" customHeight="true">
      <c r="D44" s="281"/>
      <c r="E44" s="31">
        <v>1.42857142857142</v>
      </c>
      <c r="F44" s="96">
        <f t="shared" si="18"/>
      </c>
      <c r="G44" s="96">
        <f t="shared" si="12"/>
      </c>
      <c r="H44" s="96">
        <f t="shared" si="19"/>
      </c>
      <c r="I44" s="96">
        <f t="shared" si="13"/>
      </c>
      <c r="J44" s="96">
        <f t="shared" si="16"/>
      </c>
      <c r="K44" s="96">
        <f t="shared" si="11"/>
      </c>
      <c r="L44" s="96">
        <f t="shared" si="14"/>
      </c>
      <c r="M44" s="96">
        <f t="shared" si="10"/>
      </c>
      <c r="N44" s="96">
        <f t="shared" si="15"/>
      </c>
      <c r="O44" s="96">
        <f t="shared" si="17"/>
      </c>
    </row>
    <row r="45" ht="14.25" customHeight="true">
      <c r="D45" s="281"/>
      <c r="E45" s="31">
        <v>1.25</v>
      </c>
      <c r="F45" s="96">
        <f t="shared" si="18"/>
      </c>
      <c r="G45" s="96">
        <f t="shared" si="12"/>
      </c>
      <c r="H45" s="96">
        <f t="shared" si="19"/>
      </c>
      <c r="I45" s="96">
        <f t="shared" si="13"/>
      </c>
      <c r="J45" s="96">
        <f t="shared" si="16"/>
      </c>
      <c r="K45" s="96">
        <f t="shared" si="11"/>
      </c>
      <c r="L45" s="96">
        <f t="shared" si="14"/>
      </c>
      <c r="M45" s="96">
        <f t="shared" si="10"/>
      </c>
      <c r="N45" s="96">
        <f t="shared" si="15"/>
      </c>
      <c r="O45" s="96">
        <f t="shared" si="17"/>
      </c>
    </row>
    <row r="46" ht="14.25" customHeight="true">
      <c r="D46" s="281"/>
      <c r="E46" s="31">
        <v>1.11111111111111</v>
      </c>
      <c r="F46" s="96">
        <f t="shared" si="18"/>
      </c>
      <c r="G46" s="96">
        <f t="shared" si="12"/>
      </c>
      <c r="H46" s="96">
        <f t="shared" si="19"/>
      </c>
      <c r="I46" s="96">
        <f t="shared" si="13"/>
      </c>
      <c r="J46" s="96">
        <f t="shared" si="16"/>
      </c>
      <c r="K46" s="96">
        <f t="shared" si="11"/>
      </c>
      <c r="L46" s="96">
        <f t="shared" si="14"/>
      </c>
      <c r="M46" s="96">
        <f t="shared" si="10"/>
      </c>
      <c r="N46" s="96">
        <f t="shared" si="15"/>
      </c>
      <c r="O46" s="96">
        <f t="shared" si="17"/>
      </c>
    </row>
    <row r="47" ht="14.25" customHeight="true">
      <c r="D47" s="281"/>
      <c r="E47" s="31">
        <v>1</v>
      </c>
      <c r="F47" s="178">
        <f t="shared" si="18"/>
      </c>
      <c r="G47" s="178">
        <f t="shared" si="12"/>
      </c>
      <c r="H47" s="178">
        <f t="shared" si="19"/>
      </c>
      <c r="I47" s="178">
        <f t="shared" si="13"/>
      </c>
      <c r="J47" s="178">
        <f t="shared" si="16"/>
      </c>
      <c r="K47" s="178">
        <f t="shared" si="11"/>
      </c>
      <c r="L47" s="178">
        <f t="shared" si="14"/>
      </c>
      <c r="M47" s="178">
        <f t="shared" si="10"/>
      </c>
      <c r="N47" s="178">
        <f t="shared" si="15"/>
      </c>
      <c r="O47" s="178">
        <f t="shared" si="17"/>
      </c>
    </row>
  </sheetData>
  <mergeCells count="4">
    <mergeCell ref="F22:K22"/>
    <mergeCell ref="D24:D33"/>
    <mergeCell ref="F36:O36"/>
    <mergeCell ref="D38:D47"/>
  </mergeCells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/>
  <dimension ref="A1"/>
  <sheetViews>
    <sheetView showGridLines="0" tabSelected="0" workbookViewId="0">
      <pane xSplit="2" ySplit="5" topLeftCell="C6" activePane="bottomRight" state="frozen"/>
      <selection activeCell="A1" sqref="A1"/>
    </sheetView>
  </sheetViews>
  <sheetFormatPr defaultRowHeight="14.25" customHeight="1" defaultColWidth="8.34"/>
  <cols>
    <col min="1" max="1" width="3.80" customWidth="1" hidden="0"/>
    <col min="2" max="2" width="25.76" customWidth="1" hidden="0"/>
    <col min="3" max="3" width="18.28" customWidth="1" hidden="0"/>
    <col min="4" max="16384" width="8.34" customWidth="1" hidden="0"/>
  </cols>
  <sheetData>
    <row r="1" ht="14.25" customHeight="true">
      <c r="A1" s="18"/>
      <c r="B1" s="21" t="s">
        <v>623</v>
      </c>
      <c r="C1" s="31"/>
    </row>
    <row r="2" ht="14.25" customHeight="true">
      <c r="A2" s="18"/>
      <c r="B2" s="89" t="s">
        <v>624</v>
      </c>
      <c r="C2" s="31"/>
    </row>
    <row r="3" ht="14.25" customHeight="true">
      <c r="A3" s="18"/>
      <c r="B3" s="8"/>
      <c r="C3" s="31"/>
    </row>
    <row r="4" ht="14.25" customHeight="true">
      <c r="A4" s="18"/>
      <c r="B4" s="8"/>
      <c r="C4" s="31"/>
    </row>
    <row r="5" ht="15.00" customHeight="true">
      <c r="A5" s="18"/>
      <c r="B5" s="20" t="s">
        <v>625</v>
      </c>
      <c r="C5" s="20" t="s">
        <v>626</v>
      </c>
    </row>
    <row r="6" ht="14.25" customHeight="true">
      <c r="A6" s="18"/>
      <c r="B6" s="21"/>
      <c r="C6" s="24"/>
    </row>
    <row r="7" ht="14.25" customHeight="true">
      <c r="A7" s="18">
        <v>1</v>
      </c>
      <c r="B7" s="21" t="s">
        <v>627</v>
      </c>
      <c r="C7" s="24">
        <v>0.70571476622653</v>
      </c>
    </row>
    <row r="8" ht="14.25" customHeight="true">
      <c r="A8" s="18">
        <f>=+A7+1</f>
      </c>
      <c r="B8" s="8" t="s">
        <v>628</v>
      </c>
      <c r="C8" s="31">
        <v>0.85887455888728</v>
      </c>
    </row>
    <row r="9" ht="14.25" customHeight="true">
      <c r="A9" s="18">
        <f ref="A9:A72" t="shared" si="315">=+A8+1</f>
      </c>
      <c r="B9" s="8" t="s">
        <v>629</v>
      </c>
      <c r="C9" s="31">
        <v>1.03713445972192</v>
      </c>
    </row>
    <row r="10" ht="14.25" customHeight="true">
      <c r="A10" s="18">
        <f t="shared" si="315"/>
      </c>
      <c r="B10" s="8" t="s">
        <v>630</v>
      </c>
      <c r="C10" s="31">
        <v>0.90873445653078</v>
      </c>
    </row>
    <row r="11" ht="14.25" customHeight="true">
      <c r="A11" s="18">
        <f t="shared" si="315"/>
      </c>
      <c r="B11" s="8" t="s">
        <v>631</v>
      </c>
      <c r="C11" s="31">
        <v>0.76583986202185</v>
      </c>
    </row>
    <row r="12" ht="14.25" customHeight="true">
      <c r="A12" s="18">
        <f t="shared" si="315"/>
      </c>
      <c r="B12" s="8" t="s">
        <v>632</v>
      </c>
      <c r="C12" s="31">
        <v>0.65453342981557</v>
      </c>
    </row>
    <row r="13" ht="14.25" customHeight="true">
      <c r="A13" s="18">
        <f t="shared" si="315"/>
      </c>
      <c r="B13" s="8" t="s">
        <v>633</v>
      </c>
      <c r="C13" s="31">
        <v>1.11558898078041</v>
      </c>
    </row>
    <row r="14" ht="14.25" customHeight="true">
      <c r="A14" s="18">
        <f t="shared" si="315"/>
      </c>
      <c r="B14" s="8" t="s">
        <v>634</v>
      </c>
      <c r="C14" s="31">
        <v>1.02410404786523</v>
      </c>
    </row>
    <row r="15" ht="14.25" customHeight="true">
      <c r="A15" s="18">
        <f t="shared" si="315"/>
      </c>
      <c r="B15" s="8" t="s">
        <v>635</v>
      </c>
      <c r="C15" s="31">
        <v>0.2675201658344</v>
      </c>
    </row>
    <row r="16" ht="14.25" customHeight="true">
      <c r="A16" s="18">
        <f t="shared" si="315"/>
      </c>
      <c r="B16" s="8" t="s">
        <v>636</v>
      </c>
      <c r="C16" s="31">
        <v>0.207075063434</v>
      </c>
    </row>
    <row r="17" ht="14.25" customHeight="true">
      <c r="A17" s="18">
        <f t="shared" si="315"/>
      </c>
      <c r="B17" s="8" t="s">
        <v>637</v>
      </c>
      <c r="C17" s="31">
        <v>0.73471777070359</v>
      </c>
    </row>
    <row r="18" ht="14.25" customHeight="true">
      <c r="A18" s="18">
        <f t="shared" si="315"/>
      </c>
      <c r="B18" s="8" t="s">
        <v>638</v>
      </c>
      <c r="C18" s="31">
        <v>0.50309026114517</v>
      </c>
    </row>
    <row r="19" ht="14.25" customHeight="true">
      <c r="A19" s="18">
        <f t="shared" si="315"/>
      </c>
      <c r="B19" s="8" t="s">
        <v>639</v>
      </c>
      <c r="C19" s="31">
        <v>0.61851148321374</v>
      </c>
    </row>
    <row r="20" ht="14.25" customHeight="true">
      <c r="A20" s="18">
        <f t="shared" si="315"/>
      </c>
      <c r="B20" s="8" t="s">
        <v>640</v>
      </c>
      <c r="C20" s="31">
        <v>0.34722394950163</v>
      </c>
    </row>
    <row r="21" ht="14.25" customHeight="true">
      <c r="A21" s="18">
        <f t="shared" si="315"/>
      </c>
      <c r="B21" s="8" t="s">
        <v>641</v>
      </c>
      <c r="C21" s="31">
        <v>0.8819812401146</v>
      </c>
    </row>
    <row r="22" ht="14.25" customHeight="true">
      <c r="A22" s="18">
        <f t="shared" si="315"/>
      </c>
      <c r="B22" s="8" t="s">
        <v>642</v>
      </c>
      <c r="C22" s="31">
        <v>0.89959135457266</v>
      </c>
    </row>
    <row r="23" ht="14.25" customHeight="true">
      <c r="A23" s="18">
        <f t="shared" si="315"/>
      </c>
      <c r="B23" s="8" t="s">
        <v>643</v>
      </c>
      <c r="C23" s="31">
        <v>0.57358149321426</v>
      </c>
    </row>
    <row r="24" ht="14.25" customHeight="true">
      <c r="A24" s="18">
        <f t="shared" si="315"/>
      </c>
      <c r="B24" s="8" t="s">
        <v>644</v>
      </c>
      <c r="C24" s="31">
        <v>0.81409274436831</v>
      </c>
    </row>
    <row r="25" ht="14.25" customHeight="true">
      <c r="A25" s="18">
        <f t="shared" si="315"/>
      </c>
      <c r="B25" s="8" t="s">
        <v>645</v>
      </c>
      <c r="C25" s="31">
        <v>0.76677724090057</v>
      </c>
    </row>
    <row r="26" ht="14.25" customHeight="true">
      <c r="A26" s="18">
        <f t="shared" si="315"/>
      </c>
      <c r="B26" s="8" t="s">
        <v>646</v>
      </c>
      <c r="C26" s="31">
        <v>0.8891103640016</v>
      </c>
    </row>
    <row r="27" ht="14.25" customHeight="true">
      <c r="A27" s="18">
        <f t="shared" si="315"/>
      </c>
      <c r="B27" s="8" t="s">
        <v>647</v>
      </c>
      <c r="C27" s="31">
        <v>1.0467599474667</v>
      </c>
    </row>
    <row r="28" ht="14.25" customHeight="true">
      <c r="A28" s="18">
        <f t="shared" si="315"/>
      </c>
      <c r="B28" s="8" t="s">
        <v>648</v>
      </c>
      <c r="C28" s="31">
        <v>0.9836811590894</v>
      </c>
    </row>
    <row r="29" ht="14.25" customHeight="true">
      <c r="A29" s="18">
        <f t="shared" si="315"/>
      </c>
      <c r="B29" s="8" t="s">
        <v>649</v>
      </c>
      <c r="C29" s="31">
        <v>1.20263462507688</v>
      </c>
    </row>
    <row r="30" ht="14.25" customHeight="true">
      <c r="A30" s="18">
        <f t="shared" si="315"/>
      </c>
      <c r="B30" s="8" t="s">
        <v>650</v>
      </c>
      <c r="C30" s="31">
        <v>0.76447345523877</v>
      </c>
    </row>
    <row r="31" ht="14.25" customHeight="true">
      <c r="A31" s="18">
        <f t="shared" si="315"/>
      </c>
      <c r="B31" s="8" t="s">
        <v>651</v>
      </c>
      <c r="C31" s="31">
        <v>0.6459772500874</v>
      </c>
    </row>
    <row r="32" ht="14.25" customHeight="true">
      <c r="A32" s="18">
        <f t="shared" si="315"/>
      </c>
      <c r="B32" s="8" t="s">
        <v>652</v>
      </c>
      <c r="C32" s="31">
        <v>1.16045739244891</v>
      </c>
    </row>
    <row r="33" ht="14.25" customHeight="true">
      <c r="A33" s="18">
        <f t="shared" si="315"/>
      </c>
      <c r="B33" s="8" t="s">
        <v>653</v>
      </c>
      <c r="C33" s="31">
        <v>0.93030027653042</v>
      </c>
    </row>
    <row r="34" ht="14.25" customHeight="true">
      <c r="A34" s="18">
        <f t="shared" si="315"/>
      </c>
      <c r="B34" s="8" t="s">
        <v>654</v>
      </c>
      <c r="C34" s="31">
        <v>0.70855383978981</v>
      </c>
    </row>
    <row r="35" ht="14.25" customHeight="true">
      <c r="A35" s="18">
        <f t="shared" si="315"/>
      </c>
      <c r="B35" s="8" t="s">
        <v>655</v>
      </c>
      <c r="C35" s="31">
        <v>1.07738932474662</v>
      </c>
    </row>
    <row r="36" ht="14.25" customHeight="true">
      <c r="A36" s="18">
        <f t="shared" si="315"/>
      </c>
      <c r="B36" s="8" t="s">
        <v>656</v>
      </c>
      <c r="C36" s="31">
        <v>1.00606623974727</v>
      </c>
    </row>
    <row r="37" ht="14.25" customHeight="true">
      <c r="A37" s="18">
        <f t="shared" si="315"/>
      </c>
      <c r="B37" s="8" t="s">
        <v>657</v>
      </c>
      <c r="C37" s="31">
        <v>1.21769320895957</v>
      </c>
    </row>
    <row r="38" ht="14.25" customHeight="true">
      <c r="A38" s="18">
        <f t="shared" si="315"/>
      </c>
      <c r="B38" s="8" t="s">
        <v>658</v>
      </c>
      <c r="C38" s="31">
        <v>0.5455342281532</v>
      </c>
    </row>
    <row r="39" ht="14.25" customHeight="true">
      <c r="A39" s="18">
        <f t="shared" si="315"/>
      </c>
      <c r="B39" s="8" t="s">
        <v>659</v>
      </c>
      <c r="C39" s="31">
        <v>0.93220246379711</v>
      </c>
    </row>
    <row r="40" ht="14.25" customHeight="true">
      <c r="A40" s="18">
        <f t="shared" si="315"/>
      </c>
      <c r="B40" s="8" t="s">
        <v>660</v>
      </c>
      <c r="C40" s="31">
        <v>0.81931038425496</v>
      </c>
    </row>
    <row r="41" ht="14.25" customHeight="true">
      <c r="A41" s="18">
        <f t="shared" si="315"/>
      </c>
      <c r="B41" s="8" t="s">
        <v>661</v>
      </c>
      <c r="C41" s="31">
        <v>0.52324499759971</v>
      </c>
    </row>
    <row r="42" ht="14.25" customHeight="true">
      <c r="A42" s="18">
        <f t="shared" si="315"/>
      </c>
      <c r="B42" s="8" t="s">
        <v>662</v>
      </c>
      <c r="C42" s="31">
        <v>0.25574142723155</v>
      </c>
    </row>
    <row r="43" ht="14.25" customHeight="true">
      <c r="A43" s="18">
        <f t="shared" si="315"/>
      </c>
      <c r="B43" s="8" t="s">
        <v>663</v>
      </c>
      <c r="C43" s="31">
        <v>0.53641993352145</v>
      </c>
    </row>
    <row r="44" ht="14.25" customHeight="true">
      <c r="A44" s="18">
        <f t="shared" si="315"/>
      </c>
      <c r="B44" s="8" t="s">
        <v>664</v>
      </c>
      <c r="C44" s="31">
        <v>0.41646304795122</v>
      </c>
    </row>
    <row r="45" ht="14.25" customHeight="true">
      <c r="A45" s="18">
        <f t="shared" si="315"/>
      </c>
      <c r="B45" s="8" t="s">
        <v>665</v>
      </c>
      <c r="C45" s="31">
        <v>0.78987647796293</v>
      </c>
    </row>
    <row r="46" ht="14.25" customHeight="true">
      <c r="A46" s="18">
        <f t="shared" si="315"/>
      </c>
      <c r="B46" s="8" t="s">
        <v>666</v>
      </c>
      <c r="C46" s="31">
        <v>0.5735991469699</v>
      </c>
    </row>
    <row r="47" ht="14.25" customHeight="true">
      <c r="A47" s="18">
        <f t="shared" si="315"/>
      </c>
      <c r="B47" s="8" t="s">
        <v>667</v>
      </c>
      <c r="C47" s="31">
        <v>1.03569552536047</v>
      </c>
    </row>
    <row r="48" ht="14.25" customHeight="true">
      <c r="A48" s="18">
        <f t="shared" si="315"/>
      </c>
      <c r="B48" s="8" t="s">
        <v>668</v>
      </c>
      <c r="C48" s="31">
        <v>0.67310791530922</v>
      </c>
    </row>
    <row r="49" ht="14.25" customHeight="true">
      <c r="A49" s="18">
        <f t="shared" si="315"/>
      </c>
      <c r="B49" s="8" t="s">
        <v>669</v>
      </c>
      <c r="C49" s="31">
        <v>1.09122962141943</v>
      </c>
    </row>
    <row r="50" ht="14.25" customHeight="true">
      <c r="A50" s="18">
        <f t="shared" si="315"/>
      </c>
      <c r="B50" s="8" t="s">
        <v>670</v>
      </c>
      <c r="C50" s="31">
        <v>0.8475928452377</v>
      </c>
    </row>
    <row r="51" ht="14.25" customHeight="true">
      <c r="A51" s="18">
        <f t="shared" si="315"/>
      </c>
      <c r="B51" s="8" t="s">
        <v>671</v>
      </c>
      <c r="C51" s="31">
        <v>0.5629955776144</v>
      </c>
    </row>
    <row r="52" ht="14.25" customHeight="true">
      <c r="A52" s="18">
        <f t="shared" si="315"/>
      </c>
      <c r="B52" s="8" t="s">
        <v>672</v>
      </c>
      <c r="C52" s="31">
        <v>0.69325937320526</v>
      </c>
    </row>
    <row r="53" ht="14.25" customHeight="true">
      <c r="A53" s="18">
        <f t="shared" si="315"/>
      </c>
      <c r="B53" s="8" t="s">
        <v>673</v>
      </c>
      <c r="C53" s="31">
        <v>0.79600503791244</v>
      </c>
    </row>
    <row r="54" ht="14.25" customHeight="true">
      <c r="A54" s="18">
        <f t="shared" si="315"/>
      </c>
      <c r="B54" s="8" t="s">
        <v>674</v>
      </c>
      <c r="C54" s="31">
        <v>0.89621266877036</v>
      </c>
    </row>
    <row r="55" ht="14.25" customHeight="true">
      <c r="A55" s="18">
        <f t="shared" si="315"/>
      </c>
      <c r="B55" s="8" t="s">
        <v>675</v>
      </c>
      <c r="C55" s="31">
        <v>0.46574717691164</v>
      </c>
    </row>
    <row r="56" ht="14.25" customHeight="true">
      <c r="A56" s="18">
        <f t="shared" si="315"/>
      </c>
      <c r="B56" s="8" t="s">
        <v>676</v>
      </c>
      <c r="C56" s="31">
        <v>0.54235263408243</v>
      </c>
    </row>
    <row r="57" ht="14.25" customHeight="true">
      <c r="A57" s="18">
        <f t="shared" si="315"/>
      </c>
      <c r="B57" s="8" t="s">
        <v>677</v>
      </c>
      <c r="C57" s="31">
        <v>0.44285517106445</v>
      </c>
    </row>
    <row r="58" ht="14.25" customHeight="true">
      <c r="A58" s="18">
        <f t="shared" si="315"/>
      </c>
      <c r="B58" s="8" t="s">
        <v>678</v>
      </c>
      <c r="C58" s="31">
        <v>0.52516225521339</v>
      </c>
    </row>
    <row r="59" ht="14.25" customHeight="true">
      <c r="A59" s="18">
        <f t="shared" si="315"/>
      </c>
      <c r="B59" s="8" t="s">
        <v>679</v>
      </c>
      <c r="C59" s="31">
        <v>1.03684118509336</v>
      </c>
    </row>
    <row r="60" ht="14.25" customHeight="true">
      <c r="A60" s="18">
        <f t="shared" si="315"/>
      </c>
      <c r="B60" s="8" t="s">
        <v>680</v>
      </c>
      <c r="C60" s="31">
        <v>0.91304574957536</v>
      </c>
    </row>
    <row r="61" ht="14.25" customHeight="true">
      <c r="A61" s="18">
        <f t="shared" si="315"/>
      </c>
      <c r="B61" s="8" t="s">
        <v>681</v>
      </c>
      <c r="C61" s="31">
        <v>0.62834595392274</v>
      </c>
    </row>
    <row r="62" ht="14.25" customHeight="true">
      <c r="A62" s="18">
        <f t="shared" si="315"/>
      </c>
      <c r="B62" s="8" t="s">
        <v>682</v>
      </c>
      <c r="C62" s="31">
        <v>0.81021710834432</v>
      </c>
    </row>
    <row r="63" ht="14.25" customHeight="true">
      <c r="A63" s="18">
        <f t="shared" si="315"/>
      </c>
      <c r="B63" s="8" t="s">
        <v>683</v>
      </c>
      <c r="C63" s="31">
        <v>0.83524040308868</v>
      </c>
    </row>
    <row r="64" ht="14.25" customHeight="true">
      <c r="A64" s="18">
        <f t="shared" si="315"/>
      </c>
      <c r="B64" s="8" t="s">
        <v>684</v>
      </c>
      <c r="C64" s="31">
        <v>0.45679504503465</v>
      </c>
    </row>
    <row r="65" ht="14.25" customHeight="true">
      <c r="A65" s="18">
        <f t="shared" si="315"/>
      </c>
      <c r="B65" s="8" t="s">
        <v>685</v>
      </c>
      <c r="C65" s="31">
        <v>0.70323336437763</v>
      </c>
    </row>
    <row r="66" ht="14.25" customHeight="true">
      <c r="A66" s="18">
        <f t="shared" si="315"/>
      </c>
      <c r="B66" s="8" t="s">
        <v>686</v>
      </c>
      <c r="C66" s="31">
        <v>0.5735610680816</v>
      </c>
    </row>
    <row r="67" ht="14.25" customHeight="true">
      <c r="A67" s="18">
        <f t="shared" si="315"/>
      </c>
      <c r="B67" s="8" t="s">
        <v>687</v>
      </c>
      <c r="C67" s="31">
        <v>0.53695847067747</v>
      </c>
    </row>
    <row r="68" ht="14.25" customHeight="true">
      <c r="A68" s="18">
        <f t="shared" si="315"/>
      </c>
      <c r="B68" s="8" t="s">
        <v>688</v>
      </c>
      <c r="C68" s="31">
        <v>0.40611990939624</v>
      </c>
    </row>
    <row r="69" ht="14.25" customHeight="true">
      <c r="A69" s="18">
        <f t="shared" si="315"/>
      </c>
      <c r="B69" s="8" t="s">
        <v>689</v>
      </c>
      <c r="C69" s="31">
        <v>1.02961908594755</v>
      </c>
    </row>
    <row r="70" ht="14.25" customHeight="true">
      <c r="A70" s="18">
        <f t="shared" si="315"/>
      </c>
      <c r="B70" s="8" t="s">
        <v>690</v>
      </c>
      <c r="C70" s="31">
        <v>0.72167824777709</v>
      </c>
    </row>
    <row r="71" ht="14.25" customHeight="true">
      <c r="A71" s="18">
        <f t="shared" si="315"/>
      </c>
      <c r="B71" s="8" t="s">
        <v>691</v>
      </c>
      <c r="C71" s="31">
        <v>0.48339453436145</v>
      </c>
    </row>
    <row r="72" ht="14.25" customHeight="true">
      <c r="A72" s="18">
        <f t="shared" si="315"/>
      </c>
      <c r="B72" s="8" t="s">
        <v>692</v>
      </c>
      <c r="C72" s="31">
        <v>0.36812513152554</v>
      </c>
    </row>
    <row r="73" ht="14.25" customHeight="true">
      <c r="A73" s="18">
        <f ref="A73:A102" t="shared" si="314">=+A72+1</f>
      </c>
      <c r="B73" s="8" t="s">
        <v>693</v>
      </c>
      <c r="C73" s="31">
        <v>0.48981186147313</v>
      </c>
    </row>
    <row r="74" ht="14.25" customHeight="true">
      <c r="A74" s="18">
        <f t="shared" si="314"/>
      </c>
      <c r="B74" s="8" t="s">
        <v>694</v>
      </c>
      <c r="C74" s="31">
        <v>0.5239225167185</v>
      </c>
    </row>
    <row r="75" ht="14.25" customHeight="true">
      <c r="A75" s="18">
        <f t="shared" si="314"/>
      </c>
      <c r="B75" s="8" t="s">
        <v>695</v>
      </c>
      <c r="C75" s="31">
        <v>0.86090265971944</v>
      </c>
    </row>
    <row r="76" ht="14.25" customHeight="true">
      <c r="A76" s="18">
        <f t="shared" si="314"/>
      </c>
      <c r="B76" s="8" t="s">
        <v>696</v>
      </c>
      <c r="C76" s="31">
        <v>1.00596144506112</v>
      </c>
    </row>
    <row r="77" ht="14.25" customHeight="true">
      <c r="A77" s="18">
        <f t="shared" si="314"/>
      </c>
      <c r="B77" s="8" t="s">
        <v>697</v>
      </c>
      <c r="C77" s="31">
        <v>0.78578226964832</v>
      </c>
    </row>
    <row r="78" ht="14.25" customHeight="true">
      <c r="A78" s="18">
        <f t="shared" si="314"/>
      </c>
      <c r="B78" s="8" t="s">
        <v>698</v>
      </c>
      <c r="C78" s="31">
        <v>0.64515632229434</v>
      </c>
    </row>
    <row r="79" ht="14.25" customHeight="true">
      <c r="A79" s="18">
        <f t="shared" si="314"/>
      </c>
      <c r="B79" s="8" t="s">
        <v>699</v>
      </c>
      <c r="C79" s="31">
        <v>0.83521373376812</v>
      </c>
    </row>
    <row r="80" ht="14.25" customHeight="true">
      <c r="A80" s="18">
        <f t="shared" si="314"/>
      </c>
      <c r="B80" s="8" t="s">
        <v>700</v>
      </c>
      <c r="C80" s="31">
        <v>0.57222493518848</v>
      </c>
    </row>
    <row r="81" ht="14.25" customHeight="true">
      <c r="A81" s="18">
        <f t="shared" si="314"/>
      </c>
      <c r="B81" s="8" t="s">
        <v>701</v>
      </c>
      <c r="C81" s="31">
        <v>0.99589697370023</v>
      </c>
    </row>
    <row r="82" ht="14.25" customHeight="true">
      <c r="A82" s="18">
        <f t="shared" si="314"/>
      </c>
      <c r="B82" s="8" t="s">
        <v>702</v>
      </c>
      <c r="C82" s="31">
        <v>0.57200555235029</v>
      </c>
    </row>
    <row r="83" ht="14.25" customHeight="true">
      <c r="A83" s="18">
        <f t="shared" si="314"/>
      </c>
      <c r="B83" s="8" t="s">
        <v>703</v>
      </c>
      <c r="C83" s="31">
        <v>0.62078660817886</v>
      </c>
    </row>
    <row r="84" ht="14.25" customHeight="true">
      <c r="A84" s="18">
        <f t="shared" si="314"/>
      </c>
      <c r="B84" s="8" t="s">
        <v>704</v>
      </c>
      <c r="C84" s="31">
        <v>0.89908566823488</v>
      </c>
    </row>
    <row r="85" ht="14.25" customHeight="true">
      <c r="A85" s="18">
        <f t="shared" si="314"/>
      </c>
      <c r="B85" s="8" t="s">
        <v>705</v>
      </c>
      <c r="C85" s="31">
        <v>0.68089393376783</v>
      </c>
    </row>
    <row r="86" ht="14.25" customHeight="true">
      <c r="A86" s="18">
        <f t="shared" si="314"/>
      </c>
      <c r="B86" s="8" t="s">
        <v>706</v>
      </c>
      <c r="C86" s="31">
        <v>1.60760605902349</v>
      </c>
    </row>
    <row r="87" ht="14.25" customHeight="true">
      <c r="A87" s="18">
        <f t="shared" si="314"/>
      </c>
      <c r="B87" s="8" t="s">
        <v>707</v>
      </c>
      <c r="C87" s="31">
        <v>1.91125955882122</v>
      </c>
    </row>
    <row r="88" ht="14.25" customHeight="true">
      <c r="A88" s="18">
        <f t="shared" si="314"/>
      </c>
      <c r="B88" s="8" t="s">
        <v>708</v>
      </c>
      <c r="C88" s="31">
        <v>0.63110649755115</v>
      </c>
    </row>
    <row r="89" ht="14.25" customHeight="true">
      <c r="A89" s="18">
        <f t="shared" si="314"/>
      </c>
      <c r="B89" s="8" t="s">
        <v>709</v>
      </c>
      <c r="C89" s="31">
        <v>0.70450311736734</v>
      </c>
    </row>
    <row r="90" ht="14.25" customHeight="true">
      <c r="A90" s="18">
        <f t="shared" si="314"/>
      </c>
      <c r="B90" s="8" t="s">
        <v>710</v>
      </c>
      <c r="C90" s="31">
        <v>1.22494460821771</v>
      </c>
    </row>
    <row r="91" ht="14.25" customHeight="true">
      <c r="A91" s="18">
        <f t="shared" si="314"/>
      </c>
      <c r="B91" s="8" t="s">
        <v>711</v>
      </c>
      <c r="C91" s="31">
        <v>1.27014908313185</v>
      </c>
    </row>
    <row r="92" ht="14.25" customHeight="true">
      <c r="A92" s="18">
        <f t="shared" si="314"/>
      </c>
      <c r="B92" s="8" t="s">
        <v>712</v>
      </c>
      <c r="C92" s="31">
        <v>1.27467323685683</v>
      </c>
    </row>
    <row r="93" ht="14.25" customHeight="true">
      <c r="A93" s="18">
        <f t="shared" si="314"/>
      </c>
      <c r="B93" s="8" t="s">
        <v>713</v>
      </c>
      <c r="C93" s="31">
        <v>0.8212516388849</v>
      </c>
    </row>
    <row r="94" ht="14.25" customHeight="true">
      <c r="A94" s="18">
        <f t="shared" si="314"/>
      </c>
      <c r="B94" s="8" t="s">
        <v>714</v>
      </c>
      <c r="C94" s="31">
        <v>0.62186794790193</v>
      </c>
    </row>
    <row r="95" ht="14.25" customHeight="true">
      <c r="A95" s="18">
        <f t="shared" si="314"/>
      </c>
      <c r="B95" s="8" t="s">
        <v>715</v>
      </c>
      <c r="C95" s="31">
        <v>1.08709233962213</v>
      </c>
    </row>
    <row r="96" ht="14.25" customHeight="true">
      <c r="A96" s="18">
        <f t="shared" si="314"/>
      </c>
      <c r="B96" s="8" t="s">
        <v>716</v>
      </c>
      <c r="C96" s="31">
        <v>0.53566599215011</v>
      </c>
    </row>
    <row r="97" ht="14.25" customHeight="true">
      <c r="A97" s="18">
        <f t="shared" si="314"/>
      </c>
      <c r="B97" s="8" t="s">
        <v>717</v>
      </c>
      <c r="C97" s="31">
        <v>0.41294674362492</v>
      </c>
    </row>
    <row r="98" ht="14.25" customHeight="true">
      <c r="A98" s="18">
        <f t="shared" si="314"/>
      </c>
      <c r="B98" s="8" t="s">
        <v>718</v>
      </c>
      <c r="C98" s="31">
        <v>0.649166816032</v>
      </c>
    </row>
    <row r="99" ht="14.25" customHeight="true">
      <c r="A99" s="18">
        <f t="shared" si="314"/>
      </c>
      <c r="B99" s="8" t="s">
        <v>719</v>
      </c>
      <c r="C99" s="31">
        <v>0.58897327313342</v>
      </c>
    </row>
    <row r="100" ht="14.25" customHeight="true">
      <c r="A100" s="18">
        <f t="shared" si="314"/>
      </c>
      <c r="B100" s="8" t="s">
        <v>720</v>
      </c>
      <c r="C100" s="31">
        <v>0.67437671663676</v>
      </c>
    </row>
    <row r="101" ht="14.25" customHeight="true">
      <c r="A101" s="18">
        <f t="shared" si="314"/>
      </c>
      <c r="B101" s="8" t="s">
        <v>721</v>
      </c>
      <c r="C101" s="31">
        <v>0.40886939908196</v>
      </c>
    </row>
    <row r="102" ht="14.25" customHeight="true">
      <c r="A102" s="18">
        <f t="shared" si="314"/>
      </c>
      <c r="B102" s="8" t="s">
        <v>722</v>
      </c>
      <c r="C102" s="31">
        <v>0.38546274920823</v>
      </c>
    </row>
    <row r="103" ht="14.25" customHeight="true">
      <c r="B103" s="60"/>
      <c r="C103" s="30"/>
    </row>
    <row r="104" ht="14.25" customHeight="true">
      <c r="B104" s="60"/>
      <c r="C104" s="30"/>
    </row>
    <row r="105" ht="14.25" customHeight="true">
      <c r="B105" s="60"/>
      <c r="C105" s="30"/>
    </row>
    <row r="106" ht="14.25" customHeight="true">
      <c r="B106" s="60"/>
      <c r="C106" s="30"/>
    </row>
    <row r="107" ht="14.25" customHeight="true">
      <c r="B107" s="60"/>
      <c r="C107" s="30"/>
    </row>
    <row r="108" ht="14.25" customHeight="true">
      <c r="B108" s="60"/>
      <c r="C108" s="30"/>
    </row>
    <row r="109" ht="14.25" customHeight="true">
      <c r="B109" s="60"/>
      <c r="C109" s="30"/>
    </row>
    <row r="110" ht="14.25" customHeight="true">
      <c r="B110" s="60"/>
      <c r="C110" s="30"/>
    </row>
    <row r="111" ht="14.25" customHeight="true">
      <c r="B111" s="60"/>
      <c r="C111" s="30"/>
    </row>
    <row r="112" ht="14.25" customHeight="true">
      <c r="B112" s="60"/>
      <c r="C112" s="30"/>
    </row>
    <row r="113" ht="14.25" customHeight="true">
      <c r="B113" s="60"/>
      <c r="C113" s="30"/>
    </row>
    <row r="114" ht="14.25" customHeight="true">
      <c r="B114" s="60"/>
      <c r="C114" s="30"/>
    </row>
    <row r="115" ht="14.25" customHeight="true">
      <c r="B115" s="60"/>
      <c r="C115" s="30"/>
    </row>
    <row r="116" ht="14.25" customHeight="true">
      <c r="B116" s="60"/>
      <c r="C116" s="30"/>
    </row>
    <row r="117" ht="14.25" customHeight="true">
      <c r="B117" s="60"/>
      <c r="C117" s="30"/>
    </row>
    <row r="118" ht="14.25" customHeight="true">
      <c r="B118" s="60"/>
      <c r="C118" s="30"/>
    </row>
    <row r="119" ht="14.25" customHeight="true">
      <c r="B119" s="60"/>
      <c r="C119" s="30"/>
    </row>
    <row r="120" ht="14.25" customHeight="true">
      <c r="B120" s="60"/>
      <c r="C120" s="30"/>
    </row>
    <row r="121" ht="14.25" customHeight="true">
      <c r="B121" s="60"/>
      <c r="C121" s="30"/>
    </row>
    <row r="122" ht="14.25" customHeight="true">
      <c r="B122" s="60"/>
      <c r="C122" s="30"/>
    </row>
    <row r="123" ht="14.25" customHeight="true">
      <c r="B123" s="60"/>
      <c r="C123" s="30"/>
    </row>
    <row r="124" ht="14.25" customHeight="true">
      <c r="B124" s="60"/>
      <c r="C124" s="30"/>
    </row>
    <row r="125" ht="14.25" customHeight="true">
      <c r="B125" s="60"/>
      <c r="C125" s="30"/>
    </row>
    <row r="126" ht="14.25" customHeight="true">
      <c r="B126" s="60"/>
      <c r="C126" s="30"/>
    </row>
    <row r="127" ht="14.25" customHeight="true">
      <c r="B127" s="60"/>
      <c r="C127" s="30"/>
    </row>
    <row r="128" ht="14.25" customHeight="true">
      <c r="B128" s="60"/>
      <c r="C128" s="30"/>
    </row>
    <row r="129" ht="14.25" customHeight="true">
      <c r="B129" s="60"/>
      <c r="C129" s="30"/>
    </row>
    <row r="130" ht="14.25" customHeight="true">
      <c r="B130" s="60"/>
      <c r="C130" s="30"/>
    </row>
    <row r="131" ht="14.25" customHeight="true">
      <c r="B131" s="60"/>
      <c r="C131" s="30"/>
    </row>
    <row r="132" ht="14.25" customHeight="true">
      <c r="B132" s="60"/>
      <c r="C132" s="30"/>
    </row>
    <row r="133" ht="14.25" customHeight="true">
      <c r="B133" s="60"/>
      <c r="C133" s="30"/>
    </row>
    <row r="134" ht="14.25" customHeight="true">
      <c r="B134" s="60"/>
      <c r="C134" s="30"/>
    </row>
    <row r="135" ht="14.25" customHeight="true">
      <c r="B135" s="60"/>
      <c r="C135" s="30"/>
    </row>
    <row r="136" ht="14.25" customHeight="true">
      <c r="B136" s="60"/>
      <c r="C136" s="30"/>
    </row>
    <row r="137" ht="14.25" customHeight="true">
      <c r="B137" s="60"/>
      <c r="C137" s="30"/>
    </row>
    <row r="138" ht="14.25" customHeight="true">
      <c r="B138" s="60"/>
      <c r="C138" s="30"/>
    </row>
    <row r="139" ht="14.25" customHeight="true">
      <c r="B139" s="60"/>
      <c r="C139" s="30"/>
    </row>
    <row r="140" ht="14.25" customHeight="true">
      <c r="B140" s="60"/>
      <c r="C140" s="30"/>
    </row>
    <row r="141" ht="14.25" customHeight="true">
      <c r="B141" s="60"/>
      <c r="C141" s="30"/>
    </row>
    <row r="142" ht="14.25" customHeight="true">
      <c r="B142" s="60"/>
      <c r="C142" s="30"/>
    </row>
    <row r="143" ht="14.25" customHeight="true">
      <c r="B143" s="60"/>
      <c r="C143" s="30"/>
    </row>
    <row r="144" ht="14.25" customHeight="true">
      <c r="B144" s="60"/>
      <c r="C144" s="30"/>
    </row>
    <row r="145" ht="14.25" customHeight="true">
      <c r="B145" s="60"/>
      <c r="C145" s="30"/>
    </row>
    <row r="146" ht="14.25" customHeight="true">
      <c r="B146" s="60"/>
      <c r="C146" s="30"/>
    </row>
    <row r="147" ht="14.25" customHeight="true">
      <c r="B147" s="60"/>
      <c r="C147" s="30"/>
    </row>
    <row r="148" ht="14.25" customHeight="true">
      <c r="B148" s="60"/>
      <c r="C148" s="30"/>
    </row>
    <row r="149" ht="14.25" customHeight="true">
      <c r="B149" s="60"/>
      <c r="C149" s="30"/>
    </row>
    <row r="150" ht="14.25" customHeight="true">
      <c r="B150" s="60"/>
      <c r="C150" s="30"/>
    </row>
    <row r="151" ht="14.25" customHeight="true">
      <c r="B151" s="60"/>
      <c r="C151" s="30"/>
    </row>
    <row r="152" ht="14.25" customHeight="true">
      <c r="B152" s="60"/>
      <c r="C152" s="30"/>
    </row>
    <row r="153" ht="14.25" customHeight="true">
      <c r="B153" s="60"/>
      <c r="C153" s="30"/>
    </row>
    <row r="154" ht="14.25" customHeight="true">
      <c r="B154" s="60"/>
      <c r="C154" s="30"/>
    </row>
    <row r="155" ht="14.25" customHeight="true">
      <c r="B155" s="60"/>
      <c r="C155" s="30"/>
    </row>
    <row r="156" ht="14.25" customHeight="true">
      <c r="B156" s="60"/>
      <c r="C156" s="30"/>
    </row>
    <row r="157" ht="14.25" customHeight="true">
      <c r="B157" s="60"/>
      <c r="C157" s="30"/>
    </row>
    <row r="158" ht="14.25" customHeight="true">
      <c r="B158" s="60"/>
      <c r="C158" s="30"/>
    </row>
    <row r="159" ht="14.25" customHeight="true">
      <c r="B159" s="60"/>
      <c r="C159" s="30"/>
    </row>
    <row r="160" ht="14.25" customHeight="true">
      <c r="B160" s="60"/>
      <c r="C160" s="30"/>
    </row>
    <row r="161" ht="14.25" customHeight="true">
      <c r="B161" s="60"/>
      <c r="C161" s="30"/>
    </row>
    <row r="162" ht="14.25" customHeight="true">
      <c r="B162" s="60"/>
      <c r="C162" s="30"/>
    </row>
    <row r="163" ht="14.25" customHeight="true">
      <c r="B163" s="60"/>
      <c r="C163" s="30"/>
    </row>
    <row r="164" ht="14.25" customHeight="true">
      <c r="B164" s="60"/>
      <c r="C164" s="30"/>
    </row>
    <row r="165" ht="14.25" customHeight="true">
      <c r="B165" s="60"/>
      <c r="C165" s="30"/>
    </row>
    <row r="166" ht="14.25" customHeight="true">
      <c r="B166" s="60"/>
      <c r="C166" s="30"/>
    </row>
    <row r="167" ht="14.25" customHeight="true">
      <c r="B167" s="60"/>
      <c r="C167" s="30"/>
    </row>
    <row r="168" ht="14.25" customHeight="true">
      <c r="B168" s="60"/>
      <c r="C168" s="30"/>
    </row>
    <row r="169" ht="14.25" customHeight="true">
      <c r="B169" s="60"/>
      <c r="C169" s="30"/>
    </row>
    <row r="170" ht="14.25" customHeight="true">
      <c r="B170" s="60"/>
      <c r="C170" s="30"/>
    </row>
    <row r="171" ht="14.25" customHeight="true">
      <c r="B171" s="60"/>
      <c r="C171" s="30"/>
    </row>
    <row r="172" ht="14.25" customHeight="true">
      <c r="B172" s="60"/>
      <c r="C172" s="30"/>
    </row>
    <row r="173" ht="14.25" customHeight="true">
      <c r="B173" s="60"/>
      <c r="C173" s="30"/>
    </row>
    <row r="174" ht="14.25" customHeight="true">
      <c r="B174" s="60"/>
      <c r="C174" s="30"/>
    </row>
    <row r="175" ht="14.25" customHeight="true">
      <c r="B175" s="60"/>
      <c r="C175" s="30"/>
    </row>
    <row r="176" ht="14.25" customHeight="true">
      <c r="B176" s="60"/>
      <c r="C176" s="30"/>
    </row>
    <row r="177" ht="14.25" customHeight="true">
      <c r="B177" s="60"/>
      <c r="C177" s="30"/>
    </row>
    <row r="178" ht="14.25" customHeight="true">
      <c r="B178" s="60"/>
      <c r="C178" s="30"/>
    </row>
    <row r="179" ht="14.25" customHeight="true">
      <c r="B179" s="60"/>
      <c r="C179" s="30"/>
    </row>
    <row r="180" ht="14.25" customHeight="true">
      <c r="B180" s="60"/>
      <c r="C180" s="30"/>
    </row>
    <row r="181" ht="14.25" customHeight="true">
      <c r="B181" s="60"/>
      <c r="C181" s="30"/>
    </row>
    <row r="182" ht="14.25" customHeight="true">
      <c r="B182" s="60"/>
      <c r="C182" s="30"/>
    </row>
    <row r="183" ht="14.25" customHeight="true">
      <c r="B183" s="60"/>
      <c r="C183" s="30"/>
    </row>
    <row r="184" ht="14.25" customHeight="true">
      <c r="B184" s="60"/>
      <c r="C184" s="30"/>
    </row>
    <row r="185" ht="14.25" customHeight="true">
      <c r="B185" s="60"/>
      <c r="C185" s="30"/>
    </row>
    <row r="186" ht="14.25" customHeight="true">
      <c r="B186" s="60"/>
      <c r="C186" s="30"/>
    </row>
    <row r="187" ht="14.25" customHeight="true">
      <c r="B187" s="60"/>
      <c r="C187" s="30"/>
    </row>
    <row r="188" ht="14.25" customHeight="true">
      <c r="B188" s="60"/>
      <c r="C188" s="30"/>
    </row>
    <row r="189" ht="14.25" customHeight="true">
      <c r="B189" s="60"/>
      <c r="C189" s="30"/>
    </row>
    <row r="190" ht="14.25" customHeight="true">
      <c r="B190" s="60"/>
      <c r="C190" s="30"/>
    </row>
    <row r="191" ht="14.25" customHeight="true">
      <c r="B191" s="60"/>
      <c r="C191" s="30"/>
    </row>
    <row r="192" ht="14.25" customHeight="true">
      <c r="B192" s="60"/>
      <c r="C192" s="30"/>
    </row>
    <row r="193" ht="14.25" customHeight="true">
      <c r="B193" s="60"/>
      <c r="C193" s="30"/>
    </row>
    <row r="194" ht="14.25" customHeight="true">
      <c r="B194" s="60"/>
      <c r="C194" s="30"/>
    </row>
    <row r="195" ht="14.25" customHeight="true">
      <c r="B195" s="60"/>
      <c r="C195" s="30"/>
    </row>
    <row r="196" ht="14.25" customHeight="true">
      <c r="B196" s="60"/>
      <c r="C196" s="30"/>
    </row>
    <row r="197" ht="14.25" customHeight="true">
      <c r="B197" s="60"/>
      <c r="C197" s="30"/>
    </row>
    <row r="198" ht="14.25" customHeight="true">
      <c r="B198" s="60"/>
      <c r="C198" s="30"/>
    </row>
    <row r="199" ht="14.25" customHeight="true">
      <c r="B199" s="60"/>
      <c r="C199" s="30"/>
    </row>
    <row r="200" ht="14.25" customHeight="true">
      <c r="B200" s="60"/>
      <c r="C200" s="30"/>
    </row>
    <row r="201" ht="14.25" customHeight="true">
      <c r="B201" s="60"/>
      <c r="C201" s="30"/>
    </row>
    <row r="202" ht="14.25" customHeight="true">
      <c r="B202" s="60"/>
      <c r="C202" s="30"/>
    </row>
    <row r="203" ht="14.25" customHeight="true">
      <c r="B203" s="60"/>
      <c r="C203" s="30"/>
    </row>
    <row r="204" ht="14.25" customHeight="true">
      <c r="B204" s="60"/>
      <c r="C204" s="30"/>
    </row>
    <row r="205" ht="14.25" customHeight="true">
      <c r="B205" s="60"/>
      <c r="C205" s="30"/>
    </row>
    <row r="206" ht="14.25" customHeight="true">
      <c r="B206" s="60"/>
      <c r="C206" s="30"/>
    </row>
    <row r="207" ht="14.25" customHeight="true">
      <c r="B207" s="60"/>
      <c r="C207" s="30"/>
    </row>
    <row r="208" ht="14.25" customHeight="true">
      <c r="B208" s="60"/>
      <c r="C208" s="30"/>
    </row>
    <row r="209" ht="14.25" customHeight="true">
      <c r="B209" s="60"/>
      <c r="C209" s="30"/>
    </row>
    <row r="210" ht="14.25" customHeight="true">
      <c r="B210" s="60"/>
      <c r="C210" s="30"/>
    </row>
    <row r="211" ht="14.25" customHeight="true">
      <c r="B211" s="60"/>
      <c r="C211" s="30"/>
    </row>
    <row r="212" ht="14.25" customHeight="true">
      <c r="B212" s="60"/>
      <c r="C212" s="30"/>
    </row>
    <row r="213" ht="14.25" customHeight="true">
      <c r="B213" s="60"/>
      <c r="C213" s="30"/>
    </row>
    <row r="214" ht="14.25" customHeight="true">
      <c r="B214" s="60"/>
      <c r="C214" s="30"/>
    </row>
    <row r="215" ht="14.25" customHeight="true">
      <c r="B215" s="60"/>
      <c r="C215" s="30"/>
    </row>
    <row r="216" ht="14.25" customHeight="true">
      <c r="B216" s="60"/>
      <c r="C216" s="30"/>
    </row>
    <row r="217" ht="14.25" customHeight="true">
      <c r="B217" s="60"/>
      <c r="C217" s="30"/>
    </row>
    <row r="218" ht="14.25" customHeight="true">
      <c r="B218" s="60"/>
      <c r="C218" s="30"/>
    </row>
    <row r="219" ht="14.25" customHeight="true">
      <c r="B219" s="60"/>
      <c r="C219" s="30"/>
    </row>
    <row r="220" ht="14.25" customHeight="true">
      <c r="B220" s="60"/>
      <c r="C220" s="30"/>
    </row>
    <row r="221" ht="14.25" customHeight="true">
      <c r="B221" s="60"/>
      <c r="C221" s="30"/>
    </row>
    <row r="222" ht="14.25" customHeight="true">
      <c r="B222" s="60"/>
      <c r="C222" s="30"/>
    </row>
    <row r="223" ht="14.25" customHeight="true">
      <c r="B223" s="60"/>
      <c r="C223" s="30"/>
    </row>
    <row r="224" ht="14.25" customHeight="true">
      <c r="B224" s="60"/>
      <c r="C224" s="30"/>
    </row>
    <row r="225" ht="14.25" customHeight="true">
      <c r="B225" s="60"/>
      <c r="C225" s="30"/>
    </row>
    <row r="226" ht="14.25" customHeight="true">
      <c r="B226" s="60"/>
      <c r="C226" s="30"/>
    </row>
    <row r="227" ht="14.25" customHeight="true">
      <c r="B227" s="60"/>
      <c r="C227" s="30"/>
    </row>
    <row r="228" ht="14.25" customHeight="true">
      <c r="B228" s="60"/>
      <c r="C228" s="30"/>
    </row>
    <row r="229" ht="14.25" customHeight="true">
      <c r="B229" s="60"/>
      <c r="C229" s="30"/>
    </row>
    <row r="230" ht="14.25" customHeight="true">
      <c r="B230" s="60"/>
      <c r="C230" s="30"/>
    </row>
    <row r="231" ht="14.25" customHeight="true">
      <c r="B231" s="60"/>
      <c r="C231" s="30"/>
    </row>
    <row r="232" ht="14.25" customHeight="true">
      <c r="B232" s="60"/>
      <c r="C232" s="30"/>
    </row>
    <row r="233" ht="14.25" customHeight="true">
      <c r="B233" s="60"/>
      <c r="C233" s="30"/>
    </row>
    <row r="234" ht="14.25" customHeight="true">
      <c r="B234" s="60"/>
      <c r="C234" s="30"/>
    </row>
    <row r="235" ht="14.25" customHeight="true">
      <c r="B235" s="60"/>
      <c r="C235" s="30"/>
    </row>
    <row r="236" ht="14.25" customHeight="true">
      <c r="B236" s="60"/>
      <c r="C236" s="30"/>
    </row>
    <row r="237" ht="14.25" customHeight="true">
      <c r="B237" s="60"/>
      <c r="C237" s="30"/>
    </row>
    <row r="238" ht="14.25" customHeight="true">
      <c r="B238" s="60"/>
      <c r="C238" s="30"/>
    </row>
    <row r="239" ht="14.25" customHeight="true">
      <c r="B239" s="60"/>
      <c r="C239" s="30"/>
    </row>
    <row r="240" ht="14.25" customHeight="true">
      <c r="B240" s="60"/>
      <c r="C240" s="30"/>
    </row>
    <row r="241" ht="14.25" customHeight="true">
      <c r="B241" s="60"/>
      <c r="C241" s="30"/>
    </row>
    <row r="242" ht="14.25" customHeight="true">
      <c r="B242" s="60"/>
      <c r="C242" s="30"/>
    </row>
    <row r="243" ht="14.25" customHeight="true">
      <c r="B243" s="60"/>
      <c r="C243" s="30"/>
    </row>
    <row r="244" ht="14.25" customHeight="true">
      <c r="B244" s="60"/>
      <c r="C244" s="30"/>
    </row>
    <row r="245" ht="14.25" customHeight="true">
      <c r="B245" s="60"/>
      <c r="C245" s="30"/>
    </row>
    <row r="246" ht="14.25" customHeight="true">
      <c r="B246" s="60"/>
      <c r="C246" s="30"/>
    </row>
    <row r="247" ht="14.25" customHeight="true">
      <c r="B247" s="60"/>
      <c r="C247" s="30"/>
    </row>
    <row r="248" ht="14.25" customHeight="true">
      <c r="B248" s="60"/>
      <c r="C248" s="30"/>
    </row>
    <row r="249" ht="14.25" customHeight="true">
      <c r="B249" s="60"/>
      <c r="C249" s="30"/>
    </row>
    <row r="250" ht="14.25" customHeight="true">
      <c r="B250" s="60"/>
      <c r="C250" s="30"/>
    </row>
    <row r="251" ht="14.25" customHeight="true">
      <c r="B251" s="60"/>
      <c r="C251" s="30"/>
    </row>
    <row r="252" ht="14.25" customHeight="true">
      <c r="B252" s="60"/>
      <c r="C252" s="30"/>
    </row>
    <row r="253" ht="14.25" customHeight="true">
      <c r="B253" s="60"/>
      <c r="C253" s="30"/>
    </row>
    <row r="254" ht="14.25" customHeight="true">
      <c r="B254" s="60"/>
      <c r="C254" s="30"/>
    </row>
    <row r="255" ht="14.25" customHeight="true">
      <c r="B255" s="60"/>
      <c r="C255" s="30"/>
    </row>
    <row r="256" ht="14.25" customHeight="true">
      <c r="B256" s="60"/>
      <c r="C256" s="30"/>
    </row>
    <row r="257" ht="14.25" customHeight="true">
      <c r="B257" s="60"/>
      <c r="C257" s="30"/>
    </row>
    <row r="258" ht="14.25" customHeight="true">
      <c r="B258" s="60"/>
      <c r="C258" s="30"/>
    </row>
    <row r="259" ht="14.25" customHeight="true">
      <c r="B259" s="60"/>
      <c r="C259" s="30"/>
    </row>
    <row r="260" ht="14.25" customHeight="true">
      <c r="B260" s="60"/>
      <c r="C260" s="30"/>
    </row>
    <row r="261" ht="14.25" customHeight="true">
      <c r="B261" s="60"/>
      <c r="C261" s="30"/>
    </row>
    <row r="262" ht="14.25" customHeight="true">
      <c r="B262" s="60"/>
      <c r="C262" s="30"/>
    </row>
    <row r="263" ht="14.25" customHeight="true">
      <c r="B263" s="60"/>
      <c r="C263" s="30"/>
    </row>
    <row r="264" ht="14.25" customHeight="true">
      <c r="B264" s="60"/>
      <c r="C264" s="30"/>
    </row>
    <row r="265" ht="14.25" customHeight="true">
      <c r="B265" s="60"/>
      <c r="C265" s="30"/>
    </row>
    <row r="266" ht="14.25" customHeight="true">
      <c r="B266" s="60"/>
      <c r="C266" s="30"/>
    </row>
    <row r="267" ht="14.25" customHeight="true">
      <c r="B267" s="60"/>
      <c r="C267" s="30"/>
    </row>
    <row r="268" ht="14.25" customHeight="true">
      <c r="B268" s="60"/>
      <c r="C268" s="30"/>
    </row>
    <row r="269" ht="14.25" customHeight="true">
      <c r="B269" s="60"/>
      <c r="C269" s="30"/>
    </row>
    <row r="270" ht="14.25" customHeight="true">
      <c r="B270" s="60"/>
      <c r="C270" s="30"/>
    </row>
    <row r="271" ht="14.25" customHeight="true">
      <c r="B271" s="60"/>
      <c r="C271" s="30"/>
    </row>
    <row r="272" ht="14.25" customHeight="true">
      <c r="B272" s="60"/>
      <c r="C272" s="30"/>
    </row>
    <row r="273" ht="14.25" customHeight="true">
      <c r="B273" s="60"/>
      <c r="C273" s="30"/>
    </row>
    <row r="274" ht="14.25" customHeight="true">
      <c r="B274" s="60"/>
      <c r="C274" s="30"/>
    </row>
    <row r="275" ht="14.25" customHeight="true">
      <c r="B275" s="60"/>
      <c r="C275" s="30"/>
    </row>
    <row r="276" ht="14.25" customHeight="true">
      <c r="B276" s="60"/>
      <c r="C276" s="30"/>
    </row>
    <row r="277" ht="14.25" customHeight="true">
      <c r="B277" s="60"/>
      <c r="C277" s="30"/>
    </row>
    <row r="278" ht="14.25" customHeight="true">
      <c r="B278" s="60"/>
      <c r="C278" s="30"/>
    </row>
    <row r="279" ht="14.25" customHeight="true">
      <c r="B279" s="60"/>
      <c r="C279" s="30"/>
    </row>
    <row r="280" ht="14.25" customHeight="true">
      <c r="B280" s="60"/>
      <c r="C280" s="30"/>
    </row>
    <row r="281" ht="14.25" customHeight="true">
      <c r="B281" s="60"/>
      <c r="C281" s="30"/>
    </row>
    <row r="282" ht="14.25" customHeight="true">
      <c r="B282" s="60"/>
      <c r="C282" s="30"/>
    </row>
    <row r="283" ht="14.25" customHeight="true">
      <c r="B283" s="60"/>
      <c r="C283" s="30"/>
    </row>
    <row r="284" ht="14.25" customHeight="true">
      <c r="B284" s="60"/>
      <c r="C284" s="30"/>
    </row>
    <row r="285" ht="14.25" customHeight="true">
      <c r="B285" s="60"/>
      <c r="C285" s="30"/>
    </row>
    <row r="286" ht="14.25" customHeight="true">
      <c r="B286" s="60"/>
      <c r="C286" s="30"/>
    </row>
    <row r="287" ht="14.25" customHeight="true">
      <c r="B287" s="60"/>
      <c r="C287" s="30"/>
    </row>
    <row r="288" ht="14.25" customHeight="true">
      <c r="B288" s="60"/>
      <c r="C288" s="30"/>
    </row>
    <row r="289" ht="14.25" customHeight="true">
      <c r="B289" s="60"/>
      <c r="C289" s="30"/>
    </row>
    <row r="290" ht="14.25" customHeight="true">
      <c r="B290" s="60"/>
      <c r="C290" s="30"/>
    </row>
    <row r="291" ht="14.25" customHeight="true">
      <c r="B291" s="60"/>
      <c r="C291" s="30"/>
    </row>
    <row r="292" ht="14.25" customHeight="true">
      <c r="B292" s="60"/>
      <c r="C292" s="30"/>
    </row>
    <row r="293" ht="14.25" customHeight="true">
      <c r="B293" s="60"/>
      <c r="C293" s="30"/>
    </row>
    <row r="294" ht="14.25" customHeight="true">
      <c r="B294" s="60"/>
      <c r="C294" s="30"/>
    </row>
    <row r="295" ht="14.25" customHeight="true">
      <c r="B295" s="60"/>
      <c r="C295" s="30"/>
    </row>
    <row r="296" ht="14.25" customHeight="true">
      <c r="B296" s="60"/>
      <c r="C296" s="30"/>
    </row>
    <row r="297" ht="14.25" customHeight="true">
      <c r="B297" s="60"/>
      <c r="C297" s="30"/>
    </row>
    <row r="298" ht="14.25" customHeight="true">
      <c r="B298" s="60"/>
      <c r="C298" s="30"/>
    </row>
    <row r="299" ht="14.25" customHeight="true">
      <c r="B299" s="60"/>
      <c r="C299" s="30"/>
    </row>
    <row r="300" ht="14.25" customHeight="true">
      <c r="B300" s="60"/>
      <c r="C300" s="30"/>
    </row>
    <row r="301" ht="14.25" customHeight="true">
      <c r="B301" s="60"/>
      <c r="C301" s="30"/>
    </row>
    <row r="302" ht="14.25" customHeight="true">
      <c r="B302" s="60"/>
      <c r="C302" s="30"/>
    </row>
    <row r="303" ht="14.25" customHeight="true">
      <c r="B303" s="60"/>
      <c r="C303" s="30"/>
    </row>
    <row r="304" ht="14.25" customHeight="true">
      <c r="B304" s="60"/>
      <c r="C304" s="30"/>
    </row>
    <row r="305" ht="14.25" customHeight="true">
      <c r="B305" s="60"/>
      <c r="C305" s="30"/>
    </row>
    <row r="306" ht="14.25" customHeight="true">
      <c r="B306" s="60"/>
      <c r="C306" s="30"/>
    </row>
    <row r="307" ht="14.25" customHeight="true">
      <c r="A307" s="18"/>
      <c r="B307" s="60"/>
      <c r="C307" s="30"/>
    </row>
    <row r="308" ht="14.25" customHeight="true">
      <c r="B308" s="60"/>
      <c r="C308" s="30"/>
    </row>
    <row r="309" ht="14.25" customHeight="true">
      <c r="B309" s="60"/>
      <c r="C309" s="30"/>
    </row>
    <row r="310" ht="14.25" customHeight="true">
      <c r="B310" s="60"/>
      <c r="C310" s="30"/>
    </row>
    <row r="311" ht="14.25" customHeight="true">
      <c r="B311" s="60"/>
      <c r="C311" s="30"/>
    </row>
    <row r="312" ht="14.25" customHeight="true">
      <c r="B312" s="60"/>
      <c r="C312" s="30"/>
    </row>
    <row r="313" ht="14.25" customHeight="true">
      <c r="B313" s="60"/>
      <c r="C313" s="30"/>
    </row>
    <row r="314" ht="14.25" customHeight="true">
      <c r="B314" s="60"/>
      <c r="C314" s="30"/>
    </row>
    <row r="315" ht="14.25" customHeight="true">
      <c r="B315" s="60"/>
      <c r="C315" s="30"/>
    </row>
    <row r="316" ht="14.25" customHeight="true">
      <c r="B316" s="60"/>
      <c r="C316" s="30"/>
    </row>
    <row r="317" ht="14.25" customHeight="true">
      <c r="B317" s="60"/>
      <c r="C317" s="30"/>
    </row>
    <row r="318" ht="14.25" customHeight="true">
      <c r="B318" s="60"/>
      <c r="C318" s="30"/>
    </row>
    <row r="319" ht="14.25" customHeight="true">
      <c r="B319" s="60"/>
      <c r="C319" s="30"/>
    </row>
  </sheetData>
  <phoneticPr fontId="0" type="noConversion"/>
  <pageMargins left="0.75" right="0.75" top="0.75" bottom="0.75" header="0.25" footer="0.25"/>
  <pageSetup orientation="portrait" paperSize="9" scale="100"/>
  <headerFooter alignWithMargin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Workbook</vt:lpstr>
      </vt:variant>
      <vt:variant>
        <vt:i4>15</vt:i4>
      </vt:variant>
    </vt:vector>
  </HeadingPairs>
  <TitlesOfParts>
    <vt:vector size="15" baseType="lpstr">
      <vt:lpstr>ANEXOS ---&gt;</vt:lpstr>
      <vt:lpstr>Curvas de Deuda</vt:lpstr>
      <vt:lpstr>Impuestos</vt:lpstr>
      <vt:lpstr>Valoracion FCL</vt:lpstr>
      <vt:lpstr>Rating</vt:lpstr>
      <vt:lpstr>Modulo Tesoreria</vt:lpstr>
      <vt:lpstr>ESF</vt:lpstr>
      <vt:lpstr>FCLO</vt:lpstr>
      <vt:lpstr>Supuestos Valoracion</vt:lpstr>
      <vt:lpstr>Betas</vt:lpstr>
      <vt:lpstr>Graphs</vt:lpstr>
      <vt:lpstr>COVER</vt:lpstr>
      <vt:lpstr>ERI</vt:lpstr>
      <vt:lpstr>Covenants</vt:lpstr>
      <vt:lpstr>Supuestos Proyeccion</vt:lpstr>
    </vt:vector>
  </TitlesOfParts>
  <Company>Univer.ai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Univer.ai</dc:creator>
  <cp:lastModifiedBy>Univer.ai</cp:lastModifiedBy>
  <dcterms:created xsi:type="dcterms:W3CDTF">2025-08-30T16:34:31Z</dcterms:created>
  <dcterms:modified xsi:type="dcterms:W3CDTF">2025-08-30T16:34:31Z</dcterms:modified>
</cp:coreProperties>
</file>