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o Borrar Perfil\Desktop\ALBERTO CADAVID\"/>
    </mc:Choice>
  </mc:AlternateContent>
  <xr:revisionPtr revIDLastSave="0" documentId="13_ncr:1_{B419ACAE-5615-4946-817C-DA3E67A1F9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PORTACION" sheetId="3" r:id="rId1"/>
    <sheet name="EXPORTACION" sheetId="4" r:id="rId2"/>
  </sheets>
  <definedNames>
    <definedName name="_xlnm._FilterDatabase" localSheetId="1" hidden="1">EXPORTACION!$A$1:$N$99</definedName>
    <definedName name="_xlnm._FilterDatabase" localSheetId="0" hidden="1">IMPORTACION!$A$1:$Y$200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" i="4" l="1"/>
  <c r="F129" i="4"/>
  <c r="G129" i="4"/>
  <c r="F130" i="4"/>
  <c r="G130" i="4" s="1"/>
  <c r="D131" i="4"/>
  <c r="F131" i="4"/>
  <c r="G131" i="4" s="1"/>
  <c r="F132" i="4"/>
  <c r="E132" i="4" s="1"/>
  <c r="F133" i="4"/>
  <c r="E133" i="4" s="1"/>
  <c r="F134" i="4"/>
  <c r="E134" i="4" s="1"/>
  <c r="G135" i="4"/>
  <c r="F136" i="4"/>
  <c r="G136" i="4" s="1"/>
  <c r="F137" i="4"/>
  <c r="E137" i="4" s="1"/>
  <c r="F138" i="4"/>
  <c r="G138" i="4" s="1"/>
  <c r="F139" i="4"/>
  <c r="E139" i="4" s="1"/>
  <c r="F140" i="4"/>
  <c r="G140" i="4" s="1"/>
  <c r="F141" i="4"/>
  <c r="E141" i="4" s="1"/>
  <c r="F142" i="4"/>
  <c r="G142" i="4" s="1"/>
  <c r="F143" i="4"/>
  <c r="E143" i="4" s="1"/>
  <c r="F144" i="4"/>
  <c r="G144" i="4" s="1"/>
  <c r="F145" i="4"/>
  <c r="G145" i="4" s="1"/>
  <c r="F146" i="4"/>
  <c r="G146" i="4" s="1"/>
  <c r="G147" i="4"/>
  <c r="F148" i="4"/>
  <c r="G148" i="4" s="1"/>
  <c r="F149" i="4"/>
  <c r="G149" i="4" s="1"/>
  <c r="F150" i="4"/>
  <c r="G150" i="4" s="1"/>
  <c r="F151" i="4"/>
  <c r="G151" i="4" s="1"/>
  <c r="F152" i="4"/>
  <c r="G152" i="4" s="1"/>
  <c r="R138" i="3"/>
  <c r="L159" i="3"/>
  <c r="L158" i="3"/>
  <c r="J157" i="3"/>
  <c r="L156" i="3"/>
  <c r="R141" i="3"/>
  <c r="R154" i="3"/>
  <c r="R155" i="3"/>
  <c r="R153" i="3"/>
  <c r="R152" i="3"/>
  <c r="R150" i="3"/>
  <c r="R147" i="3"/>
  <c r="R140" i="3"/>
  <c r="R146" i="3"/>
  <c r="R151" i="3"/>
  <c r="R149" i="3"/>
  <c r="R148" i="3"/>
  <c r="R145" i="3"/>
  <c r="R134" i="3"/>
  <c r="R133" i="3"/>
  <c r="G104" i="4"/>
  <c r="D109" i="4"/>
  <c r="F127" i="4"/>
  <c r="G127" i="4" s="1"/>
  <c r="F126" i="4"/>
  <c r="G126" i="4" s="1"/>
  <c r="F125" i="4"/>
  <c r="G125" i="4" s="1"/>
  <c r="D126" i="4"/>
  <c r="D127" i="4"/>
  <c r="D125" i="4"/>
  <c r="R131" i="3"/>
  <c r="R143" i="3"/>
  <c r="R107" i="3"/>
  <c r="L143" i="3"/>
  <c r="E143" i="3"/>
  <c r="R126" i="3"/>
  <c r="O137" i="3"/>
  <c r="L137" i="3"/>
  <c r="R136" i="3"/>
  <c r="O129" i="3"/>
  <c r="R132" i="3"/>
  <c r="Q133" i="3"/>
  <c r="G116" i="4"/>
  <c r="G120" i="4"/>
  <c r="G121" i="4"/>
  <c r="G122" i="4"/>
  <c r="G123" i="4"/>
  <c r="G124" i="4"/>
  <c r="D124" i="4"/>
  <c r="D121" i="4"/>
  <c r="N105" i="3"/>
  <c r="R105" i="3"/>
  <c r="F119" i="4"/>
  <c r="G119" i="4" s="1"/>
  <c r="D119" i="4"/>
  <c r="F118" i="4"/>
  <c r="G118" i="4" s="1"/>
  <c r="D118" i="4"/>
  <c r="F117" i="4"/>
  <c r="G117" i="4" s="1"/>
  <c r="D117" i="4"/>
  <c r="R130" i="3"/>
  <c r="N130" i="3"/>
  <c r="R114" i="3"/>
  <c r="N114" i="3"/>
  <c r="R127" i="3"/>
  <c r="N127" i="3"/>
  <c r="F98" i="4"/>
  <c r="G98" i="4" s="1"/>
  <c r="D98" i="4"/>
  <c r="J128" i="3"/>
  <c r="D116" i="4"/>
  <c r="R111" i="3"/>
  <c r="F115" i="4"/>
  <c r="G115" i="4" s="1"/>
  <c r="F114" i="4"/>
  <c r="G114" i="4" s="1"/>
  <c r="R121" i="3"/>
  <c r="R113" i="3"/>
  <c r="R115" i="3"/>
  <c r="R118" i="3"/>
  <c r="R119" i="3"/>
  <c r="R120" i="3"/>
  <c r="R117" i="3"/>
  <c r="R116" i="3"/>
  <c r="N112" i="3"/>
  <c r="R112" i="3"/>
  <c r="L122" i="3"/>
  <c r="F113" i="4"/>
  <c r="G113" i="4" s="1"/>
  <c r="R108" i="3"/>
  <c r="R101" i="3"/>
  <c r="G112" i="4"/>
  <c r="R110" i="3"/>
  <c r="F111" i="4"/>
  <c r="G111" i="4" s="1"/>
  <c r="D111" i="4"/>
  <c r="O109" i="3"/>
  <c r="L109" i="3"/>
  <c r="O108" i="3"/>
  <c r="O107" i="3"/>
  <c r="L107" i="3"/>
  <c r="E107" i="3"/>
  <c r="O106" i="3"/>
  <c r="L106" i="3"/>
  <c r="R102" i="3"/>
  <c r="N102" i="3"/>
  <c r="R103" i="3"/>
  <c r="N103" i="3"/>
  <c r="R104" i="3"/>
  <c r="N104" i="3"/>
  <c r="F100" i="4"/>
  <c r="G100" i="4" s="1"/>
  <c r="F101" i="4"/>
  <c r="G101" i="4" s="1"/>
  <c r="F102" i="4"/>
  <c r="G102" i="4" s="1"/>
  <c r="F103" i="4"/>
  <c r="G103" i="4" s="1"/>
  <c r="F105" i="4"/>
  <c r="G105" i="4" s="1"/>
  <c r="F106" i="4"/>
  <c r="G106" i="4" s="1"/>
  <c r="F107" i="4"/>
  <c r="G107" i="4" s="1"/>
  <c r="F108" i="4"/>
  <c r="G108" i="4" s="1"/>
  <c r="F109" i="4"/>
  <c r="G109" i="4" s="1"/>
  <c r="D108" i="4"/>
  <c r="D100" i="4"/>
  <c r="D101" i="4"/>
  <c r="D102" i="4"/>
  <c r="D103" i="4"/>
  <c r="D110" i="4"/>
  <c r="D107" i="4"/>
  <c r="D106" i="4"/>
  <c r="D105" i="4"/>
  <c r="F110" i="4"/>
  <c r="E99" i="3"/>
  <c r="N89" i="3"/>
  <c r="R90" i="3"/>
  <c r="N90" i="3"/>
  <c r="R89" i="3"/>
  <c r="R82" i="3"/>
  <c r="R88" i="3"/>
  <c r="R87" i="3"/>
  <c r="N87" i="3"/>
  <c r="R85" i="3"/>
  <c r="N85" i="3"/>
  <c r="R84" i="3"/>
  <c r="F99" i="4"/>
  <c r="F93" i="4"/>
  <c r="F87" i="4"/>
  <c r="F89" i="4"/>
  <c r="F92" i="4"/>
  <c r="F90" i="4"/>
  <c r="F88" i="4"/>
  <c r="E76" i="3"/>
  <c r="F86" i="4"/>
  <c r="F85" i="4"/>
  <c r="F79" i="4"/>
  <c r="F81" i="4"/>
  <c r="F80" i="4"/>
  <c r="F83" i="4"/>
  <c r="F82" i="4"/>
  <c r="F78" i="4"/>
  <c r="F77" i="4"/>
  <c r="F75" i="4"/>
  <c r="F70" i="4"/>
  <c r="F72" i="4"/>
  <c r="F71" i="4"/>
  <c r="F69" i="4"/>
  <c r="F68" i="4"/>
  <c r="F8" i="4"/>
  <c r="F64" i="4"/>
  <c r="G64" i="4" s="1"/>
  <c r="F66" i="4"/>
  <c r="G66" i="4" s="1"/>
  <c r="F65" i="4"/>
  <c r="G65" i="4" s="1"/>
  <c r="D63" i="4"/>
  <c r="E53" i="3"/>
  <c r="G57" i="4"/>
  <c r="F56" i="4"/>
  <c r="G56" i="4" s="1"/>
  <c r="R44" i="3"/>
  <c r="R43" i="3"/>
  <c r="F55" i="4"/>
  <c r="G55" i="4" s="1"/>
  <c r="F54" i="4"/>
  <c r="G54" i="4" s="1"/>
  <c r="F52" i="4"/>
  <c r="G52" i="4" s="1"/>
  <c r="R29" i="3"/>
  <c r="R41" i="3"/>
  <c r="R36" i="3"/>
  <c r="R34" i="3"/>
  <c r="R35" i="3"/>
  <c r="R37" i="3"/>
  <c r="R38" i="3"/>
  <c r="R39" i="3"/>
  <c r="R40" i="3"/>
  <c r="R33" i="3"/>
  <c r="M40" i="3"/>
  <c r="F46" i="4"/>
  <c r="G46" i="4" s="1"/>
  <c r="G49" i="4"/>
  <c r="G47" i="4"/>
  <c r="F48" i="4"/>
  <c r="G48" i="4" s="1"/>
  <c r="G41" i="4"/>
  <c r="F40" i="4"/>
  <c r="G40" i="4" s="1"/>
  <c r="F45" i="4"/>
  <c r="G45" i="4" s="1"/>
  <c r="G53" i="4"/>
  <c r="F50" i="4"/>
  <c r="G50" i="4" s="1"/>
  <c r="F44" i="4"/>
  <c r="G44" i="4" s="1"/>
  <c r="F42" i="4"/>
  <c r="G42" i="4" s="1"/>
  <c r="F43" i="4"/>
  <c r="G43" i="4" s="1"/>
  <c r="F51" i="4"/>
  <c r="G51" i="4" s="1"/>
  <c r="D51" i="4"/>
  <c r="D40" i="4"/>
  <c r="O38" i="3"/>
  <c r="E38" i="3"/>
  <c r="N35" i="3"/>
  <c r="E29" i="3"/>
  <c r="E35" i="3"/>
  <c r="O28" i="3"/>
  <c r="F39" i="4"/>
  <c r="G39" i="4" s="1"/>
  <c r="D39" i="4"/>
  <c r="F38" i="4"/>
  <c r="G38" i="4" s="1"/>
  <c r="D38" i="4"/>
  <c r="F37" i="4"/>
  <c r="G37" i="4" s="1"/>
  <c r="D37" i="4"/>
  <c r="D15" i="4"/>
  <c r="D36" i="4"/>
  <c r="E20" i="3"/>
  <c r="F35" i="4"/>
  <c r="G35" i="4" s="1"/>
  <c r="D35" i="4"/>
  <c r="D34" i="4"/>
  <c r="D33" i="4"/>
  <c r="F29" i="4"/>
  <c r="G29" i="4" s="1"/>
  <c r="D29" i="4"/>
  <c r="F31" i="4"/>
  <c r="G31" i="4" s="1"/>
  <c r="D31" i="4"/>
  <c r="G36" i="4"/>
  <c r="G34" i="4"/>
  <c r="F32" i="4"/>
  <c r="G32" i="4" s="1"/>
  <c r="D30" i="4"/>
  <c r="D28" i="4"/>
  <c r="D32" i="4"/>
  <c r="G20" i="4"/>
  <c r="F26" i="4"/>
  <c r="G26" i="4" s="1"/>
  <c r="D26" i="4"/>
  <c r="D25" i="4"/>
  <c r="D27" i="4"/>
  <c r="G30" i="4"/>
  <c r="G28" i="4"/>
  <c r="G25" i="4"/>
  <c r="O16" i="3"/>
  <c r="F24" i="4"/>
  <c r="G24" i="4" s="1"/>
  <c r="D24" i="4"/>
  <c r="O25" i="3"/>
  <c r="O17" i="3"/>
  <c r="D2" i="4"/>
  <c r="D23" i="4"/>
  <c r="D22" i="4"/>
  <c r="D21" i="4"/>
  <c r="D20" i="4"/>
  <c r="G2" i="4"/>
  <c r="G23" i="4"/>
  <c r="G22" i="4"/>
  <c r="G21" i="4"/>
  <c r="E25" i="3"/>
  <c r="F19" i="4"/>
  <c r="G19" i="4" s="1"/>
  <c r="D19" i="4"/>
  <c r="F18" i="4"/>
  <c r="G18" i="4" s="1"/>
  <c r="D18" i="4"/>
  <c r="D17" i="4"/>
  <c r="O13" i="3"/>
  <c r="F16" i="4"/>
  <c r="G16" i="4" s="1"/>
  <c r="D16" i="4"/>
  <c r="F15" i="4"/>
  <c r="G15" i="4" s="1"/>
  <c r="D14" i="4"/>
  <c r="E13" i="3"/>
  <c r="O11" i="3"/>
  <c r="O5" i="3"/>
  <c r="J5" i="3"/>
  <c r="D13" i="4"/>
  <c r="D11" i="4"/>
  <c r="G11" i="4"/>
  <c r="F12" i="4"/>
  <c r="G12" i="4" s="1"/>
  <c r="D12" i="4"/>
  <c r="E9" i="3"/>
  <c r="F10" i="4"/>
  <c r="G10" i="4" s="1"/>
  <c r="D10" i="4"/>
  <c r="O7" i="3"/>
  <c r="O6" i="3"/>
  <c r="D9" i="4"/>
  <c r="G17" i="4"/>
  <c r="G14" i="4"/>
  <c r="G13" i="4"/>
  <c r="G9" i="4"/>
  <c r="G27" i="4"/>
  <c r="O3" i="3"/>
  <c r="G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NELSON</author>
  </authors>
  <commentList>
    <comment ref="J174" authorId="0" shapeId="0" xr:uid="{C11B3872-B128-4785-941D-48E4E3A87AF2}">
      <text>
        <r>
          <rPr>
            <b/>
            <sz val="9"/>
            <color indexed="81"/>
            <rFont val="Tahoma"/>
            <family val="2"/>
          </rPr>
          <t>NELSON:</t>
        </r>
        <r>
          <rPr>
            <sz val="9"/>
            <color indexed="81"/>
            <rFont val="Tahoma"/>
            <family val="2"/>
          </rPr>
          <t xml:space="preserve">
VALOR REAL USD 35,0000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G3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PAGO USD$61,125 LA DIF ES DCTO
</t>
        </r>
      </text>
    </comment>
  </commentList>
</comments>
</file>

<file path=xl/sharedStrings.xml><?xml version="1.0" encoding="utf-8"?>
<sst xmlns="http://schemas.openxmlformats.org/spreadsheetml/2006/main" count="2629" uniqueCount="1047">
  <si>
    <t>ORDEN DE COMPRA</t>
  </si>
  <si>
    <t>PROVEEDOR</t>
  </si>
  <si>
    <t>MATERIAL OC</t>
  </si>
  <si>
    <t>REFERENCIA</t>
  </si>
  <si>
    <t>KILOS o METROS</t>
  </si>
  <si>
    <t>TIPO DE EMBARQUE</t>
  </si>
  <si>
    <t>PROFORMA No.</t>
  </si>
  <si>
    <t>FECHA PROFORMA</t>
  </si>
  <si>
    <t>FACTURA N°</t>
  </si>
  <si>
    <t>VALOR FACTURA USD O EUR</t>
  </si>
  <si>
    <t>FECHA FACTURA</t>
  </si>
  <si>
    <t>VALOR FOB USD SEGÚN DIM</t>
  </si>
  <si>
    <t>ETD</t>
  </si>
  <si>
    <t>TIEMPO DE TRANSITO</t>
  </si>
  <si>
    <t>ETA</t>
  </si>
  <si>
    <t>PUERTO DE LLEGADA</t>
  </si>
  <si>
    <t>FECHA DE LLEGADA A PLANTA</t>
  </si>
  <si>
    <t>FECHA ESTIMADA DE  PAGO</t>
  </si>
  <si>
    <t>FECHA DE  REAL DE PAGO</t>
  </si>
  <si>
    <t># BL</t>
  </si>
  <si>
    <t>FECHA DE BL</t>
  </si>
  <si>
    <t># DE FORMULARIO</t>
  </si>
  <si>
    <t># DECLARACION IMPORT</t>
  </si>
  <si>
    <t>FECHA DIM</t>
  </si>
  <si>
    <t>ESTADO</t>
  </si>
  <si>
    <t>XXX</t>
  </si>
  <si>
    <t>TRICON DRY CHEMICALS</t>
  </si>
  <si>
    <t>LLDPE</t>
  </si>
  <si>
    <t>218NJ</t>
  </si>
  <si>
    <t>1X40 HC</t>
  </si>
  <si>
    <t>XXXX</t>
  </si>
  <si>
    <t>CARTAGENA</t>
  </si>
  <si>
    <t>MSCUZX370241</t>
  </si>
  <si>
    <t>482019000013959</t>
  </si>
  <si>
    <t>TRAMITE TERMINADO</t>
  </si>
  <si>
    <t>OC-0801</t>
  </si>
  <si>
    <t>TOTAL QATAR</t>
  </si>
  <si>
    <t>LDPE LOTRENE F3000</t>
  </si>
  <si>
    <t>LOTRENE F3000</t>
  </si>
  <si>
    <t>1X40</t>
  </si>
  <si>
    <t>B/VENTURA</t>
  </si>
  <si>
    <t>MEDUDO007089</t>
  </si>
  <si>
    <t>352019000049398</t>
  </si>
  <si>
    <t xml:space="preserve">MLLDPE </t>
  </si>
  <si>
    <t>MARLEX D143</t>
  </si>
  <si>
    <t>NAM9211422</t>
  </si>
  <si>
    <t>482019000091249</t>
  </si>
  <si>
    <t>GI P DI GIOVANNI PORPORA</t>
  </si>
  <si>
    <t>REPUESTOS</t>
  </si>
  <si>
    <t>DK-1 BAR 1-RICAMBI</t>
  </si>
  <si>
    <t>UND</t>
  </si>
  <si>
    <t>DHL</t>
  </si>
  <si>
    <t>XX</t>
  </si>
  <si>
    <t>24A/25A</t>
  </si>
  <si>
    <t>MEDELLIN</t>
  </si>
  <si>
    <t>MLLDPE</t>
  </si>
  <si>
    <t>GLOBAL WELL LTD</t>
  </si>
  <si>
    <t>LINER</t>
  </si>
  <si>
    <t>LINER DE 15-19MM</t>
  </si>
  <si>
    <t>LCL</t>
  </si>
  <si>
    <t>12-04-18-04-01-19</t>
  </si>
  <si>
    <t>AMIGL180665504A</t>
  </si>
  <si>
    <t>352019000065027</t>
  </si>
  <si>
    <t>LDPE HP0323NN</t>
  </si>
  <si>
    <t>HPO323NN</t>
  </si>
  <si>
    <t>MSCUZX387666</t>
  </si>
  <si>
    <t>482019000100645</t>
  </si>
  <si>
    <t>SCO4181</t>
  </si>
  <si>
    <t>EMERAUDE INTERNATIONAL</t>
  </si>
  <si>
    <t>LDPE LLF2918E-LLF60917SZ</t>
  </si>
  <si>
    <t>ICO2290</t>
  </si>
  <si>
    <t>SLN153565</t>
  </si>
  <si>
    <t>482019000149607</t>
  </si>
  <si>
    <t>LLDPE LLF1018E</t>
  </si>
  <si>
    <t>LDPELF0319E</t>
  </si>
  <si>
    <t>SCO4180</t>
  </si>
  <si>
    <t>ICO2300</t>
  </si>
  <si>
    <t>SLN145035</t>
  </si>
  <si>
    <t>482019000173289</t>
  </si>
  <si>
    <t>CPA INTERNATIONAL</t>
  </si>
  <si>
    <t>1518HA MBX</t>
  </si>
  <si>
    <t>CTG20190120</t>
  </si>
  <si>
    <t>SMLU5568797A</t>
  </si>
  <si>
    <t>482019000218068</t>
  </si>
  <si>
    <t>SCO4182</t>
  </si>
  <si>
    <t>ICO2322</t>
  </si>
  <si>
    <t>SLN146187</t>
  </si>
  <si>
    <t>482019000246941</t>
  </si>
  <si>
    <t>TAMPERTECH</t>
  </si>
  <si>
    <t>CINTA ADHESIVA</t>
  </si>
  <si>
    <t>DR6543-4918-4919</t>
  </si>
  <si>
    <t>12926A</t>
  </si>
  <si>
    <t>abono</t>
  </si>
  <si>
    <t>25/04/2019-21/05/19-14/08/2019</t>
  </si>
  <si>
    <t>LONCTG19020961</t>
  </si>
  <si>
    <t>482019000252854</t>
  </si>
  <si>
    <t>LLDPE 218NJ</t>
  </si>
  <si>
    <t>MAEU581182935</t>
  </si>
  <si>
    <t>482019000230375</t>
  </si>
  <si>
    <t>SANYHOT ADHESIVOS</t>
  </si>
  <si>
    <t>EXP-3191</t>
  </si>
  <si>
    <t>PI 974</t>
  </si>
  <si>
    <t>BCN0108803</t>
  </si>
  <si>
    <t>482019000270005</t>
  </si>
  <si>
    <t>R000979007</t>
  </si>
  <si>
    <t>482019000347311</t>
  </si>
  <si>
    <t>NAM3458637</t>
  </si>
  <si>
    <t>482019000358582</t>
  </si>
  <si>
    <t>LF0318M</t>
  </si>
  <si>
    <t>SCO4510</t>
  </si>
  <si>
    <t>ICO2404</t>
  </si>
  <si>
    <t>MEDUBW898499</t>
  </si>
  <si>
    <t>482019000384197</t>
  </si>
  <si>
    <t>LLF60917SZ</t>
  </si>
  <si>
    <t>SCO138110</t>
  </si>
  <si>
    <t>ICO143498</t>
  </si>
  <si>
    <t>MEDUBW970140</t>
  </si>
  <si>
    <t>482019000385542</t>
  </si>
  <si>
    <t xml:space="preserve"> TAPE 28-38MM</t>
  </si>
  <si>
    <t>13474A</t>
  </si>
  <si>
    <t>00005924</t>
  </si>
  <si>
    <t>902019000115456</t>
  </si>
  <si>
    <t>LLDPE PLASTOMER 8102L</t>
  </si>
  <si>
    <t>PLASTOMER 8102L</t>
  </si>
  <si>
    <t>Z FRANCA</t>
  </si>
  <si>
    <t>ZF</t>
  </si>
  <si>
    <t>ABONO 247-22/08/2019</t>
  </si>
  <si>
    <t>SEL0651312</t>
  </si>
  <si>
    <t>482019000412451</t>
  </si>
  <si>
    <t>ATOM GROUP</t>
  </si>
  <si>
    <t>REPUESTOS MAQ IMPRESORA</t>
  </si>
  <si>
    <t>AEREO</t>
  </si>
  <si>
    <t>19/003</t>
  </si>
  <si>
    <t>902019000118829</t>
  </si>
  <si>
    <t>ICO143792</t>
  </si>
  <si>
    <t>MEDUBK208768</t>
  </si>
  <si>
    <t>482019000432413</t>
  </si>
  <si>
    <t>20011213-2</t>
  </si>
  <si>
    <t>NAM3478975</t>
  </si>
  <si>
    <t>482019000427056</t>
  </si>
  <si>
    <t>LINER DE 19MM</t>
  </si>
  <si>
    <t>PI/190405</t>
  </si>
  <si>
    <t>AMIGL190173713A</t>
  </si>
  <si>
    <t>352019000276126</t>
  </si>
  <si>
    <t>LF0319E</t>
  </si>
  <si>
    <t>ICO143886</t>
  </si>
  <si>
    <t>MEDUBK280726</t>
  </si>
  <si>
    <t>482019000455374</t>
  </si>
  <si>
    <t>ICO144026</t>
  </si>
  <si>
    <t>MEDUBK367234</t>
  </si>
  <si>
    <t>482019000473039</t>
  </si>
  <si>
    <t>LLF60917NE</t>
  </si>
  <si>
    <t>ICO144366</t>
  </si>
  <si>
    <t>MEDUBK583210</t>
  </si>
  <si>
    <t>482019000523041</t>
  </si>
  <si>
    <t>4818-4819-6395</t>
  </si>
  <si>
    <t>13598A</t>
  </si>
  <si>
    <t>3EB19060189</t>
  </si>
  <si>
    <t>482019000528414</t>
  </si>
  <si>
    <t>ZEISER</t>
  </si>
  <si>
    <t>CABEZAL DE IMPRESIÓN</t>
  </si>
  <si>
    <t>OMEGA 36I DOD INK JET SYSTEM</t>
  </si>
  <si>
    <t>22/05/19-3/07/2019</t>
  </si>
  <si>
    <t>DWF00148163</t>
  </si>
  <si>
    <t>902019000147666</t>
  </si>
  <si>
    <t>GRAPT TECH</t>
  </si>
  <si>
    <t>SISTEMA DE IMPRESIÓN</t>
  </si>
  <si>
    <t>21-22/07/19</t>
  </si>
  <si>
    <t>KGL750578-1</t>
  </si>
  <si>
    <t>902019000148544</t>
  </si>
  <si>
    <t>CONECTORES</t>
  </si>
  <si>
    <t>19/004</t>
  </si>
  <si>
    <t>9481737532 DHL</t>
  </si>
  <si>
    <t>LLDPE 118NJ</t>
  </si>
  <si>
    <t>MAEUR0128891</t>
  </si>
  <si>
    <t>LF0318M-LLF60917NE</t>
  </si>
  <si>
    <t>SCO139074</t>
  </si>
  <si>
    <t>ICO144705</t>
  </si>
  <si>
    <t>MEDUBK762699</t>
  </si>
  <si>
    <t>1x20</t>
  </si>
  <si>
    <t>13659A</t>
  </si>
  <si>
    <t>Abono usd$29,000-16/10/19 USD$40000 06/11/2019 USD$57905 22/11/2019</t>
  </si>
  <si>
    <t>2EB19070043</t>
  </si>
  <si>
    <t>09/08/20019</t>
  </si>
  <si>
    <t>LINEAL HEXENO</t>
  </si>
  <si>
    <t>LLDPE LLF60917SZ</t>
  </si>
  <si>
    <t>SCO139127</t>
  </si>
  <si>
    <t>ICO145057</t>
  </si>
  <si>
    <t>MEDUKB055680</t>
  </si>
  <si>
    <t>HEAVY DUTY</t>
  </si>
  <si>
    <t>LDPE LF0319E</t>
  </si>
  <si>
    <t>SCO139126</t>
  </si>
  <si>
    <t>ICO144846</t>
  </si>
  <si>
    <t>MEDUBK942093</t>
  </si>
  <si>
    <t>LINER 19MM</t>
  </si>
  <si>
    <t>AMIGL1903033122A</t>
  </si>
  <si>
    <t>SCAE</t>
  </si>
  <si>
    <t>PRESELLADOR</t>
  </si>
  <si>
    <t>1x40</t>
  </si>
  <si>
    <t>NAM3538179</t>
  </si>
  <si>
    <t>MEDUKB059922</t>
  </si>
  <si>
    <t>LOPAREX INDIAPVT</t>
  </si>
  <si>
    <t>SCO139475</t>
  </si>
  <si>
    <t>ICO145085</t>
  </si>
  <si>
    <t>MEDUKB155613</t>
  </si>
  <si>
    <t>LINEAL BUTENO</t>
  </si>
  <si>
    <t>118NJ</t>
  </si>
  <si>
    <t>RO1420621</t>
  </si>
  <si>
    <t>ADHESIVO HOTMEL</t>
  </si>
  <si>
    <t>VX-3191 P900F</t>
  </si>
  <si>
    <t>190403422/0403</t>
  </si>
  <si>
    <t>liner</t>
  </si>
  <si>
    <t>XL-23 CINTA SILICONADA</t>
  </si>
  <si>
    <t>EXP/088/19-20</t>
  </si>
  <si>
    <t>09/09/20019</t>
  </si>
  <si>
    <t>ANTICIPADO</t>
  </si>
  <si>
    <t>TSLP01093</t>
  </si>
  <si>
    <t xml:space="preserve"> 20/09/2019</t>
  </si>
  <si>
    <t>ICD AMERICA LLC</t>
  </si>
  <si>
    <t>LDPE NA 940000</t>
  </si>
  <si>
    <t>USD22162,50</t>
  </si>
  <si>
    <t>MEDUBX465843</t>
  </si>
  <si>
    <t>SJA FILM TECHNOLOGIES LTD</t>
  </si>
  <si>
    <t>CINTA SILICONADA</t>
  </si>
  <si>
    <t>TILCTGJ02573</t>
  </si>
  <si>
    <t>MEDUBX240469</t>
  </si>
  <si>
    <t>SUDU29001AJ2T4D2</t>
  </si>
  <si>
    <t>C-SEGURIDAD DR6937</t>
  </si>
  <si>
    <t>C-SEGURIDAD DR6937 ORANGE</t>
  </si>
  <si>
    <t>17/09/20019</t>
  </si>
  <si>
    <t>14190A</t>
  </si>
  <si>
    <t>USD8014,65</t>
  </si>
  <si>
    <t>AE-006586</t>
  </si>
  <si>
    <t>MMLDPE</t>
  </si>
  <si>
    <t>USD20218</t>
  </si>
  <si>
    <t>NAM9236250</t>
  </si>
  <si>
    <t>VINMAR OVERSEAS</t>
  </si>
  <si>
    <t>NA 940000</t>
  </si>
  <si>
    <t>MEDUBX866479</t>
  </si>
  <si>
    <t>SC0140719</t>
  </si>
  <si>
    <t>ICO146537</t>
  </si>
  <si>
    <t>CINTA RESELLABLE</t>
  </si>
  <si>
    <t>CINTA RESELLABLE BR-15740R</t>
  </si>
  <si>
    <t>AMIGL190482842A</t>
  </si>
  <si>
    <t>NA 204000(940000)</t>
  </si>
  <si>
    <t>CO-4867-19</t>
  </si>
  <si>
    <t>MEDUBX944854</t>
  </si>
  <si>
    <t>POLIETILENO METALOCENO</t>
  </si>
  <si>
    <t>2X40</t>
  </si>
  <si>
    <t>TURBO</t>
  </si>
  <si>
    <t>NAM9236917</t>
  </si>
  <si>
    <t>1046/2019</t>
  </si>
  <si>
    <t>EXP/117/19-20</t>
  </si>
  <si>
    <t>TSLPL01171</t>
  </si>
  <si>
    <t>sco140720</t>
  </si>
  <si>
    <t>ICO146743</t>
  </si>
  <si>
    <t>MEDUB961452</t>
  </si>
  <si>
    <t>ATLANTIC ZEISER</t>
  </si>
  <si>
    <t>ARRGELO CABEZAL</t>
  </si>
  <si>
    <t>ANTICIPIO</t>
  </si>
  <si>
    <t>A868390</t>
  </si>
  <si>
    <t>CANCELADO</t>
  </si>
  <si>
    <t>8AX8646</t>
  </si>
  <si>
    <t>PI-EXP/1046/2019</t>
  </si>
  <si>
    <t>EXP 180/19-20</t>
  </si>
  <si>
    <t>GRAPH TECH USA LLC</t>
  </si>
  <si>
    <t>CABEZAL EN GARANTIA</t>
  </si>
  <si>
    <t>POLIETILENO HEAVY DUTY</t>
  </si>
  <si>
    <t>LDF02919Y</t>
  </si>
  <si>
    <t>NAM9245173</t>
  </si>
  <si>
    <t>Valor pagado 21501 Diferencia  Nc 7157$565,5</t>
  </si>
  <si>
    <t>POLIETILENO HEXENO SIN A</t>
  </si>
  <si>
    <t>LLF20826NE</t>
  </si>
  <si>
    <t>SCO141483</t>
  </si>
  <si>
    <t>ICO147432</t>
  </si>
  <si>
    <t>MEDUKB916022</t>
  </si>
  <si>
    <t>POLIETILENO HEXENO CON A</t>
  </si>
  <si>
    <t>LLF61017HS</t>
  </si>
  <si>
    <t>SCO141484</t>
  </si>
  <si>
    <t>ICO147546</t>
  </si>
  <si>
    <t>MEDUUS062500</t>
  </si>
  <si>
    <t>P.I1071</t>
  </si>
  <si>
    <t>MAREX D143</t>
  </si>
  <si>
    <t>MEDUUS114293</t>
  </si>
  <si>
    <t>can USD 20,687</t>
  </si>
  <si>
    <t>REPOSICION</t>
  </si>
  <si>
    <t>EXP/154/19/20</t>
  </si>
  <si>
    <t>CONTADO</t>
  </si>
  <si>
    <t>TSLPL1254</t>
  </si>
  <si>
    <t>EXO/202/19-20</t>
  </si>
  <si>
    <t>TSLP1428</t>
  </si>
  <si>
    <t>GP SRL</t>
  </si>
  <si>
    <t>REPUESTOS ELECTRICOS</t>
  </si>
  <si>
    <t>18 UDS</t>
  </si>
  <si>
    <t>25/A</t>
  </si>
  <si>
    <t>ANTICIPO</t>
  </si>
  <si>
    <t>92020000041736    902020000041755</t>
  </si>
  <si>
    <t>REPUESTOS SELLADORAS</t>
  </si>
  <si>
    <t>VARIOS</t>
  </si>
  <si>
    <t>032020000376733  032020000376771</t>
  </si>
  <si>
    <t>CINTAS</t>
  </si>
  <si>
    <t>6543-6395-4918-4919</t>
  </si>
  <si>
    <t>2,164,500</t>
  </si>
  <si>
    <t>1X20</t>
  </si>
  <si>
    <t>1468A</t>
  </si>
  <si>
    <t>ABONO  USD 40,000</t>
  </si>
  <si>
    <t>IGL-S-EXPJ46583</t>
  </si>
  <si>
    <t>POLIETLENO HEAVY DUTY</t>
  </si>
  <si>
    <t>SCO141618</t>
  </si>
  <si>
    <t>ICO147778</t>
  </si>
  <si>
    <t>MEDUUS201488</t>
  </si>
  <si>
    <t>SCO142039</t>
  </si>
  <si>
    <t>ICO147902</t>
  </si>
  <si>
    <t>MEDUUS335948</t>
  </si>
  <si>
    <t>POLIETILENO</t>
  </si>
  <si>
    <t>LF039E-LF0822E-LLF60826NE</t>
  </si>
  <si>
    <t>SCO142068</t>
  </si>
  <si>
    <t>ICO147903</t>
  </si>
  <si>
    <t>MEDUUS83732</t>
  </si>
  <si>
    <t>412020000005833   412020000005834</t>
  </si>
  <si>
    <t>MAREX D143FK</t>
  </si>
  <si>
    <t>SO 20017689</t>
  </si>
  <si>
    <t>SMLU6090929A</t>
  </si>
  <si>
    <t>BARRA SELLADORA</t>
  </si>
  <si>
    <t>SELLADOR</t>
  </si>
  <si>
    <t>POLIETULENO LINEAL</t>
  </si>
  <si>
    <t>POLIETILENO LINEAL LLF60826NE</t>
  </si>
  <si>
    <t>SCO142069</t>
  </si>
  <si>
    <t>ICO148318</t>
  </si>
  <si>
    <t>CABEZA OMEGA 36I</t>
  </si>
  <si>
    <t>SCO142257</t>
  </si>
  <si>
    <t>ICO148389</t>
  </si>
  <si>
    <t>MEDUUS624721</t>
  </si>
  <si>
    <t>MEDUUS729850</t>
  </si>
  <si>
    <t>PENDIENTE PAGO</t>
  </si>
  <si>
    <t>BR15740R</t>
  </si>
  <si>
    <t>180 ROLLOS</t>
  </si>
  <si>
    <t>AMIGL200099726A</t>
  </si>
  <si>
    <t>PI/EXP/1046/2016</t>
  </si>
  <si>
    <t>EXP/230/19-20</t>
  </si>
  <si>
    <t>PTE</t>
  </si>
  <si>
    <t>TSLP1483</t>
  </si>
  <si>
    <t>EN REVISIÓN</t>
  </si>
  <si>
    <t>GLOBAL PLASTIC</t>
  </si>
  <si>
    <t>L03920B</t>
  </si>
  <si>
    <t>AYU0433717</t>
  </si>
  <si>
    <t>ADHESIVO  HOTMEL</t>
  </si>
  <si>
    <t xml:space="preserve">VX-3191 </t>
  </si>
  <si>
    <t>PROFORMA 1102</t>
  </si>
  <si>
    <t>AYU0434236</t>
  </si>
  <si>
    <t>SMLU613992A</t>
  </si>
  <si>
    <t>PI/EXP71046/2019</t>
  </si>
  <si>
    <t>EXP/023/20-21</t>
  </si>
  <si>
    <t>tslpl1554</t>
  </si>
  <si>
    <t>POLIETILENO LINEAL LF0319E</t>
  </si>
  <si>
    <t>SCO143566</t>
  </si>
  <si>
    <t>ICO149825</t>
  </si>
  <si>
    <t>CINTA DE SEGURIDAD</t>
  </si>
  <si>
    <t xml:space="preserve">AEREO </t>
  </si>
  <si>
    <t>15130A/AIR</t>
  </si>
  <si>
    <t>18/04/2020</t>
  </si>
  <si>
    <t>22/05/2020</t>
  </si>
  <si>
    <t>RIONEGRO</t>
  </si>
  <si>
    <t>AE006954</t>
  </si>
  <si>
    <t>MARITIMO</t>
  </si>
  <si>
    <t>15130A/SEA</t>
  </si>
  <si>
    <t>20/04/2020</t>
  </si>
  <si>
    <t>24/06/2020</t>
  </si>
  <si>
    <t>LON/CTG/02966</t>
  </si>
  <si>
    <t>30/06/2020</t>
  </si>
  <si>
    <t>POLIETILINO LINEAL</t>
  </si>
  <si>
    <t>LLB1918AS-V</t>
  </si>
  <si>
    <t>15/06/2020</t>
  </si>
  <si>
    <t>28/08/2020</t>
  </si>
  <si>
    <t>SMLU6139278A</t>
  </si>
  <si>
    <t>20/05/2020</t>
  </si>
  <si>
    <t>23/05/2020</t>
  </si>
  <si>
    <t>SMLU6152672A</t>
  </si>
  <si>
    <t>16/06/2020</t>
  </si>
  <si>
    <t>18/06/20200</t>
  </si>
  <si>
    <t>23/06/2020</t>
  </si>
  <si>
    <t>032020000745812</t>
  </si>
  <si>
    <t>PI/EXP/1046/2019</t>
  </si>
  <si>
    <t>EXP/048/20-21</t>
  </si>
  <si>
    <t>29/05/2020</t>
  </si>
  <si>
    <t>29/07/2020</t>
  </si>
  <si>
    <t>TSLPL1600</t>
  </si>
  <si>
    <t>CABEZAL</t>
  </si>
  <si>
    <t>20/07/2020</t>
  </si>
  <si>
    <t>25/07/2020</t>
  </si>
  <si>
    <t>16/07/2020</t>
  </si>
  <si>
    <t>CSBT-DR4918 // DR 4563</t>
  </si>
  <si>
    <t>17/07/2020</t>
  </si>
  <si>
    <t>30/08/2020</t>
  </si>
  <si>
    <t xml:space="preserve"> LON/CTG/03022 </t>
  </si>
  <si>
    <t>PROFORMA 1119</t>
  </si>
  <si>
    <t>27/07/2020</t>
  </si>
  <si>
    <t>POLIETILENO HEAVY DUTY LF0219T</t>
  </si>
  <si>
    <t>SCO143831</t>
  </si>
  <si>
    <t>ICO150527</t>
  </si>
  <si>
    <t>POLIETILENO HEAVY DUTY LF0319E</t>
  </si>
  <si>
    <t>SCO144099</t>
  </si>
  <si>
    <t>28/07/2020</t>
  </si>
  <si>
    <t xml:space="preserve"> ICO150577</t>
  </si>
  <si>
    <t>POLIETILENO HEXENO</t>
  </si>
  <si>
    <t>POLIETILENO HEXENO LLF61019T</t>
  </si>
  <si>
    <t>SCO144103</t>
  </si>
  <si>
    <t>ICO150717</t>
  </si>
  <si>
    <t>POLIETILENO LINEAL</t>
  </si>
  <si>
    <t>SMLU32051A</t>
  </si>
  <si>
    <t>MUEHLSTEIN</t>
  </si>
  <si>
    <t>POLIETIENO LINEAL LLHF-118A</t>
  </si>
  <si>
    <t>52C-1026</t>
  </si>
  <si>
    <t>SMLU6231025A</t>
  </si>
  <si>
    <t>TEXT YEAR CHINA</t>
  </si>
  <si>
    <t>HOTMEL</t>
  </si>
  <si>
    <t>Pan200827-1</t>
  </si>
  <si>
    <t>PO2EI002</t>
  </si>
  <si>
    <t>B/TURA</t>
  </si>
  <si>
    <t>HUPDLC20090084</t>
  </si>
  <si>
    <t>CINTA DE SEGURIDAD AZUL 30MM</t>
  </si>
  <si>
    <t>15558A</t>
  </si>
  <si>
    <t>LON/CTG/03061</t>
  </si>
  <si>
    <t>6237945-a</t>
  </si>
  <si>
    <t>200402932/0401</t>
  </si>
  <si>
    <t>LLF61112Z</t>
  </si>
  <si>
    <t>SCO144210</t>
  </si>
  <si>
    <t>ICO151008</t>
  </si>
  <si>
    <t>SCO144211</t>
  </si>
  <si>
    <t>ICO151576</t>
  </si>
  <si>
    <t>SCO144601</t>
  </si>
  <si>
    <t>ICO151301</t>
  </si>
  <si>
    <t>LLF1119HH</t>
  </si>
  <si>
    <t>SCO144608</t>
  </si>
  <si>
    <t>ICO151302</t>
  </si>
  <si>
    <t>LLF2818Z</t>
  </si>
  <si>
    <t>SCO144609</t>
  </si>
  <si>
    <t>ICO151578</t>
  </si>
  <si>
    <t>SCO144603</t>
  </si>
  <si>
    <t>ICO151360</t>
  </si>
  <si>
    <t>SUPER HEXENO</t>
  </si>
  <si>
    <t>LF0824M</t>
  </si>
  <si>
    <t>SCO144604</t>
  </si>
  <si>
    <t>ICO151362</t>
  </si>
  <si>
    <t>LLF1019T</t>
  </si>
  <si>
    <t>SCO144607</t>
  </si>
  <si>
    <t>ICO 151363</t>
  </si>
  <si>
    <t>412020000015055
412020000015056</t>
  </si>
  <si>
    <t>HEXENO</t>
  </si>
  <si>
    <t>LLF61019T</t>
  </si>
  <si>
    <t>LF0619M</t>
  </si>
  <si>
    <t>LLF1918NE</t>
  </si>
  <si>
    <t>ELPA CONVERTING</t>
  </si>
  <si>
    <t>BOGOTA</t>
  </si>
  <si>
    <t>100% ANTICIPADO</t>
  </si>
  <si>
    <t>GUIA 397107547055</t>
  </si>
  <si>
    <t>032020001169854
032020001169851
032020001169852
032020001169855</t>
  </si>
  <si>
    <t xml:space="preserve">AMUTEC SRL con Socio Unico </t>
  </si>
  <si>
    <t>FP 000106</t>
  </si>
  <si>
    <t>IT00454</t>
  </si>
  <si>
    <t>06/10/2020 -usd$ 1061, SE DEBE AL PROVEEDOR EUR 177</t>
  </si>
  <si>
    <t>N/A.
PEDIDO POR ENVIOS POSTALES Y/O URGENTES</t>
  </si>
  <si>
    <t>PENDIENTE PAGO DE EUR$ 177</t>
  </si>
  <si>
    <t>MARIN BRASIL</t>
  </si>
  <si>
    <t>MAQUINA</t>
  </si>
  <si>
    <t>MARIN 20201302-034 Rev.03</t>
  </si>
  <si>
    <t>MARIN20201302-034 REV.03</t>
  </si>
  <si>
    <t>5/10/2020 - 50%
16/12/2020 - 40%</t>
  </si>
  <si>
    <t>40% CONTRA ENTREGA - 10% FUNCIONANDO</t>
  </si>
  <si>
    <t>SSZ00231220CTG</t>
  </si>
  <si>
    <t>PRONATEC BRASIL</t>
  </si>
  <si>
    <t>No. 039846</t>
  </si>
  <si>
    <t>29/09/2020 - 50%</t>
  </si>
  <si>
    <t>PTE 50% RESTANTE</t>
  </si>
  <si>
    <t>SNETOR</t>
  </si>
  <si>
    <t>REPSOL PE033</t>
  </si>
  <si>
    <t>MEDUBC979722</t>
  </si>
  <si>
    <t>REPSOL ALCUDIA 2203F</t>
  </si>
  <si>
    <t>MEDUV2492738</t>
  </si>
  <si>
    <t>Shanghai Boing Technology</t>
  </si>
  <si>
    <t xml:space="preserve">LABELS </t>
  </si>
  <si>
    <t>PTE. ENTREGA MATERIAL PROVEEDOR</t>
  </si>
  <si>
    <t>4/11/2020 - 100%</t>
  </si>
  <si>
    <t>AMIGL200525509A</t>
  </si>
  <si>
    <t>EXP/104/20-21</t>
  </si>
  <si>
    <t>TSLPL1820</t>
  </si>
  <si>
    <t>FCL</t>
  </si>
  <si>
    <t>SCO145780</t>
  </si>
  <si>
    <t>ICO152789</t>
  </si>
  <si>
    <t>MEDUA8601224</t>
  </si>
  <si>
    <t>BUTENO</t>
  </si>
  <si>
    <t>MEDUA8249487</t>
  </si>
  <si>
    <t>POLIETILENO HEAVY DUTY FE3000</t>
  </si>
  <si>
    <t>GP111220MR2</t>
  </si>
  <si>
    <t>11/20/2020</t>
  </si>
  <si>
    <t>POLIETILENO LINEAL BUTENO B1918B SIN ADITIVO</t>
  </si>
  <si>
    <t>GP110920MR3</t>
  </si>
  <si>
    <t>NAM9309557</t>
  </si>
  <si>
    <t>NOVAFLEX</t>
  </si>
  <si>
    <t>MANGAS</t>
  </si>
  <si>
    <t>REPUESTOS MANTENIMENTO</t>
  </si>
  <si>
    <t>AN-0020201008-01.3</t>
  </si>
  <si>
    <t>JWE20210224-AC</t>
  </si>
  <si>
    <t>ANTICIPO 100%</t>
  </si>
  <si>
    <t>VLSRTM59946</t>
  </si>
  <si>
    <t>MERCANCIA EN TRANSITO</t>
  </si>
  <si>
    <t>OC - 22</t>
  </si>
  <si>
    <t>BELL PACK</t>
  </si>
  <si>
    <t>PACKING SLIP</t>
  </si>
  <si>
    <t>W0153605</t>
  </si>
  <si>
    <t>02/01/201</t>
  </si>
  <si>
    <t>OC - 23</t>
  </si>
  <si>
    <t>W0153608</t>
  </si>
  <si>
    <t>MIA/CTG/D09889</t>
  </si>
  <si>
    <t xml:space="preserve">	POLIETILENO LINEAL BUTENO B1918B SIN ADITIVO</t>
  </si>
  <si>
    <t>ONEYRICANY651900</t>
  </si>
  <si>
    <t>SCO146372</t>
  </si>
  <si>
    <t>ICO153127</t>
  </si>
  <si>
    <t>18/01/2021</t>
  </si>
  <si>
    <t>16/01/2021</t>
  </si>
  <si>
    <t>20/01/2021</t>
  </si>
  <si>
    <t>16/05/2021</t>
  </si>
  <si>
    <t>MEDUA8828199</t>
  </si>
  <si>
    <t>28/01/2021</t>
  </si>
  <si>
    <t>POLIETILENO HEXENO ADITIVADO LLF1118HH</t>
  </si>
  <si>
    <t>SCO146371</t>
  </si>
  <si>
    <t>ICO153184</t>
  </si>
  <si>
    <t>MEDUA8933650</t>
  </si>
  <si>
    <t>PTE. PAGO</t>
  </si>
  <si>
    <t>LINNER</t>
  </si>
  <si>
    <t>LINNER 19MM</t>
  </si>
  <si>
    <t>LON/CTG/03170</t>
  </si>
  <si>
    <t>16026a</t>
  </si>
  <si>
    <t xml:space="preserve">PENDIENTE ENTREGA DEL MATERIAL </t>
  </si>
  <si>
    <t>SMLU6461558A</t>
  </si>
  <si>
    <t>BUTENO SIN ADITIVO</t>
  </si>
  <si>
    <t>SCO146850</t>
  </si>
  <si>
    <t>ICO153649</t>
  </si>
  <si>
    <t>NAM4267621</t>
  </si>
  <si>
    <t>POLIETILENO HEAVY DUTY LF0220M</t>
  </si>
  <si>
    <t>SCO147311</t>
  </si>
  <si>
    <t>ICO154546</t>
  </si>
  <si>
    <t>MEDUUZ855302</t>
  </si>
  <si>
    <t>SCO147310</t>
  </si>
  <si>
    <t>ICO154313</t>
  </si>
  <si>
    <t>MEDUUZ564458</t>
  </si>
  <si>
    <t>POLIETILENO HEXENO LLF61022N SIN ADITIVO</t>
  </si>
  <si>
    <t>SCO147295</t>
  </si>
  <si>
    <t>ICO154069</t>
  </si>
  <si>
    <t>MEDUUZ563963</t>
  </si>
  <si>
    <t>SCO147296</t>
  </si>
  <si>
    <t>ICO154582</t>
  </si>
  <si>
    <t>MEDUUZ855534</t>
  </si>
  <si>
    <t>POLIETILENO BUTENO 42009H SIN ADITIVO</t>
  </si>
  <si>
    <t>SCO147360</t>
  </si>
  <si>
    <t>ICO154002</t>
  </si>
  <si>
    <t>MEDUUZ563955</t>
  </si>
  <si>
    <t>POLIETILENO BUTENO Q1018H  ADITIVADO</t>
  </si>
  <si>
    <t>MEDUDO0171034</t>
  </si>
  <si>
    <t>POLIETILENO HEAVY DUTY LOTRENE FE3000</t>
  </si>
  <si>
    <t>MEDUDO0170119</t>
  </si>
  <si>
    <t>MAY 05 2021</t>
  </si>
  <si>
    <t>POLIETILENO BUTENO Q1018N SIN ADITIVO</t>
  </si>
  <si>
    <t>MEDUDO0180308</t>
  </si>
  <si>
    <t>MEDUDO0180779</t>
  </si>
  <si>
    <t>FP 000223</t>
  </si>
  <si>
    <t>IT  000233</t>
  </si>
  <si>
    <t>OC - 26</t>
  </si>
  <si>
    <t>W0154280</t>
  </si>
  <si>
    <t>MIA/CTG/D09941</t>
  </si>
  <si>
    <t>MAN/CTG/03188</t>
  </si>
  <si>
    <t>CONVENCIONES</t>
  </si>
  <si>
    <t>OBSERVACIÓN</t>
  </si>
  <si>
    <t>COLOR</t>
  </si>
  <si>
    <t>VERDE</t>
  </si>
  <si>
    <t>NARANJA</t>
  </si>
  <si>
    <t>AMARILLO</t>
  </si>
  <si>
    <t>ROJO</t>
  </si>
  <si>
    <t>AZÚL</t>
  </si>
  <si>
    <t>CLIENTE</t>
  </si>
  <si>
    <t>VENCE</t>
  </si>
  <si>
    <t>VALOR FACTURA USD</t>
  </si>
  <si>
    <t>FLETE + SEGURO</t>
  </si>
  <si>
    <t>VR FOB O CIF</t>
  </si>
  <si>
    <t># BL/GUIA</t>
  </si>
  <si>
    <t xml:space="preserve">FECHA </t>
  </si>
  <si>
    <t># DEX</t>
  </si>
  <si>
    <t>FECHA DEX</t>
  </si>
  <si>
    <t>PAGO</t>
  </si>
  <si>
    <t>FECHA DE PAGO</t>
  </si>
  <si>
    <t>COMENTARIOS</t>
  </si>
  <si>
    <t>HERMES TRANSPORTES BLINDADOS</t>
  </si>
  <si>
    <t>MERCANCIA VENDIDA EN PERU</t>
  </si>
  <si>
    <t>SI</t>
  </si>
  <si>
    <t>ACYCIA CORP</t>
  </si>
  <si>
    <t>ABONO</t>
  </si>
  <si>
    <t>FE318</t>
  </si>
  <si>
    <t>BRINKS PANAMA S.A</t>
  </si>
  <si>
    <t>230-99038413</t>
  </si>
  <si>
    <t>6007639549433</t>
  </si>
  <si>
    <t>THE OFFICE AUTORITY LIMITED</t>
  </si>
  <si>
    <t>COL190152</t>
  </si>
  <si>
    <t>27/03/2019-15/04/19</t>
  </si>
  <si>
    <t>SMLU5548121A</t>
  </si>
  <si>
    <t>6007640431726</t>
  </si>
  <si>
    <t>MOTTA INTERATIONAL SA</t>
  </si>
  <si>
    <t>BOG125383</t>
  </si>
  <si>
    <t>COPA AIRLINES</t>
  </si>
  <si>
    <t>230-99237250</t>
  </si>
  <si>
    <t>6007640745105</t>
  </si>
  <si>
    <t>BRINKS ARGENTINA</t>
  </si>
  <si>
    <t>CTGBUE192802</t>
  </si>
  <si>
    <t>6007642194086</t>
  </si>
  <si>
    <t>COSU80177585860</t>
  </si>
  <si>
    <t>6007641778711</t>
  </si>
  <si>
    <t>230-99237283</t>
  </si>
  <si>
    <t>6007641695824</t>
  </si>
  <si>
    <t>QUALITY GRAINS SA DE CV</t>
  </si>
  <si>
    <t>774720447181 FEDEX</t>
  </si>
  <si>
    <t>FEDEX</t>
  </si>
  <si>
    <t>COSU8017765770</t>
  </si>
  <si>
    <t>6007642974791</t>
  </si>
  <si>
    <t>SMLU5628060A</t>
  </si>
  <si>
    <t>ABONO 10,000</t>
  </si>
  <si>
    <t>NPD GLOBAL SUPPLIERS ECUADOR</t>
  </si>
  <si>
    <t>NPD GLOBAL SUPPLIERS PERÚ</t>
  </si>
  <si>
    <t>FLINK SAC</t>
  </si>
  <si>
    <t>TITADSU ECUADOR</t>
  </si>
  <si>
    <t>CO0000835</t>
  </si>
  <si>
    <t>TITADSU PERÚ</t>
  </si>
  <si>
    <t>CTGBUE192305</t>
  </si>
  <si>
    <t>6007645903316</t>
  </si>
  <si>
    <t>EMPRESA DE TRANSPORTEDE VALORES E.T.V S.A</t>
  </si>
  <si>
    <t>SPEED SECURITY GROUP NV</t>
  </si>
  <si>
    <t>ENCRYPTA</t>
  </si>
  <si>
    <t>NPD ECUADOR</t>
  </si>
  <si>
    <t>COPA</t>
  </si>
  <si>
    <t>COSU8017779870</t>
  </si>
  <si>
    <t>COSU8017777260</t>
  </si>
  <si>
    <t>GIJON PARAGUAY</t>
  </si>
  <si>
    <t>KFSM-2017</t>
  </si>
  <si>
    <t>SI 22772</t>
  </si>
  <si>
    <t>BRINKS CHILE S.A.</t>
  </si>
  <si>
    <t>230-99615784</t>
  </si>
  <si>
    <t>DOMESA ARUBA</t>
  </si>
  <si>
    <t>CTGAUA1908001</t>
  </si>
  <si>
    <t>PANAMERICANA PROTECTIVE  SERVICE SAIN M.</t>
  </si>
  <si>
    <t>COL1908558</t>
  </si>
  <si>
    <t>SERVICIO PANAMERICANO DE PROTECCION CURACAO</t>
  </si>
  <si>
    <t>CTG201912630</t>
  </si>
  <si>
    <t>KFSM-2016</t>
  </si>
  <si>
    <t>PRESERVE EL SALVADOR , SOCIEDAD ANONIMA</t>
  </si>
  <si>
    <t>254-00310026</t>
  </si>
  <si>
    <t>729-61524713</t>
  </si>
  <si>
    <t>FARMACEUTICOS Y CONEXOS (FORCOSA)</t>
  </si>
  <si>
    <t>230-99615821</t>
  </si>
  <si>
    <t>SOCIEDAD PROTECTORA DEL NIÑO</t>
  </si>
  <si>
    <t>230-99616381</t>
  </si>
  <si>
    <t>INSTITUTOMIXTO DE AYUDA SOCIAL</t>
  </si>
  <si>
    <t>230-99615725</t>
  </si>
  <si>
    <t>230-99616403</t>
  </si>
  <si>
    <t>230-99616440</t>
  </si>
  <si>
    <t>FALTA DEX O GUIA</t>
  </si>
  <si>
    <t>TITADSU S.A</t>
  </si>
  <si>
    <t>USD O</t>
  </si>
  <si>
    <t>CO-CO0000946</t>
  </si>
  <si>
    <t>USD1950</t>
  </si>
  <si>
    <t>230-60179140</t>
  </si>
  <si>
    <t>ZEISER GMBH</t>
  </si>
  <si>
    <t>USD1</t>
  </si>
  <si>
    <t>37-89845576</t>
  </si>
  <si>
    <t>RECLAMO GARANTIA  SIN VALOR COMERCIAL</t>
  </si>
  <si>
    <t>SMART SECURITY</t>
  </si>
  <si>
    <t>26/12/20119</t>
  </si>
  <si>
    <t>FFSM-19017</t>
  </si>
  <si>
    <t>KFSM-19018</t>
  </si>
  <si>
    <t>FE090</t>
  </si>
  <si>
    <t>230-60199173</t>
  </si>
  <si>
    <t>FE141</t>
  </si>
  <si>
    <t>PUERTO LIBRE INTERNACIONAL</t>
  </si>
  <si>
    <t>230-60199206</t>
  </si>
  <si>
    <t>FE145</t>
  </si>
  <si>
    <t>230-60179195</t>
  </si>
  <si>
    <t>FE298</t>
  </si>
  <si>
    <t>COSU8017793650</t>
  </si>
  <si>
    <t>FE316</t>
  </si>
  <si>
    <t>FE317</t>
  </si>
  <si>
    <t>FE421</t>
  </si>
  <si>
    <t>HLCUB02200117746</t>
  </si>
  <si>
    <t>FE451</t>
  </si>
  <si>
    <t>ORLYN SA.</t>
  </si>
  <si>
    <t>KFSM-20004</t>
  </si>
  <si>
    <t>FE452</t>
  </si>
  <si>
    <t>FE511</t>
  </si>
  <si>
    <t>USD34172</t>
  </si>
  <si>
    <t>FE526</t>
  </si>
  <si>
    <t>USD4682,12</t>
  </si>
  <si>
    <t>230-60179254</t>
  </si>
  <si>
    <t>FE545</t>
  </si>
  <si>
    <t xml:space="preserve"> 01/03/2020</t>
  </si>
  <si>
    <t>AWB-23060179276</t>
  </si>
  <si>
    <t>FE586</t>
  </si>
  <si>
    <t>230-60179302</t>
  </si>
  <si>
    <t>FE590</t>
  </si>
  <si>
    <t>KFSM-2095</t>
  </si>
  <si>
    <t>FE682</t>
  </si>
  <si>
    <t>AWB-179-90626071</t>
  </si>
  <si>
    <t>FE762</t>
  </si>
  <si>
    <t>230-60179335</t>
  </si>
  <si>
    <t>FE813</t>
  </si>
  <si>
    <t>179-90626546</t>
  </si>
  <si>
    <t>FE812</t>
  </si>
  <si>
    <t>FACTURA SIN VALOR COMERCIAL  SOLO PARA EFECTOS ADUANEROS</t>
  </si>
  <si>
    <t>FE848</t>
  </si>
  <si>
    <t>FE849</t>
  </si>
  <si>
    <t>FE1105</t>
  </si>
  <si>
    <t>AWB -230-60179361</t>
  </si>
  <si>
    <t>FE1136</t>
  </si>
  <si>
    <t>si</t>
  </si>
  <si>
    <t>ok</t>
  </si>
  <si>
    <t>FE1135</t>
  </si>
  <si>
    <t>FE1206</t>
  </si>
  <si>
    <t>FE1282</t>
  </si>
  <si>
    <t>FE1355</t>
  </si>
  <si>
    <t>FE1366</t>
  </si>
  <si>
    <t>NPD GLOBAL SUPPLIERS S.A</t>
  </si>
  <si>
    <t>AWB-729-63443133</t>
  </si>
  <si>
    <t>OK</t>
  </si>
  <si>
    <t>FE1368</t>
  </si>
  <si>
    <t>NATIONAL BEVELINGS GROEP</t>
  </si>
  <si>
    <t>FE1425</t>
  </si>
  <si>
    <t>FE1496</t>
  </si>
  <si>
    <t>AWB-179-90627552</t>
  </si>
  <si>
    <t>GLORY UNIVERSAL (ALFREDO MORENO)</t>
  </si>
  <si>
    <t>ANTICIPO FACTURADO EN MAYO</t>
  </si>
  <si>
    <t>FE1522</t>
  </si>
  <si>
    <t xml:space="preserve">ANTICIPO </t>
  </si>
  <si>
    <t>FE 2507</t>
  </si>
  <si>
    <t>KFSM-20022</t>
  </si>
  <si>
    <t>FE1660</t>
  </si>
  <si>
    <t>NPD GLOBAL SUPLIERS</t>
  </si>
  <si>
    <t>FE2931</t>
  </si>
  <si>
    <t>LFGEM0378-20</t>
  </si>
  <si>
    <t>FE3027</t>
  </si>
  <si>
    <t>SUDU20159AO8IZMU</t>
  </si>
  <si>
    <t>DEBE USD$114,14, cancelados el 17/12/2020</t>
  </si>
  <si>
    <t>FE3064</t>
  </si>
  <si>
    <t>SUDU20BOG015001X</t>
  </si>
  <si>
    <t>NO</t>
  </si>
  <si>
    <t>FE3122</t>
  </si>
  <si>
    <t>AWB 729-64085744</t>
  </si>
  <si>
    <t>FE3373</t>
  </si>
  <si>
    <t>21/07/2020</t>
  </si>
  <si>
    <t>COSU6270541220</t>
  </si>
  <si>
    <t>30/07/2020</t>
  </si>
  <si>
    <t>FE4280</t>
  </si>
  <si>
    <t>DOMESA ARUBA NV</t>
  </si>
  <si>
    <t>COL2008579-7</t>
  </si>
  <si>
    <t>FE4281</t>
  </si>
  <si>
    <t>SERVICIO PANAMERICANO DE PROTECCION</t>
  </si>
  <si>
    <t>COL2008579-8</t>
  </si>
  <si>
    <t>FE4282</t>
  </si>
  <si>
    <t>PANAMERICAN PROTECTIVE SERVICE</t>
  </si>
  <si>
    <t>COL2008579-6</t>
  </si>
  <si>
    <t>FE4305</t>
  </si>
  <si>
    <t>COSU6273488500</t>
  </si>
  <si>
    <t>FE4306</t>
  </si>
  <si>
    <t>AWB 111-10032724</t>
  </si>
  <si>
    <t>FE4781</t>
  </si>
  <si>
    <t>L993003280</t>
  </si>
  <si>
    <t>31/12/2020</t>
  </si>
  <si>
    <t>FE 4955</t>
  </si>
  <si>
    <t>LFGEM0402-20</t>
  </si>
  <si>
    <t>26/12/2020</t>
  </si>
  <si>
    <t>FE 5046</t>
  </si>
  <si>
    <t>Giesecke y Devrient de Mexico S.A de C.V.</t>
  </si>
  <si>
    <t>AWB 810-88526664</t>
  </si>
  <si>
    <t>PTE. TRAMITE DE EXPO</t>
  </si>
  <si>
    <t>FE 5061</t>
  </si>
  <si>
    <t>NPD GLOBAL SUPPLIERS PERU S.A.C</t>
  </si>
  <si>
    <t>AWB 729-64628874</t>
  </si>
  <si>
    <t>FE 5368</t>
  </si>
  <si>
    <t>CIFSA S.A. (PANAMA)</t>
  </si>
  <si>
    <t>BOG1230575</t>
  </si>
  <si>
    <t>FE 5502</t>
  </si>
  <si>
    <t>111-10032761</t>
  </si>
  <si>
    <t>FE 5724</t>
  </si>
  <si>
    <t>NPD GLOBAL SUPPLIERS S.A.</t>
  </si>
  <si>
    <t>COL2010735</t>
  </si>
  <si>
    <t>FE6199</t>
  </si>
  <si>
    <t>COCL1999787</t>
  </si>
  <si>
    <t>FE 6375</t>
  </si>
  <si>
    <t xml:space="preserve">543-18191073 </t>
  </si>
  <si>
    <t>FE 6580</t>
  </si>
  <si>
    <t>21/11/22020</t>
  </si>
  <si>
    <t>FE 6678</t>
  </si>
  <si>
    <t>CO11-20-11-00002</t>
  </si>
  <si>
    <t>FE 6758</t>
  </si>
  <si>
    <t>FE 6931</t>
  </si>
  <si>
    <t>3869516232</t>
  </si>
  <si>
    <t>N/A</t>
  </si>
  <si>
    <t>FE 6926</t>
  </si>
  <si>
    <t>GLORY UNIVERSAL PANAMA</t>
  </si>
  <si>
    <t>3352094071</t>
  </si>
  <si>
    <t>FE 7092</t>
  </si>
  <si>
    <t>FE 7874</t>
  </si>
  <si>
    <t xml:space="preserve">729-64689391 </t>
  </si>
  <si>
    <t>FE 7988</t>
  </si>
  <si>
    <t>TOYP 43</t>
  </si>
  <si>
    <t>FE 8151</t>
  </si>
  <si>
    <t>FE 8386</t>
  </si>
  <si>
    <t>543-18208400</t>
  </si>
  <si>
    <t>FE 8401</t>
  </si>
  <si>
    <t>CTG2101001</t>
  </si>
  <si>
    <t>FE 8643</t>
  </si>
  <si>
    <t>ONEYBOGB00194800</t>
  </si>
  <si>
    <t>FE 8877</t>
  </si>
  <si>
    <t>543-18208422</t>
  </si>
  <si>
    <t>FE 8925</t>
  </si>
  <si>
    <t>ONEYBOGB00688900</t>
  </si>
  <si>
    <t>FEB 03 2021</t>
  </si>
  <si>
    <t>FE 9090</t>
  </si>
  <si>
    <t>GONZALEZ ALZATE SOCIEDAD ANONIMA</t>
  </si>
  <si>
    <t>SF03670</t>
  </si>
  <si>
    <t>FE 9722</t>
  </si>
  <si>
    <t>179-90725600</t>
  </si>
  <si>
    <t>FE 9821</t>
  </si>
  <si>
    <t>CTGONX116062V</t>
  </si>
  <si>
    <t>FE 9820</t>
  </si>
  <si>
    <t>810-88540993</t>
  </si>
  <si>
    <t>FE 10040</t>
  </si>
  <si>
    <t>KFSM-21006</t>
  </si>
  <si>
    <t>FE 10098</t>
  </si>
  <si>
    <t>GRENADA CO-OPERATIVE BANK LTD.</t>
  </si>
  <si>
    <t>BOG1231996</t>
  </si>
  <si>
    <t>FE 10184</t>
  </si>
  <si>
    <t>SUDU21BOG00570</t>
  </si>
  <si>
    <t>FE 10237</t>
  </si>
  <si>
    <t>GIESECKE Y DEVRIENT DE MEXICO S.A</t>
  </si>
  <si>
    <t>FE 10630</t>
  </si>
  <si>
    <t>LFGEM0437-21</t>
  </si>
  <si>
    <t>FE 10601</t>
  </si>
  <si>
    <t>TITADSU S.A. ( PERU)</t>
  </si>
  <si>
    <t>179-90725902</t>
  </si>
  <si>
    <t>FE 10808</t>
  </si>
  <si>
    <t>179-90725946</t>
  </si>
  <si>
    <t>FE 10925</t>
  </si>
  <si>
    <t>ONEYBOGB03095400</t>
  </si>
  <si>
    <t>FE 10985</t>
  </si>
  <si>
    <t>IMPORTADORA Y EXPORTADORA OLAY</t>
  </si>
  <si>
    <t>BOG1232280</t>
  </si>
  <si>
    <t>FE 11179</t>
  </si>
  <si>
    <t>SPEEDY SECURITY GROUP N.V.</t>
  </si>
  <si>
    <t xml:space="preserve">111-10032831 </t>
  </si>
  <si>
    <t>FE 11478</t>
  </si>
  <si>
    <t>FE 11683</t>
  </si>
  <si>
    <t>543-18178344</t>
  </si>
  <si>
    <t>FE 11804</t>
  </si>
  <si>
    <t>KFSM210013</t>
  </si>
  <si>
    <t>FE 11805</t>
  </si>
  <si>
    <t>MDE00106979</t>
  </si>
  <si>
    <t>29-04-2021</t>
  </si>
  <si>
    <t>PTE. TRAMITE DE EXPORTACIÓN</t>
  </si>
  <si>
    <t>abril 12 2021</t>
  </si>
  <si>
    <t>May 01 2021</t>
  </si>
  <si>
    <t>Abril 30 2021</t>
  </si>
  <si>
    <t>LFGEM0442-21</t>
  </si>
  <si>
    <t>Abril 28 2021</t>
  </si>
  <si>
    <t>36581.88</t>
  </si>
  <si>
    <t>15.04-2021</t>
  </si>
  <si>
    <t>SMLU6531070A</t>
  </si>
  <si>
    <t>K-1719</t>
  </si>
  <si>
    <t>IN0191263</t>
  </si>
  <si>
    <t>MIA/CTG/D10073</t>
  </si>
  <si>
    <t>Feb 04 2021</t>
  </si>
  <si>
    <t>Ene 27 2021</t>
  </si>
  <si>
    <t>Abr 05 2021</t>
  </si>
  <si>
    <t>Abr 07 2021</t>
  </si>
  <si>
    <t>Mar 31 2021</t>
  </si>
  <si>
    <t>Abr 27 2021</t>
  </si>
  <si>
    <t>May 05 2021</t>
  </si>
  <si>
    <t>SECURITY TAPE</t>
  </si>
  <si>
    <t>DR 4918</t>
  </si>
  <si>
    <t>16786/16800</t>
  </si>
  <si>
    <t>CREDITO</t>
  </si>
  <si>
    <t>MNC00047466</t>
  </si>
  <si>
    <t>DR 4919</t>
  </si>
  <si>
    <t>POLIETILENO  MT LDPE</t>
  </si>
  <si>
    <t>LF0522M</t>
  </si>
  <si>
    <t>ICO155391</t>
  </si>
  <si>
    <t>USD 47918.75</t>
  </si>
  <si>
    <t>MEDUU1568663</t>
  </si>
  <si>
    <t>FE12323</t>
  </si>
  <si>
    <t>1998351025</t>
  </si>
  <si>
    <t>FE12526</t>
  </si>
  <si>
    <t>MOTTA INTERNATIONAL</t>
  </si>
  <si>
    <t>COSU6302735070</t>
  </si>
  <si>
    <t>07-06-2021|</t>
  </si>
  <si>
    <t>17-06-2021</t>
  </si>
  <si>
    <t>usd 12123,00</t>
  </si>
  <si>
    <t>usd 1100,25</t>
  </si>
  <si>
    <t>USD 12623,00</t>
  </si>
  <si>
    <t>USD 1184,59</t>
  </si>
  <si>
    <t>USD 46935,75</t>
  </si>
  <si>
    <t>POLIETILENO  MLLDPE</t>
  </si>
  <si>
    <t>USD 43769,23</t>
  </si>
  <si>
    <t>SMLU6576913A</t>
  </si>
  <si>
    <t>USD 45978,63</t>
  </si>
  <si>
    <t>TINTAS UV</t>
  </si>
  <si>
    <t>SECADO RRAPIDO</t>
  </si>
  <si>
    <t>307867-A</t>
  </si>
  <si>
    <t>USD 6000,00</t>
  </si>
  <si>
    <t>USD 6092,62</t>
  </si>
  <si>
    <t>BOGOTA / CURRIER</t>
  </si>
  <si>
    <t>VX-3191</t>
  </si>
  <si>
    <t>USD 6976,80</t>
  </si>
  <si>
    <t>210402582/0410</t>
  </si>
  <si>
    <t>PC-3175</t>
  </si>
  <si>
    <t>USD 2044,00</t>
  </si>
  <si>
    <t>DR-4918</t>
  </si>
  <si>
    <t>SI21016869</t>
  </si>
  <si>
    <t>USD 35022,00</t>
  </si>
  <si>
    <t>3EB21060048</t>
  </si>
  <si>
    <t>DR-4919</t>
  </si>
  <si>
    <t>USD 39609,00</t>
  </si>
  <si>
    <t>DR-6543</t>
  </si>
  <si>
    <t>USD 26138,35</t>
  </si>
  <si>
    <t>LINNER 40MM</t>
  </si>
  <si>
    <t>EZU65-ASY</t>
  </si>
  <si>
    <t>E11338</t>
  </si>
  <si>
    <t>USD 5000,00</t>
  </si>
  <si>
    <t>805-1327-1635</t>
  </si>
  <si>
    <t>FE12532</t>
  </si>
  <si>
    <t>EGLV711100035761</t>
  </si>
  <si>
    <t>FE12667</t>
  </si>
  <si>
    <t>COL2106462</t>
  </si>
  <si>
    <t>FE12774</t>
  </si>
  <si>
    <t>PACKMART INTERNATIONAL</t>
  </si>
  <si>
    <t>COSU6303763340</t>
  </si>
  <si>
    <t>QP TRADING</t>
  </si>
  <si>
    <t>25500 KG</t>
  </si>
  <si>
    <t>4816-21</t>
  </si>
  <si>
    <t>13750 KG</t>
  </si>
  <si>
    <t>SCO149246</t>
  </si>
  <si>
    <t>LF1022Z</t>
  </si>
  <si>
    <t>9625 KG</t>
  </si>
  <si>
    <t>LF0422M</t>
  </si>
  <si>
    <t>23375 KG</t>
  </si>
  <si>
    <t>SCO149247</t>
  </si>
  <si>
    <t>BR-15740R</t>
  </si>
  <si>
    <t>360 ROLLOS</t>
  </si>
  <si>
    <t>FE13177</t>
  </si>
  <si>
    <t>INSTITUTO MIXTO DE AYUDA SOCIAL IMAS</t>
  </si>
  <si>
    <t>COL2106501-5</t>
  </si>
  <si>
    <t>FE13581</t>
  </si>
  <si>
    <t>ACY CIA CORP</t>
  </si>
  <si>
    <t>FE13697</t>
  </si>
  <si>
    <t>FE13698</t>
  </si>
  <si>
    <t>ARTES</t>
  </si>
  <si>
    <t>USD 1850,00</t>
  </si>
  <si>
    <t>FE13702</t>
  </si>
  <si>
    <t>FE13708</t>
  </si>
  <si>
    <t>SIMEC GROUP</t>
  </si>
  <si>
    <t>ANILOX SLEEVE 152 788X1560 MM</t>
  </si>
  <si>
    <t>2 UNIDADES</t>
  </si>
  <si>
    <t>50% ANTICIPO (USD 6000,00)</t>
  </si>
  <si>
    <t>230-60634291</t>
  </si>
  <si>
    <t>KOSLCTGPEV17449</t>
  </si>
  <si>
    <t>FE13887</t>
  </si>
  <si>
    <t>H.S.G. SA HI-TECH AND SECIRITY GROPUP (FORTIUS)</t>
  </si>
  <si>
    <t>230-61096545</t>
  </si>
  <si>
    <t>FE13866</t>
  </si>
  <si>
    <t>ENCRYPTA CHILE S.A.</t>
  </si>
  <si>
    <t>230-61096556</t>
  </si>
  <si>
    <t>230-61238181</t>
  </si>
  <si>
    <t>LOTRENE Q1018N</t>
  </si>
  <si>
    <t>25,500 KG</t>
  </si>
  <si>
    <t>105 DIAS FECHA BL</t>
  </si>
  <si>
    <t>LOTRENE FE3000</t>
  </si>
  <si>
    <t>FE14194</t>
  </si>
  <si>
    <t>USD 5274,00</t>
  </si>
  <si>
    <t>USD 35542,22</t>
  </si>
  <si>
    <t>USD 40092,06</t>
  </si>
  <si>
    <t>USD 26511,62</t>
  </si>
  <si>
    <t>USD 7525,17</t>
  </si>
  <si>
    <t>USD 2275,08</t>
  </si>
  <si>
    <t>MAKLAUS</t>
  </si>
  <si>
    <t>REPUESTO</t>
  </si>
  <si>
    <t>AEREO UPS</t>
  </si>
  <si>
    <t>542/21</t>
  </si>
  <si>
    <t>EUR 456,30</t>
  </si>
  <si>
    <t>USD 542,99</t>
  </si>
  <si>
    <t>86152VFYRBV</t>
  </si>
  <si>
    <t>132-07-2021</t>
  </si>
  <si>
    <t>EUR 513,50</t>
  </si>
  <si>
    <t>USD 607,77</t>
  </si>
  <si>
    <t>230-61239220</t>
  </si>
  <si>
    <t>SUDU21159AU6TRWX</t>
  </si>
  <si>
    <t>USD 37867,50</t>
  </si>
  <si>
    <t>BUENAVENTURA</t>
  </si>
  <si>
    <t>660 MIL UNI</t>
  </si>
  <si>
    <t>W0157462</t>
  </si>
  <si>
    <t>USD 24255,00</t>
  </si>
  <si>
    <t>xxxxxxx</t>
  </si>
  <si>
    <t>xxxxxxxx</t>
  </si>
  <si>
    <t>51000 KG</t>
  </si>
  <si>
    <t>USD 83130,00</t>
  </si>
  <si>
    <t>MEDUDO198102</t>
  </si>
  <si>
    <t>USD 48450,00</t>
  </si>
  <si>
    <t>MEDUDO205311</t>
  </si>
  <si>
    <t>LOTENE Q1018N</t>
  </si>
  <si>
    <t>USD 40290,00</t>
  </si>
  <si>
    <t>MEDUDO206269</t>
  </si>
  <si>
    <t>23375,00 KG</t>
  </si>
  <si>
    <t xml:space="preserve">USD 41373,75 </t>
  </si>
  <si>
    <t>90 DIAS FRECHA BL</t>
  </si>
  <si>
    <t>USD 45645,00</t>
  </si>
  <si>
    <t>CO000032526</t>
  </si>
  <si>
    <t>FE14511</t>
  </si>
  <si>
    <t>USD 42457,50</t>
  </si>
  <si>
    <t>MEDUDO218264</t>
  </si>
  <si>
    <t>MEDUDO215914</t>
  </si>
  <si>
    <t>25500,00 KG</t>
  </si>
  <si>
    <t>352021000277494-4</t>
  </si>
  <si>
    <t>USD 50000 (05-08-2021</t>
  </si>
  <si>
    <t>1,200,000 MTS</t>
  </si>
  <si>
    <t>SO21128635</t>
  </si>
  <si>
    <t>150,000 MTS</t>
  </si>
  <si>
    <t>DR 6395</t>
  </si>
  <si>
    <t>2,160,000 MTS</t>
  </si>
  <si>
    <t>6600000 - 2160000</t>
  </si>
  <si>
    <t>GBP 5659,20</t>
  </si>
  <si>
    <t>COL2108655</t>
  </si>
  <si>
    <t>USD 75781,49</t>
  </si>
  <si>
    <t>USD 44139,85</t>
  </si>
  <si>
    <t>482021000459812-8</t>
  </si>
  <si>
    <t>USD 40569,50</t>
  </si>
  <si>
    <t>482021000460253-2</t>
  </si>
  <si>
    <t>ICO156606</t>
  </si>
  <si>
    <t>USD 27018,75</t>
  </si>
  <si>
    <t>USD 18913,13</t>
  </si>
  <si>
    <t>USD 26437,51</t>
  </si>
  <si>
    <t>USD 18524,37</t>
  </si>
  <si>
    <t>HLCUBSC2107AWXN8</t>
  </si>
  <si>
    <t>482021000466125-5</t>
  </si>
  <si>
    <t>USD 36368,11</t>
  </si>
  <si>
    <t>482021000474865-0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</si>
</sst>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yyyy\-mm\-dd;@"/>
    <numFmt numFmtId="167" formatCode="d/mm/yyyy;@"/>
    <numFmt numFmtId="168" formatCode="[$USD]\ #,##0.00"/>
    <numFmt numFmtId="169" formatCode="[$EUR]\ #,##0.00"/>
    <numFmt numFmtId="170" formatCode="dd/mm/yyyy;@"/>
    <numFmt numFmtId="171" formatCode="_(* #,##0_);_(* \(#,##0\);_(* &quot;-&quot;??_);_(@_)"/>
    <numFmt numFmtId="172" formatCode="_-[$£-809]* #,##0.00_-;\-[$£-809]* #,##0.00_-;_-[$£-809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ath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312">
    <xf numFmtId="0" fontId="0" fillId="0" borderId="0" xfId="0"/>
    <xf numFmtId="168" fontId="0" fillId="0" borderId="0" xfId="3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14" fontId="0" fillId="0" borderId="10" xfId="0" applyNumberForma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65" fontId="2" fillId="0" borderId="1" xfId="1" applyFont="1" applyFill="1" applyBorder="1" applyAlignment="1">
      <alignment horizontal="center" vertical="center" wrapText="1"/>
    </xf>
    <xf numFmtId="165" fontId="2" fillId="0" borderId="1" xfId="1" applyFont="1" applyBorder="1" applyAlignment="1">
      <alignment horizontal="center" wrapText="1"/>
    </xf>
    <xf numFmtId="1" fontId="2" fillId="0" borderId="1" xfId="3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2" fillId="0" borderId="5" xfId="1" applyFont="1" applyBorder="1" applyAlignment="1">
      <alignment horizontal="center" wrapText="1"/>
    </xf>
    <xf numFmtId="165" fontId="2" fillId="0" borderId="0" xfId="1" applyFont="1" applyAlignment="1">
      <alignment horizontal="center" wrapText="1"/>
    </xf>
    <xf numFmtId="14" fontId="0" fillId="0" borderId="3" xfId="0" applyNumberFormat="1" applyBorder="1" applyAlignment="1">
      <alignment horizontal="center" wrapText="1"/>
    </xf>
    <xf numFmtId="170" fontId="0" fillId="0" borderId="1" xfId="0" applyNumberFormat="1" applyBorder="1" applyAlignment="1">
      <alignment horizontal="center" wrapText="1"/>
    </xf>
    <xf numFmtId="170" fontId="0" fillId="0" borderId="5" xfId="0" applyNumberFormat="1" applyBorder="1" applyAlignment="1">
      <alignment horizontal="center" wrapText="1"/>
    </xf>
    <xf numFmtId="170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5" borderId="1" xfId="0" quotePrefix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8" fontId="0" fillId="2" borderId="1" xfId="1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8" fontId="0" fillId="0" borderId="1" xfId="3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8" fontId="0" fillId="9" borderId="1" xfId="1" applyNumberFormat="1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68" fontId="0" fillId="4" borderId="1" xfId="3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8" fontId="0" fillId="4" borderId="1" xfId="1" applyNumberFormat="1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1" fontId="0" fillId="4" borderId="1" xfId="0" quotePrefix="1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69" fontId="0" fillId="4" borderId="1" xfId="1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166" fontId="3" fillId="12" borderId="1" xfId="0" applyNumberFormat="1" applyFont="1" applyFill="1" applyBorder="1" applyAlignment="1">
      <alignment horizontal="center" vertical="center" wrapText="1"/>
    </xf>
    <xf numFmtId="168" fontId="3" fillId="12" borderId="1" xfId="1" applyNumberFormat="1" applyFont="1" applyFill="1" applyBorder="1" applyAlignment="1">
      <alignment horizontal="center" vertical="center" wrapText="1"/>
    </xf>
    <xf numFmtId="14" fontId="3" fillId="12" borderId="1" xfId="0" applyNumberFormat="1" applyFont="1" applyFill="1" applyBorder="1" applyAlignment="1">
      <alignment horizontal="center" vertical="center" wrapText="1"/>
    </xf>
    <xf numFmtId="168" fontId="3" fillId="12" borderId="1" xfId="3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8" fontId="0" fillId="2" borderId="1" xfId="3" applyNumberFormat="1" applyFont="1" applyFill="1" applyBorder="1" applyAlignment="1">
      <alignment horizontal="center" vertical="center"/>
    </xf>
    <xf numFmtId="168" fontId="0" fillId="9" borderId="1" xfId="0" applyNumberFormat="1" applyFill="1" applyBorder="1" applyAlignment="1">
      <alignment horizontal="center" vertical="center"/>
    </xf>
    <xf numFmtId="168" fontId="0" fillId="9" borderId="1" xfId="3" applyNumberFormat="1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170" fontId="0" fillId="4" borderId="1" xfId="0" applyNumberFormat="1" applyFill="1" applyBorder="1" applyAlignment="1">
      <alignment horizontal="center" wrapText="1"/>
    </xf>
    <xf numFmtId="14" fontId="6" fillId="4" borderId="1" xfId="0" applyNumberFormat="1" applyFont="1" applyFill="1" applyBorder="1" applyAlignment="1">
      <alignment horizontal="center" wrapText="1"/>
    </xf>
    <xf numFmtId="165" fontId="2" fillId="4" borderId="1" xfId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 wrapText="1"/>
    </xf>
    <xf numFmtId="1" fontId="0" fillId="4" borderId="1" xfId="0" applyNumberFormat="1" applyFill="1" applyBorder="1" applyAlignment="1">
      <alignment horizontal="center" wrapText="1"/>
    </xf>
    <xf numFmtId="14" fontId="0" fillId="4" borderId="2" xfId="0" applyNumberFormat="1" applyFill="1" applyBorder="1" applyAlignment="1">
      <alignment horizontal="center" wrapText="1"/>
    </xf>
    <xf numFmtId="14" fontId="0" fillId="4" borderId="11" xfId="0" applyNumberForma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165" fontId="2" fillId="4" borderId="1" xfId="1" applyFont="1" applyFill="1" applyBorder="1" applyAlignment="1">
      <alignment horizontal="center" wrapText="1"/>
    </xf>
    <xf numFmtId="1" fontId="2" fillId="4" borderId="1" xfId="3" applyNumberFormat="1" applyFont="1" applyFill="1" applyBorder="1" applyAlignment="1">
      <alignment horizontal="center" vertical="center" wrapText="1"/>
    </xf>
    <xf numFmtId="14" fontId="0" fillId="4" borderId="3" xfId="3" applyNumberFormat="1" applyFont="1" applyFill="1" applyBorder="1" applyAlignment="1">
      <alignment horizontal="center" wrapText="1"/>
    </xf>
    <xf numFmtId="14" fontId="0" fillId="4" borderId="3" xfId="0" applyNumberFormat="1" applyFill="1" applyBorder="1" applyAlignment="1">
      <alignment horizontal="center" wrapText="1"/>
    </xf>
    <xf numFmtId="1" fontId="2" fillId="4" borderId="1" xfId="3" quotePrefix="1" applyNumberFormat="1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70" fontId="0" fillId="4" borderId="3" xfId="0" applyNumberFormat="1" applyFill="1" applyBorder="1" applyAlignment="1">
      <alignment horizontal="center" wrapText="1"/>
    </xf>
    <xf numFmtId="0" fontId="0" fillId="4" borderId="3" xfId="0" applyFill="1" applyBorder="1" applyAlignment="1">
      <alignment horizontal="center" vertical="center" wrapText="1"/>
    </xf>
    <xf numFmtId="14" fontId="6" fillId="4" borderId="3" xfId="0" applyNumberFormat="1" applyFont="1" applyFill="1" applyBorder="1" applyAlignment="1">
      <alignment horizontal="center" wrapText="1"/>
    </xf>
    <xf numFmtId="49" fontId="0" fillId="4" borderId="1" xfId="0" quotePrefix="1" applyNumberFormat="1" applyFill="1" applyBorder="1" applyAlignment="1">
      <alignment horizontal="center" wrapText="1"/>
    </xf>
    <xf numFmtId="1" fontId="0" fillId="4" borderId="1" xfId="0" quotePrefix="1" applyNumberFormat="1" applyFill="1" applyBorder="1" applyAlignment="1">
      <alignment horizontal="center" wrapText="1"/>
    </xf>
    <xf numFmtId="1" fontId="6" fillId="4" borderId="1" xfId="3" applyNumberFormat="1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49" fontId="2" fillId="4" borderId="1" xfId="3" applyNumberFormat="1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vertical="center" wrapText="1"/>
    </xf>
    <xf numFmtId="170" fontId="0" fillId="4" borderId="5" xfId="0" applyNumberFormat="1" applyFill="1" applyBorder="1" applyAlignment="1">
      <alignment horizont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wrapText="1"/>
    </xf>
    <xf numFmtId="165" fontId="2" fillId="4" borderId="5" xfId="1" applyFont="1" applyFill="1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1" fontId="0" fillId="4" borderId="5" xfId="0" applyNumberFormat="1" applyFill="1" applyBorder="1" applyAlignment="1">
      <alignment horizontal="center" wrapText="1"/>
    </xf>
    <xf numFmtId="14" fontId="0" fillId="4" borderId="10" xfId="0" applyNumberFormat="1" applyFill="1" applyBorder="1" applyAlignment="1">
      <alignment horizontal="center" wrapText="1"/>
    </xf>
    <xf numFmtId="0" fontId="0" fillId="9" borderId="14" xfId="0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170" fontId="0" fillId="13" borderId="6" xfId="0" applyNumberForma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14" fontId="0" fillId="13" borderId="6" xfId="0" applyNumberFormat="1" applyFill="1" applyBorder="1" applyAlignment="1">
      <alignment horizontal="center" vertical="center" wrapText="1"/>
    </xf>
    <xf numFmtId="165" fontId="2" fillId="13" borderId="6" xfId="1" applyFont="1" applyFill="1" applyBorder="1" applyAlignment="1">
      <alignment horizontal="center" vertical="center" wrapText="1"/>
    </xf>
    <xf numFmtId="49" fontId="0" fillId="13" borderId="6" xfId="0" applyNumberFormat="1" applyFill="1" applyBorder="1" applyAlignment="1">
      <alignment horizontal="center" vertical="center" wrapText="1"/>
    </xf>
    <xf numFmtId="1" fontId="0" fillId="13" borderId="6" xfId="0" applyNumberFormat="1" applyFill="1" applyBorder="1" applyAlignment="1">
      <alignment horizontal="center" vertical="center" wrapText="1"/>
    </xf>
    <xf numFmtId="14" fontId="0" fillId="13" borderId="8" xfId="0" applyNumberForma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8" borderId="5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0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wrapText="1"/>
    </xf>
    <xf numFmtId="165" fontId="0" fillId="2" borderId="1" xfId="1" applyFont="1" applyFill="1" applyBorder="1" applyAlignment="1">
      <alignment horizontal="center" wrapText="1"/>
    </xf>
    <xf numFmtId="49" fontId="0" fillId="2" borderId="1" xfId="0" applyNumberFormat="1" applyFill="1" applyBorder="1" applyAlignment="1">
      <alignment horizontal="center" wrapText="1"/>
    </xf>
    <xf numFmtId="1" fontId="0" fillId="2" borderId="1" xfId="0" applyNumberFormat="1" applyFill="1" applyBorder="1" applyAlignment="1">
      <alignment horizontal="center" wrapText="1"/>
    </xf>
    <xf numFmtId="14" fontId="0" fillId="6" borderId="1" xfId="0" applyNumberForma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4" fontId="0" fillId="2" borderId="3" xfId="0" applyNumberFormat="1" applyFill="1" applyBorder="1" applyAlignment="1">
      <alignment horizontal="center" wrapText="1"/>
    </xf>
    <xf numFmtId="165" fontId="0" fillId="2" borderId="3" xfId="1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165" fontId="0" fillId="4" borderId="1" xfId="1" applyFont="1" applyFill="1" applyBorder="1" applyAlignment="1">
      <alignment horizontal="center" wrapText="1"/>
    </xf>
    <xf numFmtId="165" fontId="0" fillId="4" borderId="0" xfId="1" applyFont="1" applyFill="1" applyBorder="1" applyAlignment="1">
      <alignment horizontal="center" wrapText="1"/>
    </xf>
    <xf numFmtId="165" fontId="0" fillId="4" borderId="3" xfId="1" applyFont="1" applyFill="1" applyBorder="1" applyAlignment="1">
      <alignment horizontal="center" wrapText="1"/>
    </xf>
    <xf numFmtId="49" fontId="0" fillId="4" borderId="3" xfId="0" applyNumberFormat="1" applyFill="1" applyBorder="1" applyAlignment="1">
      <alignment horizontal="center" wrapText="1"/>
    </xf>
    <xf numFmtId="1" fontId="0" fillId="4" borderId="3" xfId="0" applyNumberFormat="1" applyFill="1" applyBorder="1" applyAlignment="1">
      <alignment horizontal="center" wrapText="1"/>
    </xf>
    <xf numFmtId="170" fontId="0" fillId="2" borderId="4" xfId="0" applyNumberForma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8" borderId="14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0" fillId="2" borderId="0" xfId="1" applyFont="1" applyFill="1" applyBorder="1" applyAlignment="1">
      <alignment horizontal="center" wrapText="1"/>
    </xf>
    <xf numFmtId="0" fontId="3" fillId="0" borderId="19" xfId="0" applyFont="1" applyBorder="1" applyAlignment="1">
      <alignment horizontal="center" vertical="center" wrapText="1"/>
    </xf>
    <xf numFmtId="170" fontId="0" fillId="2" borderId="19" xfId="0" applyNumberFormat="1" applyFill="1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wrapText="1"/>
    </xf>
    <xf numFmtId="165" fontId="0" fillId="2" borderId="19" xfId="1" applyFont="1" applyFill="1" applyBorder="1" applyAlignment="1">
      <alignment horizontal="center" wrapText="1"/>
    </xf>
    <xf numFmtId="49" fontId="0" fillId="2" borderId="19" xfId="0" applyNumberFormat="1" applyFill="1" applyBorder="1" applyAlignment="1">
      <alignment horizontal="center" wrapText="1"/>
    </xf>
    <xf numFmtId="1" fontId="0" fillId="2" borderId="19" xfId="0" applyNumberFormat="1" applyFill="1" applyBorder="1" applyAlignment="1">
      <alignment horizontal="center" wrapText="1"/>
    </xf>
    <xf numFmtId="165" fontId="0" fillId="14" borderId="0" xfId="1" applyFont="1" applyFill="1" applyBorder="1" applyAlignment="1">
      <alignment horizontal="center" wrapText="1"/>
    </xf>
    <xf numFmtId="170" fontId="0" fillId="14" borderId="19" xfId="0" applyNumberFormat="1" applyFill="1" applyBorder="1" applyAlignment="1">
      <alignment horizontal="center" wrapText="1"/>
    </xf>
    <xf numFmtId="14" fontId="0" fillId="14" borderId="19" xfId="0" applyNumberFormat="1" applyFill="1" applyBorder="1" applyAlignment="1">
      <alignment horizontal="center" wrapText="1"/>
    </xf>
    <xf numFmtId="165" fontId="0" fillId="14" borderId="19" xfId="1" applyFont="1" applyFill="1" applyBorder="1" applyAlignment="1">
      <alignment horizontal="center" wrapText="1"/>
    </xf>
    <xf numFmtId="49" fontId="0" fillId="14" borderId="19" xfId="0" applyNumberFormat="1" applyFill="1" applyBorder="1" applyAlignment="1">
      <alignment horizontal="center" wrapText="1"/>
    </xf>
    <xf numFmtId="1" fontId="0" fillId="14" borderId="19" xfId="0" applyNumberFormat="1" applyFill="1" applyBorder="1" applyAlignment="1">
      <alignment horizontal="center" wrapText="1"/>
    </xf>
    <xf numFmtId="0" fontId="3" fillId="14" borderId="19" xfId="0" applyFont="1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0" fillId="4" borderId="11" xfId="0" applyNumberFormat="1" applyFill="1" applyBorder="1" applyAlignment="1">
      <alignment horizontal="center" vertical="center" wrapText="1"/>
    </xf>
    <xf numFmtId="170" fontId="0" fillId="4" borderId="5" xfId="0" applyNumberFormat="1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165" fontId="2" fillId="4" borderId="5" xfId="1" applyFon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1" fontId="0" fillId="4" borderId="5" xfId="0" applyNumberFormat="1" applyFill="1" applyBorder="1" applyAlignment="1">
      <alignment horizontal="center" vertical="center" wrapText="1"/>
    </xf>
    <xf numFmtId="14" fontId="0" fillId="4" borderId="10" xfId="0" applyNumberFormat="1" applyFill="1" applyBorder="1" applyAlignment="1">
      <alignment horizontal="center" vertical="center" wrapText="1"/>
    </xf>
    <xf numFmtId="165" fontId="0" fillId="4" borderId="0" xfId="1" applyFont="1" applyFill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170" fontId="0" fillId="4" borderId="4" xfId="0" applyNumberForma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1" fontId="0" fillId="4" borderId="1" xfId="3" applyNumberFormat="1" applyFon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2" fontId="0" fillId="4" borderId="1" xfId="0" applyNumberForma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/>
    <xf numFmtId="0" fontId="0" fillId="4" borderId="16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68" fontId="6" fillId="4" borderId="1" xfId="0" applyNumberFormat="1" applyFont="1" applyFill="1" applyBorder="1" applyAlignment="1">
      <alignment horizontal="center" vertical="center"/>
    </xf>
    <xf numFmtId="171" fontId="6" fillId="4" borderId="1" xfId="3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2" fontId="0" fillId="4" borderId="1" xfId="0" applyNumberFormat="1" applyFill="1" applyBorder="1" applyAlignment="1">
      <alignment horizontal="center" vertical="center"/>
    </xf>
    <xf numFmtId="172" fontId="0" fillId="4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0" fillId="0" borderId="1" xfId="1" applyFont="1" applyBorder="1" applyAlignment="1">
      <alignment horizontal="center" wrapText="1"/>
    </xf>
    <xf numFmtId="172" fontId="0" fillId="2" borderId="0" xfId="0" applyNumberFormat="1" applyFill="1" applyAlignment="1">
      <alignment horizontal="center" vertical="center"/>
    </xf>
    <xf numFmtId="172" fontId="0" fillId="2" borderId="0" xfId="1" applyNumberFormat="1" applyFont="1" applyFill="1" applyBorder="1" applyAlignment="1">
      <alignment horizontal="center" vertical="center"/>
    </xf>
    <xf numFmtId="1" fontId="0" fillId="2" borderId="0" xfId="3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ill="1" applyBorder="1"/>
    <xf numFmtId="14" fontId="0" fillId="4" borderId="5" xfId="0" applyNumberFormat="1" applyFill="1" applyBorder="1" applyAlignment="1">
      <alignment horizontal="center" vertical="center"/>
    </xf>
    <xf numFmtId="172" fontId="0" fillId="4" borderId="5" xfId="0" applyNumberFormat="1" applyFill="1" applyBorder="1" applyAlignment="1">
      <alignment horizontal="center" vertical="center"/>
    </xf>
    <xf numFmtId="172" fontId="0" fillId="4" borderId="5" xfId="1" applyNumberFormat="1" applyFont="1" applyFill="1" applyBorder="1" applyAlignment="1">
      <alignment horizontal="center" vertical="center"/>
    </xf>
    <xf numFmtId="1" fontId="0" fillId="4" borderId="5" xfId="3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wrapText="1"/>
    </xf>
    <xf numFmtId="17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wrapText="1"/>
    </xf>
    <xf numFmtId="165" fontId="1" fillId="0" borderId="0" xfId="1" applyFont="1" applyBorder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3" fontId="0" fillId="2" borderId="1" xfId="0" applyNumberFormat="1" applyFill="1" applyBorder="1" applyAlignment="1">
      <alignment horizontal="center" vertical="center"/>
    </xf>
    <xf numFmtId="172" fontId="0" fillId="2" borderId="1" xfId="0" applyNumberFormat="1" applyFill="1" applyBorder="1" applyAlignment="1">
      <alignment horizontal="center" vertical="center"/>
    </xf>
    <xf numFmtId="172" fontId="0" fillId="2" borderId="1" xfId="1" applyNumberFormat="1" applyFont="1" applyFill="1" applyBorder="1" applyAlignment="1">
      <alignment horizontal="center" vertical="center"/>
    </xf>
    <xf numFmtId="1" fontId="0" fillId="2" borderId="1" xfId="3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wrapText="1"/>
    </xf>
    <xf numFmtId="165" fontId="1" fillId="0" borderId="1" xfId="1" applyFont="1" applyBorder="1" applyAlignment="1">
      <alignment horizontal="center" wrapText="1"/>
    </xf>
    <xf numFmtId="165" fontId="1" fillId="0" borderId="3" xfId="1" applyFont="1" applyBorder="1" applyAlignment="1">
      <alignment horizontal="center" wrapText="1"/>
    </xf>
    <xf numFmtId="0" fontId="9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wrapText="1"/>
    </xf>
    <xf numFmtId="165" fontId="0" fillId="0" borderId="2" xfId="1" applyFont="1" applyBorder="1" applyAlignment="1">
      <alignment horizontal="center" wrapText="1"/>
    </xf>
    <xf numFmtId="14" fontId="0" fillId="0" borderId="4" xfId="0" applyNumberForma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4" fontId="0" fillId="6" borderId="5" xfId="0" applyNumberFormat="1" applyFill="1" applyBorder="1" applyAlignment="1">
      <alignment horizontal="center" wrapText="1"/>
    </xf>
    <xf numFmtId="14" fontId="1" fillId="15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wrapText="1"/>
    </xf>
    <xf numFmtId="14" fontId="0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1" xfId="0" applyNumberFormat="1" applyFont="1" applyBorder="1" applyAlignment="1">
      <alignment horizontal="center" wrapText="1"/>
    </xf>
    <xf numFmtId="164" fontId="10" fillId="0" borderId="1" xfId="3" applyFont="1" applyBorder="1" applyAlignment="1">
      <alignment horizontal="right" vertical="center"/>
    </xf>
    <xf numFmtId="49" fontId="0" fillId="2" borderId="1" xfId="0" applyNumberFormat="1" applyFont="1" applyFill="1" applyBorder="1" applyAlignment="1">
      <alignment horizontal="center" wrapText="1"/>
    </xf>
    <xf numFmtId="14" fontId="1" fillId="0" borderId="4" xfId="0" applyNumberFormat="1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wrapText="1"/>
    </xf>
    <xf numFmtId="14" fontId="1" fillId="0" borderId="8" xfId="0" applyNumberFormat="1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14" fontId="1" fillId="0" borderId="19" xfId="0" applyNumberFormat="1" applyFont="1" applyBorder="1" applyAlignment="1">
      <alignment horizontal="center" wrapText="1"/>
    </xf>
    <xf numFmtId="0" fontId="9" fillId="0" borderId="19" xfId="0" applyFont="1" applyFill="1" applyBorder="1" applyAlignment="1">
      <alignment horizontal="center" vertical="center" wrapText="1"/>
    </xf>
    <xf numFmtId="170" fontId="1" fillId="0" borderId="19" xfId="0" applyNumberFormat="1" applyFont="1" applyBorder="1" applyAlignment="1">
      <alignment horizontal="center" wrapText="1"/>
    </xf>
    <xf numFmtId="165" fontId="1" fillId="0" borderId="5" xfId="1" applyFont="1" applyBorder="1" applyAlignment="1">
      <alignment horizontal="center" wrapText="1"/>
    </xf>
    <xf numFmtId="165" fontId="1" fillId="0" borderId="19" xfId="1" applyFont="1" applyBorder="1" applyAlignment="1">
      <alignment horizontal="center" wrapText="1"/>
    </xf>
    <xf numFmtId="49" fontId="1" fillId="0" borderId="19" xfId="0" applyNumberFormat="1" applyFont="1" applyBorder="1" applyAlignment="1">
      <alignment horizontal="center" wrapText="1"/>
    </xf>
    <xf numFmtId="1" fontId="1" fillId="0" borderId="19" xfId="0" applyNumberFormat="1" applyFont="1" applyBorder="1" applyAlignment="1">
      <alignment horizontal="center" wrapText="1"/>
    </xf>
    <xf numFmtId="0" fontId="0" fillId="0" borderId="19" xfId="0" applyFont="1" applyFill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3" fillId="0" borderId="19" xfId="0" applyFont="1" applyFill="1" applyBorder="1" applyAlignment="1">
      <alignment horizontal="center" vertical="center" wrapText="1"/>
    </xf>
    <xf numFmtId="170" fontId="0" fillId="0" borderId="19" xfId="0" applyNumberFormat="1" applyFont="1" applyBorder="1" applyAlignment="1">
      <alignment horizontal="center" wrapText="1"/>
    </xf>
    <xf numFmtId="14" fontId="0" fillId="0" borderId="19" xfId="0" applyNumberFormat="1" applyFont="1" applyBorder="1" applyAlignment="1">
      <alignment horizontal="center" wrapText="1"/>
    </xf>
    <xf numFmtId="165" fontId="0" fillId="0" borderId="5" xfId="1" applyFont="1" applyBorder="1" applyAlignment="1">
      <alignment horizontal="center" wrapText="1"/>
    </xf>
    <xf numFmtId="165" fontId="0" fillId="0" borderId="19" xfId="1" applyFont="1" applyBorder="1" applyAlignment="1">
      <alignment horizontal="center" wrapText="1"/>
    </xf>
    <xf numFmtId="1" fontId="0" fillId="0" borderId="19" xfId="0" applyNumberFormat="1" applyFont="1" applyBorder="1" applyAlignment="1">
      <alignment horizontal="center" wrapText="1"/>
    </xf>
    <xf numFmtId="0" fontId="0" fillId="4" borderId="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10" borderId="20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18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3000000}"/>
  </cellStyles>
  <dxfs count="19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19" formatCode="d/mm/yyyy"/>
      <alignment horizont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19" formatCode="d/mm/yyyy"/>
      <alignment horizont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19" formatCode="d/mm/yyyy"/>
      <alignment horizont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19" formatCode="d/mm/yyyy"/>
      <alignment horizont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19" formatCode="d/mm/yyyy"/>
      <alignment horizont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170" formatCode="dd/mm/yyyy;@"/>
      <alignment horizont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67" totalsRowShown="0" headerRowDxfId="18" dataDxfId="16" headerRowBorderDxfId="17" tableBorderDxfId="15" totalsRowBorderDxfId="14">
  <autoFilter ref="A1:N167" xr:uid="{00000000-0009-0000-0100-000001000000}"/>
  <sortState xmlns:xlrd2="http://schemas.microsoft.com/office/spreadsheetml/2017/richdata2" ref="A2:N115">
    <sortCondition ref="B2:B115"/>
  </sortState>
  <tableColumns count="14">
    <tableColumn id="1" xr3:uid="{00000000-0010-0000-0000-000001000000}" name="FACTURA N°" dataDxfId="13"/>
    <tableColumn id="2" xr3:uid="{00000000-0010-0000-0000-000002000000}" name="FECHA FACTURA" dataDxfId="12"/>
    <tableColumn id="3" xr3:uid="{00000000-0010-0000-0000-000003000000}" name="CLIENTE" dataDxfId="11"/>
    <tableColumn id="4" xr3:uid="{00000000-0010-0000-0000-000004000000}" name="VENCE" dataDxfId="10"/>
    <tableColumn id="5" xr3:uid="{00000000-0010-0000-0000-000005000000}" name="VALOR FACTURA USD" dataDxfId="9" dataCellStyle="Moneda"/>
    <tableColumn id="6" xr3:uid="{00000000-0010-0000-0000-000006000000}" name="FLETE + SEGURO" dataDxfId="8" dataCellStyle="Moneda"/>
    <tableColumn id="7" xr3:uid="{00000000-0010-0000-0000-000007000000}" name="VR FOB O CIF" dataDxfId="7" dataCellStyle="Moneda"/>
    <tableColumn id="8" xr3:uid="{00000000-0010-0000-0000-000008000000}" name="# BL/GUIA" dataDxfId="6"/>
    <tableColumn id="9" xr3:uid="{00000000-0010-0000-0000-000009000000}" name="FECHA " dataDxfId="5"/>
    <tableColumn id="10" xr3:uid="{00000000-0010-0000-0000-00000A000000}" name="# DEX" dataDxfId="4"/>
    <tableColumn id="11" xr3:uid="{00000000-0010-0000-0000-00000B000000}" name="FECHA DEX" dataDxfId="3"/>
    <tableColumn id="12" xr3:uid="{00000000-0010-0000-0000-00000C000000}" name="PAGO" dataDxfId="2"/>
    <tableColumn id="13" xr3:uid="{00000000-0010-0000-0000-00000D000000}" name="FECHA DE PAGO" dataDxfId="1"/>
    <tableColumn id="14" xr3:uid="{00000000-0010-0000-0000-00000E000000}" name="COMENTARIO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1"/>
  <sheetViews>
    <sheetView tabSelected="1" topLeftCell="O1" zoomScale="85" zoomScaleNormal="85" workbookViewId="0">
      <pane ySplit="1" topLeftCell="A167" activePane="bottomLeft" state="frozen"/>
      <selection pane="bottomLeft" activeCell="W181" sqref="W181"/>
    </sheetView>
  </sheetViews>
  <sheetFormatPr baseColWidth="10" defaultColWidth="11.42578125" defaultRowHeight="15" x14ac:dyDescent="0.25"/>
  <cols>
    <col min="1" max="1" width="10.140625" style="36" customWidth="1"/>
    <col min="2" max="2" width="26.5703125" style="32" bestFit="1" customWidth="1"/>
    <col min="3" max="3" width="29.7109375" style="32" bestFit="1" customWidth="1"/>
    <col min="4" max="4" width="37.42578125" style="32" customWidth="1"/>
    <col min="5" max="6" width="14" style="32" customWidth="1"/>
    <col min="7" max="7" width="18.85546875" style="32" customWidth="1"/>
    <col min="8" max="8" width="14.42578125" style="32" customWidth="1"/>
    <col min="9" max="9" width="16.42578125" style="32" customWidth="1"/>
    <col min="10" max="10" width="17.140625" style="37" customWidth="1"/>
    <col min="11" max="11" width="15.42578125" style="33" customWidth="1"/>
    <col min="12" max="12" width="15.42578125" style="1" customWidth="1"/>
    <col min="13" max="13" width="14" style="33" hidden="1" customWidth="1"/>
    <col min="14" max="14" width="14" style="32" hidden="1" customWidth="1"/>
    <col min="15" max="15" width="13" style="33" customWidth="1"/>
    <col min="16" max="16" width="13" style="32" customWidth="1"/>
    <col min="17" max="17" width="13" style="33" customWidth="1"/>
    <col min="18" max="18" width="19.42578125" style="33" customWidth="1"/>
    <col min="19" max="19" width="19" style="33" customWidth="1"/>
    <col min="20" max="20" width="22" style="32" customWidth="1"/>
    <col min="21" max="21" width="23.42578125" style="32" customWidth="1"/>
    <col min="22" max="22" width="22.85546875" style="32" hidden="1" customWidth="1"/>
    <col min="23" max="23" width="26.28515625" style="32" customWidth="1"/>
    <col min="24" max="24" width="20" style="33" customWidth="1"/>
    <col min="25" max="25" width="28.140625" style="34" hidden="1" customWidth="1"/>
    <col min="26" max="26" width="43.28515625" style="32" bestFit="1" customWidth="1"/>
    <col min="27" max="16384" width="11.42578125" style="32"/>
  </cols>
  <sheetData>
    <row r="1" spans="1:25" ht="45" x14ac:dyDescent="0.25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7" t="s">
        <v>7</v>
      </c>
      <c r="I1" s="38" t="s">
        <v>8</v>
      </c>
      <c r="J1" s="88" t="s">
        <v>9</v>
      </c>
      <c r="K1" s="89" t="s">
        <v>10</v>
      </c>
      <c r="L1" s="90" t="s">
        <v>11</v>
      </c>
      <c r="M1" s="89" t="s">
        <v>12</v>
      </c>
      <c r="N1" s="39" t="s">
        <v>13</v>
      </c>
      <c r="O1" s="89" t="s">
        <v>14</v>
      </c>
      <c r="P1" s="86" t="s">
        <v>15</v>
      </c>
      <c r="Q1" s="40" t="s">
        <v>16</v>
      </c>
      <c r="R1" s="89" t="s">
        <v>17</v>
      </c>
      <c r="S1" s="89" t="s">
        <v>18</v>
      </c>
      <c r="T1" s="86" t="s">
        <v>19</v>
      </c>
      <c r="U1" s="86" t="s">
        <v>20</v>
      </c>
      <c r="V1" s="86" t="s">
        <v>21</v>
      </c>
      <c r="W1" s="86" t="s">
        <v>22</v>
      </c>
      <c r="X1" s="89" t="s">
        <v>23</v>
      </c>
      <c r="Y1" s="86" t="s">
        <v>24</v>
      </c>
    </row>
    <row r="2" spans="1:25" x14ac:dyDescent="0.25">
      <c r="A2" s="73" t="s">
        <v>25</v>
      </c>
      <c r="B2" s="74" t="s">
        <v>26</v>
      </c>
      <c r="C2" s="74" t="s">
        <v>27</v>
      </c>
      <c r="D2" s="74" t="s">
        <v>28</v>
      </c>
      <c r="E2" s="74">
        <v>24750</v>
      </c>
      <c r="F2" s="74" t="s">
        <v>29</v>
      </c>
      <c r="G2" s="74">
        <v>20008462</v>
      </c>
      <c r="H2" s="83">
        <v>43445</v>
      </c>
      <c r="I2" s="74">
        <v>153486</v>
      </c>
      <c r="J2" s="80">
        <v>24131.25</v>
      </c>
      <c r="K2" s="77">
        <v>43462</v>
      </c>
      <c r="L2" s="78">
        <v>22331.25</v>
      </c>
      <c r="M2" s="74" t="s">
        <v>30</v>
      </c>
      <c r="N2" s="74" t="s">
        <v>25</v>
      </c>
      <c r="O2" s="77">
        <v>43466</v>
      </c>
      <c r="P2" s="74" t="s">
        <v>31</v>
      </c>
      <c r="Q2" s="77">
        <v>43479</v>
      </c>
      <c r="R2" s="77">
        <v>43579</v>
      </c>
      <c r="S2" s="77">
        <v>43579</v>
      </c>
      <c r="T2" s="74" t="s">
        <v>32</v>
      </c>
      <c r="U2" s="77">
        <v>43413</v>
      </c>
      <c r="V2" s="74"/>
      <c r="W2" s="81" t="s">
        <v>33</v>
      </c>
      <c r="X2" s="77">
        <v>43476</v>
      </c>
      <c r="Y2" s="74" t="s">
        <v>34</v>
      </c>
    </row>
    <row r="3" spans="1:25" x14ac:dyDescent="0.25">
      <c r="A3" s="73" t="s">
        <v>35</v>
      </c>
      <c r="B3" s="74" t="s">
        <v>36</v>
      </c>
      <c r="C3" s="74" t="s">
        <v>37</v>
      </c>
      <c r="D3" s="74" t="s">
        <v>38</v>
      </c>
      <c r="E3" s="74">
        <v>25500</v>
      </c>
      <c r="F3" s="74" t="s">
        <v>39</v>
      </c>
      <c r="G3" s="74">
        <v>99144830</v>
      </c>
      <c r="H3" s="83">
        <v>43429</v>
      </c>
      <c r="I3" s="74">
        <v>23633468</v>
      </c>
      <c r="J3" s="80">
        <v>27795</v>
      </c>
      <c r="K3" s="77">
        <v>43429</v>
      </c>
      <c r="L3" s="80">
        <v>25930.49</v>
      </c>
      <c r="M3" s="77">
        <v>43438</v>
      </c>
      <c r="N3" s="74">
        <v>54</v>
      </c>
      <c r="O3" s="77">
        <f>+M3+N3</f>
        <v>43492</v>
      </c>
      <c r="P3" s="74" t="s">
        <v>40</v>
      </c>
      <c r="Q3" s="77">
        <v>43500</v>
      </c>
      <c r="R3" s="77">
        <v>43545</v>
      </c>
      <c r="S3" s="77">
        <v>43545</v>
      </c>
      <c r="T3" s="74" t="s">
        <v>41</v>
      </c>
      <c r="U3" s="77">
        <v>43438</v>
      </c>
      <c r="V3" s="74"/>
      <c r="W3" s="81" t="s">
        <v>42</v>
      </c>
      <c r="X3" s="77">
        <v>43495</v>
      </c>
      <c r="Y3" s="74" t="s">
        <v>34</v>
      </c>
    </row>
    <row r="4" spans="1:25" x14ac:dyDescent="0.25">
      <c r="A4" s="73" t="s">
        <v>25</v>
      </c>
      <c r="B4" s="74" t="s">
        <v>26</v>
      </c>
      <c r="C4" s="74" t="s">
        <v>43</v>
      </c>
      <c r="D4" s="74" t="s">
        <v>44</v>
      </c>
      <c r="E4" s="74">
        <v>23375</v>
      </c>
      <c r="F4" s="74" t="s">
        <v>39</v>
      </c>
      <c r="G4" s="74">
        <v>20008005</v>
      </c>
      <c r="H4" s="83">
        <v>43430</v>
      </c>
      <c r="I4" s="74">
        <v>155159</v>
      </c>
      <c r="J4" s="80">
        <v>26647.5</v>
      </c>
      <c r="K4" s="77">
        <v>43487</v>
      </c>
      <c r="L4" s="78">
        <v>25597.5</v>
      </c>
      <c r="M4" s="77">
        <v>43490</v>
      </c>
      <c r="N4" s="74">
        <v>6</v>
      </c>
      <c r="O4" s="77">
        <v>43497</v>
      </c>
      <c r="P4" s="74" t="s">
        <v>31</v>
      </c>
      <c r="Q4" s="74"/>
      <c r="R4" s="77">
        <v>43579</v>
      </c>
      <c r="S4" s="77">
        <v>43579</v>
      </c>
      <c r="T4" s="74" t="s">
        <v>45</v>
      </c>
      <c r="U4" s="77">
        <v>43487</v>
      </c>
      <c r="V4" s="74"/>
      <c r="W4" s="81" t="s">
        <v>46</v>
      </c>
      <c r="X4" s="77">
        <v>43501</v>
      </c>
      <c r="Y4" s="74" t="s">
        <v>34</v>
      </c>
    </row>
    <row r="5" spans="1:25" x14ac:dyDescent="0.25">
      <c r="A5" s="73" t="s">
        <v>25</v>
      </c>
      <c r="B5" s="74" t="s">
        <v>47</v>
      </c>
      <c r="C5" s="74" t="s">
        <v>48</v>
      </c>
      <c r="D5" s="74" t="s">
        <v>49</v>
      </c>
      <c r="E5" s="74" t="s">
        <v>50</v>
      </c>
      <c r="F5" s="74" t="s">
        <v>51</v>
      </c>
      <c r="G5" s="74" t="s">
        <v>25</v>
      </c>
      <c r="H5" s="83" t="s">
        <v>52</v>
      </c>
      <c r="I5" s="74" t="s">
        <v>53</v>
      </c>
      <c r="J5" s="80">
        <f>700+1500</f>
        <v>2200</v>
      </c>
      <c r="K5" s="77">
        <v>43497</v>
      </c>
      <c r="L5" s="80">
        <v>1720.35</v>
      </c>
      <c r="M5" s="77">
        <v>43497</v>
      </c>
      <c r="N5" s="74">
        <v>6</v>
      </c>
      <c r="O5" s="77">
        <f>+M5+N5</f>
        <v>43503</v>
      </c>
      <c r="P5" s="74" t="s">
        <v>54</v>
      </c>
      <c r="Q5" s="77">
        <v>43503</v>
      </c>
      <c r="R5" s="77">
        <v>43497</v>
      </c>
      <c r="S5" s="77">
        <v>43497</v>
      </c>
      <c r="T5" s="74">
        <v>5049032855</v>
      </c>
      <c r="U5" s="77">
        <v>43497</v>
      </c>
      <c r="V5" s="74"/>
      <c r="W5" s="74">
        <v>5049032855</v>
      </c>
      <c r="X5" s="77">
        <v>43497</v>
      </c>
      <c r="Y5" s="74" t="s">
        <v>34</v>
      </c>
    </row>
    <row r="6" spans="1:25" x14ac:dyDescent="0.25">
      <c r="A6" s="73" t="s">
        <v>25</v>
      </c>
      <c r="B6" s="74" t="s">
        <v>26</v>
      </c>
      <c r="C6" s="74" t="s">
        <v>55</v>
      </c>
      <c r="D6" s="74" t="s">
        <v>44</v>
      </c>
      <c r="E6" s="74">
        <v>23375</v>
      </c>
      <c r="F6" s="74" t="s">
        <v>39</v>
      </c>
      <c r="G6" s="74">
        <v>20008005</v>
      </c>
      <c r="H6" s="83">
        <v>43430</v>
      </c>
      <c r="I6" s="74">
        <v>155159</v>
      </c>
      <c r="J6" s="80">
        <v>26647.5</v>
      </c>
      <c r="K6" s="77">
        <v>43487</v>
      </c>
      <c r="L6" s="78">
        <v>25597.5</v>
      </c>
      <c r="M6" s="77">
        <v>43487</v>
      </c>
      <c r="N6" s="74">
        <v>10</v>
      </c>
      <c r="O6" s="77">
        <f>+M6+N6</f>
        <v>43497</v>
      </c>
      <c r="P6" s="74" t="s">
        <v>31</v>
      </c>
      <c r="Q6" s="77">
        <v>43505</v>
      </c>
      <c r="R6" s="74"/>
      <c r="S6" s="74"/>
      <c r="T6" s="74" t="s">
        <v>45</v>
      </c>
      <c r="U6" s="77">
        <v>43487</v>
      </c>
      <c r="V6" s="74"/>
      <c r="W6" s="81" t="s">
        <v>46</v>
      </c>
      <c r="X6" s="77">
        <v>43501</v>
      </c>
      <c r="Y6" s="74" t="s">
        <v>34</v>
      </c>
    </row>
    <row r="7" spans="1:25" x14ac:dyDescent="0.25">
      <c r="A7" s="73" t="s">
        <v>25</v>
      </c>
      <c r="B7" s="74" t="s">
        <v>56</v>
      </c>
      <c r="C7" s="74" t="s">
        <v>57</v>
      </c>
      <c r="D7" s="74" t="s">
        <v>58</v>
      </c>
      <c r="E7" s="74">
        <v>270</v>
      </c>
      <c r="F7" s="74" t="s">
        <v>59</v>
      </c>
      <c r="G7" s="74">
        <v>181123</v>
      </c>
      <c r="H7" s="83">
        <v>43433</v>
      </c>
      <c r="I7" s="74">
        <v>181226</v>
      </c>
      <c r="J7" s="80">
        <v>13743</v>
      </c>
      <c r="K7" s="77">
        <v>43467</v>
      </c>
      <c r="L7" s="80">
        <v>13723</v>
      </c>
      <c r="M7" s="77">
        <v>43464</v>
      </c>
      <c r="N7" s="74">
        <v>30</v>
      </c>
      <c r="O7" s="77">
        <f>+M7+N7</f>
        <v>43494</v>
      </c>
      <c r="P7" s="74" t="s">
        <v>40</v>
      </c>
      <c r="Q7" s="77">
        <v>43507</v>
      </c>
      <c r="R7" s="74"/>
      <c r="S7" s="74" t="s">
        <v>60</v>
      </c>
      <c r="T7" s="74" t="s">
        <v>61</v>
      </c>
      <c r="U7" s="77">
        <v>43467</v>
      </c>
      <c r="V7" s="74"/>
      <c r="W7" s="81" t="s">
        <v>62</v>
      </c>
      <c r="X7" s="77">
        <v>43503</v>
      </c>
      <c r="Y7" s="74" t="s">
        <v>34</v>
      </c>
    </row>
    <row r="8" spans="1:25" x14ac:dyDescent="0.25">
      <c r="A8" s="73" t="s">
        <v>25</v>
      </c>
      <c r="B8" s="74" t="s">
        <v>26</v>
      </c>
      <c r="C8" s="74" t="s">
        <v>63</v>
      </c>
      <c r="D8" s="74" t="s">
        <v>64</v>
      </c>
      <c r="E8" s="74">
        <v>24750</v>
      </c>
      <c r="F8" s="74" t="s">
        <v>39</v>
      </c>
      <c r="G8" s="74">
        <v>20009536</v>
      </c>
      <c r="H8" s="83">
        <v>43495</v>
      </c>
      <c r="I8" s="74">
        <v>156078</v>
      </c>
      <c r="J8" s="80">
        <v>23512.5</v>
      </c>
      <c r="K8" s="77">
        <v>43499</v>
      </c>
      <c r="L8" s="78">
        <v>21712.5</v>
      </c>
      <c r="M8" s="77">
        <v>43497</v>
      </c>
      <c r="N8" s="74">
        <v>7</v>
      </c>
      <c r="O8" s="77">
        <v>43504</v>
      </c>
      <c r="P8" s="74" t="s">
        <v>31</v>
      </c>
      <c r="Q8" s="74"/>
      <c r="R8" s="77">
        <v>43621</v>
      </c>
      <c r="S8" s="77">
        <v>43621</v>
      </c>
      <c r="T8" s="74" t="s">
        <v>65</v>
      </c>
      <c r="U8" s="77">
        <v>43447</v>
      </c>
      <c r="V8" s="74"/>
      <c r="W8" s="81" t="s">
        <v>66</v>
      </c>
      <c r="X8" s="77">
        <v>43508</v>
      </c>
      <c r="Y8" s="74" t="s">
        <v>34</v>
      </c>
    </row>
    <row r="9" spans="1:25" x14ac:dyDescent="0.25">
      <c r="A9" s="73" t="s">
        <v>67</v>
      </c>
      <c r="B9" s="74" t="s">
        <v>68</v>
      </c>
      <c r="C9" s="74" t="s">
        <v>69</v>
      </c>
      <c r="D9" s="74" t="s">
        <v>69</v>
      </c>
      <c r="E9" s="74">
        <f>20625+2.75</f>
        <v>20627.75</v>
      </c>
      <c r="F9" s="74" t="s">
        <v>39</v>
      </c>
      <c r="G9" s="73" t="s">
        <v>67</v>
      </c>
      <c r="H9" s="83">
        <v>43487</v>
      </c>
      <c r="I9" s="74" t="s">
        <v>70</v>
      </c>
      <c r="J9" s="80">
        <v>22261.25</v>
      </c>
      <c r="K9" s="77">
        <v>43509</v>
      </c>
      <c r="L9" s="80">
        <v>21326.25</v>
      </c>
      <c r="M9" s="77">
        <v>43508</v>
      </c>
      <c r="N9" s="74">
        <v>10</v>
      </c>
      <c r="O9" s="77">
        <v>43518</v>
      </c>
      <c r="P9" s="74" t="s">
        <v>31</v>
      </c>
      <c r="Q9" s="77">
        <v>43524</v>
      </c>
      <c r="R9" s="74"/>
      <c r="S9" s="74"/>
      <c r="T9" s="74" t="s">
        <v>71</v>
      </c>
      <c r="U9" s="77">
        <v>43508</v>
      </c>
      <c r="V9" s="74"/>
      <c r="W9" s="81" t="s">
        <v>72</v>
      </c>
      <c r="X9" s="77">
        <v>43522</v>
      </c>
      <c r="Y9" s="74" t="s">
        <v>34</v>
      </c>
    </row>
    <row r="10" spans="1:25" x14ac:dyDescent="0.25">
      <c r="A10" s="73" t="s">
        <v>25</v>
      </c>
      <c r="B10" s="74" t="s">
        <v>68</v>
      </c>
      <c r="C10" s="74" t="s">
        <v>73</v>
      </c>
      <c r="D10" s="74" t="s">
        <v>74</v>
      </c>
      <c r="E10" s="74">
        <v>23375</v>
      </c>
      <c r="F10" s="74" t="s">
        <v>39</v>
      </c>
      <c r="G10" s="74" t="s">
        <v>75</v>
      </c>
      <c r="H10" s="83">
        <v>43487</v>
      </c>
      <c r="I10" s="74" t="s">
        <v>76</v>
      </c>
      <c r="J10" s="80">
        <v>22206.25</v>
      </c>
      <c r="K10" s="77">
        <v>43515</v>
      </c>
      <c r="L10" s="80">
        <v>21271.25</v>
      </c>
      <c r="M10" s="77">
        <v>43515</v>
      </c>
      <c r="N10" s="74">
        <v>10</v>
      </c>
      <c r="O10" s="77">
        <v>43530</v>
      </c>
      <c r="P10" s="74" t="s">
        <v>31</v>
      </c>
      <c r="Q10" s="77">
        <v>43535</v>
      </c>
      <c r="R10" s="74"/>
      <c r="S10" s="74"/>
      <c r="T10" s="74" t="s">
        <v>77</v>
      </c>
      <c r="U10" s="77">
        <v>43515</v>
      </c>
      <c r="V10" s="74"/>
      <c r="W10" s="81" t="s">
        <v>78</v>
      </c>
      <c r="X10" s="77">
        <v>43532</v>
      </c>
      <c r="Y10" s="74" t="s">
        <v>34</v>
      </c>
    </row>
    <row r="11" spans="1:25" x14ac:dyDescent="0.25">
      <c r="A11" s="73" t="s">
        <v>25</v>
      </c>
      <c r="B11" s="74" t="s">
        <v>79</v>
      </c>
      <c r="C11" s="74" t="s">
        <v>80</v>
      </c>
      <c r="D11" s="74" t="s">
        <v>80</v>
      </c>
      <c r="E11" s="74">
        <v>24000</v>
      </c>
      <c r="F11" s="74" t="s">
        <v>39</v>
      </c>
      <c r="G11" s="74" t="s">
        <v>81</v>
      </c>
      <c r="H11" s="83">
        <v>43483</v>
      </c>
      <c r="I11" s="74">
        <v>19000583</v>
      </c>
      <c r="J11" s="80">
        <v>25863.75</v>
      </c>
      <c r="K11" s="77">
        <v>43537</v>
      </c>
      <c r="L11" s="80">
        <v>24713.75</v>
      </c>
      <c r="M11" s="77">
        <v>43532</v>
      </c>
      <c r="N11" s="74">
        <v>9</v>
      </c>
      <c r="O11" s="77">
        <f>+M11+N11</f>
        <v>43541</v>
      </c>
      <c r="P11" s="74" t="s">
        <v>31</v>
      </c>
      <c r="Q11" s="77">
        <v>43554</v>
      </c>
      <c r="R11" s="77">
        <v>43633</v>
      </c>
      <c r="S11" s="77">
        <v>43633</v>
      </c>
      <c r="T11" s="74" t="s">
        <v>82</v>
      </c>
      <c r="U11" s="77">
        <v>43537</v>
      </c>
      <c r="V11" s="74"/>
      <c r="W11" s="81" t="s">
        <v>83</v>
      </c>
      <c r="X11" s="77">
        <v>43551</v>
      </c>
      <c r="Y11" s="74" t="s">
        <v>34</v>
      </c>
    </row>
    <row r="12" spans="1:25" x14ac:dyDescent="0.25">
      <c r="A12" s="73" t="s">
        <v>84</v>
      </c>
      <c r="B12" s="74" t="s">
        <v>68</v>
      </c>
      <c r="C12" s="74" t="s">
        <v>74</v>
      </c>
      <c r="D12" s="74" t="s">
        <v>74</v>
      </c>
      <c r="E12" s="74">
        <v>23375</v>
      </c>
      <c r="F12" s="74" t="s">
        <v>39</v>
      </c>
      <c r="G12" s="73" t="s">
        <v>84</v>
      </c>
      <c r="H12" s="83">
        <v>43487</v>
      </c>
      <c r="I12" s="74" t="s">
        <v>85</v>
      </c>
      <c r="J12" s="80">
        <v>23141.25</v>
      </c>
      <c r="K12" s="77">
        <v>43531</v>
      </c>
      <c r="L12" s="80">
        <v>22206.25</v>
      </c>
      <c r="M12" s="77">
        <v>43530</v>
      </c>
      <c r="N12" s="74">
        <v>20</v>
      </c>
      <c r="O12" s="77">
        <v>43548</v>
      </c>
      <c r="P12" s="74" t="s">
        <v>31</v>
      </c>
      <c r="Q12" s="77">
        <v>43563</v>
      </c>
      <c r="R12" s="77">
        <v>43621</v>
      </c>
      <c r="S12" s="77">
        <v>43621</v>
      </c>
      <c r="T12" s="74" t="s">
        <v>86</v>
      </c>
      <c r="U12" s="77">
        <v>43530</v>
      </c>
      <c r="V12" s="74"/>
      <c r="W12" s="81" t="s">
        <v>87</v>
      </c>
      <c r="X12" s="77">
        <v>43558</v>
      </c>
      <c r="Y12" s="74" t="s">
        <v>34</v>
      </c>
    </row>
    <row r="13" spans="1:25" x14ac:dyDescent="0.25">
      <c r="A13" s="73" t="s">
        <v>25</v>
      </c>
      <c r="B13" s="74" t="s">
        <v>88</v>
      </c>
      <c r="C13" s="74" t="s">
        <v>89</v>
      </c>
      <c r="D13" s="74" t="s">
        <v>90</v>
      </c>
      <c r="E13" s="74">
        <f>525000+102600+150000</f>
        <v>777600</v>
      </c>
      <c r="F13" s="74" t="s">
        <v>59</v>
      </c>
      <c r="G13" s="74" t="s">
        <v>30</v>
      </c>
      <c r="H13" s="83" t="s">
        <v>25</v>
      </c>
      <c r="I13" s="74" t="s">
        <v>91</v>
      </c>
      <c r="J13" s="80">
        <v>91164.9</v>
      </c>
      <c r="K13" s="77">
        <v>43496</v>
      </c>
      <c r="L13" s="80">
        <v>91481.3</v>
      </c>
      <c r="M13" s="77">
        <v>43532</v>
      </c>
      <c r="N13" s="74">
        <v>18</v>
      </c>
      <c r="O13" s="77">
        <f>+M13+N13</f>
        <v>43550</v>
      </c>
      <c r="P13" s="74" t="s">
        <v>31</v>
      </c>
      <c r="Q13" s="77">
        <v>43560</v>
      </c>
      <c r="R13" s="77" t="s">
        <v>92</v>
      </c>
      <c r="S13" s="77" t="s">
        <v>93</v>
      </c>
      <c r="T13" s="74" t="s">
        <v>94</v>
      </c>
      <c r="U13" s="74">
        <v>43532</v>
      </c>
      <c r="V13" s="74"/>
      <c r="W13" s="81" t="s">
        <v>95</v>
      </c>
      <c r="X13" s="77">
        <v>43557</v>
      </c>
      <c r="Y13" s="91" t="s">
        <v>34</v>
      </c>
    </row>
    <row r="14" spans="1:25" x14ac:dyDescent="0.25">
      <c r="A14" s="73" t="s">
        <v>25</v>
      </c>
      <c r="B14" s="74" t="s">
        <v>26</v>
      </c>
      <c r="C14" s="74" t="s">
        <v>96</v>
      </c>
      <c r="D14" s="74" t="s">
        <v>28</v>
      </c>
      <c r="E14" s="74">
        <v>23265</v>
      </c>
      <c r="F14" s="74" t="s">
        <v>39</v>
      </c>
      <c r="G14" s="74">
        <v>2010600</v>
      </c>
      <c r="H14" s="83">
        <v>43173</v>
      </c>
      <c r="I14" s="74">
        <v>159697</v>
      </c>
      <c r="J14" s="80">
        <v>23265</v>
      </c>
      <c r="K14" s="77">
        <v>43544</v>
      </c>
      <c r="L14" s="78">
        <v>21627</v>
      </c>
      <c r="M14" s="77">
        <v>43542</v>
      </c>
      <c r="N14" s="74">
        <v>6</v>
      </c>
      <c r="O14" s="77">
        <v>43548</v>
      </c>
      <c r="P14" s="74" t="s">
        <v>31</v>
      </c>
      <c r="Q14" s="77">
        <v>43561</v>
      </c>
      <c r="R14" s="77">
        <v>43633</v>
      </c>
      <c r="S14" s="77">
        <v>43633</v>
      </c>
      <c r="T14" s="74" t="s">
        <v>97</v>
      </c>
      <c r="U14" s="77">
        <v>43508</v>
      </c>
      <c r="V14" s="74"/>
      <c r="W14" s="81" t="s">
        <v>98</v>
      </c>
      <c r="X14" s="77">
        <v>43558</v>
      </c>
      <c r="Y14" s="74" t="s">
        <v>34</v>
      </c>
    </row>
    <row r="15" spans="1:25" x14ac:dyDescent="0.25">
      <c r="A15" s="73" t="s">
        <v>25</v>
      </c>
      <c r="B15" s="74" t="s">
        <v>99</v>
      </c>
      <c r="C15" s="74" t="s">
        <v>100</v>
      </c>
      <c r="D15" s="74" t="s">
        <v>100</v>
      </c>
      <c r="E15" s="74">
        <v>9000</v>
      </c>
      <c r="F15" s="74" t="s">
        <v>59</v>
      </c>
      <c r="G15" s="74" t="s">
        <v>101</v>
      </c>
      <c r="H15" s="83">
        <v>43507</v>
      </c>
      <c r="I15" s="74">
        <v>19000398</v>
      </c>
      <c r="J15" s="80">
        <v>37890</v>
      </c>
      <c r="K15" s="77">
        <v>43536</v>
      </c>
      <c r="L15" s="80">
        <v>36670</v>
      </c>
      <c r="M15" s="77">
        <v>43533</v>
      </c>
      <c r="N15" s="74">
        <v>18</v>
      </c>
      <c r="O15" s="77">
        <v>43550</v>
      </c>
      <c r="P15" s="74" t="s">
        <v>31</v>
      </c>
      <c r="Q15" s="77">
        <v>43567</v>
      </c>
      <c r="R15" s="77">
        <v>43518</v>
      </c>
      <c r="S15" s="77">
        <v>43518</v>
      </c>
      <c r="T15" s="74" t="s">
        <v>102</v>
      </c>
      <c r="U15" s="77">
        <v>43543</v>
      </c>
      <c r="V15" s="74"/>
      <c r="W15" s="81" t="s">
        <v>103</v>
      </c>
      <c r="X15" s="77">
        <v>43563</v>
      </c>
      <c r="Y15" s="74" t="s">
        <v>34</v>
      </c>
    </row>
    <row r="16" spans="1:25" x14ac:dyDescent="0.25">
      <c r="A16" s="73" t="s">
        <v>25</v>
      </c>
      <c r="B16" s="74" t="s">
        <v>26</v>
      </c>
      <c r="C16" s="74" t="s">
        <v>96</v>
      </c>
      <c r="D16" s="74" t="s">
        <v>96</v>
      </c>
      <c r="E16" s="74">
        <v>23375</v>
      </c>
      <c r="F16" s="74" t="s">
        <v>39</v>
      </c>
      <c r="G16" s="74">
        <v>20011213</v>
      </c>
      <c r="H16" s="83">
        <v>43564</v>
      </c>
      <c r="I16" s="74">
        <v>164022</v>
      </c>
      <c r="J16" s="80">
        <v>24007.5</v>
      </c>
      <c r="K16" s="77">
        <v>43588</v>
      </c>
      <c r="L16" s="78">
        <v>22369.5</v>
      </c>
      <c r="M16" s="77">
        <v>40298</v>
      </c>
      <c r="N16" s="74">
        <v>10</v>
      </c>
      <c r="O16" s="77">
        <f>+M16+N16</f>
        <v>40308</v>
      </c>
      <c r="P16" s="74" t="s">
        <v>31</v>
      </c>
      <c r="Q16" s="77">
        <v>43600</v>
      </c>
      <c r="R16" s="77">
        <v>43675</v>
      </c>
      <c r="S16" s="77">
        <v>43675</v>
      </c>
      <c r="T16" s="74" t="s">
        <v>104</v>
      </c>
      <c r="U16" s="77">
        <v>43550</v>
      </c>
      <c r="V16" s="74"/>
      <c r="W16" s="81" t="s">
        <v>105</v>
      </c>
      <c r="X16" s="77">
        <v>43593</v>
      </c>
      <c r="Y16" s="74" t="s">
        <v>34</v>
      </c>
    </row>
    <row r="17" spans="1:25" x14ac:dyDescent="0.25">
      <c r="A17" s="73" t="s">
        <v>25</v>
      </c>
      <c r="B17" s="74" t="s">
        <v>26</v>
      </c>
      <c r="C17" s="74" t="s">
        <v>55</v>
      </c>
      <c r="D17" s="74" t="s">
        <v>44</v>
      </c>
      <c r="E17" s="74">
        <v>23375</v>
      </c>
      <c r="F17" s="74" t="s">
        <v>39</v>
      </c>
      <c r="G17" s="74">
        <v>200104090</v>
      </c>
      <c r="H17" s="83">
        <v>43531</v>
      </c>
      <c r="I17" s="74">
        <v>164036</v>
      </c>
      <c r="J17" s="80">
        <v>23842.5</v>
      </c>
      <c r="K17" s="77">
        <v>43585</v>
      </c>
      <c r="L17" s="78">
        <v>22792.5</v>
      </c>
      <c r="M17" s="77">
        <v>43550</v>
      </c>
      <c r="N17" s="74">
        <v>40</v>
      </c>
      <c r="O17" s="77">
        <f>+M17+N17</f>
        <v>43590</v>
      </c>
      <c r="P17" s="74" t="s">
        <v>31</v>
      </c>
      <c r="Q17" s="77">
        <v>43604</v>
      </c>
      <c r="R17" s="77">
        <v>43675</v>
      </c>
      <c r="S17" s="77">
        <v>43675</v>
      </c>
      <c r="T17" s="74" t="s">
        <v>106</v>
      </c>
      <c r="U17" s="77">
        <v>43585</v>
      </c>
      <c r="V17" s="74"/>
      <c r="W17" s="81" t="s">
        <v>107</v>
      </c>
      <c r="X17" s="77">
        <v>43598</v>
      </c>
      <c r="Y17" s="74" t="s">
        <v>34</v>
      </c>
    </row>
    <row r="18" spans="1:25" x14ac:dyDescent="0.25">
      <c r="A18" s="73" t="s">
        <v>25</v>
      </c>
      <c r="B18" s="74" t="s">
        <v>68</v>
      </c>
      <c r="C18" s="74" t="s">
        <v>108</v>
      </c>
      <c r="D18" s="74" t="s">
        <v>108</v>
      </c>
      <c r="E18" s="74">
        <v>23375</v>
      </c>
      <c r="F18" s="74" t="s">
        <v>39</v>
      </c>
      <c r="G18" s="74" t="s">
        <v>109</v>
      </c>
      <c r="H18" s="83">
        <v>43566</v>
      </c>
      <c r="I18" s="74" t="s">
        <v>110</v>
      </c>
      <c r="J18" s="80">
        <v>24310</v>
      </c>
      <c r="K18" s="77">
        <v>43594</v>
      </c>
      <c r="L18" s="80">
        <v>23328.25</v>
      </c>
      <c r="M18" s="77">
        <v>43592</v>
      </c>
      <c r="N18" s="77">
        <v>6</v>
      </c>
      <c r="O18" s="77">
        <v>43598</v>
      </c>
      <c r="P18" s="74" t="s">
        <v>31</v>
      </c>
      <c r="Q18" s="77">
        <v>43612</v>
      </c>
      <c r="R18" s="77">
        <v>43682</v>
      </c>
      <c r="S18" s="77">
        <v>43682</v>
      </c>
      <c r="T18" s="74" t="s">
        <v>111</v>
      </c>
      <c r="U18" s="77">
        <v>43590</v>
      </c>
      <c r="V18" s="74"/>
      <c r="W18" s="81" t="s">
        <v>112</v>
      </c>
      <c r="X18" s="77">
        <v>43607</v>
      </c>
      <c r="Y18" s="74" t="s">
        <v>34</v>
      </c>
    </row>
    <row r="19" spans="1:25" x14ac:dyDescent="0.25">
      <c r="A19" s="73" t="s">
        <v>25</v>
      </c>
      <c r="B19" s="74" t="s">
        <v>68</v>
      </c>
      <c r="C19" s="74" t="s">
        <v>113</v>
      </c>
      <c r="D19" s="74" t="s">
        <v>113</v>
      </c>
      <c r="E19" s="74">
        <v>23375</v>
      </c>
      <c r="F19" s="74" t="s">
        <v>39</v>
      </c>
      <c r="G19" s="74" t="s">
        <v>114</v>
      </c>
      <c r="H19" s="83">
        <v>43572</v>
      </c>
      <c r="I19" s="74" t="s">
        <v>115</v>
      </c>
      <c r="J19" s="80">
        <v>23491.88</v>
      </c>
      <c r="K19" s="77">
        <v>43601</v>
      </c>
      <c r="L19" s="80">
        <v>22510.13</v>
      </c>
      <c r="M19" s="77">
        <v>43599</v>
      </c>
      <c r="N19" s="74">
        <v>6</v>
      </c>
      <c r="O19" s="77">
        <v>43605</v>
      </c>
      <c r="P19" s="74" t="s">
        <v>31</v>
      </c>
      <c r="Q19" s="77">
        <v>43612</v>
      </c>
      <c r="R19" s="74"/>
      <c r="S19" s="74"/>
      <c r="T19" s="74" t="s">
        <v>116</v>
      </c>
      <c r="U19" s="77">
        <v>43600</v>
      </c>
      <c r="V19" s="74"/>
      <c r="W19" s="81" t="s">
        <v>117</v>
      </c>
      <c r="X19" s="77">
        <v>43608</v>
      </c>
      <c r="Y19" s="74" t="s">
        <v>34</v>
      </c>
    </row>
    <row r="20" spans="1:25" x14ac:dyDescent="0.25">
      <c r="A20" s="73" t="s">
        <v>25</v>
      </c>
      <c r="B20" s="74" t="s">
        <v>88</v>
      </c>
      <c r="C20" s="74" t="s">
        <v>118</v>
      </c>
      <c r="D20" s="74" t="s">
        <v>118</v>
      </c>
      <c r="E20" s="74">
        <f>210000+180000</f>
        <v>390000</v>
      </c>
      <c r="F20" s="74" t="s">
        <v>59</v>
      </c>
      <c r="G20" s="74" t="s">
        <v>25</v>
      </c>
      <c r="H20" s="83" t="s">
        <v>25</v>
      </c>
      <c r="I20" s="74" t="s">
        <v>119</v>
      </c>
      <c r="J20" s="80">
        <v>23683.8</v>
      </c>
      <c r="K20" s="77">
        <v>43609</v>
      </c>
      <c r="L20" s="80">
        <v>23894.7</v>
      </c>
      <c r="M20" s="77">
        <v>43613</v>
      </c>
      <c r="N20" s="74">
        <v>6</v>
      </c>
      <c r="O20" s="77">
        <v>43620</v>
      </c>
      <c r="P20" s="74" t="s">
        <v>54</v>
      </c>
      <c r="Q20" s="77">
        <v>43623</v>
      </c>
      <c r="R20" s="77">
        <v>43691</v>
      </c>
      <c r="S20" s="77">
        <v>43691</v>
      </c>
      <c r="T20" s="81" t="s">
        <v>120</v>
      </c>
      <c r="U20" s="74">
        <v>43614</v>
      </c>
      <c r="V20" s="74"/>
      <c r="W20" s="81" t="s">
        <v>121</v>
      </c>
      <c r="X20" s="77">
        <v>43622</v>
      </c>
      <c r="Y20" s="91" t="s">
        <v>34</v>
      </c>
    </row>
    <row r="21" spans="1:25" x14ac:dyDescent="0.25">
      <c r="A21" s="73" t="s">
        <v>25</v>
      </c>
      <c r="B21" s="74" t="s">
        <v>26</v>
      </c>
      <c r="C21" s="74" t="s">
        <v>122</v>
      </c>
      <c r="D21" s="74" t="s">
        <v>123</v>
      </c>
      <c r="E21" s="74">
        <v>5000</v>
      </c>
      <c r="F21" s="74" t="s">
        <v>59</v>
      </c>
      <c r="G21" s="74">
        <v>20011955</v>
      </c>
      <c r="H21" s="83">
        <v>43598</v>
      </c>
      <c r="I21" s="74">
        <v>166001</v>
      </c>
      <c r="J21" s="80">
        <v>4500</v>
      </c>
      <c r="K21" s="77">
        <v>43609</v>
      </c>
      <c r="L21" s="78">
        <v>4071.43</v>
      </c>
      <c r="M21" s="74" t="s">
        <v>124</v>
      </c>
      <c r="N21" s="74" t="s">
        <v>125</v>
      </c>
      <c r="O21" s="74" t="s">
        <v>124</v>
      </c>
      <c r="P21" s="74" t="s">
        <v>31</v>
      </c>
      <c r="Q21" s="77">
        <v>43629</v>
      </c>
      <c r="R21" s="77">
        <v>43675</v>
      </c>
      <c r="S21" s="77" t="s">
        <v>126</v>
      </c>
      <c r="T21" s="74" t="s">
        <v>127</v>
      </c>
      <c r="U21" s="77">
        <v>42693</v>
      </c>
      <c r="V21" s="74"/>
      <c r="W21" s="81" t="s">
        <v>128</v>
      </c>
      <c r="X21" s="77">
        <v>43622</v>
      </c>
      <c r="Y21" s="74" t="s">
        <v>34</v>
      </c>
    </row>
    <row r="22" spans="1:25" x14ac:dyDescent="0.25">
      <c r="A22" s="73" t="s">
        <v>25</v>
      </c>
      <c r="B22" s="74" t="s">
        <v>129</v>
      </c>
      <c r="C22" s="74" t="s">
        <v>130</v>
      </c>
      <c r="D22" s="74" t="s">
        <v>48</v>
      </c>
      <c r="E22" s="74">
        <v>18</v>
      </c>
      <c r="F22" s="74" t="s">
        <v>131</v>
      </c>
      <c r="G22" s="74" t="s">
        <v>132</v>
      </c>
      <c r="H22" s="83">
        <v>43606</v>
      </c>
      <c r="I22" s="74" t="s">
        <v>132</v>
      </c>
      <c r="J22" s="85">
        <v>7791</v>
      </c>
      <c r="K22" s="83">
        <v>43606</v>
      </c>
      <c r="L22" s="80">
        <v>8901.41</v>
      </c>
      <c r="M22" s="77">
        <v>43603</v>
      </c>
      <c r="N22" s="74">
        <v>6</v>
      </c>
      <c r="O22" s="77">
        <v>43620</v>
      </c>
      <c r="P22" s="74" t="s">
        <v>54</v>
      </c>
      <c r="Q22" s="77">
        <v>43629</v>
      </c>
      <c r="R22" s="77">
        <v>43593</v>
      </c>
      <c r="S22" s="77">
        <v>43593</v>
      </c>
      <c r="T22" s="74">
        <v>19078001</v>
      </c>
      <c r="U22" s="77">
        <v>43612</v>
      </c>
      <c r="V22" s="74"/>
      <c r="W22" s="81" t="s">
        <v>133</v>
      </c>
      <c r="X22" s="77">
        <v>43628</v>
      </c>
      <c r="Y22" s="74" t="s">
        <v>34</v>
      </c>
    </row>
    <row r="23" spans="1:25" x14ac:dyDescent="0.25">
      <c r="A23" s="73" t="s">
        <v>25</v>
      </c>
      <c r="B23" s="74" t="s">
        <v>68</v>
      </c>
      <c r="C23" s="74" t="s">
        <v>113</v>
      </c>
      <c r="D23" s="74" t="s">
        <v>113</v>
      </c>
      <c r="E23" s="74">
        <v>23375</v>
      </c>
      <c r="F23" s="74" t="s">
        <v>39</v>
      </c>
      <c r="G23" s="74">
        <v>138382</v>
      </c>
      <c r="H23" s="83">
        <v>43594</v>
      </c>
      <c r="I23" s="74" t="s">
        <v>134</v>
      </c>
      <c r="J23" s="80">
        <v>24426.880000000001</v>
      </c>
      <c r="K23" s="77">
        <v>43621</v>
      </c>
      <c r="L23" s="80">
        <v>23445.13</v>
      </c>
      <c r="M23" s="77">
        <v>43609</v>
      </c>
      <c r="N23" s="74">
        <v>6</v>
      </c>
      <c r="O23" s="77">
        <v>43626</v>
      </c>
      <c r="P23" s="74" t="s">
        <v>31</v>
      </c>
      <c r="Q23" s="77">
        <v>43632</v>
      </c>
      <c r="R23" s="77">
        <v>43711</v>
      </c>
      <c r="S23" s="77">
        <v>43711</v>
      </c>
      <c r="T23" s="74" t="s">
        <v>135</v>
      </c>
      <c r="U23" s="77">
        <v>43621</v>
      </c>
      <c r="V23" s="74"/>
      <c r="W23" s="81" t="s">
        <v>136</v>
      </c>
      <c r="X23" s="77">
        <v>43629</v>
      </c>
      <c r="Y23" s="74" t="s">
        <v>34</v>
      </c>
    </row>
    <row r="24" spans="1:25" x14ac:dyDescent="0.25">
      <c r="A24" s="73" t="s">
        <v>25</v>
      </c>
      <c r="B24" s="74" t="s">
        <v>26</v>
      </c>
      <c r="C24" s="74" t="s">
        <v>55</v>
      </c>
      <c r="D24" s="74" t="s">
        <v>44</v>
      </c>
      <c r="E24" s="74">
        <v>23375</v>
      </c>
      <c r="F24" s="74" t="s">
        <v>39</v>
      </c>
      <c r="G24" s="74" t="s">
        <v>137</v>
      </c>
      <c r="H24" s="83">
        <v>43564</v>
      </c>
      <c r="I24" s="74">
        <v>166996</v>
      </c>
      <c r="J24" s="80">
        <v>23959.38</v>
      </c>
      <c r="K24" s="77">
        <v>43613</v>
      </c>
      <c r="L24" s="78">
        <v>22909.38</v>
      </c>
      <c r="M24" s="77">
        <v>43613</v>
      </c>
      <c r="N24" s="74">
        <v>8</v>
      </c>
      <c r="O24" s="77">
        <v>43623</v>
      </c>
      <c r="P24" s="74" t="s">
        <v>31</v>
      </c>
      <c r="Q24" s="77">
        <v>43629</v>
      </c>
      <c r="R24" s="77">
        <v>43703</v>
      </c>
      <c r="S24" s="77">
        <v>43703</v>
      </c>
      <c r="T24" s="74" t="s">
        <v>138</v>
      </c>
      <c r="U24" s="77">
        <v>43612</v>
      </c>
      <c r="V24" s="74"/>
      <c r="W24" s="81" t="s">
        <v>139</v>
      </c>
      <c r="X24" s="77">
        <v>43626</v>
      </c>
      <c r="Y24" s="74" t="s">
        <v>34</v>
      </c>
    </row>
    <row r="25" spans="1:25" x14ac:dyDescent="0.25">
      <c r="A25" s="73" t="s">
        <v>25</v>
      </c>
      <c r="B25" s="74" t="s">
        <v>56</v>
      </c>
      <c r="C25" s="74" t="s">
        <v>57</v>
      </c>
      <c r="D25" s="74" t="s">
        <v>140</v>
      </c>
      <c r="E25" s="74">
        <f>270*20000</f>
        <v>5400000</v>
      </c>
      <c r="F25" s="74" t="s">
        <v>59</v>
      </c>
      <c r="G25" s="74" t="s">
        <v>141</v>
      </c>
      <c r="H25" s="83">
        <v>43560</v>
      </c>
      <c r="I25" s="74">
        <v>190508</v>
      </c>
      <c r="J25" s="80">
        <v>10800</v>
      </c>
      <c r="K25" s="77">
        <v>43593</v>
      </c>
      <c r="L25" s="80">
        <v>10780</v>
      </c>
      <c r="M25" s="77">
        <v>43604</v>
      </c>
      <c r="N25" s="74">
        <v>25</v>
      </c>
      <c r="O25" s="77">
        <f>+M25+N25</f>
        <v>43629</v>
      </c>
      <c r="P25" s="74" t="s">
        <v>40</v>
      </c>
      <c r="Q25" s="77">
        <v>43641</v>
      </c>
      <c r="R25" s="77">
        <v>43560</v>
      </c>
      <c r="S25" s="77">
        <v>43560</v>
      </c>
      <c r="T25" s="74" t="s">
        <v>142</v>
      </c>
      <c r="U25" s="77">
        <v>43604</v>
      </c>
      <c r="V25" s="74"/>
      <c r="W25" s="81" t="s">
        <v>143</v>
      </c>
      <c r="X25" s="77">
        <v>43634</v>
      </c>
      <c r="Y25" s="74" t="s">
        <v>34</v>
      </c>
    </row>
    <row r="26" spans="1:25" x14ac:dyDescent="0.25">
      <c r="A26" s="73" t="s">
        <v>25</v>
      </c>
      <c r="B26" s="74" t="s">
        <v>68</v>
      </c>
      <c r="C26" s="74" t="s">
        <v>144</v>
      </c>
      <c r="D26" s="74" t="s">
        <v>144</v>
      </c>
      <c r="E26" s="74">
        <v>23375</v>
      </c>
      <c r="F26" s="74" t="s">
        <v>39</v>
      </c>
      <c r="G26" s="74">
        <v>138481</v>
      </c>
      <c r="H26" s="83">
        <v>43602</v>
      </c>
      <c r="I26" s="74" t="s">
        <v>145</v>
      </c>
      <c r="J26" s="80">
        <v>24426.880000000001</v>
      </c>
      <c r="K26" s="77">
        <v>43628</v>
      </c>
      <c r="L26" s="80">
        <v>23445.13</v>
      </c>
      <c r="M26" s="77">
        <v>43627</v>
      </c>
      <c r="N26" s="74">
        <v>6</v>
      </c>
      <c r="O26" s="77">
        <v>43633</v>
      </c>
      <c r="P26" s="74" t="s">
        <v>31</v>
      </c>
      <c r="Q26" s="77">
        <v>43642</v>
      </c>
      <c r="R26" s="77">
        <v>43718</v>
      </c>
      <c r="S26" s="77">
        <v>43718</v>
      </c>
      <c r="T26" s="74" t="s">
        <v>146</v>
      </c>
      <c r="U26" s="77">
        <v>43627</v>
      </c>
      <c r="V26" s="74"/>
      <c r="W26" s="81" t="s">
        <v>147</v>
      </c>
      <c r="X26" s="77">
        <v>43637</v>
      </c>
      <c r="Y26" s="74" t="s">
        <v>34</v>
      </c>
    </row>
    <row r="27" spans="1:25" x14ac:dyDescent="0.25">
      <c r="A27" s="73" t="s">
        <v>25</v>
      </c>
      <c r="B27" s="74" t="s">
        <v>68</v>
      </c>
      <c r="C27" s="74" t="s">
        <v>113</v>
      </c>
      <c r="D27" s="74" t="s">
        <v>113</v>
      </c>
      <c r="E27" s="74">
        <v>23375</v>
      </c>
      <c r="F27" s="74" t="s">
        <v>39</v>
      </c>
      <c r="G27" s="74">
        <v>138482</v>
      </c>
      <c r="H27" s="83">
        <v>43602</v>
      </c>
      <c r="I27" s="74" t="s">
        <v>148</v>
      </c>
      <c r="J27" s="80">
        <v>23538.63</v>
      </c>
      <c r="K27" s="77">
        <v>43635</v>
      </c>
      <c r="L27" s="80">
        <v>22556.880000000001</v>
      </c>
      <c r="M27" s="77">
        <v>43635</v>
      </c>
      <c r="N27" s="74">
        <v>6</v>
      </c>
      <c r="O27" s="77">
        <v>43641</v>
      </c>
      <c r="P27" s="74" t="s">
        <v>31</v>
      </c>
      <c r="Q27" s="77">
        <v>43648</v>
      </c>
      <c r="R27" s="77">
        <v>42625</v>
      </c>
      <c r="S27" s="77">
        <v>43726</v>
      </c>
      <c r="T27" s="74" t="s">
        <v>149</v>
      </c>
      <c r="U27" s="77">
        <v>43633</v>
      </c>
      <c r="V27" s="74"/>
      <c r="W27" s="81" t="s">
        <v>150</v>
      </c>
      <c r="X27" s="77">
        <v>43643</v>
      </c>
      <c r="Y27" s="74" t="s">
        <v>34</v>
      </c>
    </row>
    <row r="28" spans="1:25" x14ac:dyDescent="0.25">
      <c r="A28" s="73" t="s">
        <v>25</v>
      </c>
      <c r="B28" s="74" t="s">
        <v>68</v>
      </c>
      <c r="C28" s="74" t="s">
        <v>151</v>
      </c>
      <c r="D28" s="74" t="s">
        <v>151</v>
      </c>
      <c r="E28" s="74">
        <v>23375</v>
      </c>
      <c r="F28" s="74" t="s">
        <v>39</v>
      </c>
      <c r="G28" s="74">
        <v>138484</v>
      </c>
      <c r="H28" s="83">
        <v>43602</v>
      </c>
      <c r="I28" s="74" t="s">
        <v>152</v>
      </c>
      <c r="J28" s="80">
        <v>23583.63</v>
      </c>
      <c r="K28" s="77">
        <v>43656</v>
      </c>
      <c r="L28" s="80">
        <v>22556.880000000001</v>
      </c>
      <c r="M28" s="77">
        <v>43657</v>
      </c>
      <c r="N28" s="74">
        <v>5</v>
      </c>
      <c r="O28" s="77">
        <f>+M28+N28</f>
        <v>43662</v>
      </c>
      <c r="P28" s="74" t="s">
        <v>31</v>
      </c>
      <c r="Q28" s="77">
        <v>43658</v>
      </c>
      <c r="R28" s="74"/>
      <c r="S28" s="77">
        <v>43746</v>
      </c>
      <c r="T28" s="74" t="s">
        <v>153</v>
      </c>
      <c r="U28" s="77">
        <v>43654</v>
      </c>
      <c r="V28" s="74"/>
      <c r="W28" s="81" t="s">
        <v>154</v>
      </c>
      <c r="X28" s="77">
        <v>43663</v>
      </c>
      <c r="Y28" s="74" t="s">
        <v>34</v>
      </c>
    </row>
    <row r="29" spans="1:25" x14ac:dyDescent="0.25">
      <c r="A29" s="73" t="s">
        <v>25</v>
      </c>
      <c r="B29" s="74" t="s">
        <v>88</v>
      </c>
      <c r="C29" s="74" t="s">
        <v>89</v>
      </c>
      <c r="D29" s="74" t="s">
        <v>155</v>
      </c>
      <c r="E29" s="74">
        <f>232.5+1012.5+199.5</f>
        <v>1444.5</v>
      </c>
      <c r="F29" s="74" t="s">
        <v>59</v>
      </c>
      <c r="G29" s="74" t="s">
        <v>156</v>
      </c>
      <c r="H29" s="83">
        <v>43634</v>
      </c>
      <c r="I29" s="74" t="s">
        <v>156</v>
      </c>
      <c r="J29" s="80">
        <v>71475</v>
      </c>
      <c r="K29" s="77">
        <v>43634</v>
      </c>
      <c r="L29" s="80">
        <v>71791.399999999994</v>
      </c>
      <c r="M29" s="77">
        <v>43651</v>
      </c>
      <c r="N29" s="74">
        <v>7</v>
      </c>
      <c r="O29" s="77">
        <v>43662</v>
      </c>
      <c r="P29" s="74" t="s">
        <v>31</v>
      </c>
      <c r="Q29" s="77">
        <v>43669</v>
      </c>
      <c r="R29" s="77">
        <f>+K29+90</f>
        <v>43724</v>
      </c>
      <c r="S29" s="77">
        <v>43727</v>
      </c>
      <c r="T29" s="74" t="s">
        <v>157</v>
      </c>
      <c r="U29" s="74">
        <v>43648</v>
      </c>
      <c r="V29" s="74"/>
      <c r="W29" s="81" t="s">
        <v>158</v>
      </c>
      <c r="X29" s="77">
        <v>43664</v>
      </c>
      <c r="Y29" s="91" t="s">
        <v>34</v>
      </c>
    </row>
    <row r="30" spans="1:25" x14ac:dyDescent="0.25">
      <c r="A30" s="73" t="s">
        <v>25</v>
      </c>
      <c r="B30" s="74" t="s">
        <v>159</v>
      </c>
      <c r="C30" s="74" t="s">
        <v>160</v>
      </c>
      <c r="D30" s="74" t="s">
        <v>161</v>
      </c>
      <c r="E30" s="74">
        <v>1</v>
      </c>
      <c r="F30" s="74" t="s">
        <v>131</v>
      </c>
      <c r="G30" s="74">
        <v>358716</v>
      </c>
      <c r="H30" s="83">
        <v>43661</v>
      </c>
      <c r="I30" s="74">
        <v>358716</v>
      </c>
      <c r="J30" s="85">
        <v>18500</v>
      </c>
      <c r="K30" s="83">
        <v>43661</v>
      </c>
      <c r="L30" s="80">
        <v>21078.3</v>
      </c>
      <c r="M30" s="77">
        <v>43664</v>
      </c>
      <c r="N30" s="74">
        <v>2</v>
      </c>
      <c r="O30" s="77">
        <v>43666</v>
      </c>
      <c r="P30" s="74" t="s">
        <v>54</v>
      </c>
      <c r="Q30" s="77">
        <v>43670</v>
      </c>
      <c r="R30" s="77" t="s">
        <v>162</v>
      </c>
      <c r="S30" s="77" t="s">
        <v>162</v>
      </c>
      <c r="T30" s="74" t="s">
        <v>163</v>
      </c>
      <c r="U30" s="77">
        <v>43661</v>
      </c>
      <c r="V30" s="74"/>
      <c r="W30" s="81" t="s">
        <v>164</v>
      </c>
      <c r="X30" s="77">
        <v>43671</v>
      </c>
      <c r="Y30" s="74" t="s">
        <v>34</v>
      </c>
    </row>
    <row r="31" spans="1:25" x14ac:dyDescent="0.25">
      <c r="A31" s="73" t="s">
        <v>25</v>
      </c>
      <c r="B31" s="74" t="s">
        <v>165</v>
      </c>
      <c r="C31" s="74" t="s">
        <v>166</v>
      </c>
      <c r="D31" s="74" t="s">
        <v>166</v>
      </c>
      <c r="E31" s="74">
        <v>1</v>
      </c>
      <c r="F31" s="74" t="s">
        <v>131</v>
      </c>
      <c r="G31" s="74">
        <v>11062</v>
      </c>
      <c r="H31" s="83">
        <v>43668</v>
      </c>
      <c r="I31" s="74">
        <v>11062</v>
      </c>
      <c r="J31" s="80">
        <v>57575</v>
      </c>
      <c r="K31" s="83">
        <v>43668</v>
      </c>
      <c r="L31" s="80">
        <v>58025</v>
      </c>
      <c r="M31" s="77">
        <v>43665</v>
      </c>
      <c r="N31" s="74">
        <v>2</v>
      </c>
      <c r="O31" s="77">
        <v>43669</v>
      </c>
      <c r="P31" s="74" t="s">
        <v>54</v>
      </c>
      <c r="Q31" s="77">
        <v>43672</v>
      </c>
      <c r="R31" s="74" t="s">
        <v>167</v>
      </c>
      <c r="S31" s="74" t="s">
        <v>167</v>
      </c>
      <c r="T31" s="74" t="s">
        <v>168</v>
      </c>
      <c r="U31" s="77">
        <v>43668</v>
      </c>
      <c r="V31" s="74"/>
      <c r="W31" s="81" t="s">
        <v>169</v>
      </c>
      <c r="X31" s="77">
        <v>43671</v>
      </c>
      <c r="Y31" s="74" t="s">
        <v>34</v>
      </c>
    </row>
    <row r="32" spans="1:25" x14ac:dyDescent="0.25">
      <c r="A32" s="73" t="s">
        <v>25</v>
      </c>
      <c r="B32" s="74" t="s">
        <v>129</v>
      </c>
      <c r="C32" s="74" t="s">
        <v>48</v>
      </c>
      <c r="D32" s="74" t="s">
        <v>170</v>
      </c>
      <c r="E32" s="74">
        <v>2</v>
      </c>
      <c r="F32" s="74" t="s">
        <v>51</v>
      </c>
      <c r="G32" s="74" t="s">
        <v>171</v>
      </c>
      <c r="H32" s="83">
        <v>43665</v>
      </c>
      <c r="I32" s="74" t="s">
        <v>171</v>
      </c>
      <c r="J32" s="85">
        <v>384</v>
      </c>
      <c r="K32" s="77">
        <v>43665</v>
      </c>
      <c r="L32" s="80"/>
      <c r="M32" s="77">
        <v>43664</v>
      </c>
      <c r="N32" s="74">
        <v>4</v>
      </c>
      <c r="O32" s="77">
        <v>43668</v>
      </c>
      <c r="P32" s="74" t="s">
        <v>54</v>
      </c>
      <c r="Q32" s="77">
        <v>43672</v>
      </c>
      <c r="R32" s="77">
        <v>43672</v>
      </c>
      <c r="S32" s="74"/>
      <c r="T32" s="74" t="s">
        <v>172</v>
      </c>
      <c r="U32" s="77">
        <v>43668</v>
      </c>
      <c r="V32" s="74"/>
      <c r="W32" s="81" t="s">
        <v>172</v>
      </c>
      <c r="X32" s="77">
        <v>43668</v>
      </c>
      <c r="Y32" s="74" t="s">
        <v>34</v>
      </c>
    </row>
    <row r="33" spans="1:25" x14ac:dyDescent="0.25">
      <c r="A33" s="73" t="s">
        <v>25</v>
      </c>
      <c r="B33" s="74" t="s">
        <v>26</v>
      </c>
      <c r="C33" s="74" t="s">
        <v>173</v>
      </c>
      <c r="D33" s="74" t="s">
        <v>173</v>
      </c>
      <c r="E33" s="74">
        <v>24750</v>
      </c>
      <c r="F33" s="74" t="s">
        <v>39</v>
      </c>
      <c r="G33" s="74">
        <v>20012961</v>
      </c>
      <c r="H33" s="83">
        <v>43648</v>
      </c>
      <c r="I33" s="74">
        <v>170643</v>
      </c>
      <c r="J33" s="85">
        <v>23017.5</v>
      </c>
      <c r="K33" s="77">
        <v>43672</v>
      </c>
      <c r="L33" s="78">
        <v>21379.5</v>
      </c>
      <c r="M33" s="77">
        <v>43613</v>
      </c>
      <c r="N33" s="74">
        <v>6</v>
      </c>
      <c r="O33" s="77">
        <v>43676</v>
      </c>
      <c r="P33" s="74" t="s">
        <v>31</v>
      </c>
      <c r="Q33" s="77">
        <v>43681</v>
      </c>
      <c r="R33" s="77">
        <f>+K33+90</f>
        <v>43762</v>
      </c>
      <c r="S33" s="77">
        <v>43766</v>
      </c>
      <c r="T33" s="74" t="s">
        <v>174</v>
      </c>
      <c r="U33" s="77">
        <v>43611</v>
      </c>
      <c r="V33" s="74"/>
      <c r="W33" s="79">
        <v>482019000574913</v>
      </c>
      <c r="X33" s="77">
        <v>43677</v>
      </c>
      <c r="Y33" s="74" t="s">
        <v>34</v>
      </c>
    </row>
    <row r="34" spans="1:25" x14ac:dyDescent="0.25">
      <c r="A34" s="73" t="s">
        <v>25</v>
      </c>
      <c r="B34" s="74" t="s">
        <v>68</v>
      </c>
      <c r="C34" s="74" t="s">
        <v>175</v>
      </c>
      <c r="D34" s="74" t="s">
        <v>175</v>
      </c>
      <c r="E34" s="74">
        <v>23375</v>
      </c>
      <c r="F34" s="74" t="s">
        <v>39</v>
      </c>
      <c r="G34" s="74" t="s">
        <v>176</v>
      </c>
      <c r="H34" s="83">
        <v>43649</v>
      </c>
      <c r="I34" s="74" t="s">
        <v>177</v>
      </c>
      <c r="J34" s="85">
        <v>23036.75</v>
      </c>
      <c r="K34" s="77">
        <v>43677</v>
      </c>
      <c r="L34" s="80">
        <v>22055</v>
      </c>
      <c r="M34" s="77">
        <v>43676</v>
      </c>
      <c r="N34" s="74">
        <v>6</v>
      </c>
      <c r="O34" s="77">
        <v>43682</v>
      </c>
      <c r="P34" s="74" t="s">
        <v>31</v>
      </c>
      <c r="Q34" s="77">
        <v>43687</v>
      </c>
      <c r="R34" s="77">
        <f t="shared" ref="R34:R40" si="0">+K34+90</f>
        <v>43767</v>
      </c>
      <c r="S34" s="77">
        <v>43769</v>
      </c>
      <c r="T34" s="74" t="s">
        <v>178</v>
      </c>
      <c r="U34" s="77">
        <v>43676</v>
      </c>
      <c r="V34" s="74"/>
      <c r="W34" s="79">
        <v>482019000604643</v>
      </c>
      <c r="X34" s="77">
        <v>43685</v>
      </c>
      <c r="Y34" s="74" t="s">
        <v>34</v>
      </c>
    </row>
    <row r="35" spans="1:25" ht="15" customHeight="1" x14ac:dyDescent="0.25">
      <c r="A35" s="73" t="s">
        <v>25</v>
      </c>
      <c r="B35" s="74" t="s">
        <v>88</v>
      </c>
      <c r="C35" s="74" t="s">
        <v>89</v>
      </c>
      <c r="D35" s="74" t="s">
        <v>155</v>
      </c>
      <c r="E35" s="74">
        <f>428.78+336+1012.5+525</f>
        <v>2302.2799999999997</v>
      </c>
      <c r="F35" s="74" t="s">
        <v>179</v>
      </c>
      <c r="G35" s="74">
        <v>13659</v>
      </c>
      <c r="H35" s="83">
        <v>43644</v>
      </c>
      <c r="I35" s="74" t="s">
        <v>180</v>
      </c>
      <c r="J35" s="80">
        <v>126904.68</v>
      </c>
      <c r="K35" s="77">
        <v>43644</v>
      </c>
      <c r="L35" s="80">
        <v>127520.68</v>
      </c>
      <c r="M35" s="77">
        <v>43669</v>
      </c>
      <c r="N35" s="74">
        <f>+O35-M35</f>
        <v>14</v>
      </c>
      <c r="O35" s="77">
        <v>43683</v>
      </c>
      <c r="P35" s="74" t="s">
        <v>31</v>
      </c>
      <c r="Q35" s="77">
        <v>43689</v>
      </c>
      <c r="R35" s="77">
        <f t="shared" si="0"/>
        <v>43734</v>
      </c>
      <c r="S35" s="77" t="s">
        <v>181</v>
      </c>
      <c r="T35" s="74" t="s">
        <v>182</v>
      </c>
      <c r="U35" s="74">
        <v>43669</v>
      </c>
      <c r="V35" s="74"/>
      <c r="W35" s="82">
        <v>482019000608233</v>
      </c>
      <c r="X35" s="77" t="s">
        <v>183</v>
      </c>
      <c r="Y35" s="91" t="s">
        <v>34</v>
      </c>
    </row>
    <row r="36" spans="1:25" ht="15" customHeight="1" x14ac:dyDescent="0.25">
      <c r="A36" s="73" t="s">
        <v>25</v>
      </c>
      <c r="B36" s="74" t="s">
        <v>68</v>
      </c>
      <c r="C36" s="74" t="s">
        <v>184</v>
      </c>
      <c r="D36" s="74" t="s">
        <v>185</v>
      </c>
      <c r="E36" s="74">
        <v>23375</v>
      </c>
      <c r="F36" s="74" t="s">
        <v>39</v>
      </c>
      <c r="G36" s="74" t="s">
        <v>186</v>
      </c>
      <c r="H36" s="83">
        <v>116699</v>
      </c>
      <c r="I36" s="74" t="s">
        <v>187</v>
      </c>
      <c r="J36" s="85">
        <v>21738.75</v>
      </c>
      <c r="K36" s="77">
        <v>43703</v>
      </c>
      <c r="L36" s="80">
        <v>21738.75</v>
      </c>
      <c r="M36" s="77">
        <v>43700</v>
      </c>
      <c r="N36" s="74">
        <v>6</v>
      </c>
      <c r="O36" s="77">
        <v>43706</v>
      </c>
      <c r="P36" s="74" t="s">
        <v>31</v>
      </c>
      <c r="Q36" s="77">
        <v>43505</v>
      </c>
      <c r="R36" s="77">
        <f t="shared" ref="R36" si="1">+K36+90</f>
        <v>43793</v>
      </c>
      <c r="S36" s="77">
        <v>43791</v>
      </c>
      <c r="T36" s="74" t="s">
        <v>188</v>
      </c>
      <c r="U36" s="77">
        <v>43700</v>
      </c>
      <c r="V36" s="74"/>
      <c r="W36" s="79">
        <v>482019000671980</v>
      </c>
      <c r="X36" s="77">
        <v>43710</v>
      </c>
      <c r="Y36" s="74" t="s">
        <v>34</v>
      </c>
    </row>
    <row r="37" spans="1:25" ht="15" customHeight="1" x14ac:dyDescent="0.25">
      <c r="A37" s="73" t="s">
        <v>25</v>
      </c>
      <c r="B37" s="74" t="s">
        <v>68</v>
      </c>
      <c r="C37" s="74" t="s">
        <v>189</v>
      </c>
      <c r="D37" s="74" t="s">
        <v>190</v>
      </c>
      <c r="E37" s="74">
        <v>23375</v>
      </c>
      <c r="F37" s="74" t="s">
        <v>39</v>
      </c>
      <c r="G37" s="74" t="s">
        <v>191</v>
      </c>
      <c r="H37" s="83">
        <v>43651</v>
      </c>
      <c r="I37" s="74" t="s">
        <v>192</v>
      </c>
      <c r="J37" s="85">
        <v>22907.5</v>
      </c>
      <c r="K37" s="77">
        <v>43689</v>
      </c>
      <c r="L37" s="80">
        <v>21879</v>
      </c>
      <c r="M37" s="77">
        <v>43689</v>
      </c>
      <c r="N37" s="74">
        <v>4</v>
      </c>
      <c r="O37" s="77">
        <v>43693</v>
      </c>
      <c r="P37" s="74" t="s">
        <v>31</v>
      </c>
      <c r="Q37" s="77">
        <v>43693</v>
      </c>
      <c r="R37" s="77">
        <f t="shared" si="0"/>
        <v>43779</v>
      </c>
      <c r="S37" s="77">
        <v>43778</v>
      </c>
      <c r="T37" s="74" t="s">
        <v>193</v>
      </c>
      <c r="U37" s="77">
        <v>43689</v>
      </c>
      <c r="V37" s="74"/>
      <c r="W37" s="79">
        <v>482019000640024</v>
      </c>
      <c r="X37" s="77">
        <v>43698</v>
      </c>
      <c r="Y37" s="74" t="s">
        <v>34</v>
      </c>
    </row>
    <row r="38" spans="1:25" ht="15" customHeight="1" x14ac:dyDescent="0.25">
      <c r="A38" s="73" t="s">
        <v>25</v>
      </c>
      <c r="B38" s="74" t="s">
        <v>56</v>
      </c>
      <c r="C38" s="74" t="s">
        <v>57</v>
      </c>
      <c r="D38" s="74" t="s">
        <v>194</v>
      </c>
      <c r="E38" s="74">
        <f>+(20000*88)+(15000*1)</f>
        <v>1775000</v>
      </c>
      <c r="F38" s="74" t="s">
        <v>59</v>
      </c>
      <c r="G38" s="74" t="s">
        <v>141</v>
      </c>
      <c r="H38" s="83">
        <v>43560</v>
      </c>
      <c r="I38" s="74">
        <v>190709</v>
      </c>
      <c r="J38" s="85">
        <v>5325</v>
      </c>
      <c r="K38" s="77">
        <v>43655</v>
      </c>
      <c r="L38" s="80">
        <v>5307</v>
      </c>
      <c r="M38" s="77">
        <v>43663</v>
      </c>
      <c r="N38" s="74">
        <v>30</v>
      </c>
      <c r="O38" s="77">
        <f>+M38+N38</f>
        <v>43693</v>
      </c>
      <c r="P38" s="74" t="s">
        <v>40</v>
      </c>
      <c r="Q38" s="77">
        <v>43700</v>
      </c>
      <c r="R38" s="77">
        <f t="shared" si="0"/>
        <v>43745</v>
      </c>
      <c r="S38" s="77"/>
      <c r="T38" s="74" t="s">
        <v>195</v>
      </c>
      <c r="U38" s="77">
        <v>43663</v>
      </c>
      <c r="V38" s="74"/>
      <c r="W38" s="79">
        <v>352019000394600</v>
      </c>
      <c r="X38" s="77">
        <v>43699</v>
      </c>
      <c r="Y38" s="74" t="s">
        <v>34</v>
      </c>
    </row>
    <row r="39" spans="1:25" ht="15" customHeight="1" x14ac:dyDescent="0.25">
      <c r="A39" s="73" t="s">
        <v>25</v>
      </c>
      <c r="B39" s="74" t="s">
        <v>196</v>
      </c>
      <c r="C39" s="74" t="s">
        <v>197</v>
      </c>
      <c r="D39" s="74" t="s">
        <v>197</v>
      </c>
      <c r="E39" s="74">
        <v>1</v>
      </c>
      <c r="F39" s="74" t="s">
        <v>59</v>
      </c>
      <c r="G39" s="74">
        <v>347</v>
      </c>
      <c r="H39" s="83">
        <v>43676</v>
      </c>
      <c r="I39" s="74">
        <v>347</v>
      </c>
      <c r="J39" s="85">
        <v>9000</v>
      </c>
      <c r="K39" s="77">
        <v>43676</v>
      </c>
      <c r="L39" s="80">
        <v>13213.8</v>
      </c>
      <c r="M39" s="77">
        <v>43689</v>
      </c>
      <c r="N39" s="74">
        <v>5</v>
      </c>
      <c r="O39" s="77">
        <v>43694</v>
      </c>
      <c r="P39" s="74" t="s">
        <v>54</v>
      </c>
      <c r="Q39" s="77">
        <v>43701</v>
      </c>
      <c r="R39" s="77">
        <f t="shared" si="0"/>
        <v>43766</v>
      </c>
      <c r="S39" s="77">
        <v>43676</v>
      </c>
      <c r="T39" s="74">
        <v>119100938</v>
      </c>
      <c r="U39" s="77">
        <v>43689</v>
      </c>
      <c r="V39" s="74"/>
      <c r="W39" s="79">
        <v>902019000169487</v>
      </c>
      <c r="X39" s="77">
        <v>43699</v>
      </c>
      <c r="Y39" s="74" t="s">
        <v>34</v>
      </c>
    </row>
    <row r="40" spans="1:25" ht="15" customHeight="1" x14ac:dyDescent="0.25">
      <c r="A40" s="73" t="s">
        <v>25</v>
      </c>
      <c r="B40" s="74" t="s">
        <v>26</v>
      </c>
      <c r="C40" s="74" t="s">
        <v>55</v>
      </c>
      <c r="D40" s="74" t="s">
        <v>44</v>
      </c>
      <c r="E40" s="74">
        <v>23375</v>
      </c>
      <c r="F40" s="74" t="s">
        <v>198</v>
      </c>
      <c r="G40" s="74">
        <v>20012227</v>
      </c>
      <c r="H40" s="83">
        <v>43612</v>
      </c>
      <c r="I40" s="74">
        <v>171838</v>
      </c>
      <c r="J40" s="85">
        <v>22907.5</v>
      </c>
      <c r="K40" s="77">
        <v>43675</v>
      </c>
      <c r="L40" s="78">
        <v>21957.5</v>
      </c>
      <c r="M40" s="77">
        <f>+K40+8</f>
        <v>43683</v>
      </c>
      <c r="N40" s="74">
        <v>11</v>
      </c>
      <c r="O40" s="77">
        <v>43687</v>
      </c>
      <c r="P40" s="74" t="s">
        <v>31</v>
      </c>
      <c r="Q40" s="77">
        <v>43693</v>
      </c>
      <c r="R40" s="77">
        <f t="shared" si="0"/>
        <v>43765</v>
      </c>
      <c r="S40" s="77">
        <v>43766</v>
      </c>
      <c r="T40" s="74" t="s">
        <v>199</v>
      </c>
      <c r="U40" s="77">
        <v>43676</v>
      </c>
      <c r="V40" s="74"/>
      <c r="W40" s="79">
        <v>482019000621637</v>
      </c>
      <c r="X40" s="77">
        <v>43690</v>
      </c>
      <c r="Y40" s="74" t="s">
        <v>34</v>
      </c>
    </row>
    <row r="41" spans="1:25" ht="15" customHeight="1" x14ac:dyDescent="0.25">
      <c r="A41" s="73" t="s">
        <v>25</v>
      </c>
      <c r="B41" s="74" t="s">
        <v>26</v>
      </c>
      <c r="C41" s="74" t="s">
        <v>55</v>
      </c>
      <c r="D41" s="74" t="s">
        <v>44</v>
      </c>
      <c r="E41" s="74">
        <v>23375</v>
      </c>
      <c r="F41" s="74" t="s">
        <v>198</v>
      </c>
      <c r="G41" s="74">
        <v>20013267</v>
      </c>
      <c r="H41" s="83">
        <v>43661</v>
      </c>
      <c r="I41" s="74">
        <v>173168</v>
      </c>
      <c r="J41" s="85">
        <v>22440</v>
      </c>
      <c r="K41" s="77">
        <v>43697</v>
      </c>
      <c r="L41" s="78">
        <v>21490</v>
      </c>
      <c r="M41" s="77">
        <v>43700</v>
      </c>
      <c r="N41" s="74">
        <v>6</v>
      </c>
      <c r="O41" s="77">
        <v>43706</v>
      </c>
      <c r="P41" s="74" t="s">
        <v>31</v>
      </c>
      <c r="Q41" s="77">
        <v>43714</v>
      </c>
      <c r="R41" s="77">
        <f>+U41+90</f>
        <v>43790</v>
      </c>
      <c r="S41" s="77">
        <v>43789</v>
      </c>
      <c r="T41" s="74" t="s">
        <v>200</v>
      </c>
      <c r="U41" s="77">
        <v>43700</v>
      </c>
      <c r="V41" s="74"/>
      <c r="W41" s="79">
        <v>482019000679483</v>
      </c>
      <c r="X41" s="77">
        <v>43712</v>
      </c>
      <c r="Y41" s="74" t="s">
        <v>34</v>
      </c>
    </row>
    <row r="42" spans="1:25" ht="15" customHeight="1" x14ac:dyDescent="0.25">
      <c r="A42" s="73" t="s">
        <v>25</v>
      </c>
      <c r="B42" s="74" t="s">
        <v>201</v>
      </c>
      <c r="C42" s="74" t="s">
        <v>57</v>
      </c>
      <c r="D42" s="74"/>
      <c r="E42" s="74"/>
      <c r="F42" s="74"/>
      <c r="G42" s="74">
        <v>1046</v>
      </c>
      <c r="H42" s="83">
        <v>43685</v>
      </c>
      <c r="I42" s="74"/>
      <c r="J42" s="85">
        <v>5365</v>
      </c>
      <c r="K42" s="77"/>
      <c r="L42" s="80"/>
      <c r="M42" s="77"/>
      <c r="N42" s="74"/>
      <c r="O42" s="77"/>
      <c r="P42" s="74"/>
      <c r="Q42" s="77"/>
      <c r="R42" s="77"/>
      <c r="S42" s="77"/>
      <c r="T42" s="74"/>
      <c r="U42" s="77"/>
      <c r="V42" s="74"/>
      <c r="W42" s="79"/>
      <c r="X42" s="77"/>
      <c r="Y42" s="74" t="s">
        <v>34</v>
      </c>
    </row>
    <row r="43" spans="1:25" ht="15" customHeight="1" x14ac:dyDescent="0.25">
      <c r="A43" s="73" t="s">
        <v>25</v>
      </c>
      <c r="B43" s="74" t="s">
        <v>68</v>
      </c>
      <c r="C43" s="74" t="s">
        <v>189</v>
      </c>
      <c r="D43" s="74" t="s">
        <v>144</v>
      </c>
      <c r="E43" s="74">
        <v>23375</v>
      </c>
      <c r="F43" s="74" t="s">
        <v>39</v>
      </c>
      <c r="G43" s="74" t="s">
        <v>202</v>
      </c>
      <c r="H43" s="83"/>
      <c r="I43" s="74" t="s">
        <v>203</v>
      </c>
      <c r="J43" s="85">
        <v>22440</v>
      </c>
      <c r="K43" s="77">
        <v>43705</v>
      </c>
      <c r="L43" s="80">
        <v>21411.5</v>
      </c>
      <c r="M43" s="77">
        <v>43703</v>
      </c>
      <c r="N43" s="74">
        <v>7</v>
      </c>
      <c r="O43" s="77">
        <v>43505</v>
      </c>
      <c r="P43" s="74" t="s">
        <v>31</v>
      </c>
      <c r="Q43" s="77">
        <v>43717</v>
      </c>
      <c r="R43" s="77">
        <f>+U43+90</f>
        <v>43793</v>
      </c>
      <c r="S43" s="77">
        <v>43791</v>
      </c>
      <c r="T43" s="74" t="s">
        <v>204</v>
      </c>
      <c r="U43" s="77">
        <v>43703</v>
      </c>
      <c r="V43" s="74"/>
      <c r="W43" s="79">
        <v>482019000681956</v>
      </c>
      <c r="X43" s="77">
        <v>43713</v>
      </c>
      <c r="Y43" s="74" t="s">
        <v>34</v>
      </c>
    </row>
    <row r="44" spans="1:25" ht="15" customHeight="1" x14ac:dyDescent="0.25">
      <c r="A44" s="73" t="s">
        <v>25</v>
      </c>
      <c r="B44" s="74" t="s">
        <v>26</v>
      </c>
      <c r="C44" s="74" t="s">
        <v>205</v>
      </c>
      <c r="D44" s="74" t="s">
        <v>206</v>
      </c>
      <c r="E44" s="74">
        <v>24750</v>
      </c>
      <c r="F44" s="74" t="s">
        <v>39</v>
      </c>
      <c r="G44" s="74"/>
      <c r="H44" s="83"/>
      <c r="I44" s="74">
        <v>173537</v>
      </c>
      <c r="J44" s="85">
        <v>21780</v>
      </c>
      <c r="K44" s="77">
        <v>43706</v>
      </c>
      <c r="L44" s="78">
        <v>20142</v>
      </c>
      <c r="M44" s="77">
        <v>43669</v>
      </c>
      <c r="N44" s="74">
        <v>9</v>
      </c>
      <c r="O44" s="77">
        <v>43709</v>
      </c>
      <c r="P44" s="74" t="s">
        <v>31</v>
      </c>
      <c r="Q44" s="77">
        <v>43721</v>
      </c>
      <c r="R44" s="77">
        <f>+M44+90</f>
        <v>43759</v>
      </c>
      <c r="S44" s="77">
        <v>43791</v>
      </c>
      <c r="T44" s="74" t="s">
        <v>207</v>
      </c>
      <c r="U44" s="77">
        <v>43669</v>
      </c>
      <c r="V44" s="74"/>
      <c r="W44" s="79">
        <v>482019000682353</v>
      </c>
      <c r="X44" s="77">
        <v>43713</v>
      </c>
      <c r="Y44" s="74" t="s">
        <v>34</v>
      </c>
    </row>
    <row r="45" spans="1:25" ht="15" customHeight="1" x14ac:dyDescent="0.25">
      <c r="A45" s="73" t="s">
        <v>25</v>
      </c>
      <c r="B45" s="74" t="s">
        <v>99</v>
      </c>
      <c r="C45" s="74" t="s">
        <v>208</v>
      </c>
      <c r="D45" s="74" t="s">
        <v>209</v>
      </c>
      <c r="E45" s="74">
        <v>4500</v>
      </c>
      <c r="F45" s="74" t="s">
        <v>59</v>
      </c>
      <c r="G45" s="74">
        <v>19001298</v>
      </c>
      <c r="H45" s="83">
        <v>43703</v>
      </c>
      <c r="I45" s="74">
        <v>19001298</v>
      </c>
      <c r="J45" s="85">
        <v>19260</v>
      </c>
      <c r="K45" s="77">
        <v>43714</v>
      </c>
      <c r="L45" s="80">
        <v>19260</v>
      </c>
      <c r="M45" s="77">
        <v>43720</v>
      </c>
      <c r="N45" s="74">
        <v>15</v>
      </c>
      <c r="O45" s="77">
        <v>43735</v>
      </c>
      <c r="P45" s="74" t="s">
        <v>31</v>
      </c>
      <c r="Q45" s="77">
        <v>43735</v>
      </c>
      <c r="R45" s="77"/>
      <c r="S45" s="77">
        <v>43703</v>
      </c>
      <c r="T45" s="74" t="s">
        <v>210</v>
      </c>
      <c r="U45" s="77">
        <v>43720</v>
      </c>
      <c r="V45" s="74"/>
      <c r="W45" s="79">
        <v>482019000772852</v>
      </c>
      <c r="X45" s="77">
        <v>43742</v>
      </c>
      <c r="Y45" s="74" t="s">
        <v>34</v>
      </c>
    </row>
    <row r="46" spans="1:25" ht="15" customHeight="1" x14ac:dyDescent="0.25">
      <c r="A46" s="73" t="s">
        <v>25</v>
      </c>
      <c r="B46" s="74" t="s">
        <v>201</v>
      </c>
      <c r="C46" s="74" t="s">
        <v>211</v>
      </c>
      <c r="D46" s="74" t="s">
        <v>212</v>
      </c>
      <c r="E46" s="74">
        <v>21415</v>
      </c>
      <c r="F46" s="74" t="s">
        <v>59</v>
      </c>
      <c r="G46" s="74">
        <v>1046</v>
      </c>
      <c r="H46" s="83">
        <v>43754</v>
      </c>
      <c r="I46" s="74" t="s">
        <v>213</v>
      </c>
      <c r="J46" s="85">
        <v>4850</v>
      </c>
      <c r="K46" s="77" t="s">
        <v>214</v>
      </c>
      <c r="L46" s="80">
        <v>3379.29</v>
      </c>
      <c r="M46" s="77">
        <v>43786</v>
      </c>
      <c r="N46" s="74">
        <v>68</v>
      </c>
      <c r="O46" s="77">
        <v>43786</v>
      </c>
      <c r="P46" s="74" t="s">
        <v>31</v>
      </c>
      <c r="Q46" s="77">
        <v>43801</v>
      </c>
      <c r="R46" s="77" t="s">
        <v>215</v>
      </c>
      <c r="S46" s="77"/>
      <c r="T46" s="74" t="s">
        <v>216</v>
      </c>
      <c r="U46" s="77" t="s">
        <v>217</v>
      </c>
      <c r="V46" s="74"/>
      <c r="W46" s="79">
        <v>352019000548879</v>
      </c>
      <c r="X46" s="77">
        <v>43795</v>
      </c>
      <c r="Y46" s="74" t="s">
        <v>34</v>
      </c>
    </row>
    <row r="47" spans="1:25" ht="15" customHeight="1" x14ac:dyDescent="0.25">
      <c r="A47" s="73" t="s">
        <v>25</v>
      </c>
      <c r="B47" s="74" t="s">
        <v>218</v>
      </c>
      <c r="C47" s="74" t="s">
        <v>189</v>
      </c>
      <c r="D47" s="74" t="s">
        <v>219</v>
      </c>
      <c r="E47" s="74">
        <v>22500</v>
      </c>
      <c r="F47" s="74" t="s">
        <v>39</v>
      </c>
      <c r="G47" s="74">
        <v>15627</v>
      </c>
      <c r="H47" s="83">
        <v>43728</v>
      </c>
      <c r="I47" s="74">
        <v>96743</v>
      </c>
      <c r="J47" s="85" t="s">
        <v>220</v>
      </c>
      <c r="K47" s="77">
        <v>43750</v>
      </c>
      <c r="L47" s="80">
        <v>21124.5</v>
      </c>
      <c r="M47" s="77">
        <v>43750</v>
      </c>
      <c r="N47" s="74">
        <v>18</v>
      </c>
      <c r="O47" s="77">
        <v>43766</v>
      </c>
      <c r="P47" s="74" t="s">
        <v>31</v>
      </c>
      <c r="Q47" s="77">
        <v>43774</v>
      </c>
      <c r="R47" s="77">
        <v>43840</v>
      </c>
      <c r="S47" s="77">
        <v>43475</v>
      </c>
      <c r="T47" s="74" t="s">
        <v>221</v>
      </c>
      <c r="U47" s="77">
        <v>43750</v>
      </c>
      <c r="V47" s="74"/>
      <c r="W47" s="79">
        <v>482019000834798</v>
      </c>
      <c r="X47" s="77">
        <v>43768</v>
      </c>
      <c r="Y47" s="74" t="s">
        <v>34</v>
      </c>
    </row>
    <row r="48" spans="1:25" ht="15" customHeight="1" x14ac:dyDescent="0.25">
      <c r="A48" s="73" t="s">
        <v>25</v>
      </c>
      <c r="B48" s="74" t="s">
        <v>222</v>
      </c>
      <c r="C48" s="74" t="s">
        <v>223</v>
      </c>
      <c r="D48" s="74" t="s">
        <v>223</v>
      </c>
      <c r="E48" s="74">
        <v>1360000</v>
      </c>
      <c r="F48" s="74" t="s">
        <v>59</v>
      </c>
      <c r="G48" s="74">
        <v>40331</v>
      </c>
      <c r="H48" s="83">
        <v>43699</v>
      </c>
      <c r="I48" s="74">
        <v>40580</v>
      </c>
      <c r="J48" s="85">
        <v>3128</v>
      </c>
      <c r="K48" s="77">
        <v>43714</v>
      </c>
      <c r="L48" s="80">
        <v>3128</v>
      </c>
      <c r="M48" s="77">
        <v>43725</v>
      </c>
      <c r="N48" s="74"/>
      <c r="O48" s="77">
        <v>43739</v>
      </c>
      <c r="P48" s="74" t="s">
        <v>31</v>
      </c>
      <c r="Q48" s="77">
        <v>43768</v>
      </c>
      <c r="R48" s="77"/>
      <c r="S48" s="77"/>
      <c r="T48" s="74" t="s">
        <v>224</v>
      </c>
      <c r="U48" s="77">
        <v>43725</v>
      </c>
      <c r="V48" s="74"/>
      <c r="W48" s="79">
        <v>482019000793938</v>
      </c>
      <c r="X48" s="77">
        <v>43753</v>
      </c>
      <c r="Y48" s="74" t="s">
        <v>34</v>
      </c>
    </row>
    <row r="49" spans="1:26" x14ac:dyDescent="0.25">
      <c r="A49" s="73" t="s">
        <v>25</v>
      </c>
      <c r="B49" s="74" t="s">
        <v>26</v>
      </c>
      <c r="C49" s="74" t="s">
        <v>55</v>
      </c>
      <c r="D49" s="74" t="s">
        <v>44</v>
      </c>
      <c r="E49" s="74">
        <v>223000</v>
      </c>
      <c r="F49" s="74" t="s">
        <v>39</v>
      </c>
      <c r="G49" s="74">
        <v>20013941</v>
      </c>
      <c r="H49" s="83"/>
      <c r="I49" s="74">
        <v>176192</v>
      </c>
      <c r="J49" s="80">
        <v>20293</v>
      </c>
      <c r="K49" s="77">
        <v>43733</v>
      </c>
      <c r="L49" s="78">
        <v>19343</v>
      </c>
      <c r="M49" s="77">
        <v>43733</v>
      </c>
      <c r="N49" s="74">
        <v>9</v>
      </c>
      <c r="O49" s="77">
        <v>43741</v>
      </c>
      <c r="P49" s="74" t="s">
        <v>31</v>
      </c>
      <c r="Q49" s="77">
        <v>43756</v>
      </c>
      <c r="R49" s="77">
        <v>43823</v>
      </c>
      <c r="S49" s="77">
        <v>43805</v>
      </c>
      <c r="T49" s="74" t="s">
        <v>225</v>
      </c>
      <c r="U49" s="77">
        <v>43733</v>
      </c>
      <c r="V49" s="74"/>
      <c r="W49" s="79">
        <v>482019000782821</v>
      </c>
      <c r="X49" s="77">
        <v>43747</v>
      </c>
      <c r="Y49" s="74" t="s">
        <v>34</v>
      </c>
    </row>
    <row r="50" spans="1:26" x14ac:dyDescent="0.25">
      <c r="A50" s="73" t="s">
        <v>25</v>
      </c>
      <c r="B50" s="74" t="s">
        <v>26</v>
      </c>
      <c r="C50" s="74" t="s">
        <v>55</v>
      </c>
      <c r="D50" s="74" t="s">
        <v>44</v>
      </c>
      <c r="E50" s="74">
        <v>23375</v>
      </c>
      <c r="F50" s="74" t="s">
        <v>39</v>
      </c>
      <c r="G50" s="74">
        <v>20014468</v>
      </c>
      <c r="H50" s="83"/>
      <c r="I50" s="74">
        <v>177527</v>
      </c>
      <c r="J50" s="80">
        <v>20453.13</v>
      </c>
      <c r="K50" s="77">
        <v>43746</v>
      </c>
      <c r="L50" s="78">
        <v>19553.13</v>
      </c>
      <c r="M50" s="77">
        <v>43746</v>
      </c>
      <c r="N50" s="74"/>
      <c r="O50" s="77">
        <v>43753</v>
      </c>
      <c r="P50" s="74" t="s">
        <v>31</v>
      </c>
      <c r="Q50" s="77">
        <v>43753</v>
      </c>
      <c r="R50" s="77">
        <v>43836</v>
      </c>
      <c r="S50" s="77">
        <v>43837</v>
      </c>
      <c r="T50" s="74" t="s">
        <v>226</v>
      </c>
      <c r="U50" s="77">
        <v>43746</v>
      </c>
      <c r="V50" s="74"/>
      <c r="W50" s="79">
        <v>482019000809510</v>
      </c>
      <c r="X50" s="77">
        <v>43760</v>
      </c>
      <c r="Y50" s="74" t="s">
        <v>34</v>
      </c>
    </row>
    <row r="51" spans="1:26" x14ac:dyDescent="0.25">
      <c r="A51" s="73" t="s">
        <v>25</v>
      </c>
      <c r="B51" s="74" t="s">
        <v>88</v>
      </c>
      <c r="C51" s="74" t="s">
        <v>227</v>
      </c>
      <c r="D51" s="74" t="s">
        <v>228</v>
      </c>
      <c r="E51" s="74">
        <v>178500</v>
      </c>
      <c r="F51" s="74" t="s">
        <v>59</v>
      </c>
      <c r="G51" s="74"/>
      <c r="H51" s="83" t="s">
        <v>229</v>
      </c>
      <c r="I51" s="74" t="s">
        <v>230</v>
      </c>
      <c r="J51" s="80" t="s">
        <v>231</v>
      </c>
      <c r="K51" s="77">
        <v>43766</v>
      </c>
      <c r="L51" s="80" t="s">
        <v>231</v>
      </c>
      <c r="M51" s="77">
        <v>43774</v>
      </c>
      <c r="N51" s="74">
        <v>10</v>
      </c>
      <c r="O51" s="77">
        <v>43774</v>
      </c>
      <c r="P51" s="74" t="s">
        <v>54</v>
      </c>
      <c r="Q51" s="77">
        <v>43788</v>
      </c>
      <c r="R51" s="77"/>
      <c r="S51" s="77">
        <v>43893</v>
      </c>
      <c r="T51" s="74" t="s">
        <v>232</v>
      </c>
      <c r="U51" s="74">
        <v>43769</v>
      </c>
      <c r="V51" s="74"/>
      <c r="W51" s="82">
        <v>902019000231317</v>
      </c>
      <c r="X51" s="77">
        <v>43784</v>
      </c>
      <c r="Y51" s="74" t="s">
        <v>34</v>
      </c>
    </row>
    <row r="52" spans="1:26" x14ac:dyDescent="0.25">
      <c r="A52" s="73" t="s">
        <v>25</v>
      </c>
      <c r="B52" s="74" t="s">
        <v>26</v>
      </c>
      <c r="C52" s="74" t="s">
        <v>233</v>
      </c>
      <c r="D52" s="74" t="s">
        <v>44</v>
      </c>
      <c r="E52" s="74">
        <v>22000</v>
      </c>
      <c r="F52" s="74" t="s">
        <v>39</v>
      </c>
      <c r="G52" s="74">
        <v>20014468</v>
      </c>
      <c r="H52" s="83" t="s">
        <v>229</v>
      </c>
      <c r="I52" s="74">
        <v>180154</v>
      </c>
      <c r="J52" s="80" t="s">
        <v>234</v>
      </c>
      <c r="K52" s="77">
        <v>43773</v>
      </c>
      <c r="L52" s="78">
        <v>18793</v>
      </c>
      <c r="M52" s="77">
        <v>43773</v>
      </c>
      <c r="N52" s="74">
        <v>12</v>
      </c>
      <c r="O52" s="77">
        <v>43785</v>
      </c>
      <c r="P52" s="74" t="s">
        <v>31</v>
      </c>
      <c r="Q52" s="77">
        <v>43797</v>
      </c>
      <c r="R52" s="77">
        <v>43863</v>
      </c>
      <c r="S52" s="77">
        <v>43864</v>
      </c>
      <c r="T52" s="74" t="s">
        <v>235</v>
      </c>
      <c r="U52" s="77">
        <v>43773</v>
      </c>
      <c r="V52" s="74"/>
      <c r="W52" s="79">
        <v>482019000911398</v>
      </c>
      <c r="X52" s="77">
        <v>43796</v>
      </c>
      <c r="Y52" s="74" t="s">
        <v>34</v>
      </c>
    </row>
    <row r="53" spans="1:26" x14ac:dyDescent="0.25">
      <c r="A53" s="45" t="s">
        <v>25</v>
      </c>
      <c r="B53" s="43" t="s">
        <v>236</v>
      </c>
      <c r="C53" s="43" t="s">
        <v>189</v>
      </c>
      <c r="D53" s="43" t="s">
        <v>237</v>
      </c>
      <c r="E53" s="43">
        <f>12375+11000</f>
        <v>23375</v>
      </c>
      <c r="F53" s="43" t="s">
        <v>39</v>
      </c>
      <c r="G53" s="43"/>
      <c r="H53" s="58"/>
      <c r="I53" s="43">
        <v>92109687</v>
      </c>
      <c r="J53" s="46">
        <v>22323.119999999999</v>
      </c>
      <c r="K53" s="44">
        <v>43781</v>
      </c>
      <c r="L53" s="46">
        <v>21585.14</v>
      </c>
      <c r="M53" s="44">
        <v>43790</v>
      </c>
      <c r="N53" s="43">
        <v>11</v>
      </c>
      <c r="O53" s="44">
        <v>43790</v>
      </c>
      <c r="P53" s="43" t="s">
        <v>31</v>
      </c>
      <c r="Q53" s="41">
        <v>43799</v>
      </c>
      <c r="R53" s="44">
        <v>43871</v>
      </c>
      <c r="S53" s="44">
        <v>43984</v>
      </c>
      <c r="T53" s="43" t="s">
        <v>238</v>
      </c>
      <c r="U53" s="44">
        <v>43781</v>
      </c>
      <c r="V53" s="43"/>
      <c r="W53" s="48">
        <v>482019000902190</v>
      </c>
      <c r="X53" s="44">
        <v>43794</v>
      </c>
      <c r="Y53" s="43"/>
    </row>
    <row r="54" spans="1:26" x14ac:dyDescent="0.25">
      <c r="A54" s="73" t="s">
        <v>25</v>
      </c>
      <c r="B54" s="74" t="s">
        <v>68</v>
      </c>
      <c r="C54" s="74" t="s">
        <v>189</v>
      </c>
      <c r="D54" s="74" t="s">
        <v>144</v>
      </c>
      <c r="E54" s="74">
        <v>23375</v>
      </c>
      <c r="F54" s="74" t="s">
        <v>39</v>
      </c>
      <c r="G54" s="74" t="s">
        <v>239</v>
      </c>
      <c r="H54" s="83">
        <v>43775</v>
      </c>
      <c r="I54" s="74" t="s">
        <v>240</v>
      </c>
      <c r="J54" s="80">
        <v>22323.13</v>
      </c>
      <c r="K54" s="77">
        <v>43797</v>
      </c>
      <c r="L54" s="80">
        <v>21411.5</v>
      </c>
      <c r="M54" s="77">
        <v>43817</v>
      </c>
      <c r="N54" s="74">
        <v>20</v>
      </c>
      <c r="O54" s="77">
        <v>43817</v>
      </c>
      <c r="P54" s="74" t="s">
        <v>31</v>
      </c>
      <c r="Q54" s="77">
        <v>43819</v>
      </c>
      <c r="R54" s="77">
        <v>43886</v>
      </c>
      <c r="S54" s="77">
        <v>43853</v>
      </c>
      <c r="T54" s="74">
        <v>588032040</v>
      </c>
      <c r="U54" s="77">
        <v>43796</v>
      </c>
      <c r="V54" s="74"/>
      <c r="W54" s="79">
        <v>902019000256275</v>
      </c>
      <c r="X54" s="77">
        <v>43819</v>
      </c>
      <c r="Y54" s="74" t="s">
        <v>34</v>
      </c>
    </row>
    <row r="55" spans="1:26" x14ac:dyDescent="0.25">
      <c r="A55" s="73" t="s">
        <v>25</v>
      </c>
      <c r="B55" s="74" t="s">
        <v>56</v>
      </c>
      <c r="C55" s="74" t="s">
        <v>241</v>
      </c>
      <c r="D55" s="74" t="s">
        <v>242</v>
      </c>
      <c r="E55" s="74">
        <v>1800000</v>
      </c>
      <c r="F55" s="74" t="s">
        <v>59</v>
      </c>
      <c r="G55" s="74"/>
      <c r="H55" s="77">
        <v>43768</v>
      </c>
      <c r="I55" s="74">
        <v>191030</v>
      </c>
      <c r="J55" s="80">
        <v>5940</v>
      </c>
      <c r="K55" s="77">
        <v>43768</v>
      </c>
      <c r="L55" s="80">
        <v>5910</v>
      </c>
      <c r="M55" s="77">
        <v>43808</v>
      </c>
      <c r="N55" s="74">
        <v>28</v>
      </c>
      <c r="O55" s="77">
        <v>43808</v>
      </c>
      <c r="P55" s="74" t="s">
        <v>40</v>
      </c>
      <c r="Q55" s="77">
        <v>43818</v>
      </c>
      <c r="R55" s="74"/>
      <c r="S55" s="74"/>
      <c r="T55" s="74" t="s">
        <v>243</v>
      </c>
      <c r="U55" s="77">
        <v>43776</v>
      </c>
      <c r="V55" s="74"/>
      <c r="W55" s="79">
        <v>352019000580529</v>
      </c>
      <c r="X55" s="77">
        <v>43812</v>
      </c>
      <c r="Y55" s="74" t="s">
        <v>34</v>
      </c>
    </row>
    <row r="56" spans="1:26" x14ac:dyDescent="0.25">
      <c r="A56" s="73" t="s">
        <v>25</v>
      </c>
      <c r="B56" s="74" t="s">
        <v>236</v>
      </c>
      <c r="C56" s="74" t="s">
        <v>189</v>
      </c>
      <c r="D56" s="74" t="s">
        <v>244</v>
      </c>
      <c r="E56" s="74">
        <v>23375</v>
      </c>
      <c r="F56" s="74" t="s">
        <v>39</v>
      </c>
      <c r="G56" s="74" t="s">
        <v>245</v>
      </c>
      <c r="H56" s="77">
        <v>43748</v>
      </c>
      <c r="I56" s="74">
        <v>92110006</v>
      </c>
      <c r="J56" s="80">
        <v>22323.119999999999</v>
      </c>
      <c r="K56" s="77">
        <v>43788</v>
      </c>
      <c r="L56" s="80">
        <v>21585.14</v>
      </c>
      <c r="M56" s="77">
        <v>43797</v>
      </c>
      <c r="N56" s="74">
        <v>9</v>
      </c>
      <c r="O56" s="77">
        <v>43797</v>
      </c>
      <c r="P56" s="74" t="s">
        <v>31</v>
      </c>
      <c r="Q56" s="77">
        <v>43815</v>
      </c>
      <c r="R56" s="77">
        <v>43878</v>
      </c>
      <c r="S56" s="77">
        <v>43922</v>
      </c>
      <c r="T56" s="74" t="s">
        <v>246</v>
      </c>
      <c r="U56" s="77">
        <v>43784</v>
      </c>
      <c r="V56" s="74"/>
      <c r="W56" s="79">
        <v>482019000945794</v>
      </c>
      <c r="X56" s="77">
        <v>43808</v>
      </c>
      <c r="Y56" s="74" t="s">
        <v>34</v>
      </c>
    </row>
    <row r="57" spans="1:26" x14ac:dyDescent="0.25">
      <c r="A57" s="73" t="s">
        <v>25</v>
      </c>
      <c r="B57" s="74" t="s">
        <v>26</v>
      </c>
      <c r="C57" s="74" t="s">
        <v>247</v>
      </c>
      <c r="D57" s="74" t="s">
        <v>44</v>
      </c>
      <c r="E57" s="74">
        <v>44000</v>
      </c>
      <c r="F57" s="74" t="s">
        <v>248</v>
      </c>
      <c r="G57" s="74">
        <v>20014645</v>
      </c>
      <c r="H57" s="74"/>
      <c r="I57" s="74">
        <v>181599</v>
      </c>
      <c r="J57" s="80">
        <v>40436</v>
      </c>
      <c r="K57" s="77">
        <v>43788</v>
      </c>
      <c r="L57" s="78">
        <v>37636</v>
      </c>
      <c r="M57" s="77">
        <v>43797</v>
      </c>
      <c r="N57" s="74">
        <v>20</v>
      </c>
      <c r="O57" s="77">
        <v>43812</v>
      </c>
      <c r="P57" s="74" t="s">
        <v>249</v>
      </c>
      <c r="Q57" s="77">
        <v>43827</v>
      </c>
      <c r="R57" s="77">
        <v>43878</v>
      </c>
      <c r="S57" s="77">
        <v>43878</v>
      </c>
      <c r="T57" s="74" t="s">
        <v>250</v>
      </c>
      <c r="U57" s="77">
        <v>43788</v>
      </c>
      <c r="V57" s="74"/>
      <c r="W57" s="79">
        <v>412019000023784</v>
      </c>
      <c r="X57" s="77">
        <v>43819</v>
      </c>
      <c r="Y57" s="74" t="s">
        <v>34</v>
      </c>
    </row>
    <row r="58" spans="1:26" x14ac:dyDescent="0.25">
      <c r="A58" s="73" t="s">
        <v>25</v>
      </c>
      <c r="B58" s="74" t="s">
        <v>201</v>
      </c>
      <c r="C58" s="74" t="s">
        <v>57</v>
      </c>
      <c r="D58" s="74" t="s">
        <v>223</v>
      </c>
      <c r="E58" s="74"/>
      <c r="F58" s="74" t="s">
        <v>59</v>
      </c>
      <c r="G58" s="74" t="s">
        <v>251</v>
      </c>
      <c r="H58" s="77">
        <v>43684</v>
      </c>
      <c r="I58" s="74" t="s">
        <v>252</v>
      </c>
      <c r="J58" s="80">
        <v>6835.9</v>
      </c>
      <c r="K58" s="77">
        <v>43752</v>
      </c>
      <c r="L58" s="80">
        <v>6739.15</v>
      </c>
      <c r="M58" s="77">
        <v>43800</v>
      </c>
      <c r="N58" s="74">
        <v>40</v>
      </c>
      <c r="O58" s="77">
        <v>43800</v>
      </c>
      <c r="P58" s="74" t="s">
        <v>40</v>
      </c>
      <c r="Q58" s="77">
        <v>43800</v>
      </c>
      <c r="R58" s="74" t="s">
        <v>215</v>
      </c>
      <c r="S58" s="74"/>
      <c r="T58" s="74" t="s">
        <v>253</v>
      </c>
      <c r="U58" s="77">
        <v>43773</v>
      </c>
      <c r="V58" s="74"/>
      <c r="W58" s="79">
        <v>352019000573891</v>
      </c>
      <c r="X58" s="77">
        <v>43810</v>
      </c>
      <c r="Y58" s="74" t="s">
        <v>34</v>
      </c>
    </row>
    <row r="59" spans="1:26" x14ac:dyDescent="0.25">
      <c r="A59" s="73" t="s">
        <v>25</v>
      </c>
      <c r="B59" s="74" t="s">
        <v>68</v>
      </c>
      <c r="C59" s="74" t="s">
        <v>189</v>
      </c>
      <c r="D59" s="74" t="s">
        <v>144</v>
      </c>
      <c r="E59" s="74">
        <v>23375</v>
      </c>
      <c r="F59" s="74" t="s">
        <v>39</v>
      </c>
      <c r="G59" s="74" t="s">
        <v>254</v>
      </c>
      <c r="H59" s="77">
        <v>43775</v>
      </c>
      <c r="I59" s="74" t="s">
        <v>255</v>
      </c>
      <c r="J59" s="80">
        <v>22323.13</v>
      </c>
      <c r="K59" s="77">
        <v>43798</v>
      </c>
      <c r="L59" s="80">
        <v>21084.25</v>
      </c>
      <c r="M59" s="77">
        <v>43822</v>
      </c>
      <c r="N59" s="74">
        <v>20</v>
      </c>
      <c r="O59" s="77">
        <v>43827</v>
      </c>
      <c r="P59" s="74" t="s">
        <v>40</v>
      </c>
      <c r="Q59" s="77">
        <v>43827</v>
      </c>
      <c r="R59" s="77">
        <v>43882</v>
      </c>
      <c r="S59" s="77">
        <v>43882</v>
      </c>
      <c r="T59" s="74" t="s">
        <v>256</v>
      </c>
      <c r="U59" s="77">
        <v>43792</v>
      </c>
      <c r="V59" s="74"/>
      <c r="W59" s="79">
        <v>902020000017078</v>
      </c>
      <c r="X59" s="77">
        <v>43860</v>
      </c>
      <c r="Y59" s="74" t="s">
        <v>34</v>
      </c>
    </row>
    <row r="60" spans="1:26" x14ac:dyDescent="0.25">
      <c r="A60" s="73" t="s">
        <v>25</v>
      </c>
      <c r="B60" s="74" t="s">
        <v>257</v>
      </c>
      <c r="C60" s="74" t="s">
        <v>258</v>
      </c>
      <c r="D60" s="74" t="s">
        <v>259</v>
      </c>
      <c r="E60" s="74">
        <v>1</v>
      </c>
      <c r="F60" s="74" t="s">
        <v>59</v>
      </c>
      <c r="G60" s="74" t="s">
        <v>260</v>
      </c>
      <c r="H60" s="77">
        <v>43822</v>
      </c>
      <c r="I60" s="74">
        <v>163909</v>
      </c>
      <c r="J60" s="80">
        <v>7262</v>
      </c>
      <c r="K60" s="77">
        <v>43852</v>
      </c>
      <c r="L60" s="80">
        <v>6528</v>
      </c>
      <c r="M60" s="77">
        <v>43858</v>
      </c>
      <c r="N60" s="74">
        <v>3</v>
      </c>
      <c r="O60" s="77">
        <v>43862</v>
      </c>
      <c r="P60" s="74" t="s">
        <v>54</v>
      </c>
      <c r="Q60" s="77">
        <v>43866</v>
      </c>
      <c r="R60" s="74" t="s">
        <v>261</v>
      </c>
      <c r="S60" s="74"/>
      <c r="T60" s="74" t="s">
        <v>262</v>
      </c>
      <c r="U60" s="77">
        <v>43858</v>
      </c>
      <c r="V60" s="74"/>
      <c r="W60" s="79">
        <v>902020000020478</v>
      </c>
      <c r="X60" s="77">
        <v>43866</v>
      </c>
      <c r="Y60" s="74" t="s">
        <v>34</v>
      </c>
    </row>
    <row r="61" spans="1:26" x14ac:dyDescent="0.25">
      <c r="A61" s="73" t="s">
        <v>25</v>
      </c>
      <c r="B61" s="74" t="s">
        <v>201</v>
      </c>
      <c r="C61" s="74" t="s">
        <v>57</v>
      </c>
      <c r="D61" s="74" t="s">
        <v>223</v>
      </c>
      <c r="E61" s="74"/>
      <c r="F61" s="74" t="s">
        <v>59</v>
      </c>
      <c r="G61" s="74" t="s">
        <v>263</v>
      </c>
      <c r="H61" s="77">
        <v>43684</v>
      </c>
      <c r="I61" s="74" t="s">
        <v>264</v>
      </c>
      <c r="J61" s="80">
        <v>6245.88</v>
      </c>
      <c r="K61" s="77">
        <v>43829</v>
      </c>
      <c r="L61" s="76">
        <v>6111.73</v>
      </c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 t="s">
        <v>34</v>
      </c>
    </row>
    <row r="62" spans="1:26" x14ac:dyDescent="0.25">
      <c r="A62" s="73" t="s">
        <v>25</v>
      </c>
      <c r="B62" s="74" t="s">
        <v>265</v>
      </c>
      <c r="C62" s="74" t="s">
        <v>266</v>
      </c>
      <c r="D62" s="74" t="s">
        <v>266</v>
      </c>
      <c r="E62" s="74">
        <v>1</v>
      </c>
      <c r="F62" s="74" t="s">
        <v>59</v>
      </c>
      <c r="G62" s="74" t="s">
        <v>25</v>
      </c>
      <c r="H62" s="74"/>
      <c r="I62" s="74"/>
      <c r="J62" s="74"/>
      <c r="K62" s="77"/>
      <c r="L62" s="76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9">
        <v>902020000027109</v>
      </c>
      <c r="X62" s="77">
        <v>43875</v>
      </c>
      <c r="Y62" s="74" t="s">
        <v>34</v>
      </c>
    </row>
    <row r="63" spans="1:26" x14ac:dyDescent="0.25">
      <c r="A63" s="73" t="s">
        <v>25</v>
      </c>
      <c r="B63" s="74" t="s">
        <v>26</v>
      </c>
      <c r="C63" s="74" t="s">
        <v>267</v>
      </c>
      <c r="D63" s="74" t="s">
        <v>268</v>
      </c>
      <c r="E63" s="74">
        <v>23375</v>
      </c>
      <c r="F63" s="74" t="s">
        <v>39</v>
      </c>
      <c r="G63" s="74">
        <v>20017247</v>
      </c>
      <c r="H63" s="77">
        <v>43840</v>
      </c>
      <c r="I63" s="74">
        <v>185443</v>
      </c>
      <c r="J63" s="80">
        <v>22066</v>
      </c>
      <c r="K63" s="77">
        <v>43858</v>
      </c>
      <c r="L63" s="78">
        <v>21016</v>
      </c>
      <c r="M63" s="77">
        <v>43860</v>
      </c>
      <c r="N63" s="74">
        <v>9</v>
      </c>
      <c r="O63" s="77">
        <v>43870</v>
      </c>
      <c r="P63" s="74" t="s">
        <v>31</v>
      </c>
      <c r="Q63" s="77">
        <v>43882</v>
      </c>
      <c r="R63" s="77">
        <v>43948</v>
      </c>
      <c r="S63" s="77">
        <v>43951</v>
      </c>
      <c r="T63" s="74" t="s">
        <v>269</v>
      </c>
      <c r="U63" s="77">
        <v>43860</v>
      </c>
      <c r="V63" s="74"/>
      <c r="W63" s="79">
        <v>482020000095868</v>
      </c>
      <c r="X63" s="77">
        <v>43875</v>
      </c>
      <c r="Y63" s="74" t="s">
        <v>34</v>
      </c>
      <c r="Z63" s="35" t="s">
        <v>270</v>
      </c>
    </row>
    <row r="64" spans="1:26" x14ac:dyDescent="0.25">
      <c r="A64" s="73" t="s">
        <v>25</v>
      </c>
      <c r="B64" s="74" t="s">
        <v>68</v>
      </c>
      <c r="C64" s="74" t="s">
        <v>271</v>
      </c>
      <c r="D64" s="74" t="s">
        <v>272</v>
      </c>
      <c r="E64" s="74">
        <v>23375</v>
      </c>
      <c r="F64" s="74" t="s">
        <v>39</v>
      </c>
      <c r="G64" s="74" t="s">
        <v>273</v>
      </c>
      <c r="H64" s="77">
        <v>43843</v>
      </c>
      <c r="I64" s="74" t="s">
        <v>274</v>
      </c>
      <c r="J64" s="80">
        <v>19635</v>
      </c>
      <c r="K64" s="77">
        <v>43861</v>
      </c>
      <c r="L64" s="80">
        <v>18442.87</v>
      </c>
      <c r="M64" s="77">
        <v>43859</v>
      </c>
      <c r="N64" s="74">
        <v>8</v>
      </c>
      <c r="O64" s="77">
        <v>43867</v>
      </c>
      <c r="P64" s="74" t="s">
        <v>31</v>
      </c>
      <c r="Q64" s="77">
        <v>43882</v>
      </c>
      <c r="R64" s="77">
        <v>43949</v>
      </c>
      <c r="S64" s="77">
        <v>43951</v>
      </c>
      <c r="T64" s="74" t="s">
        <v>275</v>
      </c>
      <c r="U64" s="77">
        <v>43859</v>
      </c>
      <c r="V64" s="74"/>
      <c r="W64" s="79">
        <v>482020000094885</v>
      </c>
      <c r="X64" s="77">
        <v>43875</v>
      </c>
      <c r="Y64" s="74" t="s">
        <v>34</v>
      </c>
    </row>
    <row r="65" spans="1:25" x14ac:dyDescent="0.25">
      <c r="A65" s="73" t="s">
        <v>25</v>
      </c>
      <c r="B65" s="74" t="s">
        <v>68</v>
      </c>
      <c r="C65" s="74" t="s">
        <v>276</v>
      </c>
      <c r="D65" s="74" t="s">
        <v>277</v>
      </c>
      <c r="E65" s="74">
        <v>26000</v>
      </c>
      <c r="F65" s="74" t="s">
        <v>39</v>
      </c>
      <c r="G65" s="74" t="s">
        <v>278</v>
      </c>
      <c r="H65" s="77">
        <v>43843</v>
      </c>
      <c r="I65" s="74" t="s">
        <v>279</v>
      </c>
      <c r="J65" s="80">
        <v>21840</v>
      </c>
      <c r="K65" s="77">
        <v>43871</v>
      </c>
      <c r="L65" s="80">
        <v>20514</v>
      </c>
      <c r="M65" s="77">
        <v>43871</v>
      </c>
      <c r="N65" s="74">
        <v>4</v>
      </c>
      <c r="O65" s="77">
        <v>43874</v>
      </c>
      <c r="P65" s="74" t="s">
        <v>31</v>
      </c>
      <c r="Q65" s="77">
        <v>43882</v>
      </c>
      <c r="R65" s="77">
        <v>43960</v>
      </c>
      <c r="S65" s="77">
        <v>43962</v>
      </c>
      <c r="T65" s="74" t="s">
        <v>280</v>
      </c>
      <c r="U65" s="77">
        <v>43871</v>
      </c>
      <c r="V65" s="74"/>
      <c r="W65" s="79">
        <v>482020000104511</v>
      </c>
      <c r="X65" s="77">
        <v>43880</v>
      </c>
      <c r="Y65" s="74" t="s">
        <v>34</v>
      </c>
    </row>
    <row r="66" spans="1:25" x14ac:dyDescent="0.25">
      <c r="A66" s="73" t="s">
        <v>25</v>
      </c>
      <c r="B66" s="74" t="s">
        <v>99</v>
      </c>
      <c r="C66" s="74" t="s">
        <v>208</v>
      </c>
      <c r="D66" s="74" t="s">
        <v>209</v>
      </c>
      <c r="E66" s="74">
        <v>4500</v>
      </c>
      <c r="F66" s="74" t="s">
        <v>59</v>
      </c>
      <c r="G66" s="74" t="s">
        <v>281</v>
      </c>
      <c r="H66" s="77">
        <v>43840</v>
      </c>
      <c r="I66" s="74">
        <v>20000092</v>
      </c>
      <c r="J66" s="80">
        <v>19260</v>
      </c>
      <c r="K66" s="77">
        <v>43851</v>
      </c>
      <c r="L66" s="80">
        <v>18260.11</v>
      </c>
      <c r="M66" s="77">
        <v>43871</v>
      </c>
      <c r="N66" s="74">
        <v>20</v>
      </c>
      <c r="O66" s="77">
        <v>43871</v>
      </c>
      <c r="P66" s="74" t="s">
        <v>31</v>
      </c>
      <c r="Q66" s="77">
        <v>43851</v>
      </c>
      <c r="R66" s="77">
        <v>43843</v>
      </c>
      <c r="S66" s="77">
        <v>43843</v>
      </c>
      <c r="T66" s="74">
        <v>802000010184</v>
      </c>
      <c r="U66" s="77">
        <v>43855</v>
      </c>
      <c r="V66" s="74"/>
      <c r="W66" s="79">
        <v>48202000001964</v>
      </c>
      <c r="X66" s="77">
        <v>43874</v>
      </c>
      <c r="Y66" s="74" t="s">
        <v>34</v>
      </c>
    </row>
    <row r="67" spans="1:25" x14ac:dyDescent="0.25">
      <c r="A67" s="73" t="s">
        <v>25</v>
      </c>
      <c r="B67" s="74" t="s">
        <v>26</v>
      </c>
      <c r="C67" s="74" t="s">
        <v>247</v>
      </c>
      <c r="D67" s="74" t="s">
        <v>282</v>
      </c>
      <c r="E67" s="74">
        <v>23375</v>
      </c>
      <c r="F67" s="74" t="s">
        <v>39</v>
      </c>
      <c r="G67" s="74">
        <v>20017629</v>
      </c>
      <c r="H67" s="77">
        <v>43853</v>
      </c>
      <c r="I67" s="74">
        <v>187239</v>
      </c>
      <c r="J67" s="80">
        <v>20920.63</v>
      </c>
      <c r="K67" s="77">
        <v>43873</v>
      </c>
      <c r="L67" s="78">
        <v>19970.63</v>
      </c>
      <c r="M67" s="77">
        <v>43873</v>
      </c>
      <c r="N67" s="74">
        <v>8</v>
      </c>
      <c r="O67" s="77">
        <v>43881</v>
      </c>
      <c r="P67" s="74" t="s">
        <v>31</v>
      </c>
      <c r="Q67" s="77">
        <v>43889</v>
      </c>
      <c r="R67" s="77">
        <v>43963</v>
      </c>
      <c r="S67" s="77">
        <v>43962</v>
      </c>
      <c r="T67" s="74" t="s">
        <v>283</v>
      </c>
      <c r="U67" s="77">
        <v>43873</v>
      </c>
      <c r="V67" s="74"/>
      <c r="W67" s="79">
        <v>482020000126572</v>
      </c>
      <c r="X67" s="77">
        <v>43889</v>
      </c>
      <c r="Y67" s="42" t="s">
        <v>284</v>
      </c>
    </row>
    <row r="68" spans="1:25" x14ac:dyDescent="0.25">
      <c r="A68" s="73" t="s">
        <v>25</v>
      </c>
      <c r="B68" s="74" t="s">
        <v>88</v>
      </c>
      <c r="C68" s="74" t="s">
        <v>227</v>
      </c>
      <c r="D68" s="74" t="s">
        <v>228</v>
      </c>
      <c r="E68" s="74">
        <v>178500</v>
      </c>
      <c r="F68" s="74" t="s">
        <v>59</v>
      </c>
      <c r="G68" s="74"/>
      <c r="H68" s="83">
        <v>44183</v>
      </c>
      <c r="I68" s="74">
        <v>14290</v>
      </c>
      <c r="J68" s="80">
        <v>3630</v>
      </c>
      <c r="K68" s="77">
        <v>43817</v>
      </c>
      <c r="L68" s="80">
        <v>1500</v>
      </c>
      <c r="M68" s="77">
        <v>43774</v>
      </c>
      <c r="N68" s="74">
        <v>6</v>
      </c>
      <c r="O68" s="77">
        <v>43842</v>
      </c>
      <c r="P68" s="74" t="s">
        <v>54</v>
      </c>
      <c r="Q68" s="77">
        <v>43878</v>
      </c>
      <c r="R68" s="77" t="s">
        <v>285</v>
      </c>
      <c r="S68" s="77"/>
      <c r="T68" s="74">
        <v>41712150213</v>
      </c>
      <c r="U68" s="74">
        <v>43838</v>
      </c>
      <c r="V68" s="74"/>
      <c r="W68" s="82">
        <v>902020000019179</v>
      </c>
      <c r="X68" s="77">
        <v>43865</v>
      </c>
      <c r="Y68" s="74" t="s">
        <v>34</v>
      </c>
    </row>
    <row r="69" spans="1:25" x14ac:dyDescent="0.25">
      <c r="A69" s="73" t="s">
        <v>25</v>
      </c>
      <c r="B69" s="74" t="s">
        <v>201</v>
      </c>
      <c r="C69" s="74" t="s">
        <v>57</v>
      </c>
      <c r="D69" s="74" t="s">
        <v>223</v>
      </c>
      <c r="E69" s="74">
        <v>4326</v>
      </c>
      <c r="F69" s="74" t="s">
        <v>59</v>
      </c>
      <c r="G69" s="74" t="s">
        <v>263</v>
      </c>
      <c r="H69" s="77">
        <v>43684</v>
      </c>
      <c r="I69" s="74" t="s">
        <v>286</v>
      </c>
      <c r="J69" s="80">
        <v>6821.06</v>
      </c>
      <c r="K69" s="77">
        <v>43798</v>
      </c>
      <c r="L69" s="80">
        <v>6674.99</v>
      </c>
      <c r="M69" s="77">
        <v>43902</v>
      </c>
      <c r="N69" s="74">
        <v>99</v>
      </c>
      <c r="O69" s="77">
        <v>43902</v>
      </c>
      <c r="P69" s="74" t="s">
        <v>40</v>
      </c>
      <c r="Q69" s="77">
        <v>43915</v>
      </c>
      <c r="R69" s="74" t="s">
        <v>287</v>
      </c>
      <c r="S69" s="77">
        <v>43943</v>
      </c>
      <c r="T69" s="74" t="s">
        <v>288</v>
      </c>
      <c r="U69" s="77">
        <v>43802</v>
      </c>
      <c r="V69" s="74"/>
      <c r="W69" s="79">
        <v>352020000111915</v>
      </c>
      <c r="X69" s="77">
        <v>43907</v>
      </c>
      <c r="Y69" s="74" t="s">
        <v>34</v>
      </c>
    </row>
    <row r="70" spans="1:25" x14ac:dyDescent="0.25">
      <c r="A70" s="74" t="s">
        <v>25</v>
      </c>
      <c r="B70" s="74" t="s">
        <v>201</v>
      </c>
      <c r="C70" s="74" t="s">
        <v>57</v>
      </c>
      <c r="D70" s="74" t="s">
        <v>223</v>
      </c>
      <c r="E70" s="74">
        <v>35979</v>
      </c>
      <c r="F70" s="74" t="s">
        <v>59</v>
      </c>
      <c r="G70" s="74" t="s">
        <v>263</v>
      </c>
      <c r="H70" s="74">
        <v>43684</v>
      </c>
      <c r="I70" s="74" t="s">
        <v>289</v>
      </c>
      <c r="J70" s="80">
        <v>5677.49</v>
      </c>
      <c r="K70" s="77">
        <v>43859</v>
      </c>
      <c r="L70" s="76">
        <v>5554.32</v>
      </c>
      <c r="M70" s="74">
        <v>43864</v>
      </c>
      <c r="N70" s="74"/>
      <c r="O70" s="74">
        <v>43917</v>
      </c>
      <c r="P70" s="74" t="s">
        <v>40</v>
      </c>
      <c r="Q70" s="77">
        <v>43947</v>
      </c>
      <c r="R70" s="77">
        <v>43909</v>
      </c>
      <c r="S70" s="77">
        <v>43984</v>
      </c>
      <c r="T70" s="74" t="s">
        <v>290</v>
      </c>
      <c r="U70" s="74">
        <v>43864</v>
      </c>
      <c r="V70" s="74"/>
      <c r="W70" s="79">
        <v>352020000137420</v>
      </c>
      <c r="X70" s="77">
        <v>43936</v>
      </c>
      <c r="Y70" s="74" t="s">
        <v>34</v>
      </c>
    </row>
    <row r="71" spans="1:25" ht="27" customHeight="1" x14ac:dyDescent="0.25">
      <c r="A71" s="73" t="s">
        <v>25</v>
      </c>
      <c r="B71" s="74" t="s">
        <v>291</v>
      </c>
      <c r="C71" s="74" t="s">
        <v>292</v>
      </c>
      <c r="D71" s="74" t="s">
        <v>48</v>
      </c>
      <c r="E71" s="74" t="s">
        <v>293</v>
      </c>
      <c r="F71" s="74" t="s">
        <v>59</v>
      </c>
      <c r="G71" s="74"/>
      <c r="H71" s="77"/>
      <c r="I71" s="74" t="s">
        <v>294</v>
      </c>
      <c r="J71" s="80">
        <v>3820</v>
      </c>
      <c r="K71" s="77">
        <v>43886</v>
      </c>
      <c r="L71" s="80">
        <v>3820</v>
      </c>
      <c r="M71" s="77">
        <v>43889</v>
      </c>
      <c r="N71" s="74">
        <v>4</v>
      </c>
      <c r="O71" s="77">
        <v>43893</v>
      </c>
      <c r="P71" s="74" t="s">
        <v>54</v>
      </c>
      <c r="Q71" s="77">
        <v>43900</v>
      </c>
      <c r="R71" s="74" t="s">
        <v>295</v>
      </c>
      <c r="S71" s="74"/>
      <c r="T71" s="74">
        <v>120100131</v>
      </c>
      <c r="U71" s="77">
        <v>43889</v>
      </c>
      <c r="V71" s="74"/>
      <c r="W71" s="84" t="s">
        <v>296</v>
      </c>
      <c r="X71" s="77"/>
      <c r="Y71" s="74" t="s">
        <v>34</v>
      </c>
    </row>
    <row r="72" spans="1:25" ht="27" customHeight="1" x14ac:dyDescent="0.25">
      <c r="A72" s="73" t="s">
        <v>25</v>
      </c>
      <c r="B72" s="74" t="s">
        <v>159</v>
      </c>
      <c r="C72" s="74" t="s">
        <v>297</v>
      </c>
      <c r="D72" s="74" t="s">
        <v>298</v>
      </c>
      <c r="E72" s="74"/>
      <c r="F72" s="74" t="s">
        <v>59</v>
      </c>
      <c r="G72" s="74">
        <v>167782</v>
      </c>
      <c r="H72" s="77">
        <v>43880</v>
      </c>
      <c r="I72" s="74">
        <v>307173</v>
      </c>
      <c r="J72" s="80">
        <v>12043.49</v>
      </c>
      <c r="K72" s="77">
        <v>43880</v>
      </c>
      <c r="L72" s="80">
        <v>11156</v>
      </c>
      <c r="M72" s="77">
        <v>43893</v>
      </c>
      <c r="N72" s="74">
        <v>10</v>
      </c>
      <c r="O72" s="77">
        <v>43903</v>
      </c>
      <c r="P72" s="74" t="s">
        <v>54</v>
      </c>
      <c r="Q72" s="77">
        <v>43906</v>
      </c>
      <c r="R72" s="74" t="s">
        <v>215</v>
      </c>
      <c r="S72" s="77">
        <v>43984</v>
      </c>
      <c r="T72" s="74">
        <v>777918566210</v>
      </c>
      <c r="U72" s="77">
        <v>43895</v>
      </c>
      <c r="V72" s="74"/>
      <c r="W72" s="84" t="s">
        <v>299</v>
      </c>
      <c r="X72" s="77">
        <v>43903</v>
      </c>
      <c r="Y72" s="74" t="s">
        <v>34</v>
      </c>
    </row>
    <row r="73" spans="1:25" x14ac:dyDescent="0.25">
      <c r="A73" s="73" t="s">
        <v>25</v>
      </c>
      <c r="B73" s="74" t="s">
        <v>88</v>
      </c>
      <c r="C73" s="74" t="s">
        <v>300</v>
      </c>
      <c r="D73" s="74" t="s">
        <v>301</v>
      </c>
      <c r="E73" s="74" t="s">
        <v>302</v>
      </c>
      <c r="F73" s="74" t="s">
        <v>303</v>
      </c>
      <c r="G73" s="74">
        <v>1468</v>
      </c>
      <c r="H73" s="77">
        <v>43818</v>
      </c>
      <c r="I73" s="74" t="s">
        <v>304</v>
      </c>
      <c r="J73" s="80">
        <v>112999.6</v>
      </c>
      <c r="K73" s="77">
        <v>43865</v>
      </c>
      <c r="L73" s="80">
        <v>112999.6</v>
      </c>
      <c r="M73" s="77">
        <v>43881</v>
      </c>
      <c r="N73" s="74">
        <v>14</v>
      </c>
      <c r="O73" s="77">
        <v>43894</v>
      </c>
      <c r="P73" s="74" t="s">
        <v>31</v>
      </c>
      <c r="Q73" s="77">
        <v>43914</v>
      </c>
      <c r="R73" s="77" t="s">
        <v>305</v>
      </c>
      <c r="S73" s="77">
        <v>43941</v>
      </c>
      <c r="T73" s="74" t="s">
        <v>306</v>
      </c>
      <c r="U73" s="74">
        <v>43881</v>
      </c>
      <c r="V73" s="74"/>
      <c r="W73" s="79">
        <v>482020000165540</v>
      </c>
      <c r="X73" s="77">
        <v>43903</v>
      </c>
      <c r="Y73" s="74" t="s">
        <v>34</v>
      </c>
    </row>
    <row r="74" spans="1:25" x14ac:dyDescent="0.25">
      <c r="A74" s="73" t="s">
        <v>25</v>
      </c>
      <c r="B74" s="74" t="s">
        <v>68</v>
      </c>
      <c r="C74" s="74" t="s">
        <v>307</v>
      </c>
      <c r="D74" s="74" t="s">
        <v>108</v>
      </c>
      <c r="E74" s="74">
        <v>23375</v>
      </c>
      <c r="F74" s="74" t="s">
        <v>39</v>
      </c>
      <c r="G74" s="74" t="s">
        <v>308</v>
      </c>
      <c r="H74" s="77">
        <v>43852</v>
      </c>
      <c r="I74" s="74" t="s">
        <v>309</v>
      </c>
      <c r="J74" s="80">
        <v>22907.5</v>
      </c>
      <c r="K74" s="77">
        <v>43887</v>
      </c>
      <c r="L74" s="80">
        <v>21715.37</v>
      </c>
      <c r="M74" s="77">
        <v>43886</v>
      </c>
      <c r="N74" s="74">
        <v>14</v>
      </c>
      <c r="O74" s="77">
        <v>43898</v>
      </c>
      <c r="P74" s="74" t="s">
        <v>31</v>
      </c>
      <c r="Q74" s="77">
        <v>43908</v>
      </c>
      <c r="R74" s="77">
        <v>43977</v>
      </c>
      <c r="S74" s="77">
        <v>43977</v>
      </c>
      <c r="T74" s="74" t="s">
        <v>310</v>
      </c>
      <c r="U74" s="77">
        <v>43886</v>
      </c>
      <c r="V74" s="74"/>
      <c r="W74" s="79">
        <v>482020000162197</v>
      </c>
      <c r="X74" s="77">
        <v>43902</v>
      </c>
      <c r="Y74" s="74" t="s">
        <v>34</v>
      </c>
    </row>
    <row r="75" spans="1:25" x14ac:dyDescent="0.25">
      <c r="A75" s="73" t="s">
        <v>25</v>
      </c>
      <c r="B75" s="74" t="s">
        <v>68</v>
      </c>
      <c r="C75" s="74" t="s">
        <v>307</v>
      </c>
      <c r="D75" s="74" t="s">
        <v>108</v>
      </c>
      <c r="E75" s="74">
        <v>23375</v>
      </c>
      <c r="F75" s="74" t="s">
        <v>39</v>
      </c>
      <c r="G75" s="74" t="s">
        <v>311</v>
      </c>
      <c r="H75" s="77">
        <v>43852</v>
      </c>
      <c r="I75" s="74" t="s">
        <v>312</v>
      </c>
      <c r="J75" s="80">
        <v>22907.5</v>
      </c>
      <c r="K75" s="77">
        <v>43894</v>
      </c>
      <c r="L75" s="80">
        <v>21715.37</v>
      </c>
      <c r="M75" s="77">
        <v>43902</v>
      </c>
      <c r="N75" s="74">
        <v>9</v>
      </c>
      <c r="O75" s="77">
        <v>43893</v>
      </c>
      <c r="P75" s="74" t="s">
        <v>31</v>
      </c>
      <c r="Q75" s="77"/>
      <c r="R75" s="77">
        <v>43983</v>
      </c>
      <c r="S75" s="77"/>
      <c r="T75" s="74" t="s">
        <v>313</v>
      </c>
      <c r="U75" s="77">
        <v>43893</v>
      </c>
      <c r="V75" s="74"/>
      <c r="W75" s="79">
        <v>482020000175992</v>
      </c>
      <c r="X75" s="77">
        <v>43907</v>
      </c>
      <c r="Y75" s="74" t="s">
        <v>34</v>
      </c>
    </row>
    <row r="76" spans="1:25" ht="27" customHeight="1" x14ac:dyDescent="0.25">
      <c r="A76" s="73" t="s">
        <v>25</v>
      </c>
      <c r="B76" s="74" t="s">
        <v>68</v>
      </c>
      <c r="C76" s="74" t="s">
        <v>314</v>
      </c>
      <c r="D76" s="74" t="s">
        <v>315</v>
      </c>
      <c r="E76" s="74">
        <f>23375+8475+8150</f>
        <v>40000</v>
      </c>
      <c r="F76" s="74" t="s">
        <v>248</v>
      </c>
      <c r="G76" s="74" t="s">
        <v>316</v>
      </c>
      <c r="H76" s="77"/>
      <c r="I76" s="74" t="s">
        <v>317</v>
      </c>
      <c r="J76" s="80">
        <v>38358.5</v>
      </c>
      <c r="K76" s="77">
        <v>43894</v>
      </c>
      <c r="L76" s="80">
        <v>35638.5</v>
      </c>
      <c r="M76" s="77">
        <v>43893</v>
      </c>
      <c r="N76" s="74">
        <v>10</v>
      </c>
      <c r="O76" s="77">
        <v>43903</v>
      </c>
      <c r="P76" s="74" t="s">
        <v>249</v>
      </c>
      <c r="Q76" s="77"/>
      <c r="R76" s="77">
        <v>44013</v>
      </c>
      <c r="S76" s="74"/>
      <c r="T76" s="74" t="s">
        <v>318</v>
      </c>
      <c r="U76" s="77">
        <v>43893</v>
      </c>
      <c r="V76" s="74"/>
      <c r="W76" s="84" t="s">
        <v>319</v>
      </c>
      <c r="X76" s="77">
        <v>43929</v>
      </c>
      <c r="Y76" s="74" t="s">
        <v>34</v>
      </c>
    </row>
    <row r="77" spans="1:25" x14ac:dyDescent="0.25">
      <c r="A77" s="73" t="s">
        <v>25</v>
      </c>
      <c r="B77" s="74" t="s">
        <v>26</v>
      </c>
      <c r="C77" s="74" t="s">
        <v>247</v>
      </c>
      <c r="D77" s="74" t="s">
        <v>320</v>
      </c>
      <c r="E77" s="74">
        <v>23375</v>
      </c>
      <c r="F77" s="74" t="s">
        <v>39</v>
      </c>
      <c r="G77" s="74" t="s">
        <v>321</v>
      </c>
      <c r="H77" s="77">
        <v>43854</v>
      </c>
      <c r="I77" s="74">
        <v>190502</v>
      </c>
      <c r="J77" s="80">
        <v>22323.13</v>
      </c>
      <c r="K77" s="77">
        <v>43911</v>
      </c>
      <c r="L77" s="78">
        <v>20418.2</v>
      </c>
      <c r="M77" s="77">
        <v>43911</v>
      </c>
      <c r="N77" s="74">
        <v>8</v>
      </c>
      <c r="O77" s="77">
        <v>43919</v>
      </c>
      <c r="P77" s="74" t="s">
        <v>249</v>
      </c>
      <c r="Q77" s="77"/>
      <c r="R77" s="77">
        <v>44001</v>
      </c>
      <c r="S77" s="74"/>
      <c r="T77" s="74" t="s">
        <v>322</v>
      </c>
      <c r="U77" s="77">
        <v>43911</v>
      </c>
      <c r="V77" s="74"/>
      <c r="W77" s="79">
        <v>412020000005819</v>
      </c>
      <c r="X77" s="77">
        <v>43928</v>
      </c>
      <c r="Y77" s="74" t="s">
        <v>34</v>
      </c>
    </row>
    <row r="78" spans="1:25" x14ac:dyDescent="0.25">
      <c r="A78" s="73" t="s">
        <v>25</v>
      </c>
      <c r="B78" s="74" t="s">
        <v>196</v>
      </c>
      <c r="C78" s="74" t="s">
        <v>323</v>
      </c>
      <c r="D78" s="74" t="s">
        <v>324</v>
      </c>
      <c r="E78" s="74">
        <v>1</v>
      </c>
      <c r="F78" s="74" t="s">
        <v>59</v>
      </c>
      <c r="G78" s="74"/>
      <c r="H78" s="77"/>
      <c r="I78" s="74">
        <v>69</v>
      </c>
      <c r="J78" s="80">
        <v>15000</v>
      </c>
      <c r="K78" s="77">
        <v>43903</v>
      </c>
      <c r="L78" s="80">
        <v>15000</v>
      </c>
      <c r="M78" s="77">
        <v>43910</v>
      </c>
      <c r="N78" s="74">
        <v>9</v>
      </c>
      <c r="O78" s="77">
        <v>43919</v>
      </c>
      <c r="P78" s="74" t="s">
        <v>54</v>
      </c>
      <c r="Q78" s="77">
        <v>43929</v>
      </c>
      <c r="R78" s="77">
        <v>43724</v>
      </c>
      <c r="S78" s="77">
        <v>43724</v>
      </c>
      <c r="T78" s="74">
        <v>120100180</v>
      </c>
      <c r="U78" s="77">
        <v>43910</v>
      </c>
      <c r="V78" s="74"/>
      <c r="W78" s="79">
        <v>902020000053306</v>
      </c>
      <c r="X78" s="77">
        <v>43928</v>
      </c>
      <c r="Y78" s="74" t="s">
        <v>34</v>
      </c>
    </row>
    <row r="79" spans="1:25" x14ac:dyDescent="0.25">
      <c r="A79" s="73" t="s">
        <v>25</v>
      </c>
      <c r="B79" s="74" t="s">
        <v>68</v>
      </c>
      <c r="C79" s="74" t="s">
        <v>325</v>
      </c>
      <c r="D79" s="74" t="s">
        <v>326</v>
      </c>
      <c r="E79" s="74">
        <v>23375</v>
      </c>
      <c r="F79" s="74" t="s">
        <v>39</v>
      </c>
      <c r="G79" s="74" t="s">
        <v>327</v>
      </c>
      <c r="H79" s="77">
        <v>43882</v>
      </c>
      <c r="I79" s="74" t="s">
        <v>328</v>
      </c>
      <c r="J79" s="80">
        <v>22206.25</v>
      </c>
      <c r="K79" s="77">
        <v>43916</v>
      </c>
      <c r="L79" s="80">
        <v>20616.75</v>
      </c>
      <c r="M79" s="77">
        <v>43914</v>
      </c>
      <c r="N79" s="74">
        <v>30</v>
      </c>
      <c r="O79" s="77">
        <v>43945</v>
      </c>
      <c r="P79" s="74" t="s">
        <v>249</v>
      </c>
      <c r="Q79" s="77"/>
      <c r="R79" s="77">
        <v>44096</v>
      </c>
      <c r="S79" s="77"/>
      <c r="T79" s="74">
        <v>592205828</v>
      </c>
      <c r="U79" s="77">
        <v>43914</v>
      </c>
      <c r="V79" s="74"/>
      <c r="W79" s="79">
        <v>412020000006175</v>
      </c>
      <c r="X79" s="77">
        <v>43950</v>
      </c>
      <c r="Y79" s="74" t="s">
        <v>34</v>
      </c>
    </row>
    <row r="80" spans="1:25" x14ac:dyDescent="0.25">
      <c r="A80" s="73" t="s">
        <v>25</v>
      </c>
      <c r="B80" s="74" t="s">
        <v>159</v>
      </c>
      <c r="C80" s="74" t="s">
        <v>160</v>
      </c>
      <c r="D80" s="74" t="s">
        <v>329</v>
      </c>
      <c r="E80" s="74">
        <v>1</v>
      </c>
      <c r="F80" s="74" t="s">
        <v>59</v>
      </c>
      <c r="G80" s="74"/>
      <c r="H80" s="77"/>
      <c r="I80" s="74">
        <v>359605</v>
      </c>
      <c r="J80" s="80">
        <v>12619.7</v>
      </c>
      <c r="K80" s="77"/>
      <c r="L80" s="80"/>
      <c r="M80" s="77">
        <v>43922</v>
      </c>
      <c r="N80" s="74">
        <v>2</v>
      </c>
      <c r="O80" s="77">
        <v>43924</v>
      </c>
      <c r="P80" s="74" t="s">
        <v>54</v>
      </c>
      <c r="Q80" s="77">
        <v>43934</v>
      </c>
      <c r="R80" s="77" t="s">
        <v>295</v>
      </c>
      <c r="S80" s="77"/>
      <c r="T80" s="74">
        <v>2220440865</v>
      </c>
      <c r="U80" s="77">
        <v>43922</v>
      </c>
      <c r="V80" s="74"/>
      <c r="W80" s="79">
        <v>32020000463500</v>
      </c>
      <c r="X80" s="77"/>
      <c r="Y80" s="74" t="s">
        <v>34</v>
      </c>
    </row>
    <row r="81" spans="1:25" x14ac:dyDescent="0.25">
      <c r="A81" s="73" t="s">
        <v>25</v>
      </c>
      <c r="B81" s="74" t="s">
        <v>68</v>
      </c>
      <c r="C81" s="74" t="s">
        <v>267</v>
      </c>
      <c r="D81" s="74" t="s">
        <v>190</v>
      </c>
      <c r="E81" s="74">
        <v>23375</v>
      </c>
      <c r="F81" s="74" t="s">
        <v>39</v>
      </c>
      <c r="G81" s="74" t="s">
        <v>330</v>
      </c>
      <c r="H81" s="77">
        <v>43852</v>
      </c>
      <c r="I81" s="74" t="s">
        <v>331</v>
      </c>
      <c r="J81" s="80">
        <v>25712.5</v>
      </c>
      <c r="K81" s="77">
        <v>43921</v>
      </c>
      <c r="L81" s="80">
        <v>21567.119999999999</v>
      </c>
      <c r="M81" s="77">
        <v>43914</v>
      </c>
      <c r="N81" s="74">
        <v>9</v>
      </c>
      <c r="O81" s="77">
        <v>43924</v>
      </c>
      <c r="P81" s="74" t="s">
        <v>31</v>
      </c>
      <c r="Q81" s="77"/>
      <c r="R81" s="77">
        <v>44019</v>
      </c>
      <c r="S81" s="77"/>
      <c r="T81" s="74" t="s">
        <v>332</v>
      </c>
      <c r="U81" s="77">
        <v>43914</v>
      </c>
      <c r="V81" s="74"/>
      <c r="W81" s="79">
        <v>482020000229066</v>
      </c>
      <c r="X81" s="77">
        <v>43938</v>
      </c>
      <c r="Y81" s="74" t="s">
        <v>34</v>
      </c>
    </row>
    <row r="82" spans="1:25" x14ac:dyDescent="0.25">
      <c r="A82" s="45" t="s">
        <v>25</v>
      </c>
      <c r="B82" s="43" t="s">
        <v>26</v>
      </c>
      <c r="C82" s="43" t="s">
        <v>247</v>
      </c>
      <c r="D82" s="43" t="s">
        <v>282</v>
      </c>
      <c r="E82" s="31">
        <v>23375</v>
      </c>
      <c r="F82" s="43" t="s">
        <v>39</v>
      </c>
      <c r="G82" s="31">
        <v>20018363</v>
      </c>
      <c r="H82" s="47">
        <v>43880</v>
      </c>
      <c r="I82" s="31">
        <v>191980</v>
      </c>
      <c r="J82" s="46">
        <v>21271.25</v>
      </c>
      <c r="K82" s="47">
        <v>43928</v>
      </c>
      <c r="L82" s="92">
        <v>20321.25</v>
      </c>
      <c r="M82" s="47">
        <v>43928</v>
      </c>
      <c r="N82" s="31"/>
      <c r="O82" s="47">
        <v>43938</v>
      </c>
      <c r="P82" s="31" t="s">
        <v>31</v>
      </c>
      <c r="Q82" s="41">
        <v>43945</v>
      </c>
      <c r="R82" s="47">
        <f>+M82+90</f>
        <v>44018</v>
      </c>
      <c r="S82" s="47"/>
      <c r="T82" s="31" t="s">
        <v>333</v>
      </c>
      <c r="U82" s="47">
        <v>43928</v>
      </c>
      <c r="V82" s="31"/>
      <c r="W82" s="48">
        <v>482020000240586</v>
      </c>
      <c r="X82" s="44">
        <v>43945</v>
      </c>
      <c r="Y82" s="51" t="s">
        <v>334</v>
      </c>
    </row>
    <row r="83" spans="1:25" x14ac:dyDescent="0.25">
      <c r="A83" s="45" t="s">
        <v>25</v>
      </c>
      <c r="B83" s="43" t="s">
        <v>56</v>
      </c>
      <c r="C83" s="43" t="s">
        <v>241</v>
      </c>
      <c r="D83" s="43" t="s">
        <v>335</v>
      </c>
      <c r="E83" s="43" t="s">
        <v>336</v>
      </c>
      <c r="F83" s="43" t="s">
        <v>59</v>
      </c>
      <c r="G83" s="31"/>
      <c r="H83" s="47"/>
      <c r="I83" s="31">
        <v>200324</v>
      </c>
      <c r="J83" s="46">
        <v>5940</v>
      </c>
      <c r="K83" s="47">
        <v>43914</v>
      </c>
      <c r="L83" s="46">
        <v>5910</v>
      </c>
      <c r="M83" s="47">
        <v>43920</v>
      </c>
      <c r="N83" s="31">
        <v>25</v>
      </c>
      <c r="O83" s="47">
        <v>43945</v>
      </c>
      <c r="P83" s="31" t="s">
        <v>40</v>
      </c>
      <c r="Q83" s="41"/>
      <c r="R83" s="47"/>
      <c r="S83" s="47"/>
      <c r="T83" s="31" t="s">
        <v>337</v>
      </c>
      <c r="U83" s="47">
        <v>43920</v>
      </c>
      <c r="V83" s="31"/>
      <c r="W83" s="48"/>
      <c r="X83" s="44"/>
      <c r="Y83" s="51" t="s">
        <v>334</v>
      </c>
    </row>
    <row r="84" spans="1:25" x14ac:dyDescent="0.25">
      <c r="A84" s="62" t="s">
        <v>25</v>
      </c>
      <c r="B84" s="59" t="s">
        <v>201</v>
      </c>
      <c r="C84" s="59" t="s">
        <v>57</v>
      </c>
      <c r="D84" s="59" t="s">
        <v>223</v>
      </c>
      <c r="E84" s="59">
        <v>1800000</v>
      </c>
      <c r="F84" s="59" t="s">
        <v>59</v>
      </c>
      <c r="G84" s="59" t="s">
        <v>338</v>
      </c>
      <c r="H84" s="60">
        <v>43684</v>
      </c>
      <c r="I84" s="59" t="s">
        <v>339</v>
      </c>
      <c r="J84" s="63">
        <v>5683.32</v>
      </c>
      <c r="K84" s="60">
        <v>43889</v>
      </c>
      <c r="L84" s="63">
        <v>5540.02</v>
      </c>
      <c r="M84" s="60">
        <v>43901</v>
      </c>
      <c r="N84" s="59">
        <v>51</v>
      </c>
      <c r="O84" s="60">
        <v>43952</v>
      </c>
      <c r="P84" s="59" t="s">
        <v>40</v>
      </c>
      <c r="Q84" s="41">
        <v>43979</v>
      </c>
      <c r="R84" s="60">
        <f>+M84+45</f>
        <v>43946</v>
      </c>
      <c r="S84" s="59" t="s">
        <v>340</v>
      </c>
      <c r="T84" s="59" t="s">
        <v>341</v>
      </c>
      <c r="U84" s="60">
        <v>43901</v>
      </c>
      <c r="V84" s="59"/>
      <c r="W84" s="61">
        <v>35202000176915</v>
      </c>
      <c r="X84" s="60">
        <v>43959</v>
      </c>
      <c r="Y84" s="59" t="s">
        <v>342</v>
      </c>
    </row>
    <row r="85" spans="1:25" x14ac:dyDescent="0.25">
      <c r="A85" s="73" t="s">
        <v>25</v>
      </c>
      <c r="B85" s="74" t="s">
        <v>343</v>
      </c>
      <c r="C85" s="74" t="s">
        <v>189</v>
      </c>
      <c r="D85" s="74" t="s">
        <v>344</v>
      </c>
      <c r="E85" s="74">
        <v>23500</v>
      </c>
      <c r="F85" s="74" t="s">
        <v>39</v>
      </c>
      <c r="G85" s="74">
        <v>67734</v>
      </c>
      <c r="H85" s="77">
        <v>43936</v>
      </c>
      <c r="I85" s="74">
        <v>76279</v>
      </c>
      <c r="J85" s="80">
        <v>22912.5</v>
      </c>
      <c r="K85" s="77">
        <v>43943</v>
      </c>
      <c r="L85" s="80">
        <v>21937.5</v>
      </c>
      <c r="M85" s="77">
        <v>43950</v>
      </c>
      <c r="N85" s="75">
        <f>+O85-M85</f>
        <v>13</v>
      </c>
      <c r="O85" s="77">
        <v>43963</v>
      </c>
      <c r="P85" s="74" t="s">
        <v>31</v>
      </c>
      <c r="Q85" s="77">
        <v>43981</v>
      </c>
      <c r="R85" s="77">
        <f>+K85+90</f>
        <v>44033</v>
      </c>
      <c r="S85" s="74" t="s">
        <v>340</v>
      </c>
      <c r="T85" s="74" t="s">
        <v>345</v>
      </c>
      <c r="U85" s="77">
        <v>43950</v>
      </c>
      <c r="V85" s="74"/>
      <c r="W85" s="79">
        <v>482020000269400</v>
      </c>
      <c r="X85" s="77">
        <v>43969</v>
      </c>
      <c r="Y85" s="74" t="s">
        <v>34</v>
      </c>
    </row>
    <row r="86" spans="1:25" x14ac:dyDescent="0.25">
      <c r="A86" s="62" t="s">
        <v>25</v>
      </c>
      <c r="B86" s="59" t="s">
        <v>99</v>
      </c>
      <c r="C86" s="59" t="s">
        <v>346</v>
      </c>
      <c r="D86" s="59" t="s">
        <v>347</v>
      </c>
      <c r="E86" s="59"/>
      <c r="F86" s="59"/>
      <c r="G86" s="59" t="s">
        <v>348</v>
      </c>
      <c r="H86" s="59" t="s">
        <v>295</v>
      </c>
      <c r="I86" s="59"/>
      <c r="J86" s="63">
        <v>23112</v>
      </c>
      <c r="K86" s="59"/>
      <c r="L86" s="93"/>
      <c r="M86" s="59"/>
      <c r="N86" s="59"/>
      <c r="O86" s="59"/>
      <c r="P86" s="59"/>
      <c r="Q86" s="42"/>
      <c r="R86" s="59"/>
      <c r="S86" s="59"/>
      <c r="T86" s="59"/>
      <c r="U86" s="59"/>
      <c r="V86" s="59"/>
      <c r="W86" s="59"/>
      <c r="X86" s="59"/>
      <c r="Y86" s="59" t="s">
        <v>342</v>
      </c>
    </row>
    <row r="87" spans="1:25" x14ac:dyDescent="0.25">
      <c r="A87" s="73" t="s">
        <v>25</v>
      </c>
      <c r="B87" s="74" t="s">
        <v>343</v>
      </c>
      <c r="C87" s="74" t="s">
        <v>189</v>
      </c>
      <c r="D87" s="74" t="s">
        <v>344</v>
      </c>
      <c r="E87" s="74">
        <v>23500</v>
      </c>
      <c r="F87" s="74" t="s">
        <v>39</v>
      </c>
      <c r="G87" s="74"/>
      <c r="H87" s="77"/>
      <c r="I87" s="74">
        <v>76364</v>
      </c>
      <c r="J87" s="80">
        <v>22912.5</v>
      </c>
      <c r="K87" s="77">
        <v>43949</v>
      </c>
      <c r="L87" s="80">
        <v>21937.5</v>
      </c>
      <c r="M87" s="77">
        <v>43957</v>
      </c>
      <c r="N87" s="75">
        <f>+O87-M87</f>
        <v>9</v>
      </c>
      <c r="O87" s="77">
        <v>43966</v>
      </c>
      <c r="P87" s="74" t="s">
        <v>31</v>
      </c>
      <c r="Q87" s="77">
        <v>43983</v>
      </c>
      <c r="R87" s="77">
        <f>+K87+90</f>
        <v>44039</v>
      </c>
      <c r="S87" s="74" t="s">
        <v>340</v>
      </c>
      <c r="T87" s="74" t="s">
        <v>349</v>
      </c>
      <c r="U87" s="77">
        <v>43957</v>
      </c>
      <c r="V87" s="74"/>
      <c r="W87" s="79">
        <v>482020000279482</v>
      </c>
      <c r="X87" s="77">
        <v>43978</v>
      </c>
      <c r="Y87" s="74" t="s">
        <v>34</v>
      </c>
    </row>
    <row r="88" spans="1:25" x14ac:dyDescent="0.25">
      <c r="A88" s="73" t="s">
        <v>25</v>
      </c>
      <c r="B88" s="74" t="s">
        <v>26</v>
      </c>
      <c r="C88" s="74" t="s">
        <v>247</v>
      </c>
      <c r="D88" s="74" t="s">
        <v>282</v>
      </c>
      <c r="E88" s="74">
        <v>23375</v>
      </c>
      <c r="F88" s="74" t="s">
        <v>39</v>
      </c>
      <c r="G88" s="74"/>
      <c r="H88" s="77"/>
      <c r="I88" s="74">
        <v>194283</v>
      </c>
      <c r="J88" s="80">
        <v>17414.38</v>
      </c>
      <c r="K88" s="77">
        <v>43960</v>
      </c>
      <c r="L88" s="78">
        <v>15434.46</v>
      </c>
      <c r="M88" s="77">
        <v>43960</v>
      </c>
      <c r="N88" s="74"/>
      <c r="O88" s="77">
        <v>43968</v>
      </c>
      <c r="P88" s="74" t="s">
        <v>249</v>
      </c>
      <c r="Q88" s="77">
        <v>43983</v>
      </c>
      <c r="R88" s="77">
        <f>+M88+90</f>
        <v>44050</v>
      </c>
      <c r="S88" s="77">
        <v>44054</v>
      </c>
      <c r="T88" s="74" t="s">
        <v>350</v>
      </c>
      <c r="U88" s="77">
        <v>43960</v>
      </c>
      <c r="V88" s="79">
        <v>1370</v>
      </c>
      <c r="W88" s="79">
        <v>412010000006693</v>
      </c>
      <c r="X88" s="77">
        <v>43977</v>
      </c>
      <c r="Y88" s="74" t="s">
        <v>34</v>
      </c>
    </row>
    <row r="89" spans="1:25" x14ac:dyDescent="0.25">
      <c r="A89" s="49" t="s">
        <v>25</v>
      </c>
      <c r="B89" s="43" t="s">
        <v>201</v>
      </c>
      <c r="C89" s="43" t="s">
        <v>57</v>
      </c>
      <c r="D89" s="43" t="s">
        <v>57</v>
      </c>
      <c r="E89" s="43">
        <v>1800000</v>
      </c>
      <c r="F89" s="43" t="s">
        <v>59</v>
      </c>
      <c r="G89" s="43" t="s">
        <v>351</v>
      </c>
      <c r="H89" s="44">
        <v>43684</v>
      </c>
      <c r="I89" s="43" t="s">
        <v>352</v>
      </c>
      <c r="J89" s="46">
        <v>5678.12</v>
      </c>
      <c r="K89" s="44">
        <v>43950</v>
      </c>
      <c r="L89" s="92">
        <v>5555.94</v>
      </c>
      <c r="M89" s="44">
        <v>43957</v>
      </c>
      <c r="N89" s="55">
        <f>+O89-M89</f>
        <v>58</v>
      </c>
      <c r="O89" s="44">
        <v>44015</v>
      </c>
      <c r="P89" s="43" t="s">
        <v>40</v>
      </c>
      <c r="Q89" s="44">
        <v>44028</v>
      </c>
      <c r="R89" s="44">
        <f>+K89+45</f>
        <v>43995</v>
      </c>
      <c r="S89" s="44" t="s">
        <v>340</v>
      </c>
      <c r="T89" s="43" t="s">
        <v>353</v>
      </c>
      <c r="U89" s="44">
        <v>43957</v>
      </c>
      <c r="V89" s="48"/>
      <c r="W89" s="48">
        <v>352020222222551</v>
      </c>
      <c r="X89" s="44">
        <v>44020</v>
      </c>
      <c r="Y89" s="51" t="s">
        <v>334</v>
      </c>
    </row>
    <row r="90" spans="1:25" x14ac:dyDescent="0.25">
      <c r="A90" s="73" t="s">
        <v>25</v>
      </c>
      <c r="B90" s="74" t="s">
        <v>68</v>
      </c>
      <c r="C90" s="74" t="s">
        <v>325</v>
      </c>
      <c r="D90" s="74" t="s">
        <v>354</v>
      </c>
      <c r="E90" s="74">
        <v>23375</v>
      </c>
      <c r="F90" s="74" t="s">
        <v>39</v>
      </c>
      <c r="G90" s="74" t="s">
        <v>355</v>
      </c>
      <c r="H90" s="77">
        <v>44005</v>
      </c>
      <c r="I90" s="74" t="s">
        <v>356</v>
      </c>
      <c r="J90" s="80">
        <v>24193.13</v>
      </c>
      <c r="K90" s="77">
        <v>44019</v>
      </c>
      <c r="L90" s="80">
        <v>23001</v>
      </c>
      <c r="M90" s="77">
        <v>44018</v>
      </c>
      <c r="N90" s="74">
        <f>+O90-M90</f>
        <v>18</v>
      </c>
      <c r="O90" s="77">
        <v>44036</v>
      </c>
      <c r="P90" s="74" t="s">
        <v>249</v>
      </c>
      <c r="Q90" s="77">
        <v>44042</v>
      </c>
      <c r="R90" s="77">
        <f>+M90+120</f>
        <v>44138</v>
      </c>
      <c r="S90" s="77" t="s">
        <v>340</v>
      </c>
      <c r="T90" s="74">
        <v>203611446</v>
      </c>
      <c r="U90" s="77">
        <v>44018</v>
      </c>
      <c r="V90" s="74"/>
      <c r="W90" s="79">
        <v>412020000009693</v>
      </c>
      <c r="X90" s="77">
        <v>43986</v>
      </c>
      <c r="Y90" s="74" t="s">
        <v>34</v>
      </c>
    </row>
    <row r="91" spans="1:25" x14ac:dyDescent="0.25">
      <c r="A91" s="45" t="s">
        <v>25</v>
      </c>
      <c r="B91" s="43" t="s">
        <v>88</v>
      </c>
      <c r="C91" s="43" t="s">
        <v>300</v>
      </c>
      <c r="D91" s="43" t="s">
        <v>357</v>
      </c>
      <c r="E91" s="31">
        <v>306250</v>
      </c>
      <c r="F91" s="43" t="s">
        <v>358</v>
      </c>
      <c r="G91" s="31"/>
      <c r="H91" s="47"/>
      <c r="I91" s="43" t="s">
        <v>359</v>
      </c>
      <c r="J91" s="46">
        <v>5682.25</v>
      </c>
      <c r="K91" s="47" t="s">
        <v>360</v>
      </c>
      <c r="L91" s="46">
        <v>5682.55</v>
      </c>
      <c r="M91" s="47">
        <v>43927</v>
      </c>
      <c r="N91" s="31">
        <v>2</v>
      </c>
      <c r="O91" s="47" t="s">
        <v>361</v>
      </c>
      <c r="P91" s="31" t="s">
        <v>362</v>
      </c>
      <c r="Q91" s="41">
        <v>44110</v>
      </c>
      <c r="R91" s="47"/>
      <c r="S91" s="47" t="s">
        <v>340</v>
      </c>
      <c r="T91" s="43" t="s">
        <v>363</v>
      </c>
      <c r="U91" s="31" t="s">
        <v>361</v>
      </c>
      <c r="V91" s="48"/>
      <c r="W91" s="50">
        <v>902020000075661</v>
      </c>
      <c r="X91" s="47">
        <v>44080</v>
      </c>
      <c r="Y91" s="51" t="s">
        <v>334</v>
      </c>
    </row>
    <row r="92" spans="1:25" x14ac:dyDescent="0.25">
      <c r="A92" s="45" t="s">
        <v>25</v>
      </c>
      <c r="B92" s="43" t="s">
        <v>88</v>
      </c>
      <c r="C92" s="43" t="s">
        <v>300</v>
      </c>
      <c r="D92" s="43" t="s">
        <v>357</v>
      </c>
      <c r="E92" s="31">
        <v>306250</v>
      </c>
      <c r="F92" s="43" t="s">
        <v>364</v>
      </c>
      <c r="G92" s="31"/>
      <c r="H92" s="47"/>
      <c r="I92" s="43" t="s">
        <v>365</v>
      </c>
      <c r="J92" s="46">
        <v>14205.63</v>
      </c>
      <c r="K92" s="47" t="s">
        <v>366</v>
      </c>
      <c r="L92" s="46">
        <v>14205.63</v>
      </c>
      <c r="M92" s="47">
        <v>44080</v>
      </c>
      <c r="N92" s="31">
        <v>15</v>
      </c>
      <c r="O92" s="47" t="s">
        <v>367</v>
      </c>
      <c r="P92" s="31" t="s">
        <v>31</v>
      </c>
      <c r="Q92" s="41">
        <v>43989</v>
      </c>
      <c r="R92" s="47"/>
      <c r="S92" s="47" t="s">
        <v>340</v>
      </c>
      <c r="T92" s="43" t="s">
        <v>368</v>
      </c>
      <c r="U92" s="31" t="s">
        <v>361</v>
      </c>
      <c r="V92" s="48"/>
      <c r="W92" s="50">
        <v>482020000320321</v>
      </c>
      <c r="X92" s="47" t="s">
        <v>369</v>
      </c>
      <c r="Y92" s="51" t="s">
        <v>334</v>
      </c>
    </row>
    <row r="93" spans="1:25" x14ac:dyDescent="0.25">
      <c r="A93" s="45" t="s">
        <v>25</v>
      </c>
      <c r="B93" s="43" t="s">
        <v>26</v>
      </c>
      <c r="C93" s="31" t="s">
        <v>370</v>
      </c>
      <c r="D93" s="31" t="s">
        <v>371</v>
      </c>
      <c r="E93" s="31">
        <v>23375</v>
      </c>
      <c r="F93" s="43" t="s">
        <v>39</v>
      </c>
      <c r="G93" s="31"/>
      <c r="H93" s="31"/>
      <c r="I93" s="31">
        <v>195757</v>
      </c>
      <c r="J93" s="46">
        <v>17414.38</v>
      </c>
      <c r="K93" s="47">
        <v>43836</v>
      </c>
      <c r="L93" s="52">
        <v>15609.11</v>
      </c>
      <c r="M93" s="31"/>
      <c r="N93" s="31"/>
      <c r="O93" s="31" t="s">
        <v>372</v>
      </c>
      <c r="P93" s="31" t="s">
        <v>31</v>
      </c>
      <c r="Q93" s="31" t="s">
        <v>372</v>
      </c>
      <c r="R93" s="31" t="s">
        <v>373</v>
      </c>
      <c r="S93" s="31" t="s">
        <v>340</v>
      </c>
      <c r="T93" s="138" t="s">
        <v>374</v>
      </c>
      <c r="U93" s="31"/>
      <c r="V93" s="31"/>
      <c r="W93" s="50">
        <v>412020000007191</v>
      </c>
      <c r="X93" s="47">
        <v>44110</v>
      </c>
      <c r="Y93" s="51" t="s">
        <v>334</v>
      </c>
    </row>
    <row r="94" spans="1:25" x14ac:dyDescent="0.25">
      <c r="A94" s="45" t="s">
        <v>25</v>
      </c>
      <c r="B94" s="43" t="s">
        <v>26</v>
      </c>
      <c r="C94" s="43" t="s">
        <v>346</v>
      </c>
      <c r="D94" s="43" t="s">
        <v>347</v>
      </c>
      <c r="E94" s="31"/>
      <c r="F94" s="43" t="s">
        <v>39</v>
      </c>
      <c r="G94" s="31"/>
      <c r="H94" s="31" t="s">
        <v>295</v>
      </c>
      <c r="I94" s="31"/>
      <c r="J94" s="46">
        <v>3597.47</v>
      </c>
      <c r="K94" s="31" t="s">
        <v>375</v>
      </c>
      <c r="L94" s="53">
        <v>3597.47</v>
      </c>
      <c r="M94" s="47" t="s">
        <v>375</v>
      </c>
      <c r="N94" s="31">
        <v>15</v>
      </c>
      <c r="O94" s="47">
        <v>43927</v>
      </c>
      <c r="P94" s="31" t="s">
        <v>31</v>
      </c>
      <c r="Q94" s="41">
        <v>43957</v>
      </c>
      <c r="R94" s="31" t="s">
        <v>295</v>
      </c>
      <c r="S94" s="31"/>
      <c r="T94" s="31"/>
      <c r="U94" s="31"/>
      <c r="V94" s="31"/>
      <c r="W94" s="54">
        <v>482020000299197</v>
      </c>
      <c r="X94" s="47">
        <v>44171</v>
      </c>
      <c r="Y94" s="51" t="s">
        <v>334</v>
      </c>
    </row>
    <row r="95" spans="1:25" x14ac:dyDescent="0.25">
      <c r="A95" s="73" t="s">
        <v>25</v>
      </c>
      <c r="B95" s="74" t="s">
        <v>26</v>
      </c>
      <c r="C95" s="74" t="s">
        <v>370</v>
      </c>
      <c r="D95" s="74" t="s">
        <v>371</v>
      </c>
      <c r="E95" s="74">
        <v>23375</v>
      </c>
      <c r="F95" s="74" t="s">
        <v>39</v>
      </c>
      <c r="G95" s="74"/>
      <c r="H95" s="74"/>
      <c r="I95" s="74">
        <v>195286</v>
      </c>
      <c r="J95" s="80">
        <v>18933.75</v>
      </c>
      <c r="K95" s="77" t="s">
        <v>361</v>
      </c>
      <c r="L95" s="78">
        <v>17128.22</v>
      </c>
      <c r="M95" s="77" t="s">
        <v>376</v>
      </c>
      <c r="N95" s="74">
        <v>15</v>
      </c>
      <c r="O95" s="77">
        <v>43836</v>
      </c>
      <c r="P95" s="74" t="s">
        <v>31</v>
      </c>
      <c r="Q95" s="74" t="s">
        <v>372</v>
      </c>
      <c r="R95" s="77">
        <v>44063</v>
      </c>
      <c r="S95" s="77">
        <v>44063</v>
      </c>
      <c r="T95" s="81" t="s">
        <v>377</v>
      </c>
      <c r="U95" s="74"/>
      <c r="V95" s="74">
        <v>1373</v>
      </c>
      <c r="W95" s="79">
        <v>412020000006904</v>
      </c>
      <c r="X95" s="77">
        <v>43927</v>
      </c>
      <c r="Y95" s="74" t="s">
        <v>34</v>
      </c>
    </row>
    <row r="96" spans="1:25" x14ac:dyDescent="0.25">
      <c r="A96" s="73" t="s">
        <v>25</v>
      </c>
      <c r="B96" s="74" t="s">
        <v>159</v>
      </c>
      <c r="C96" s="74" t="s">
        <v>160</v>
      </c>
      <c r="D96" s="74" t="s">
        <v>329</v>
      </c>
      <c r="E96" s="74">
        <v>1</v>
      </c>
      <c r="F96" s="74" t="s">
        <v>39</v>
      </c>
      <c r="G96" s="74"/>
      <c r="H96" s="77"/>
      <c r="I96" s="74">
        <v>307646</v>
      </c>
      <c r="J96" s="80">
        <v>6684.72</v>
      </c>
      <c r="K96" s="77" t="s">
        <v>378</v>
      </c>
      <c r="L96" s="80">
        <v>6000</v>
      </c>
      <c r="M96" s="77" t="s">
        <v>378</v>
      </c>
      <c r="N96" s="74">
        <v>2</v>
      </c>
      <c r="O96" s="77" t="s">
        <v>379</v>
      </c>
      <c r="P96" s="74" t="s">
        <v>54</v>
      </c>
      <c r="Q96" s="77" t="s">
        <v>380</v>
      </c>
      <c r="R96" s="77" t="s">
        <v>295</v>
      </c>
      <c r="S96" s="77"/>
      <c r="T96" s="74"/>
      <c r="U96" s="77" t="s">
        <v>378</v>
      </c>
      <c r="V96" s="74"/>
      <c r="W96" s="82" t="s">
        <v>381</v>
      </c>
      <c r="X96" s="77" t="s">
        <v>369</v>
      </c>
      <c r="Y96" s="74" t="s">
        <v>34</v>
      </c>
    </row>
    <row r="97" spans="1:25" x14ac:dyDescent="0.25">
      <c r="A97" s="73" t="s">
        <v>25</v>
      </c>
      <c r="B97" s="74" t="s">
        <v>201</v>
      </c>
      <c r="C97" s="74" t="s">
        <v>57</v>
      </c>
      <c r="D97" s="74" t="s">
        <v>57</v>
      </c>
      <c r="E97" s="74">
        <v>1800000</v>
      </c>
      <c r="F97" s="74" t="s">
        <v>39</v>
      </c>
      <c r="G97" s="74" t="s">
        <v>382</v>
      </c>
      <c r="H97" s="77">
        <v>43684</v>
      </c>
      <c r="I97" s="74" t="s">
        <v>383</v>
      </c>
      <c r="J97" s="80">
        <v>5681.43</v>
      </c>
      <c r="K97" s="77" t="s">
        <v>384</v>
      </c>
      <c r="L97" s="78">
        <v>5523.8</v>
      </c>
      <c r="M97" s="77">
        <v>44110</v>
      </c>
      <c r="N97" s="75">
        <v>40</v>
      </c>
      <c r="O97" s="77" t="s">
        <v>385</v>
      </c>
      <c r="P97" s="74" t="s">
        <v>40</v>
      </c>
      <c r="Q97" s="77">
        <v>43959</v>
      </c>
      <c r="R97" s="77" t="s">
        <v>385</v>
      </c>
      <c r="S97" s="77">
        <v>44105</v>
      </c>
      <c r="T97" s="74" t="s">
        <v>386</v>
      </c>
      <c r="U97" s="77">
        <v>44110</v>
      </c>
      <c r="V97" s="79">
        <v>1386</v>
      </c>
      <c r="W97" s="79">
        <v>352020000255572</v>
      </c>
      <c r="X97" s="77">
        <v>44043</v>
      </c>
      <c r="Y97" s="74" t="s">
        <v>34</v>
      </c>
    </row>
    <row r="98" spans="1:25" x14ac:dyDescent="0.25">
      <c r="A98" s="73" t="s">
        <v>25</v>
      </c>
      <c r="B98" s="74" t="s">
        <v>159</v>
      </c>
      <c r="C98" s="74" t="s">
        <v>387</v>
      </c>
      <c r="D98" s="74"/>
      <c r="E98" s="74">
        <v>3.47</v>
      </c>
      <c r="F98" s="74" t="s">
        <v>39</v>
      </c>
      <c r="G98" s="74"/>
      <c r="H98" s="74"/>
      <c r="I98" s="74">
        <v>359942</v>
      </c>
      <c r="J98" s="74">
        <v>7075</v>
      </c>
      <c r="K98" s="74" t="s">
        <v>388</v>
      </c>
      <c r="L98" s="78">
        <v>6850</v>
      </c>
      <c r="M98" s="74" t="s">
        <v>388</v>
      </c>
      <c r="N98" s="75">
        <v>10</v>
      </c>
      <c r="O98" s="74" t="s">
        <v>385</v>
      </c>
      <c r="P98" s="74" t="s">
        <v>54</v>
      </c>
      <c r="Q98" s="74" t="s">
        <v>389</v>
      </c>
      <c r="R98" s="74" t="s">
        <v>390</v>
      </c>
      <c r="S98" s="74" t="s">
        <v>390</v>
      </c>
      <c r="T98" s="74">
        <v>1115903552</v>
      </c>
      <c r="U98" s="74" t="s">
        <v>388</v>
      </c>
      <c r="V98" s="74"/>
      <c r="W98" s="74"/>
      <c r="X98" s="74"/>
      <c r="Y98" s="74" t="s">
        <v>34</v>
      </c>
    </row>
    <row r="99" spans="1:25" x14ac:dyDescent="0.25">
      <c r="A99" s="73" t="s">
        <v>25</v>
      </c>
      <c r="B99" s="74" t="s">
        <v>88</v>
      </c>
      <c r="C99" s="74" t="s">
        <v>89</v>
      </c>
      <c r="D99" s="74" t="s">
        <v>391</v>
      </c>
      <c r="E99" s="74">
        <f>1028.25+306.25</f>
        <v>1334.5</v>
      </c>
      <c r="F99" s="74" t="s">
        <v>39</v>
      </c>
      <c r="G99" s="74"/>
      <c r="H99" s="74"/>
      <c r="I99" s="74">
        <v>15382</v>
      </c>
      <c r="J99" s="76">
        <v>66053.31</v>
      </c>
      <c r="K99" s="77" t="s">
        <v>392</v>
      </c>
      <c r="L99" s="78">
        <v>66053.31</v>
      </c>
      <c r="M99" s="77" t="s">
        <v>389</v>
      </c>
      <c r="N99" s="74">
        <v>15</v>
      </c>
      <c r="O99" s="77">
        <v>43838</v>
      </c>
      <c r="P99" s="74" t="s">
        <v>31</v>
      </c>
      <c r="Q99" s="77">
        <v>44075</v>
      </c>
      <c r="R99" s="77" t="s">
        <v>393</v>
      </c>
      <c r="S99" s="77" t="s">
        <v>393</v>
      </c>
      <c r="T99" s="74" t="s">
        <v>394</v>
      </c>
      <c r="U99" s="77">
        <v>44047</v>
      </c>
      <c r="V99" s="74"/>
      <c r="W99" s="79">
        <v>482020000414189</v>
      </c>
      <c r="X99" s="77">
        <v>44067</v>
      </c>
      <c r="Y99" s="74" t="s">
        <v>34</v>
      </c>
    </row>
    <row r="100" spans="1:25" x14ac:dyDescent="0.25">
      <c r="A100" s="62" t="s">
        <v>25</v>
      </c>
      <c r="B100" s="59" t="s">
        <v>26</v>
      </c>
      <c r="C100" s="59"/>
      <c r="D100" s="59"/>
      <c r="E100" s="59"/>
      <c r="F100" s="59" t="s">
        <v>39</v>
      </c>
      <c r="G100" s="59" t="s">
        <v>395</v>
      </c>
      <c r="H100" s="59" t="s">
        <v>396</v>
      </c>
      <c r="I100" s="59" t="s">
        <v>340</v>
      </c>
      <c r="J100" s="59">
        <v>26964</v>
      </c>
      <c r="K100" s="59" t="s">
        <v>340</v>
      </c>
      <c r="L100" s="94">
        <v>26964</v>
      </c>
      <c r="M100" s="59" t="s">
        <v>340</v>
      </c>
      <c r="N100" s="59" t="s">
        <v>340</v>
      </c>
      <c r="O100" s="59" t="s">
        <v>340</v>
      </c>
      <c r="P100" s="59" t="s">
        <v>31</v>
      </c>
      <c r="Q100" s="59" t="s">
        <v>340</v>
      </c>
      <c r="R100" s="59"/>
      <c r="S100" s="59" t="s">
        <v>396</v>
      </c>
      <c r="T100" s="59" t="s">
        <v>340</v>
      </c>
      <c r="U100" s="59" t="s">
        <v>340</v>
      </c>
      <c r="V100" s="59"/>
      <c r="W100" s="59" t="s">
        <v>340</v>
      </c>
      <c r="X100" s="59" t="s">
        <v>340</v>
      </c>
      <c r="Y100" s="59" t="s">
        <v>342</v>
      </c>
    </row>
    <row r="101" spans="1:25" x14ac:dyDescent="0.25">
      <c r="A101" s="73" t="s">
        <v>25</v>
      </c>
      <c r="B101" s="74" t="s">
        <v>68</v>
      </c>
      <c r="C101" s="74" t="s">
        <v>267</v>
      </c>
      <c r="D101" s="74" t="s">
        <v>397</v>
      </c>
      <c r="E101" s="74">
        <v>26</v>
      </c>
      <c r="F101" s="74" t="s">
        <v>39</v>
      </c>
      <c r="G101" s="74" t="s">
        <v>398</v>
      </c>
      <c r="H101" s="77">
        <v>44050</v>
      </c>
      <c r="I101" s="74" t="s">
        <v>399</v>
      </c>
      <c r="J101" s="76">
        <v>26910</v>
      </c>
      <c r="K101" s="77">
        <v>44057</v>
      </c>
      <c r="L101" s="78">
        <v>25584</v>
      </c>
      <c r="M101" s="77">
        <v>44063</v>
      </c>
      <c r="N101" s="74">
        <v>5</v>
      </c>
      <c r="O101" s="77">
        <v>44078</v>
      </c>
      <c r="P101" s="74" t="s">
        <v>249</v>
      </c>
      <c r="Q101" s="77">
        <v>44085</v>
      </c>
      <c r="R101" s="77">
        <f>+M101+120</f>
        <v>44183</v>
      </c>
      <c r="S101" s="77">
        <v>44176</v>
      </c>
      <c r="T101" s="74">
        <v>204023874</v>
      </c>
      <c r="U101" s="77">
        <v>44057</v>
      </c>
      <c r="V101" s="74">
        <v>1408</v>
      </c>
      <c r="W101" s="79">
        <v>412020000011900</v>
      </c>
      <c r="X101" s="77">
        <v>44083</v>
      </c>
      <c r="Y101" s="74" t="s">
        <v>34</v>
      </c>
    </row>
    <row r="102" spans="1:25" x14ac:dyDescent="0.25">
      <c r="A102" s="73" t="s">
        <v>25</v>
      </c>
      <c r="B102" s="74" t="s">
        <v>68</v>
      </c>
      <c r="C102" s="74" t="s">
        <v>267</v>
      </c>
      <c r="D102" s="74" t="s">
        <v>400</v>
      </c>
      <c r="E102" s="74">
        <v>23375</v>
      </c>
      <c r="F102" s="74" t="s">
        <v>39</v>
      </c>
      <c r="G102" s="74" t="s">
        <v>401</v>
      </c>
      <c r="H102" s="77" t="s">
        <v>402</v>
      </c>
      <c r="I102" s="74" t="s">
        <v>403</v>
      </c>
      <c r="J102" s="76">
        <v>24520.37</v>
      </c>
      <c r="K102" s="77">
        <v>44061</v>
      </c>
      <c r="L102" s="76">
        <v>24520.37</v>
      </c>
      <c r="M102" s="77">
        <v>44061</v>
      </c>
      <c r="N102" s="74">
        <f>+O102-M102</f>
        <v>17</v>
      </c>
      <c r="O102" s="77">
        <v>44078</v>
      </c>
      <c r="P102" s="74" t="s">
        <v>249</v>
      </c>
      <c r="Q102" s="77">
        <v>44082</v>
      </c>
      <c r="R102" s="77">
        <f>+M102+90</f>
        <v>44151</v>
      </c>
      <c r="S102" s="77">
        <v>44181</v>
      </c>
      <c r="T102" s="74">
        <v>204346247</v>
      </c>
      <c r="U102" s="77">
        <v>44061</v>
      </c>
      <c r="V102" s="74">
        <v>1410</v>
      </c>
      <c r="W102" s="79">
        <v>412020000012049</v>
      </c>
      <c r="X102" s="77">
        <v>44089</v>
      </c>
      <c r="Y102" s="74" t="s">
        <v>34</v>
      </c>
    </row>
    <row r="103" spans="1:25" x14ac:dyDescent="0.25">
      <c r="A103" s="73" t="s">
        <v>25</v>
      </c>
      <c r="B103" s="74" t="s">
        <v>68</v>
      </c>
      <c r="C103" s="74" t="s">
        <v>404</v>
      </c>
      <c r="D103" s="74" t="s">
        <v>405</v>
      </c>
      <c r="E103" s="74">
        <v>26</v>
      </c>
      <c r="F103" s="74" t="s">
        <v>39</v>
      </c>
      <c r="G103" s="74" t="s">
        <v>406</v>
      </c>
      <c r="H103" s="77" t="s">
        <v>402</v>
      </c>
      <c r="I103" s="74" t="s">
        <v>407</v>
      </c>
      <c r="J103" s="80">
        <v>23400</v>
      </c>
      <c r="K103" s="77">
        <v>44068</v>
      </c>
      <c r="L103" s="76">
        <v>22074</v>
      </c>
      <c r="M103" s="77">
        <v>44073</v>
      </c>
      <c r="N103" s="75">
        <f>+O103-M103</f>
        <v>5</v>
      </c>
      <c r="O103" s="77">
        <v>44078</v>
      </c>
      <c r="P103" s="77" t="s">
        <v>249</v>
      </c>
      <c r="Q103" s="77">
        <v>44082</v>
      </c>
      <c r="R103" s="77">
        <f>+M103+120</f>
        <v>44193</v>
      </c>
      <c r="S103" s="77">
        <v>44187</v>
      </c>
      <c r="T103" s="74">
        <v>543895637</v>
      </c>
      <c r="U103" s="77">
        <v>44064</v>
      </c>
      <c r="V103" s="74">
        <v>1412</v>
      </c>
      <c r="W103" s="79">
        <v>412020000012051</v>
      </c>
      <c r="X103" s="77">
        <v>44089</v>
      </c>
      <c r="Y103" s="74" t="s">
        <v>34</v>
      </c>
    </row>
    <row r="104" spans="1:25" x14ac:dyDescent="0.25">
      <c r="A104" s="73" t="s">
        <v>25</v>
      </c>
      <c r="B104" s="74" t="s">
        <v>26</v>
      </c>
      <c r="C104" s="74" t="s">
        <v>408</v>
      </c>
      <c r="D104" s="74" t="s">
        <v>44</v>
      </c>
      <c r="E104" s="74">
        <v>46750</v>
      </c>
      <c r="F104" s="74" t="s">
        <v>39</v>
      </c>
      <c r="G104" s="74">
        <v>20021809</v>
      </c>
      <c r="H104" s="74" t="s">
        <v>396</v>
      </c>
      <c r="I104" s="74">
        <v>202130</v>
      </c>
      <c r="J104" s="76">
        <v>46750</v>
      </c>
      <c r="K104" s="77">
        <v>44058</v>
      </c>
      <c r="L104" s="76">
        <v>21545.07</v>
      </c>
      <c r="M104" s="77">
        <v>44057</v>
      </c>
      <c r="N104" s="75">
        <f>+O104-M104</f>
        <v>10</v>
      </c>
      <c r="O104" s="77">
        <v>44067</v>
      </c>
      <c r="P104" s="74" t="s">
        <v>31</v>
      </c>
      <c r="Q104" s="77">
        <v>44075</v>
      </c>
      <c r="R104" s="77">
        <f>+M104+90</f>
        <v>44147</v>
      </c>
      <c r="S104" s="77">
        <v>44148</v>
      </c>
      <c r="T104" s="74" t="s">
        <v>409</v>
      </c>
      <c r="U104" s="77">
        <v>44054</v>
      </c>
      <c r="V104" s="77" t="s">
        <v>340</v>
      </c>
      <c r="W104" s="79">
        <v>412020000011167</v>
      </c>
      <c r="X104" s="77">
        <v>44069</v>
      </c>
      <c r="Y104" s="74" t="s">
        <v>34</v>
      </c>
    </row>
    <row r="105" spans="1:25" x14ac:dyDescent="0.25">
      <c r="A105" s="73" t="s">
        <v>25</v>
      </c>
      <c r="B105" s="74" t="s">
        <v>410</v>
      </c>
      <c r="C105" s="74" t="s">
        <v>408</v>
      </c>
      <c r="D105" s="74" t="s">
        <v>411</v>
      </c>
      <c r="E105" s="74">
        <v>23375</v>
      </c>
      <c r="F105" s="74" t="s">
        <v>39</v>
      </c>
      <c r="G105" s="74" t="s">
        <v>412</v>
      </c>
      <c r="H105" s="74" t="s">
        <v>402</v>
      </c>
      <c r="I105" s="74">
        <v>20003021</v>
      </c>
      <c r="J105" s="76">
        <v>21505</v>
      </c>
      <c r="K105" s="77">
        <v>44043</v>
      </c>
      <c r="L105" s="76">
        <v>19660</v>
      </c>
      <c r="M105" s="77">
        <v>44043</v>
      </c>
      <c r="N105" s="77">
        <f>+O105-M105</f>
        <v>9</v>
      </c>
      <c r="O105" s="77">
        <v>44052</v>
      </c>
      <c r="P105" s="74" t="s">
        <v>249</v>
      </c>
      <c r="Q105" s="77">
        <v>44058</v>
      </c>
      <c r="R105" s="77">
        <f>+M105+90</f>
        <v>44133</v>
      </c>
      <c r="S105" s="77">
        <v>44134</v>
      </c>
      <c r="T105" s="74" t="s">
        <v>413</v>
      </c>
      <c r="U105" s="77">
        <v>44043</v>
      </c>
      <c r="V105" s="74">
        <v>1394</v>
      </c>
      <c r="W105" s="79">
        <v>412020000009890</v>
      </c>
      <c r="X105" s="77">
        <v>44054</v>
      </c>
      <c r="Y105" s="74" t="s">
        <v>34</v>
      </c>
    </row>
    <row r="106" spans="1:25" x14ac:dyDescent="0.25">
      <c r="A106" s="73" t="s">
        <v>25</v>
      </c>
      <c r="B106" s="74" t="s">
        <v>414</v>
      </c>
      <c r="C106" s="74" t="s">
        <v>415</v>
      </c>
      <c r="D106" s="74"/>
      <c r="E106" s="74">
        <v>480</v>
      </c>
      <c r="F106" s="74" t="s">
        <v>59</v>
      </c>
      <c r="G106" s="74" t="s">
        <v>416</v>
      </c>
      <c r="H106" s="77">
        <v>44070</v>
      </c>
      <c r="I106" s="74" t="s">
        <v>417</v>
      </c>
      <c r="J106" s="76">
        <v>1732</v>
      </c>
      <c r="K106" s="77">
        <v>44076</v>
      </c>
      <c r="L106" s="78">
        <f>+J106-200</f>
        <v>1532</v>
      </c>
      <c r="M106" s="77">
        <v>44092</v>
      </c>
      <c r="N106" s="74">
        <v>45</v>
      </c>
      <c r="O106" s="77">
        <f>+M106+N106</f>
        <v>44137</v>
      </c>
      <c r="P106" s="74" t="s">
        <v>418</v>
      </c>
      <c r="Q106" s="77" t="s">
        <v>340</v>
      </c>
      <c r="R106" s="77" t="s">
        <v>295</v>
      </c>
      <c r="S106" s="77">
        <v>44073</v>
      </c>
      <c r="T106" s="74" t="s">
        <v>419</v>
      </c>
      <c r="U106" s="77">
        <v>44092</v>
      </c>
      <c r="V106" s="77" t="s">
        <v>340</v>
      </c>
      <c r="W106" s="79">
        <v>352020000400948</v>
      </c>
      <c r="X106" s="77">
        <v>44148</v>
      </c>
      <c r="Y106" s="74" t="s">
        <v>34</v>
      </c>
    </row>
    <row r="107" spans="1:25" x14ac:dyDescent="0.25">
      <c r="A107" s="73" t="s">
        <v>25</v>
      </c>
      <c r="B107" s="74" t="s">
        <v>88</v>
      </c>
      <c r="C107" s="74" t="s">
        <v>89</v>
      </c>
      <c r="D107" s="74" t="s">
        <v>420</v>
      </c>
      <c r="E107" s="74">
        <f>160+367</f>
        <v>527</v>
      </c>
      <c r="F107" s="74" t="s">
        <v>59</v>
      </c>
      <c r="G107" s="74"/>
      <c r="H107" s="74"/>
      <c r="I107" s="74" t="s">
        <v>421</v>
      </c>
      <c r="J107" s="76">
        <v>31496.83</v>
      </c>
      <c r="K107" s="77">
        <v>44036</v>
      </c>
      <c r="L107" s="78">
        <f>+J107</f>
        <v>31496.83</v>
      </c>
      <c r="M107" s="77">
        <v>44095</v>
      </c>
      <c r="N107" s="74">
        <v>15</v>
      </c>
      <c r="O107" s="77">
        <f>+M107+15</f>
        <v>44110</v>
      </c>
      <c r="P107" s="74" t="s">
        <v>31</v>
      </c>
      <c r="Q107" s="77">
        <v>44121</v>
      </c>
      <c r="R107" s="165">
        <f>+M107+90</f>
        <v>44185</v>
      </c>
      <c r="S107" s="77">
        <v>44131</v>
      </c>
      <c r="T107" s="74" t="s">
        <v>422</v>
      </c>
      <c r="U107" s="77">
        <v>44109</v>
      </c>
      <c r="V107" s="77" t="s">
        <v>340</v>
      </c>
      <c r="W107" s="79">
        <v>482020000502009</v>
      </c>
      <c r="X107" s="77">
        <v>44111</v>
      </c>
      <c r="Y107" s="51" t="s">
        <v>334</v>
      </c>
    </row>
    <row r="108" spans="1:25" x14ac:dyDescent="0.25">
      <c r="A108" s="73" t="s">
        <v>25</v>
      </c>
      <c r="B108" s="74" t="s">
        <v>26</v>
      </c>
      <c r="C108" s="74" t="s">
        <v>408</v>
      </c>
      <c r="D108" s="74" t="s">
        <v>44</v>
      </c>
      <c r="E108" s="74">
        <v>23375</v>
      </c>
      <c r="F108" s="74" t="s">
        <v>39</v>
      </c>
      <c r="G108" s="74"/>
      <c r="H108" s="74"/>
      <c r="I108" s="74">
        <v>203082</v>
      </c>
      <c r="J108" s="76">
        <v>23375</v>
      </c>
      <c r="K108" s="77">
        <v>44073</v>
      </c>
      <c r="L108" s="78">
        <v>20570.060000000001</v>
      </c>
      <c r="M108" s="77">
        <v>44073</v>
      </c>
      <c r="N108" s="74">
        <v>15</v>
      </c>
      <c r="O108" s="77">
        <f>+M108+15</f>
        <v>44088</v>
      </c>
      <c r="P108" s="74" t="s">
        <v>249</v>
      </c>
      <c r="Q108" s="77">
        <v>44089</v>
      </c>
      <c r="R108" s="77">
        <f>+M108+90</f>
        <v>44163</v>
      </c>
      <c r="S108" s="77">
        <v>44162</v>
      </c>
      <c r="T108" s="74" t="s">
        <v>423</v>
      </c>
      <c r="U108" s="77">
        <v>44073</v>
      </c>
      <c r="V108" s="79">
        <v>1403</v>
      </c>
      <c r="W108" s="79">
        <v>412020000011972</v>
      </c>
      <c r="X108" s="77">
        <v>44085</v>
      </c>
      <c r="Y108" s="74" t="s">
        <v>34</v>
      </c>
    </row>
    <row r="109" spans="1:25" x14ac:dyDescent="0.25">
      <c r="A109" s="73" t="s">
        <v>25</v>
      </c>
      <c r="B109" s="74" t="s">
        <v>99</v>
      </c>
      <c r="C109" s="74" t="s">
        <v>415</v>
      </c>
      <c r="D109" s="74"/>
      <c r="E109" s="74">
        <v>6300</v>
      </c>
      <c r="F109" s="74" t="s">
        <v>59</v>
      </c>
      <c r="G109" s="74"/>
      <c r="H109" s="74"/>
      <c r="I109" s="74">
        <v>20001131</v>
      </c>
      <c r="J109" s="76">
        <v>26964</v>
      </c>
      <c r="K109" s="77">
        <v>44064</v>
      </c>
      <c r="L109" s="78">
        <f>+J109</f>
        <v>26964</v>
      </c>
      <c r="M109" s="77">
        <v>44082</v>
      </c>
      <c r="N109" s="74">
        <v>15</v>
      </c>
      <c r="O109" s="77">
        <f>+M109+N109</f>
        <v>44097</v>
      </c>
      <c r="P109" s="74" t="s">
        <v>31</v>
      </c>
      <c r="Q109" s="77">
        <v>44097</v>
      </c>
      <c r="R109" s="77">
        <v>44039</v>
      </c>
      <c r="S109" s="77" t="s">
        <v>215</v>
      </c>
      <c r="T109" s="74" t="s">
        <v>424</v>
      </c>
      <c r="U109" s="77">
        <v>44082</v>
      </c>
      <c r="V109" s="75">
        <v>1368</v>
      </c>
      <c r="W109" s="79">
        <v>482020000462693</v>
      </c>
      <c r="X109" s="77">
        <v>44092</v>
      </c>
      <c r="Y109" s="74" t="s">
        <v>34</v>
      </c>
    </row>
    <row r="110" spans="1:25" x14ac:dyDescent="0.25">
      <c r="A110" s="45" t="s">
        <v>25</v>
      </c>
      <c r="B110" s="31" t="s">
        <v>68</v>
      </c>
      <c r="C110" s="31" t="s">
        <v>267</v>
      </c>
      <c r="D110" s="31" t="s">
        <v>425</v>
      </c>
      <c r="E110" s="31">
        <v>23375</v>
      </c>
      <c r="F110" s="31" t="s">
        <v>39</v>
      </c>
      <c r="G110" s="31" t="s">
        <v>426</v>
      </c>
      <c r="H110" s="47">
        <v>44046</v>
      </c>
      <c r="I110" s="31" t="s">
        <v>427</v>
      </c>
      <c r="J110" s="53">
        <v>21792.5</v>
      </c>
      <c r="K110" s="47">
        <v>44083</v>
      </c>
      <c r="L110" s="52">
        <v>20780.37</v>
      </c>
      <c r="M110" s="47">
        <v>44083</v>
      </c>
      <c r="N110" s="54">
        <v>16</v>
      </c>
      <c r="O110" s="47">
        <v>44099</v>
      </c>
      <c r="P110" s="31" t="s">
        <v>249</v>
      </c>
      <c r="Q110" s="47">
        <v>44120</v>
      </c>
      <c r="R110" s="47">
        <f t="shared" ref="R110:R117" si="2">+M110+120</f>
        <v>44203</v>
      </c>
      <c r="S110" s="47">
        <v>44202</v>
      </c>
      <c r="T110" s="31">
        <v>204799329</v>
      </c>
      <c r="U110" s="47">
        <v>44083</v>
      </c>
      <c r="V110" s="31"/>
      <c r="W110" s="50">
        <v>412020000013986</v>
      </c>
      <c r="X110" s="47">
        <v>44117</v>
      </c>
      <c r="Y110" s="74" t="s">
        <v>34</v>
      </c>
    </row>
    <row r="111" spans="1:25" x14ac:dyDescent="0.25">
      <c r="A111" s="45" t="s">
        <v>25</v>
      </c>
      <c r="B111" s="31" t="s">
        <v>68</v>
      </c>
      <c r="C111" s="31" t="s">
        <v>267</v>
      </c>
      <c r="D111" s="31" t="s">
        <v>425</v>
      </c>
      <c r="E111" s="31">
        <v>23375</v>
      </c>
      <c r="F111" s="31" t="s">
        <v>39</v>
      </c>
      <c r="G111" s="31" t="s">
        <v>428</v>
      </c>
      <c r="H111" s="47">
        <v>44046</v>
      </c>
      <c r="I111" s="31" t="s">
        <v>429</v>
      </c>
      <c r="J111" s="53">
        <v>21792.5</v>
      </c>
      <c r="K111" s="47">
        <v>44116</v>
      </c>
      <c r="L111" s="52">
        <v>20803.75</v>
      </c>
      <c r="M111" s="47">
        <v>44112</v>
      </c>
      <c r="N111" s="54">
        <v>16</v>
      </c>
      <c r="O111" s="47">
        <v>44162</v>
      </c>
      <c r="P111" s="31" t="s">
        <v>249</v>
      </c>
      <c r="Q111" s="47" t="s">
        <v>340</v>
      </c>
      <c r="R111" s="47">
        <f t="shared" si="2"/>
        <v>44232</v>
      </c>
      <c r="S111" s="47" t="s">
        <v>340</v>
      </c>
      <c r="T111" s="31" t="s">
        <v>428</v>
      </c>
      <c r="U111" s="47">
        <v>44114</v>
      </c>
      <c r="V111" s="31" t="s">
        <v>340</v>
      </c>
      <c r="W111" s="50">
        <v>412020000016189</v>
      </c>
      <c r="X111" s="47">
        <v>44138</v>
      </c>
      <c r="Y111" s="51" t="s">
        <v>334</v>
      </c>
    </row>
    <row r="112" spans="1:25" x14ac:dyDescent="0.25">
      <c r="A112" s="45">
        <v>8068</v>
      </c>
      <c r="B112" s="31" t="s">
        <v>68</v>
      </c>
      <c r="C112" s="31" t="s">
        <v>267</v>
      </c>
      <c r="D112" s="31" t="s">
        <v>144</v>
      </c>
      <c r="E112" s="31">
        <v>23375</v>
      </c>
      <c r="F112" s="31" t="s">
        <v>39</v>
      </c>
      <c r="G112" s="31" t="s">
        <v>430</v>
      </c>
      <c r="H112" s="47">
        <v>44070</v>
      </c>
      <c r="I112" s="31" t="s">
        <v>431</v>
      </c>
      <c r="J112" s="53">
        <v>25011.25</v>
      </c>
      <c r="K112" s="47">
        <v>44100</v>
      </c>
      <c r="L112" s="52">
        <v>24310</v>
      </c>
      <c r="M112" s="47">
        <v>44103</v>
      </c>
      <c r="N112" s="54">
        <f>+O112-M112</f>
        <v>8</v>
      </c>
      <c r="O112" s="47">
        <v>44111</v>
      </c>
      <c r="P112" s="31" t="s">
        <v>31</v>
      </c>
      <c r="Q112" s="41" t="s">
        <v>340</v>
      </c>
      <c r="R112" s="47">
        <f t="shared" si="2"/>
        <v>44223</v>
      </c>
      <c r="S112" s="47">
        <v>44221</v>
      </c>
      <c r="T112" s="31">
        <v>205019979</v>
      </c>
      <c r="U112" s="47">
        <v>44101</v>
      </c>
      <c r="V112" s="47" t="s">
        <v>340</v>
      </c>
      <c r="W112" s="50">
        <v>482020000530059</v>
      </c>
      <c r="X112" s="47">
        <v>44123</v>
      </c>
      <c r="Y112" s="74" t="s">
        <v>34</v>
      </c>
    </row>
    <row r="113" spans="1:25" x14ac:dyDescent="0.25">
      <c r="A113" s="45" t="s">
        <v>25</v>
      </c>
      <c r="B113" s="31" t="s">
        <v>68</v>
      </c>
      <c r="C113" s="31" t="s">
        <v>404</v>
      </c>
      <c r="D113" s="31" t="s">
        <v>432</v>
      </c>
      <c r="E113" s="31">
        <v>23375</v>
      </c>
      <c r="F113" s="31" t="s">
        <v>39</v>
      </c>
      <c r="G113" s="31" t="s">
        <v>433</v>
      </c>
      <c r="H113" s="47">
        <v>44070</v>
      </c>
      <c r="I113" s="31" t="s">
        <v>434</v>
      </c>
      <c r="J113" s="53">
        <v>21738.75</v>
      </c>
      <c r="K113" s="47">
        <v>44100</v>
      </c>
      <c r="L113" s="52">
        <v>20546.62</v>
      </c>
      <c r="M113" s="47">
        <v>44103</v>
      </c>
      <c r="N113" s="54">
        <v>14</v>
      </c>
      <c r="O113" s="47">
        <v>44087</v>
      </c>
      <c r="P113" s="31" t="s">
        <v>249</v>
      </c>
      <c r="Q113" s="44">
        <v>44130</v>
      </c>
      <c r="R113" s="47">
        <f t="shared" si="2"/>
        <v>44223</v>
      </c>
      <c r="S113" s="47">
        <v>44221</v>
      </c>
      <c r="T113" s="31">
        <v>205084734</v>
      </c>
      <c r="U113" s="47">
        <v>44103</v>
      </c>
      <c r="V113" s="47" t="s">
        <v>340</v>
      </c>
      <c r="W113" s="50">
        <v>412020000014991</v>
      </c>
      <c r="X113" s="47">
        <v>44125</v>
      </c>
      <c r="Y113" s="74" t="s">
        <v>34</v>
      </c>
    </row>
    <row r="114" spans="1:25" x14ac:dyDescent="0.25">
      <c r="A114" s="45" t="s">
        <v>25</v>
      </c>
      <c r="B114" s="31" t="s">
        <v>68</v>
      </c>
      <c r="C114" s="31" t="s">
        <v>267</v>
      </c>
      <c r="D114" s="31" t="s">
        <v>435</v>
      </c>
      <c r="E114" s="31">
        <v>23375</v>
      </c>
      <c r="F114" s="31" t="s">
        <v>39</v>
      </c>
      <c r="G114" s="31" t="s">
        <v>436</v>
      </c>
      <c r="H114" s="47">
        <v>44070</v>
      </c>
      <c r="I114" s="31" t="s">
        <v>437</v>
      </c>
      <c r="J114" s="53">
        <v>21738.75</v>
      </c>
      <c r="K114" s="47">
        <v>44116</v>
      </c>
      <c r="L114" s="52">
        <v>20546.62</v>
      </c>
      <c r="M114" s="47">
        <v>44115</v>
      </c>
      <c r="N114" s="54">
        <f>+O114-M114</f>
        <v>17</v>
      </c>
      <c r="O114" s="47">
        <v>44132</v>
      </c>
      <c r="P114" s="31" t="s">
        <v>249</v>
      </c>
      <c r="Q114" s="47">
        <v>44141</v>
      </c>
      <c r="R114" s="47">
        <f t="shared" si="2"/>
        <v>44235</v>
      </c>
      <c r="S114" s="47" t="s">
        <v>340</v>
      </c>
      <c r="T114" s="31">
        <v>205084868</v>
      </c>
      <c r="U114" s="47">
        <v>44115</v>
      </c>
      <c r="V114" s="47" t="s">
        <v>340</v>
      </c>
      <c r="W114" s="50">
        <v>412020000016188</v>
      </c>
      <c r="X114" s="47">
        <v>44138</v>
      </c>
      <c r="Y114" s="51" t="s">
        <v>334</v>
      </c>
    </row>
    <row r="115" spans="1:25" x14ac:dyDescent="0.25">
      <c r="A115" s="45" t="s">
        <v>25</v>
      </c>
      <c r="B115" s="31" t="s">
        <v>68</v>
      </c>
      <c r="C115" s="31" t="s">
        <v>267</v>
      </c>
      <c r="D115" s="31" t="s">
        <v>144</v>
      </c>
      <c r="E115" s="31">
        <v>23375</v>
      </c>
      <c r="F115" s="31" t="s">
        <v>39</v>
      </c>
      <c r="G115" s="31" t="s">
        <v>438</v>
      </c>
      <c r="H115" s="47">
        <v>44070</v>
      </c>
      <c r="I115" s="31" t="s">
        <v>439</v>
      </c>
      <c r="J115" s="53">
        <v>25946.25</v>
      </c>
      <c r="K115" s="47" t="s">
        <v>340</v>
      </c>
      <c r="L115" s="52">
        <v>24987.87</v>
      </c>
      <c r="M115" s="47">
        <v>44103</v>
      </c>
      <c r="N115" s="54" t="s">
        <v>340</v>
      </c>
      <c r="O115" s="47">
        <v>44117</v>
      </c>
      <c r="P115" s="31" t="s">
        <v>249</v>
      </c>
      <c r="Q115" s="41" t="s">
        <v>340</v>
      </c>
      <c r="R115" s="47">
        <f t="shared" si="2"/>
        <v>44223</v>
      </c>
      <c r="S115" s="47">
        <v>44221</v>
      </c>
      <c r="T115" s="31">
        <v>205084849</v>
      </c>
      <c r="U115" s="47">
        <v>44103</v>
      </c>
      <c r="V115" s="47" t="s">
        <v>340</v>
      </c>
      <c r="W115" s="50">
        <v>412020000016031</v>
      </c>
      <c r="X115" s="47">
        <v>44134</v>
      </c>
      <c r="Y115" s="74" t="s">
        <v>34</v>
      </c>
    </row>
    <row r="116" spans="1:25" x14ac:dyDescent="0.25">
      <c r="A116" s="45" t="s">
        <v>25</v>
      </c>
      <c r="B116" s="31" t="s">
        <v>68</v>
      </c>
      <c r="C116" s="43" t="s">
        <v>440</v>
      </c>
      <c r="D116" s="31" t="s">
        <v>441</v>
      </c>
      <c r="E116" s="31">
        <v>26000</v>
      </c>
      <c r="F116" s="31" t="s">
        <v>39</v>
      </c>
      <c r="G116" s="31" t="s">
        <v>442</v>
      </c>
      <c r="H116" s="47">
        <v>44070</v>
      </c>
      <c r="I116" s="31" t="s">
        <v>443</v>
      </c>
      <c r="J116" s="53">
        <v>28340</v>
      </c>
      <c r="K116" s="47" t="s">
        <v>340</v>
      </c>
      <c r="L116" s="52">
        <v>27274</v>
      </c>
      <c r="M116" s="47">
        <v>44101</v>
      </c>
      <c r="N116" s="54">
        <v>16</v>
      </c>
      <c r="O116" s="47">
        <v>44117</v>
      </c>
      <c r="P116" s="31" t="s">
        <v>249</v>
      </c>
      <c r="Q116" s="44">
        <v>44130</v>
      </c>
      <c r="R116" s="47">
        <f t="shared" si="2"/>
        <v>44221</v>
      </c>
      <c r="S116" s="47">
        <v>44221</v>
      </c>
      <c r="T116" s="31">
        <v>205019584</v>
      </c>
      <c r="U116" s="47">
        <v>44101</v>
      </c>
      <c r="V116" s="47" t="s">
        <v>340</v>
      </c>
      <c r="W116" s="50">
        <v>412020000014556</v>
      </c>
      <c r="X116" s="47">
        <v>44123</v>
      </c>
      <c r="Y116" s="74" t="s">
        <v>34</v>
      </c>
    </row>
    <row r="117" spans="1:25" x14ac:dyDescent="0.25">
      <c r="A117" s="45" t="s">
        <v>25</v>
      </c>
      <c r="B117" s="31" t="s">
        <v>68</v>
      </c>
      <c r="C117" s="43" t="s">
        <v>440</v>
      </c>
      <c r="D117" s="31" t="s">
        <v>444</v>
      </c>
      <c r="E117" s="31">
        <v>13500</v>
      </c>
      <c r="F117" s="31" t="s">
        <v>39</v>
      </c>
      <c r="G117" s="31" t="s">
        <v>445</v>
      </c>
      <c r="H117" s="47">
        <v>44070</v>
      </c>
      <c r="I117" s="31" t="s">
        <v>446</v>
      </c>
      <c r="J117" s="53">
        <v>12555</v>
      </c>
      <c r="K117" s="47" t="s">
        <v>340</v>
      </c>
      <c r="L117" s="52">
        <v>12555</v>
      </c>
      <c r="M117" s="47">
        <v>44103</v>
      </c>
      <c r="N117" s="54">
        <v>14</v>
      </c>
      <c r="O117" s="47">
        <v>44117</v>
      </c>
      <c r="P117" s="31" t="s">
        <v>249</v>
      </c>
      <c r="Q117" s="307">
        <v>44128</v>
      </c>
      <c r="R117" s="47">
        <f t="shared" si="2"/>
        <v>44223</v>
      </c>
      <c r="S117" s="304">
        <v>44221</v>
      </c>
      <c r="T117" s="31">
        <v>205019956</v>
      </c>
      <c r="U117" s="47">
        <v>44103</v>
      </c>
      <c r="V117" s="47" t="s">
        <v>340</v>
      </c>
      <c r="W117" s="301" t="s">
        <v>447</v>
      </c>
      <c r="X117" s="304">
        <v>44125</v>
      </c>
      <c r="Y117" s="296" t="s">
        <v>34</v>
      </c>
    </row>
    <row r="118" spans="1:25" x14ac:dyDescent="0.25">
      <c r="A118" s="45" t="s">
        <v>25</v>
      </c>
      <c r="B118" s="31" t="s">
        <v>68</v>
      </c>
      <c r="C118" s="43" t="s">
        <v>448</v>
      </c>
      <c r="D118" s="31" t="s">
        <v>449</v>
      </c>
      <c r="E118" s="31">
        <v>6250</v>
      </c>
      <c r="F118" s="31" t="s">
        <v>39</v>
      </c>
      <c r="G118" s="31" t="s">
        <v>445</v>
      </c>
      <c r="H118" s="47">
        <v>44070</v>
      </c>
      <c r="I118" s="31" t="s">
        <v>446</v>
      </c>
      <c r="J118" s="53">
        <v>5812.5</v>
      </c>
      <c r="K118" s="47" t="s">
        <v>340</v>
      </c>
      <c r="L118" s="52">
        <v>5812</v>
      </c>
      <c r="M118" s="47">
        <v>44103</v>
      </c>
      <c r="N118" s="54">
        <v>14</v>
      </c>
      <c r="O118" s="47">
        <v>44117</v>
      </c>
      <c r="P118" s="31" t="s">
        <v>249</v>
      </c>
      <c r="Q118" s="308"/>
      <c r="R118" s="47">
        <f t="shared" ref="R118:R120" si="3">+M118+120</f>
        <v>44223</v>
      </c>
      <c r="S118" s="305"/>
      <c r="T118" s="31">
        <v>205019956</v>
      </c>
      <c r="U118" s="47">
        <v>44103</v>
      </c>
      <c r="V118" s="47" t="s">
        <v>340</v>
      </c>
      <c r="W118" s="302"/>
      <c r="X118" s="305"/>
      <c r="Y118" s="297"/>
    </row>
    <row r="119" spans="1:25" x14ac:dyDescent="0.25">
      <c r="A119" s="45" t="s">
        <v>25</v>
      </c>
      <c r="B119" s="31" t="s">
        <v>68</v>
      </c>
      <c r="C119" s="43" t="s">
        <v>448</v>
      </c>
      <c r="D119" s="31" t="s">
        <v>441</v>
      </c>
      <c r="E119" s="31">
        <v>2225</v>
      </c>
      <c r="F119" s="31" t="s">
        <v>39</v>
      </c>
      <c r="G119" s="31" t="s">
        <v>445</v>
      </c>
      <c r="H119" s="47">
        <v>44070</v>
      </c>
      <c r="I119" s="31" t="s">
        <v>446</v>
      </c>
      <c r="J119" s="53">
        <v>2425.25</v>
      </c>
      <c r="K119" s="47" t="s">
        <v>340</v>
      </c>
      <c r="L119" s="52">
        <v>2425.25</v>
      </c>
      <c r="M119" s="47">
        <v>44103</v>
      </c>
      <c r="N119" s="54">
        <v>14</v>
      </c>
      <c r="O119" s="47">
        <v>44117</v>
      </c>
      <c r="P119" s="31" t="s">
        <v>249</v>
      </c>
      <c r="Q119" s="308"/>
      <c r="R119" s="47">
        <f t="shared" si="3"/>
        <v>44223</v>
      </c>
      <c r="S119" s="305"/>
      <c r="T119" s="31">
        <v>205019956</v>
      </c>
      <c r="U119" s="47">
        <v>44103</v>
      </c>
      <c r="V119" s="47" t="s">
        <v>340</v>
      </c>
      <c r="W119" s="302"/>
      <c r="X119" s="305"/>
      <c r="Y119" s="297"/>
    </row>
    <row r="120" spans="1:25" x14ac:dyDescent="0.25">
      <c r="A120" s="45" t="s">
        <v>25</v>
      </c>
      <c r="B120" s="31" t="s">
        <v>68</v>
      </c>
      <c r="C120" s="43" t="s">
        <v>448</v>
      </c>
      <c r="D120" s="31" t="s">
        <v>450</v>
      </c>
      <c r="E120" s="31">
        <v>3150</v>
      </c>
      <c r="F120" s="31" t="s">
        <v>39</v>
      </c>
      <c r="G120" s="31" t="s">
        <v>445</v>
      </c>
      <c r="H120" s="47">
        <v>44070</v>
      </c>
      <c r="I120" s="31" t="s">
        <v>446</v>
      </c>
      <c r="J120" s="53">
        <v>4333.5</v>
      </c>
      <c r="K120" s="47" t="s">
        <v>340</v>
      </c>
      <c r="L120" s="52">
        <v>3433.5</v>
      </c>
      <c r="M120" s="47">
        <v>44103</v>
      </c>
      <c r="N120" s="54">
        <v>14</v>
      </c>
      <c r="O120" s="47">
        <v>44117</v>
      </c>
      <c r="P120" s="31" t="s">
        <v>249</v>
      </c>
      <c r="Q120" s="308"/>
      <c r="R120" s="47">
        <f t="shared" si="3"/>
        <v>44223</v>
      </c>
      <c r="S120" s="305"/>
      <c r="T120" s="31">
        <v>205019956</v>
      </c>
      <c r="U120" s="47">
        <v>44103</v>
      </c>
      <c r="V120" s="47" t="s">
        <v>340</v>
      </c>
      <c r="W120" s="302"/>
      <c r="X120" s="305"/>
      <c r="Y120" s="297"/>
    </row>
    <row r="121" spans="1:25" x14ac:dyDescent="0.25">
      <c r="A121" s="45" t="s">
        <v>25</v>
      </c>
      <c r="B121" s="31" t="s">
        <v>68</v>
      </c>
      <c r="C121" s="31" t="s">
        <v>404</v>
      </c>
      <c r="D121" s="31" t="s">
        <v>451</v>
      </c>
      <c r="E121" s="31">
        <v>250</v>
      </c>
      <c r="F121" s="31" t="s">
        <v>39</v>
      </c>
      <c r="G121" s="31" t="s">
        <v>445</v>
      </c>
      <c r="H121" s="47">
        <v>44070</v>
      </c>
      <c r="I121" s="31" t="s">
        <v>446</v>
      </c>
      <c r="J121" s="53">
        <v>232.5</v>
      </c>
      <c r="K121" s="47" t="s">
        <v>340</v>
      </c>
      <c r="L121" s="52">
        <v>232.5</v>
      </c>
      <c r="M121" s="47">
        <v>44103</v>
      </c>
      <c r="N121" s="54">
        <v>14</v>
      </c>
      <c r="O121" s="47">
        <v>44117</v>
      </c>
      <c r="P121" s="31" t="s">
        <v>249</v>
      </c>
      <c r="Q121" s="309"/>
      <c r="R121" s="47">
        <f t="shared" ref="R121" si="4">+M121+120</f>
        <v>44223</v>
      </c>
      <c r="S121" s="306"/>
      <c r="T121" s="31">
        <v>205019956</v>
      </c>
      <c r="U121" s="47">
        <v>44103</v>
      </c>
      <c r="V121" s="47" t="s">
        <v>340</v>
      </c>
      <c r="W121" s="303"/>
      <c r="X121" s="306"/>
      <c r="Y121" s="298"/>
    </row>
    <row r="122" spans="1:25" ht="60" x14ac:dyDescent="0.25">
      <c r="A122" s="73" t="s">
        <v>25</v>
      </c>
      <c r="B122" s="74" t="s">
        <v>452</v>
      </c>
      <c r="C122" s="74" t="s">
        <v>48</v>
      </c>
      <c r="D122" s="74"/>
      <c r="E122" s="74" t="s">
        <v>340</v>
      </c>
      <c r="F122" s="74" t="s">
        <v>59</v>
      </c>
      <c r="G122" s="74"/>
      <c r="H122" s="74"/>
      <c r="I122" s="74">
        <v>200163</v>
      </c>
      <c r="J122" s="76">
        <v>7215.96</v>
      </c>
      <c r="K122" s="77">
        <v>44089</v>
      </c>
      <c r="L122" s="76">
        <f>+J122-531.25</f>
        <v>6684.71</v>
      </c>
      <c r="M122" s="77">
        <v>44096</v>
      </c>
      <c r="N122" s="74" t="s">
        <v>340</v>
      </c>
      <c r="O122" s="77">
        <v>44102</v>
      </c>
      <c r="P122" s="74" t="s">
        <v>453</v>
      </c>
      <c r="Q122" s="77">
        <v>44119</v>
      </c>
      <c r="R122" s="74" t="s">
        <v>454</v>
      </c>
      <c r="S122" s="77">
        <v>44092</v>
      </c>
      <c r="T122" s="74" t="s">
        <v>455</v>
      </c>
      <c r="U122" s="77">
        <v>44103</v>
      </c>
      <c r="V122" s="74" t="s">
        <v>340</v>
      </c>
      <c r="W122" s="91" t="s">
        <v>456</v>
      </c>
      <c r="X122" s="77">
        <v>44120</v>
      </c>
      <c r="Y122" s="74" t="s">
        <v>34</v>
      </c>
    </row>
    <row r="123" spans="1:25" ht="45" x14ac:dyDescent="0.25">
      <c r="A123" s="73" t="s">
        <v>25</v>
      </c>
      <c r="B123" s="74" t="s">
        <v>457</v>
      </c>
      <c r="C123" s="74" t="s">
        <v>292</v>
      </c>
      <c r="D123" s="74" t="s">
        <v>48</v>
      </c>
      <c r="E123" s="74">
        <v>3</v>
      </c>
      <c r="F123" s="74" t="s">
        <v>59</v>
      </c>
      <c r="G123" s="74" t="s">
        <v>458</v>
      </c>
      <c r="H123" s="77">
        <v>44097</v>
      </c>
      <c r="I123" s="74" t="s">
        <v>459</v>
      </c>
      <c r="J123" s="76">
        <v>1220</v>
      </c>
      <c r="K123" s="77">
        <v>44112</v>
      </c>
      <c r="L123" s="76">
        <v>1220</v>
      </c>
      <c r="M123" s="77">
        <v>44112</v>
      </c>
      <c r="N123" s="74">
        <v>8</v>
      </c>
      <c r="O123" s="77">
        <v>44118</v>
      </c>
      <c r="P123" s="74" t="s">
        <v>54</v>
      </c>
      <c r="Q123" s="77">
        <v>44118</v>
      </c>
      <c r="R123" s="91" t="s">
        <v>460</v>
      </c>
      <c r="S123" s="74" t="s">
        <v>340</v>
      </c>
      <c r="T123" s="74">
        <v>7902716780</v>
      </c>
      <c r="U123" s="77">
        <v>44115</v>
      </c>
      <c r="V123" s="74" t="s">
        <v>340</v>
      </c>
      <c r="W123" s="91" t="s">
        <v>461</v>
      </c>
      <c r="X123" s="77">
        <v>44117</v>
      </c>
      <c r="Y123" s="74" t="s">
        <v>462</v>
      </c>
    </row>
    <row r="124" spans="1:25" ht="45.75" thickBot="1" x14ac:dyDescent="0.3">
      <c r="A124" s="73">
        <v>8377</v>
      </c>
      <c r="B124" s="74" t="s">
        <v>463</v>
      </c>
      <c r="C124" s="74" t="s">
        <v>464</v>
      </c>
      <c r="D124" s="74" t="s">
        <v>48</v>
      </c>
      <c r="E124" s="74">
        <v>1</v>
      </c>
      <c r="F124" s="74" t="s">
        <v>303</v>
      </c>
      <c r="G124" s="91" t="s">
        <v>465</v>
      </c>
      <c r="H124" s="77">
        <v>44099</v>
      </c>
      <c r="I124" s="74" t="s">
        <v>466</v>
      </c>
      <c r="J124" s="76">
        <v>37000</v>
      </c>
      <c r="K124" s="74" t="s">
        <v>340</v>
      </c>
      <c r="L124" s="76"/>
      <c r="M124" s="77">
        <v>44196</v>
      </c>
      <c r="N124" s="74">
        <v>16</v>
      </c>
      <c r="O124" s="77">
        <v>44212</v>
      </c>
      <c r="P124" s="74" t="s">
        <v>31</v>
      </c>
      <c r="Q124" s="74" t="s">
        <v>340</v>
      </c>
      <c r="R124" s="111" t="s">
        <v>467</v>
      </c>
      <c r="S124" s="57" t="s">
        <v>468</v>
      </c>
      <c r="T124" s="74" t="s">
        <v>469</v>
      </c>
      <c r="U124" s="77">
        <v>44196</v>
      </c>
      <c r="V124" s="74" t="s">
        <v>340</v>
      </c>
      <c r="W124" s="79">
        <v>482021000039918</v>
      </c>
      <c r="X124" s="77">
        <v>44218</v>
      </c>
      <c r="Y124" s="215" t="s">
        <v>34</v>
      </c>
    </row>
    <row r="125" spans="1:25" x14ac:dyDescent="0.25">
      <c r="A125" s="73">
        <v>8074</v>
      </c>
      <c r="B125" s="74" t="s">
        <v>470</v>
      </c>
      <c r="C125" s="74" t="s">
        <v>48</v>
      </c>
      <c r="D125" s="74" t="s">
        <v>48</v>
      </c>
      <c r="E125" s="74">
        <v>2</v>
      </c>
      <c r="F125" s="74" t="s">
        <v>59</v>
      </c>
      <c r="G125" s="74"/>
      <c r="H125" s="77"/>
      <c r="I125" s="74" t="s">
        <v>471</v>
      </c>
      <c r="J125" s="76">
        <v>4085</v>
      </c>
      <c r="K125" s="77">
        <v>44099</v>
      </c>
      <c r="L125" s="76">
        <v>4085</v>
      </c>
      <c r="M125" s="77">
        <v>44251</v>
      </c>
      <c r="N125" s="74" t="s">
        <v>340</v>
      </c>
      <c r="O125" s="77">
        <v>44270</v>
      </c>
      <c r="P125" s="74" t="s">
        <v>54</v>
      </c>
      <c r="Q125" s="77">
        <v>44274</v>
      </c>
      <c r="R125" s="74" t="s">
        <v>472</v>
      </c>
      <c r="S125" s="74" t="s">
        <v>473</v>
      </c>
      <c r="T125" s="74">
        <v>24330100532</v>
      </c>
      <c r="U125" s="77">
        <v>44270</v>
      </c>
      <c r="V125" s="74" t="s">
        <v>340</v>
      </c>
      <c r="W125" s="75">
        <v>902021000039765</v>
      </c>
      <c r="X125" s="77">
        <v>44273</v>
      </c>
      <c r="Y125" s="91" t="s">
        <v>34</v>
      </c>
    </row>
    <row r="126" spans="1:25" x14ac:dyDescent="0.25">
      <c r="A126" s="73"/>
      <c r="B126" s="74" t="s">
        <v>474</v>
      </c>
      <c r="C126" s="74" t="s">
        <v>314</v>
      </c>
      <c r="D126" s="74" t="s">
        <v>475</v>
      </c>
      <c r="E126" s="74">
        <v>24750</v>
      </c>
      <c r="F126" s="74" t="s">
        <v>39</v>
      </c>
      <c r="G126" s="74">
        <v>1120010203</v>
      </c>
      <c r="H126" s="77">
        <v>44099</v>
      </c>
      <c r="I126" s="74">
        <v>1420012912</v>
      </c>
      <c r="J126" s="74">
        <v>27596.25</v>
      </c>
      <c r="K126" s="77">
        <v>44138</v>
      </c>
      <c r="L126" s="76">
        <v>26096.25</v>
      </c>
      <c r="M126" s="77">
        <v>44150</v>
      </c>
      <c r="N126" s="75">
        <v>8</v>
      </c>
      <c r="O126" s="77">
        <v>44165</v>
      </c>
      <c r="P126" s="74" t="s">
        <v>31</v>
      </c>
      <c r="Q126" s="74" t="s">
        <v>340</v>
      </c>
      <c r="R126" s="165">
        <f>+M126+90</f>
        <v>44240</v>
      </c>
      <c r="S126" s="74" t="s">
        <v>340</v>
      </c>
      <c r="T126" s="74" t="s">
        <v>476</v>
      </c>
      <c r="U126" s="77">
        <v>44140</v>
      </c>
      <c r="V126" s="74" t="s">
        <v>340</v>
      </c>
      <c r="W126" s="79">
        <v>482020000652304</v>
      </c>
      <c r="X126" s="77">
        <v>44174</v>
      </c>
      <c r="Y126" s="51" t="s">
        <v>334</v>
      </c>
    </row>
    <row r="127" spans="1:25" x14ac:dyDescent="0.25">
      <c r="A127" s="73" t="s">
        <v>25</v>
      </c>
      <c r="B127" s="74" t="s">
        <v>474</v>
      </c>
      <c r="C127" s="74" t="s">
        <v>314</v>
      </c>
      <c r="D127" s="74" t="s">
        <v>477</v>
      </c>
      <c r="E127" s="74">
        <v>24750</v>
      </c>
      <c r="F127" s="74" t="s">
        <v>39</v>
      </c>
      <c r="G127" s="74">
        <v>1120010087</v>
      </c>
      <c r="H127" s="77">
        <v>44097</v>
      </c>
      <c r="I127" s="74">
        <v>1420012566</v>
      </c>
      <c r="J127" s="74">
        <v>27596.25</v>
      </c>
      <c r="K127" s="77">
        <v>44128</v>
      </c>
      <c r="L127" s="76">
        <v>26096.25</v>
      </c>
      <c r="M127" s="77">
        <v>44127</v>
      </c>
      <c r="N127" s="75">
        <f>+O127-M127</f>
        <v>19</v>
      </c>
      <c r="O127" s="77">
        <v>44146</v>
      </c>
      <c r="P127" s="74" t="s">
        <v>31</v>
      </c>
      <c r="Q127" s="74" t="s">
        <v>340</v>
      </c>
      <c r="R127" s="165">
        <f>+M127+90</f>
        <v>44217</v>
      </c>
      <c r="S127" s="74" t="s">
        <v>340</v>
      </c>
      <c r="T127" s="74" t="s">
        <v>478</v>
      </c>
      <c r="U127" s="77">
        <v>44128</v>
      </c>
      <c r="V127" s="74" t="s">
        <v>340</v>
      </c>
      <c r="W127" s="79">
        <v>482020000604662</v>
      </c>
      <c r="X127" s="77">
        <v>44154</v>
      </c>
      <c r="Y127" s="51" t="s">
        <v>334</v>
      </c>
    </row>
    <row r="128" spans="1:25" ht="30" x14ac:dyDescent="0.25">
      <c r="A128" s="45" t="s">
        <v>25</v>
      </c>
      <c r="B128" s="31" t="s">
        <v>479</v>
      </c>
      <c r="C128" s="31" t="s">
        <v>480</v>
      </c>
      <c r="D128" s="31"/>
      <c r="E128" s="31">
        <v>1</v>
      </c>
      <c r="F128" s="31" t="s">
        <v>59</v>
      </c>
      <c r="G128" s="31">
        <v>8136</v>
      </c>
      <c r="H128" s="47">
        <v>44118</v>
      </c>
      <c r="I128" s="31"/>
      <c r="J128" s="31">
        <f>1892+446</f>
        <v>2338</v>
      </c>
      <c r="K128" s="31"/>
      <c r="L128" s="53">
        <v>1892</v>
      </c>
      <c r="M128" s="47">
        <v>44146</v>
      </c>
      <c r="N128" s="31" t="s">
        <v>340</v>
      </c>
      <c r="O128" s="31" t="s">
        <v>340</v>
      </c>
      <c r="P128" s="31" t="s">
        <v>340</v>
      </c>
      <c r="Q128" s="31" t="s">
        <v>340</v>
      </c>
      <c r="R128" s="31" t="s">
        <v>340</v>
      </c>
      <c r="S128" s="31" t="s">
        <v>340</v>
      </c>
      <c r="T128" s="31" t="s">
        <v>340</v>
      </c>
      <c r="U128" s="31" t="s">
        <v>340</v>
      </c>
      <c r="V128" s="31" t="s">
        <v>340</v>
      </c>
      <c r="W128" s="31" t="s">
        <v>340</v>
      </c>
      <c r="X128" s="31" t="s">
        <v>340</v>
      </c>
      <c r="Y128" s="56" t="s">
        <v>481</v>
      </c>
    </row>
    <row r="129" spans="1:25" x14ac:dyDescent="0.25">
      <c r="A129" s="216">
        <v>8237</v>
      </c>
      <c r="B129" s="217" t="s">
        <v>56</v>
      </c>
      <c r="C129" s="217" t="s">
        <v>241</v>
      </c>
      <c r="D129" s="217"/>
      <c r="E129" s="217">
        <v>360</v>
      </c>
      <c r="F129" s="217" t="s">
        <v>59</v>
      </c>
      <c r="G129" s="217">
        <v>201102</v>
      </c>
      <c r="H129" s="218">
        <v>44137</v>
      </c>
      <c r="I129" s="217">
        <v>201127</v>
      </c>
      <c r="J129" s="217">
        <v>11880</v>
      </c>
      <c r="K129" s="218">
        <v>44162</v>
      </c>
      <c r="L129" s="219">
        <v>11520</v>
      </c>
      <c r="M129" s="218">
        <v>44181</v>
      </c>
      <c r="N129" s="217">
        <v>45</v>
      </c>
      <c r="O129" s="218">
        <f>+M129+45</f>
        <v>44226</v>
      </c>
      <c r="P129" s="217" t="s">
        <v>418</v>
      </c>
      <c r="Q129" s="217" t="s">
        <v>340</v>
      </c>
      <c r="R129" s="218" t="s">
        <v>482</v>
      </c>
      <c r="S129" s="218">
        <v>44139</v>
      </c>
      <c r="T129" s="217" t="s">
        <v>483</v>
      </c>
      <c r="U129" s="218">
        <v>44181</v>
      </c>
      <c r="V129" s="217" t="s">
        <v>340</v>
      </c>
      <c r="W129" s="220">
        <v>352021000028689</v>
      </c>
      <c r="X129" s="218">
        <v>44218</v>
      </c>
      <c r="Y129" s="221" t="s">
        <v>34</v>
      </c>
    </row>
    <row r="130" spans="1:25" x14ac:dyDescent="0.25">
      <c r="A130" s="73" t="s">
        <v>25</v>
      </c>
      <c r="B130" s="74" t="s">
        <v>201</v>
      </c>
      <c r="C130" s="74" t="s">
        <v>89</v>
      </c>
      <c r="D130" s="74"/>
      <c r="E130" s="74"/>
      <c r="F130" s="74" t="s">
        <v>59</v>
      </c>
      <c r="G130" s="74"/>
      <c r="H130" s="77"/>
      <c r="I130" s="74" t="s">
        <v>484</v>
      </c>
      <c r="J130" s="74">
        <v>5688.22</v>
      </c>
      <c r="K130" s="77">
        <v>44071</v>
      </c>
      <c r="L130" s="76">
        <v>5538.89</v>
      </c>
      <c r="M130" s="77">
        <v>44083</v>
      </c>
      <c r="N130" s="75">
        <f>+O130-M130</f>
        <v>56</v>
      </c>
      <c r="O130" s="77">
        <v>44139</v>
      </c>
      <c r="P130" s="74" t="s">
        <v>418</v>
      </c>
      <c r="Q130" s="74"/>
      <c r="R130" s="77">
        <f>+M130+60</f>
        <v>44143</v>
      </c>
      <c r="S130" s="77">
        <v>44162</v>
      </c>
      <c r="T130" s="74" t="s">
        <v>485</v>
      </c>
      <c r="U130" s="77">
        <v>44083</v>
      </c>
      <c r="V130" s="74">
        <v>1404</v>
      </c>
      <c r="W130" s="79">
        <v>352020000394801</v>
      </c>
      <c r="X130" s="77">
        <v>44145</v>
      </c>
      <c r="Y130" s="74" t="s">
        <v>34</v>
      </c>
    </row>
    <row r="131" spans="1:25" x14ac:dyDescent="0.25">
      <c r="A131" s="73">
        <v>8285</v>
      </c>
      <c r="B131" s="74" t="s">
        <v>68</v>
      </c>
      <c r="C131" s="74" t="s">
        <v>314</v>
      </c>
      <c r="D131" s="74" t="s">
        <v>189</v>
      </c>
      <c r="E131" s="74">
        <v>233375</v>
      </c>
      <c r="F131" s="74" t="s">
        <v>486</v>
      </c>
      <c r="G131" s="74" t="s">
        <v>487</v>
      </c>
      <c r="H131" s="77">
        <v>44146</v>
      </c>
      <c r="I131" s="74" t="s">
        <v>488</v>
      </c>
      <c r="J131" s="74">
        <v>27465.63</v>
      </c>
      <c r="K131" s="77">
        <v>44188</v>
      </c>
      <c r="L131" s="76">
        <v>26741</v>
      </c>
      <c r="M131" s="77">
        <v>43831</v>
      </c>
      <c r="N131" s="75">
        <v>6</v>
      </c>
      <c r="O131" s="77">
        <v>43837</v>
      </c>
      <c r="P131" s="77" t="s">
        <v>31</v>
      </c>
      <c r="Q131" s="77">
        <v>44203</v>
      </c>
      <c r="R131" s="165">
        <f>+K131+120</f>
        <v>44308</v>
      </c>
      <c r="S131" s="77">
        <v>44312</v>
      </c>
      <c r="T131" s="77" t="s">
        <v>489</v>
      </c>
      <c r="U131" s="77">
        <v>44189</v>
      </c>
      <c r="V131" s="77" t="s">
        <v>340</v>
      </c>
      <c r="W131" s="198">
        <v>482021000000826</v>
      </c>
      <c r="X131" s="77">
        <v>44200</v>
      </c>
      <c r="Y131" s="167" t="s">
        <v>334</v>
      </c>
    </row>
    <row r="132" spans="1:25" x14ac:dyDescent="0.25">
      <c r="A132" s="73">
        <v>8286</v>
      </c>
      <c r="B132" s="74" t="s">
        <v>26</v>
      </c>
      <c r="C132" s="74" t="s">
        <v>314</v>
      </c>
      <c r="D132" s="74" t="s">
        <v>490</v>
      </c>
      <c r="E132" s="74">
        <v>23375</v>
      </c>
      <c r="F132" s="74" t="s">
        <v>486</v>
      </c>
      <c r="G132" s="74">
        <v>20024303</v>
      </c>
      <c r="H132" s="77">
        <v>44145</v>
      </c>
      <c r="I132" s="74">
        <v>210260</v>
      </c>
      <c r="J132" s="74">
        <v>22440</v>
      </c>
      <c r="K132" s="77">
        <v>44161</v>
      </c>
      <c r="L132" s="76">
        <v>21540</v>
      </c>
      <c r="M132" s="77">
        <v>44157</v>
      </c>
      <c r="N132" s="75">
        <v>8</v>
      </c>
      <c r="O132" s="77">
        <v>44165</v>
      </c>
      <c r="P132" s="77" t="s">
        <v>31</v>
      </c>
      <c r="Q132" s="77">
        <v>44174</v>
      </c>
      <c r="R132" s="77">
        <f>+M132+90</f>
        <v>44247</v>
      </c>
      <c r="S132" s="77" t="s">
        <v>340</v>
      </c>
      <c r="T132" s="166" t="s">
        <v>491</v>
      </c>
      <c r="U132" s="77">
        <v>44157</v>
      </c>
      <c r="V132" s="77" t="s">
        <v>340</v>
      </c>
      <c r="W132" s="79">
        <v>482020000645751</v>
      </c>
      <c r="X132" s="77">
        <v>44169</v>
      </c>
      <c r="Y132" s="51" t="s">
        <v>334</v>
      </c>
    </row>
    <row r="133" spans="1:25" x14ac:dyDescent="0.25">
      <c r="A133" s="73" t="s">
        <v>25</v>
      </c>
      <c r="B133" s="74" t="s">
        <v>343</v>
      </c>
      <c r="C133" s="74" t="s">
        <v>314</v>
      </c>
      <c r="D133" s="74" t="s">
        <v>492</v>
      </c>
      <c r="E133" s="74">
        <v>25500</v>
      </c>
      <c r="F133" s="74" t="s">
        <v>486</v>
      </c>
      <c r="G133" s="74" t="s">
        <v>493</v>
      </c>
      <c r="H133" s="77">
        <v>44147</v>
      </c>
      <c r="I133" s="74">
        <v>79738</v>
      </c>
      <c r="J133" s="80">
        <v>29707.5</v>
      </c>
      <c r="K133" s="77" t="s">
        <v>494</v>
      </c>
      <c r="L133" s="80">
        <v>26609.5</v>
      </c>
      <c r="M133" s="77">
        <v>44155</v>
      </c>
      <c r="N133" s="75">
        <v>15</v>
      </c>
      <c r="O133" s="77">
        <v>44178</v>
      </c>
      <c r="P133" s="74" t="s">
        <v>31</v>
      </c>
      <c r="Q133" s="77">
        <f>+O133+5</f>
        <v>44183</v>
      </c>
      <c r="R133" s="165">
        <f>+M133+105</f>
        <v>44260</v>
      </c>
      <c r="S133" s="74" t="s">
        <v>340</v>
      </c>
      <c r="T133" s="74">
        <v>206608501</v>
      </c>
      <c r="U133" s="77">
        <v>44155</v>
      </c>
      <c r="V133" s="74" t="s">
        <v>340</v>
      </c>
      <c r="W133" s="79">
        <v>482020000665938</v>
      </c>
      <c r="X133" s="77">
        <v>44180</v>
      </c>
      <c r="Y133" s="51" t="s">
        <v>334</v>
      </c>
    </row>
    <row r="134" spans="1:25" x14ac:dyDescent="0.25">
      <c r="A134" s="73">
        <v>8292</v>
      </c>
      <c r="B134" s="74" t="s">
        <v>343</v>
      </c>
      <c r="C134" s="74" t="s">
        <v>314</v>
      </c>
      <c r="D134" s="74" t="s">
        <v>495</v>
      </c>
      <c r="E134" s="74">
        <v>25500</v>
      </c>
      <c r="F134" s="74" t="s">
        <v>486</v>
      </c>
      <c r="G134" s="74" t="s">
        <v>496</v>
      </c>
      <c r="H134" s="77">
        <v>44145</v>
      </c>
      <c r="I134" s="74">
        <v>79924</v>
      </c>
      <c r="J134" s="80">
        <v>24225</v>
      </c>
      <c r="K134" s="77">
        <v>44165</v>
      </c>
      <c r="L134" s="80">
        <v>23425</v>
      </c>
      <c r="M134" s="77">
        <v>44174</v>
      </c>
      <c r="N134" s="75">
        <v>10</v>
      </c>
      <c r="O134" s="77">
        <v>44184</v>
      </c>
      <c r="P134" s="74" t="s">
        <v>31</v>
      </c>
      <c r="Q134" s="77">
        <v>44193</v>
      </c>
      <c r="R134" s="165">
        <f>+M134+105</f>
        <v>44279</v>
      </c>
      <c r="S134" s="74" t="s">
        <v>340</v>
      </c>
      <c r="T134" s="74" t="s">
        <v>497</v>
      </c>
      <c r="U134" s="77">
        <v>44174</v>
      </c>
      <c r="V134" s="74" t="s">
        <v>340</v>
      </c>
      <c r="W134" s="79">
        <v>482020000684425</v>
      </c>
      <c r="X134" s="77">
        <v>44187</v>
      </c>
      <c r="Y134" s="51" t="s">
        <v>334</v>
      </c>
    </row>
    <row r="135" spans="1:25" x14ac:dyDescent="0.25">
      <c r="A135" s="73">
        <v>8224</v>
      </c>
      <c r="B135" s="74" t="s">
        <v>498</v>
      </c>
      <c r="C135" s="74" t="s">
        <v>499</v>
      </c>
      <c r="D135" s="74" t="s">
        <v>500</v>
      </c>
      <c r="E135" s="74"/>
      <c r="F135" s="74" t="s">
        <v>59</v>
      </c>
      <c r="G135" s="74" t="s">
        <v>501</v>
      </c>
      <c r="H135" s="77"/>
      <c r="I135" s="74" t="s">
        <v>502</v>
      </c>
      <c r="J135" s="74">
        <v>3684</v>
      </c>
      <c r="K135" s="77">
        <v>44251</v>
      </c>
      <c r="L135" s="76">
        <v>3684</v>
      </c>
      <c r="M135" s="77">
        <v>44286</v>
      </c>
      <c r="N135" s="77" t="s">
        <v>340</v>
      </c>
      <c r="O135" s="77">
        <v>44300</v>
      </c>
      <c r="P135" s="77" t="s">
        <v>31</v>
      </c>
      <c r="Q135" s="77" t="s">
        <v>340</v>
      </c>
      <c r="R135" s="77" t="s">
        <v>503</v>
      </c>
      <c r="S135" s="77" t="s">
        <v>503</v>
      </c>
      <c r="T135" s="74" t="s">
        <v>504</v>
      </c>
      <c r="U135" s="77">
        <v>44286</v>
      </c>
      <c r="V135" s="77" t="s">
        <v>340</v>
      </c>
      <c r="W135" s="77" t="s">
        <v>340</v>
      </c>
      <c r="X135" s="77" t="s">
        <v>340</v>
      </c>
      <c r="Y135" s="139" t="s">
        <v>505</v>
      </c>
    </row>
    <row r="136" spans="1:25" x14ac:dyDescent="0.25">
      <c r="A136" s="73" t="s">
        <v>506</v>
      </c>
      <c r="B136" s="74" t="s">
        <v>507</v>
      </c>
      <c r="C136" s="74" t="s">
        <v>508</v>
      </c>
      <c r="D136" s="74">
        <v>1340</v>
      </c>
      <c r="E136" s="74">
        <v>120</v>
      </c>
      <c r="F136" s="74" t="s">
        <v>131</v>
      </c>
      <c r="G136" s="166"/>
      <c r="H136" s="77"/>
      <c r="I136" s="74" t="s">
        <v>509</v>
      </c>
      <c r="J136" s="74">
        <v>471.15</v>
      </c>
      <c r="K136" s="77">
        <v>44195</v>
      </c>
      <c r="L136" s="76">
        <v>471.15</v>
      </c>
      <c r="M136" s="77">
        <v>44196</v>
      </c>
      <c r="N136" s="75">
        <v>3</v>
      </c>
      <c r="O136" s="77" t="s">
        <v>510</v>
      </c>
      <c r="P136" s="77" t="s">
        <v>453</v>
      </c>
      <c r="Q136" s="77">
        <v>44201</v>
      </c>
      <c r="R136" s="165">
        <f>+K136+30</f>
        <v>44225</v>
      </c>
      <c r="S136" s="77" t="s">
        <v>340</v>
      </c>
      <c r="T136" s="79">
        <v>7688713782</v>
      </c>
      <c r="U136" s="77">
        <v>44196</v>
      </c>
      <c r="V136" s="77"/>
      <c r="W136" s="79">
        <v>32021000003728</v>
      </c>
      <c r="X136" s="77">
        <v>44200</v>
      </c>
      <c r="Y136" s="51" t="s">
        <v>334</v>
      </c>
    </row>
    <row r="137" spans="1:25" x14ac:dyDescent="0.25">
      <c r="A137" s="73" t="s">
        <v>511</v>
      </c>
      <c r="B137" s="74" t="s">
        <v>507</v>
      </c>
      <c r="C137" s="74" t="s">
        <v>508</v>
      </c>
      <c r="D137" s="74">
        <v>1340</v>
      </c>
      <c r="E137" s="74">
        <v>500</v>
      </c>
      <c r="F137" s="74" t="s">
        <v>364</v>
      </c>
      <c r="G137" s="166"/>
      <c r="H137" s="77"/>
      <c r="I137" s="74" t="s">
        <v>512</v>
      </c>
      <c r="J137" s="74">
        <v>11982.45</v>
      </c>
      <c r="K137" s="77">
        <v>44204</v>
      </c>
      <c r="L137" s="76">
        <f>+J137</f>
        <v>11982.45</v>
      </c>
      <c r="M137" s="77">
        <v>44215</v>
      </c>
      <c r="N137" s="75">
        <v>15</v>
      </c>
      <c r="O137" s="77">
        <f>+M137+15</f>
        <v>44230</v>
      </c>
      <c r="P137" s="77" t="s">
        <v>31</v>
      </c>
      <c r="Q137" s="77">
        <v>44232</v>
      </c>
      <c r="R137" s="165" t="s">
        <v>340</v>
      </c>
      <c r="S137" s="165" t="s">
        <v>340</v>
      </c>
      <c r="T137" s="77" t="s">
        <v>513</v>
      </c>
      <c r="U137" s="77">
        <v>44219</v>
      </c>
      <c r="V137" s="77" t="s">
        <v>340</v>
      </c>
      <c r="W137" s="79">
        <v>482021000060412</v>
      </c>
      <c r="X137" s="77">
        <v>44228</v>
      </c>
      <c r="Y137" s="91" t="s">
        <v>34</v>
      </c>
    </row>
    <row r="138" spans="1:25" ht="30" x14ac:dyDescent="0.25">
      <c r="A138" s="73">
        <v>8429</v>
      </c>
      <c r="B138" s="74" t="s">
        <v>343</v>
      </c>
      <c r="C138" s="74" t="s">
        <v>314</v>
      </c>
      <c r="D138" s="91" t="s">
        <v>514</v>
      </c>
      <c r="E138" s="74">
        <v>25000</v>
      </c>
      <c r="F138" s="74" t="s">
        <v>364</v>
      </c>
      <c r="G138" s="166">
        <v>70391</v>
      </c>
      <c r="H138" s="77">
        <v>44187</v>
      </c>
      <c r="I138" s="74">
        <v>80452</v>
      </c>
      <c r="J138" s="74">
        <v>28250</v>
      </c>
      <c r="K138" s="77">
        <v>44208</v>
      </c>
      <c r="L138" s="76">
        <v>27475</v>
      </c>
      <c r="M138" s="77">
        <v>44215</v>
      </c>
      <c r="N138" s="75">
        <v>8</v>
      </c>
      <c r="O138" s="77">
        <v>44221</v>
      </c>
      <c r="P138" s="77" t="s">
        <v>31</v>
      </c>
      <c r="Q138" s="77" t="s">
        <v>340</v>
      </c>
      <c r="R138" s="165">
        <f>+M138+90</f>
        <v>44305</v>
      </c>
      <c r="S138" s="77" t="s">
        <v>340</v>
      </c>
      <c r="T138" s="77" t="s">
        <v>515</v>
      </c>
      <c r="U138" s="77">
        <v>44215</v>
      </c>
      <c r="V138" s="77" t="s">
        <v>340</v>
      </c>
      <c r="W138" s="79">
        <v>482021000069011</v>
      </c>
      <c r="X138" s="77">
        <v>44232</v>
      </c>
      <c r="Y138" s="51" t="s">
        <v>334</v>
      </c>
    </row>
    <row r="139" spans="1:25" x14ac:dyDescent="0.25">
      <c r="A139" s="207">
        <v>8439</v>
      </c>
      <c r="B139" s="31" t="s">
        <v>68</v>
      </c>
      <c r="C139" s="31" t="s">
        <v>314</v>
      </c>
      <c r="D139" s="20" t="s">
        <v>400</v>
      </c>
      <c r="E139" s="31">
        <v>23750</v>
      </c>
      <c r="F139" s="31" t="s">
        <v>364</v>
      </c>
      <c r="G139" s="168" t="s">
        <v>516</v>
      </c>
      <c r="H139" s="47">
        <v>44193</v>
      </c>
      <c r="I139" s="31" t="s">
        <v>517</v>
      </c>
      <c r="J139" s="31">
        <v>34244.379999999997</v>
      </c>
      <c r="K139" s="47" t="s">
        <v>518</v>
      </c>
      <c r="L139" s="53">
        <v>33519.75</v>
      </c>
      <c r="M139" s="47" t="s">
        <v>519</v>
      </c>
      <c r="N139" s="54">
        <v>4</v>
      </c>
      <c r="O139" s="47" t="s">
        <v>520</v>
      </c>
      <c r="P139" s="47" t="s">
        <v>31</v>
      </c>
      <c r="Q139" s="47">
        <v>44198</v>
      </c>
      <c r="R139" s="47" t="s">
        <v>521</v>
      </c>
      <c r="S139" s="47">
        <v>44334</v>
      </c>
      <c r="T139" s="47" t="s">
        <v>522</v>
      </c>
      <c r="U139" s="47" t="s">
        <v>519</v>
      </c>
      <c r="V139" s="47" t="s">
        <v>340</v>
      </c>
      <c r="W139" s="50">
        <v>482021000052447</v>
      </c>
      <c r="X139" s="47" t="s">
        <v>523</v>
      </c>
      <c r="Y139" s="167" t="s">
        <v>334</v>
      </c>
    </row>
    <row r="140" spans="1:25" ht="30" x14ac:dyDescent="0.25">
      <c r="A140" s="207">
        <v>8440</v>
      </c>
      <c r="B140" s="31" t="s">
        <v>68</v>
      </c>
      <c r="C140" s="31" t="s">
        <v>314</v>
      </c>
      <c r="D140" s="20" t="s">
        <v>524</v>
      </c>
      <c r="E140" s="31">
        <v>23375</v>
      </c>
      <c r="F140" s="31" t="s">
        <v>364</v>
      </c>
      <c r="G140" s="168" t="s">
        <v>525</v>
      </c>
      <c r="H140" s="47">
        <v>44193</v>
      </c>
      <c r="I140" s="31" t="s">
        <v>526</v>
      </c>
      <c r="J140" s="31">
        <v>26296.880000000001</v>
      </c>
      <c r="K140" s="47">
        <v>44217</v>
      </c>
      <c r="L140" s="53">
        <v>25572.25</v>
      </c>
      <c r="M140" s="47">
        <v>44217</v>
      </c>
      <c r="N140" s="54"/>
      <c r="O140" s="47">
        <v>44222</v>
      </c>
      <c r="P140" s="47" t="s">
        <v>31</v>
      </c>
      <c r="Q140" s="47"/>
      <c r="R140" s="47">
        <f>+M140+120</f>
        <v>44337</v>
      </c>
      <c r="S140" s="47">
        <v>44342</v>
      </c>
      <c r="T140" s="47" t="s">
        <v>527</v>
      </c>
      <c r="U140" s="47">
        <v>44217</v>
      </c>
      <c r="V140" s="47" t="s">
        <v>340</v>
      </c>
      <c r="W140" s="50">
        <v>482021000061026</v>
      </c>
      <c r="X140" s="47">
        <v>44231</v>
      </c>
      <c r="Y140" s="167" t="s">
        <v>334</v>
      </c>
    </row>
    <row r="141" spans="1:25" x14ac:dyDescent="0.25">
      <c r="A141" s="73">
        <v>8451</v>
      </c>
      <c r="B141" s="74" t="s">
        <v>36</v>
      </c>
      <c r="C141" s="74" t="s">
        <v>314</v>
      </c>
      <c r="D141" s="91" t="s">
        <v>492</v>
      </c>
      <c r="E141" s="74">
        <v>25500</v>
      </c>
      <c r="F141" s="74" t="s">
        <v>364</v>
      </c>
      <c r="G141" s="208">
        <v>99162780</v>
      </c>
      <c r="H141" s="77">
        <v>44192</v>
      </c>
      <c r="I141" s="74">
        <v>23641515</v>
      </c>
      <c r="J141" s="74" t="s">
        <v>340</v>
      </c>
      <c r="K141" s="77">
        <v>44204</v>
      </c>
      <c r="L141" s="76">
        <v>32172.76</v>
      </c>
      <c r="M141" s="77">
        <v>44204</v>
      </c>
      <c r="N141" s="75" t="s">
        <v>340</v>
      </c>
      <c r="O141" s="77">
        <v>44279</v>
      </c>
      <c r="P141" s="77" t="s">
        <v>418</v>
      </c>
      <c r="Q141" s="77" t="s">
        <v>340</v>
      </c>
      <c r="R141" s="77">
        <f>+K141+105</f>
        <v>44309</v>
      </c>
      <c r="S141" s="165" t="s">
        <v>340</v>
      </c>
      <c r="T141" s="79">
        <v>207681523</v>
      </c>
      <c r="U141" s="77">
        <v>44204</v>
      </c>
      <c r="V141" s="77" t="s">
        <v>340</v>
      </c>
      <c r="W141" s="79">
        <v>352021000124384</v>
      </c>
      <c r="X141" s="77">
        <v>44280</v>
      </c>
      <c r="Y141" s="57" t="s">
        <v>528</v>
      </c>
    </row>
    <row r="142" spans="1:25" x14ac:dyDescent="0.25">
      <c r="A142" s="73">
        <v>8490</v>
      </c>
      <c r="B142" s="74" t="s">
        <v>222</v>
      </c>
      <c r="C142" s="74" t="s">
        <v>529</v>
      </c>
      <c r="D142" s="74" t="s">
        <v>530</v>
      </c>
      <c r="E142" s="74">
        <v>4200000</v>
      </c>
      <c r="F142" s="74" t="s">
        <v>364</v>
      </c>
      <c r="G142" s="166"/>
      <c r="H142" s="77"/>
      <c r="I142" s="74">
        <v>43995</v>
      </c>
      <c r="J142" s="222">
        <v>9397.7999999999993</v>
      </c>
      <c r="K142" s="77">
        <v>44553</v>
      </c>
      <c r="L142" s="223">
        <v>9397.7999999999993</v>
      </c>
      <c r="M142" s="77">
        <v>44208</v>
      </c>
      <c r="N142" s="74" t="s">
        <v>340</v>
      </c>
      <c r="O142" s="77">
        <v>44223</v>
      </c>
      <c r="P142" s="74" t="s">
        <v>31</v>
      </c>
      <c r="Q142" s="77">
        <v>44232</v>
      </c>
      <c r="R142" s="74" t="s">
        <v>454</v>
      </c>
      <c r="S142" s="74" t="s">
        <v>454</v>
      </c>
      <c r="T142" s="74" t="s">
        <v>531</v>
      </c>
      <c r="U142" s="77">
        <v>44208</v>
      </c>
      <c r="V142" s="74" t="s">
        <v>340</v>
      </c>
      <c r="W142" s="198">
        <v>482021000061887</v>
      </c>
      <c r="X142" s="77">
        <v>44229</v>
      </c>
      <c r="Y142" s="74" t="s">
        <v>34</v>
      </c>
    </row>
    <row r="143" spans="1:25" x14ac:dyDescent="0.25">
      <c r="A143" s="73">
        <v>8150</v>
      </c>
      <c r="B143" s="74" t="s">
        <v>88</v>
      </c>
      <c r="C143" s="74" t="s">
        <v>89</v>
      </c>
      <c r="D143" s="74"/>
      <c r="E143" s="74">
        <f>160+367</f>
        <v>527</v>
      </c>
      <c r="F143" s="74" t="s">
        <v>59</v>
      </c>
      <c r="G143" s="166"/>
      <c r="H143" s="77"/>
      <c r="I143" s="74" t="s">
        <v>532</v>
      </c>
      <c r="J143" s="74">
        <v>78271.23</v>
      </c>
      <c r="K143" s="74">
        <v>44165</v>
      </c>
      <c r="L143" s="74">
        <f>+J143</f>
        <v>78271.23</v>
      </c>
      <c r="M143" s="74">
        <v>44202</v>
      </c>
      <c r="N143" s="74">
        <v>15</v>
      </c>
      <c r="O143" s="74">
        <v>44216</v>
      </c>
      <c r="P143" s="74" t="s">
        <v>31</v>
      </c>
      <c r="Q143" s="74" t="s">
        <v>340</v>
      </c>
      <c r="R143" s="74">
        <f>+M143+90</f>
        <v>44292</v>
      </c>
      <c r="S143" s="74" t="s">
        <v>340</v>
      </c>
      <c r="T143" s="74" t="s">
        <v>422</v>
      </c>
      <c r="U143" s="74">
        <v>44202</v>
      </c>
      <c r="V143" s="74" t="s">
        <v>340</v>
      </c>
      <c r="W143" s="198">
        <v>482021000046229</v>
      </c>
      <c r="X143" s="77">
        <v>44222</v>
      </c>
      <c r="Y143" s="91" t="s">
        <v>34</v>
      </c>
    </row>
    <row r="144" spans="1:25" s="201" customFormat="1" ht="30" x14ac:dyDescent="0.25">
      <c r="A144" s="49">
        <v>8616</v>
      </c>
      <c r="B144" s="43" t="s">
        <v>26</v>
      </c>
      <c r="C144" s="43" t="s">
        <v>314</v>
      </c>
      <c r="D144" s="43" t="s">
        <v>490</v>
      </c>
      <c r="E144" s="43">
        <v>23375</v>
      </c>
      <c r="F144" s="43" t="s">
        <v>486</v>
      </c>
      <c r="G144" s="43">
        <v>20026662</v>
      </c>
      <c r="H144" s="44">
        <v>44239</v>
      </c>
      <c r="I144" s="43">
        <v>223122</v>
      </c>
      <c r="J144" s="43" t="s">
        <v>868</v>
      </c>
      <c r="K144" s="44" t="s">
        <v>869</v>
      </c>
      <c r="L144" s="199">
        <v>36581.879999999997</v>
      </c>
      <c r="M144" s="44">
        <v>44301</v>
      </c>
      <c r="N144" s="55">
        <v>8</v>
      </c>
      <c r="O144" s="44">
        <v>44307</v>
      </c>
      <c r="P144" s="44" t="s">
        <v>249</v>
      </c>
      <c r="Q144" s="44">
        <v>44326</v>
      </c>
      <c r="R144" s="44">
        <v>44391</v>
      </c>
      <c r="S144" s="44">
        <v>44392</v>
      </c>
      <c r="T144" s="200" t="s">
        <v>870</v>
      </c>
      <c r="U144" s="44">
        <v>44303</v>
      </c>
      <c r="V144" s="44" t="s">
        <v>340</v>
      </c>
      <c r="W144" s="48">
        <v>412021000007536</v>
      </c>
      <c r="X144" s="44">
        <v>44322</v>
      </c>
      <c r="Y144" s="56" t="s">
        <v>533</v>
      </c>
    </row>
    <row r="145" spans="1:25" s="201" customFormat="1" ht="30" x14ac:dyDescent="0.25">
      <c r="A145" s="49">
        <v>8534</v>
      </c>
      <c r="B145" s="43" t="s">
        <v>26</v>
      </c>
      <c r="C145" s="43" t="s">
        <v>314</v>
      </c>
      <c r="D145" s="43" t="s">
        <v>490</v>
      </c>
      <c r="E145" s="43">
        <v>23375</v>
      </c>
      <c r="F145" s="43" t="s">
        <v>486</v>
      </c>
      <c r="G145" s="43"/>
      <c r="H145" s="44">
        <v>44239</v>
      </c>
      <c r="I145" s="43">
        <v>219673</v>
      </c>
      <c r="J145" s="43">
        <v>30971.18</v>
      </c>
      <c r="K145" s="44">
        <v>44273</v>
      </c>
      <c r="L145" s="199">
        <v>29062.18</v>
      </c>
      <c r="M145" s="44">
        <v>44281</v>
      </c>
      <c r="N145" s="55">
        <v>8</v>
      </c>
      <c r="O145" s="44">
        <v>44289</v>
      </c>
      <c r="P145" s="44" t="s">
        <v>249</v>
      </c>
      <c r="Q145" s="44">
        <v>44295</v>
      </c>
      <c r="R145" s="44">
        <f>+M145+90</f>
        <v>44371</v>
      </c>
      <c r="S145" s="44">
        <v>44363</v>
      </c>
      <c r="T145" s="200" t="s">
        <v>534</v>
      </c>
      <c r="U145" s="44">
        <v>44281</v>
      </c>
      <c r="V145" s="44" t="s">
        <v>340</v>
      </c>
      <c r="W145" s="48">
        <v>412021000006660</v>
      </c>
      <c r="X145" s="44">
        <v>44292</v>
      </c>
      <c r="Y145" s="56" t="s">
        <v>533</v>
      </c>
    </row>
    <row r="146" spans="1:25" x14ac:dyDescent="0.25">
      <c r="A146" s="45">
        <v>8535</v>
      </c>
      <c r="B146" s="31" t="s">
        <v>68</v>
      </c>
      <c r="C146" s="31" t="s">
        <v>314</v>
      </c>
      <c r="D146" s="204" t="s">
        <v>535</v>
      </c>
      <c r="E146" s="31">
        <v>23375</v>
      </c>
      <c r="F146" s="31" t="s">
        <v>364</v>
      </c>
      <c r="G146" s="168" t="s">
        <v>536</v>
      </c>
      <c r="H146" s="47"/>
      <c r="I146" s="31" t="s">
        <v>537</v>
      </c>
      <c r="J146" s="31">
        <v>31205.63</v>
      </c>
      <c r="K146" s="47">
        <v>44249</v>
      </c>
      <c r="L146" s="53">
        <v>30387.5</v>
      </c>
      <c r="M146" s="47">
        <v>44247</v>
      </c>
      <c r="N146" s="54"/>
      <c r="O146" s="47">
        <v>44260</v>
      </c>
      <c r="P146" s="47" t="s">
        <v>31</v>
      </c>
      <c r="Q146" s="47"/>
      <c r="R146" s="47">
        <f>+M146+120</f>
        <v>44367</v>
      </c>
      <c r="S146" s="47">
        <v>44365</v>
      </c>
      <c r="T146" s="47" t="s">
        <v>538</v>
      </c>
      <c r="U146" s="47">
        <v>44247</v>
      </c>
      <c r="V146" s="47" t="s">
        <v>340</v>
      </c>
      <c r="W146" s="50">
        <v>482021000135855</v>
      </c>
      <c r="X146" s="47">
        <v>44264</v>
      </c>
      <c r="Y146" s="51" t="s">
        <v>334</v>
      </c>
    </row>
    <row r="147" spans="1:25" x14ac:dyDescent="0.25">
      <c r="A147" s="45">
        <v>8617</v>
      </c>
      <c r="B147" s="31" t="s">
        <v>68</v>
      </c>
      <c r="C147" s="31" t="s">
        <v>314</v>
      </c>
      <c r="D147" s="204" t="s">
        <v>539</v>
      </c>
      <c r="E147" s="31">
        <v>23375</v>
      </c>
      <c r="F147" s="31" t="s">
        <v>364</v>
      </c>
      <c r="G147" s="168" t="s">
        <v>540</v>
      </c>
      <c r="H147" s="47">
        <v>44243</v>
      </c>
      <c r="I147" s="31" t="s">
        <v>541</v>
      </c>
      <c r="J147" s="31">
        <v>41607.5</v>
      </c>
      <c r="K147" s="47">
        <v>44286</v>
      </c>
      <c r="L147" s="53">
        <v>40882.870000000003</v>
      </c>
      <c r="M147" s="47">
        <v>44287</v>
      </c>
      <c r="N147" s="54"/>
      <c r="O147" s="47">
        <v>44292</v>
      </c>
      <c r="P147" s="47" t="s">
        <v>31</v>
      </c>
      <c r="Q147" s="47"/>
      <c r="R147" s="47">
        <f>+M147+120</f>
        <v>44407</v>
      </c>
      <c r="S147" s="47">
        <v>44407</v>
      </c>
      <c r="T147" s="47" t="s">
        <v>542</v>
      </c>
      <c r="U147" s="47">
        <v>44287</v>
      </c>
      <c r="V147" s="47" t="s">
        <v>340</v>
      </c>
      <c r="W147" s="50">
        <v>482021000213029</v>
      </c>
      <c r="X147" s="47">
        <v>44298</v>
      </c>
      <c r="Y147" s="51" t="s">
        <v>334</v>
      </c>
    </row>
    <row r="148" spans="1:25" x14ac:dyDescent="0.25">
      <c r="A148" s="45">
        <v>8618</v>
      </c>
      <c r="B148" s="31" t="s">
        <v>68</v>
      </c>
      <c r="C148" s="31" t="s">
        <v>314</v>
      </c>
      <c r="D148" s="204" t="s">
        <v>539</v>
      </c>
      <c r="E148" s="31">
        <v>23375</v>
      </c>
      <c r="F148" s="31" t="s">
        <v>364</v>
      </c>
      <c r="G148" s="168" t="s">
        <v>543</v>
      </c>
      <c r="H148" s="47">
        <v>44243</v>
      </c>
      <c r="I148" s="31" t="s">
        <v>544</v>
      </c>
      <c r="J148" s="31">
        <v>41607.5</v>
      </c>
      <c r="K148" s="47">
        <v>44243</v>
      </c>
      <c r="L148" s="53">
        <v>40882.720000000001</v>
      </c>
      <c r="M148" s="47">
        <v>44275</v>
      </c>
      <c r="N148" s="54" t="s">
        <v>340</v>
      </c>
      <c r="O148" s="47">
        <v>44281</v>
      </c>
      <c r="P148" s="47" t="s">
        <v>31</v>
      </c>
      <c r="Q148" s="47">
        <v>44291</v>
      </c>
      <c r="R148" s="47">
        <f>+O148+120</f>
        <v>44401</v>
      </c>
      <c r="S148" s="47">
        <v>44396</v>
      </c>
      <c r="T148" s="47" t="s">
        <v>545</v>
      </c>
      <c r="U148" s="47">
        <v>44275</v>
      </c>
      <c r="V148" s="47" t="s">
        <v>340</v>
      </c>
      <c r="W148" s="50">
        <v>482021000187456</v>
      </c>
      <c r="X148" s="47">
        <v>44285</v>
      </c>
      <c r="Y148" s="51" t="s">
        <v>334</v>
      </c>
    </row>
    <row r="149" spans="1:25" ht="30" x14ac:dyDescent="0.25">
      <c r="A149" s="45">
        <v>8619</v>
      </c>
      <c r="B149" s="31" t="s">
        <v>68</v>
      </c>
      <c r="C149" s="31" t="s">
        <v>314</v>
      </c>
      <c r="D149" s="204" t="s">
        <v>546</v>
      </c>
      <c r="E149" s="31">
        <v>23375</v>
      </c>
      <c r="F149" s="31" t="s">
        <v>364</v>
      </c>
      <c r="G149" s="168" t="s">
        <v>547</v>
      </c>
      <c r="H149" s="47">
        <v>44242</v>
      </c>
      <c r="I149" s="31" t="s">
        <v>548</v>
      </c>
      <c r="J149" s="31">
        <v>33309.379999999997</v>
      </c>
      <c r="K149" s="47">
        <v>44267</v>
      </c>
      <c r="L149" s="53">
        <v>32584.75</v>
      </c>
      <c r="M149" s="47">
        <v>44265</v>
      </c>
      <c r="N149" s="54" t="s">
        <v>340</v>
      </c>
      <c r="O149" s="47">
        <v>44271</v>
      </c>
      <c r="P149" s="47" t="s">
        <v>31</v>
      </c>
      <c r="Q149" s="47"/>
      <c r="R149" s="47">
        <f>+M149+120</f>
        <v>44385</v>
      </c>
      <c r="S149" s="47">
        <v>44384</v>
      </c>
      <c r="T149" s="47" t="s">
        <v>549</v>
      </c>
      <c r="U149" s="47">
        <v>44265</v>
      </c>
      <c r="V149" s="47" t="s">
        <v>340</v>
      </c>
      <c r="W149" s="50">
        <v>482021000171113</v>
      </c>
      <c r="X149" s="47">
        <v>44279</v>
      </c>
      <c r="Y149" s="51" t="s">
        <v>334</v>
      </c>
    </row>
    <row r="150" spans="1:25" ht="30" x14ac:dyDescent="0.25">
      <c r="A150" s="45">
        <v>8620</v>
      </c>
      <c r="B150" s="31" t="s">
        <v>68</v>
      </c>
      <c r="C150" s="31" t="s">
        <v>314</v>
      </c>
      <c r="D150" s="204" t="s">
        <v>546</v>
      </c>
      <c r="E150" s="31">
        <v>23375</v>
      </c>
      <c r="F150" s="31" t="s">
        <v>364</v>
      </c>
      <c r="G150" s="168" t="s">
        <v>550</v>
      </c>
      <c r="H150" s="47">
        <v>44242</v>
      </c>
      <c r="I150" s="31" t="s">
        <v>551</v>
      </c>
      <c r="J150" s="31">
        <v>33309.379999999997</v>
      </c>
      <c r="K150" s="47">
        <v>44292</v>
      </c>
      <c r="L150" s="53">
        <v>32584.75</v>
      </c>
      <c r="M150" s="47">
        <v>44287</v>
      </c>
      <c r="N150" s="54" t="s">
        <v>340</v>
      </c>
      <c r="O150" s="47">
        <v>44292</v>
      </c>
      <c r="P150" s="47" t="s">
        <v>31</v>
      </c>
      <c r="Q150" s="47"/>
      <c r="R150" s="47">
        <f>+M150+120</f>
        <v>44407</v>
      </c>
      <c r="S150" s="47">
        <v>44407</v>
      </c>
      <c r="T150" s="47" t="s">
        <v>552</v>
      </c>
      <c r="U150" s="47">
        <v>44287</v>
      </c>
      <c r="V150" s="47" t="s">
        <v>340</v>
      </c>
      <c r="W150" s="50">
        <v>482021000217280</v>
      </c>
      <c r="X150" s="47">
        <v>44299</v>
      </c>
      <c r="Y150" s="51" t="s">
        <v>334</v>
      </c>
    </row>
    <row r="151" spans="1:25" ht="30" x14ac:dyDescent="0.25">
      <c r="A151" s="45">
        <v>8648</v>
      </c>
      <c r="B151" s="31" t="s">
        <v>68</v>
      </c>
      <c r="C151" s="31" t="s">
        <v>314</v>
      </c>
      <c r="D151" s="204" t="s">
        <v>553</v>
      </c>
      <c r="E151" s="31">
        <v>22600</v>
      </c>
      <c r="F151" s="31" t="s">
        <v>364</v>
      </c>
      <c r="G151" s="168" t="s">
        <v>554</v>
      </c>
      <c r="H151" s="47">
        <v>44246</v>
      </c>
      <c r="I151" s="31" t="s">
        <v>555</v>
      </c>
      <c r="J151" s="31">
        <v>33000</v>
      </c>
      <c r="K151" s="47">
        <v>44265</v>
      </c>
      <c r="L151" s="53">
        <v>32318</v>
      </c>
      <c r="M151" s="47">
        <v>44265</v>
      </c>
      <c r="N151" s="54"/>
      <c r="O151" s="47">
        <v>44270</v>
      </c>
      <c r="P151" s="47" t="s">
        <v>31</v>
      </c>
      <c r="Q151" s="47"/>
      <c r="R151" s="47">
        <f>+M151+120</f>
        <v>44385</v>
      </c>
      <c r="S151" s="47">
        <v>44384</v>
      </c>
      <c r="T151" s="47" t="s">
        <v>556</v>
      </c>
      <c r="U151" s="47">
        <v>44265</v>
      </c>
      <c r="V151" s="47" t="s">
        <v>340</v>
      </c>
      <c r="W151" s="50">
        <v>482021000163612</v>
      </c>
      <c r="X151" s="47">
        <v>44274</v>
      </c>
      <c r="Y151" s="51" t="s">
        <v>334</v>
      </c>
    </row>
    <row r="152" spans="1:25" ht="30" x14ac:dyDescent="0.25">
      <c r="A152" s="45">
        <v>8557</v>
      </c>
      <c r="B152" s="31" t="s">
        <v>36</v>
      </c>
      <c r="C152" s="31" t="s">
        <v>314</v>
      </c>
      <c r="D152" s="204" t="s">
        <v>557</v>
      </c>
      <c r="E152" s="31">
        <v>25500</v>
      </c>
      <c r="F152" s="31" t="s">
        <v>364</v>
      </c>
      <c r="G152" s="168"/>
      <c r="H152" s="47"/>
      <c r="I152" s="31">
        <v>23641817</v>
      </c>
      <c r="J152" s="31">
        <v>30472.5</v>
      </c>
      <c r="K152" s="47">
        <v>44231</v>
      </c>
      <c r="L152" s="53">
        <v>27364.62</v>
      </c>
      <c r="M152" s="47">
        <v>44231</v>
      </c>
      <c r="N152" s="54"/>
      <c r="O152" s="47">
        <v>44318</v>
      </c>
      <c r="P152" s="47" t="s">
        <v>418</v>
      </c>
      <c r="Q152" s="47">
        <v>44358</v>
      </c>
      <c r="R152" s="47">
        <f>+M152+105</f>
        <v>44336</v>
      </c>
      <c r="S152" s="47">
        <v>44340</v>
      </c>
      <c r="T152" s="47" t="s">
        <v>558</v>
      </c>
      <c r="U152" s="47">
        <v>44231</v>
      </c>
      <c r="V152" s="47" t="s">
        <v>340</v>
      </c>
      <c r="W152" s="50">
        <v>352021000173554</v>
      </c>
      <c r="X152" s="47">
        <v>44320</v>
      </c>
      <c r="Y152" s="139" t="s">
        <v>505</v>
      </c>
    </row>
    <row r="153" spans="1:25" ht="30" x14ac:dyDescent="0.25">
      <c r="A153" s="45">
        <v>8558</v>
      </c>
      <c r="B153" s="31" t="s">
        <v>36</v>
      </c>
      <c r="C153" s="31" t="s">
        <v>314</v>
      </c>
      <c r="D153" s="204" t="s">
        <v>559</v>
      </c>
      <c r="E153" s="31">
        <v>25500</v>
      </c>
      <c r="F153" s="31" t="s">
        <v>364</v>
      </c>
      <c r="G153" s="168"/>
      <c r="H153" s="47"/>
      <c r="I153" s="31">
        <v>23641764</v>
      </c>
      <c r="J153" s="31">
        <v>40290</v>
      </c>
      <c r="K153" s="47">
        <v>44226</v>
      </c>
      <c r="L153" s="53">
        <v>37173.78</v>
      </c>
      <c r="M153" s="47">
        <v>44226</v>
      </c>
      <c r="N153" s="54"/>
      <c r="O153" s="47">
        <v>44318</v>
      </c>
      <c r="P153" s="47" t="s">
        <v>418</v>
      </c>
      <c r="Q153" s="47">
        <v>44351</v>
      </c>
      <c r="R153" s="47">
        <f>+M153+105</f>
        <v>44331</v>
      </c>
      <c r="S153" s="47">
        <v>44335</v>
      </c>
      <c r="T153" s="47" t="s">
        <v>560</v>
      </c>
      <c r="U153" s="47">
        <v>44226</v>
      </c>
      <c r="V153" s="47" t="s">
        <v>340</v>
      </c>
      <c r="W153" s="50">
        <v>352021000174726</v>
      </c>
      <c r="X153" s="47" t="s">
        <v>561</v>
      </c>
      <c r="Y153" s="139" t="s">
        <v>505</v>
      </c>
    </row>
    <row r="154" spans="1:25" ht="30" x14ac:dyDescent="0.25">
      <c r="A154" s="45">
        <v>8673</v>
      </c>
      <c r="B154" s="31" t="s">
        <v>36</v>
      </c>
      <c r="C154" s="31" t="s">
        <v>314</v>
      </c>
      <c r="D154" s="204" t="s">
        <v>562</v>
      </c>
      <c r="E154" s="31">
        <v>25500</v>
      </c>
      <c r="F154" s="31" t="s">
        <v>364</v>
      </c>
      <c r="G154" s="168">
        <v>99164180</v>
      </c>
      <c r="H154" s="47">
        <v>44253</v>
      </c>
      <c r="I154" s="31">
        <v>23642232</v>
      </c>
      <c r="J154" s="31">
        <v>35700</v>
      </c>
      <c r="K154" s="47">
        <v>44267</v>
      </c>
      <c r="L154" s="53">
        <v>32698.68</v>
      </c>
      <c r="M154" s="47">
        <v>44267</v>
      </c>
      <c r="N154" s="54" t="s">
        <v>340</v>
      </c>
      <c r="O154" s="47">
        <v>44331</v>
      </c>
      <c r="P154" s="47" t="s">
        <v>418</v>
      </c>
      <c r="Q154" s="47" t="s">
        <v>340</v>
      </c>
      <c r="R154" s="47">
        <f>+M154+105</f>
        <v>44372</v>
      </c>
      <c r="S154" s="47">
        <v>44371</v>
      </c>
      <c r="T154" s="47" t="s">
        <v>563</v>
      </c>
      <c r="U154" s="47">
        <v>44267</v>
      </c>
      <c r="V154" s="47" t="s">
        <v>340</v>
      </c>
      <c r="W154" s="50">
        <v>352021000238436</v>
      </c>
      <c r="X154" s="47">
        <v>44375</v>
      </c>
      <c r="Y154" s="139" t="s">
        <v>505</v>
      </c>
    </row>
    <row r="155" spans="1:25" s="201" customFormat="1" x14ac:dyDescent="0.25">
      <c r="A155" s="49">
        <v>8672</v>
      </c>
      <c r="B155" s="31" t="s">
        <v>36</v>
      </c>
      <c r="C155" s="31" t="s">
        <v>314</v>
      </c>
      <c r="D155" s="204" t="s">
        <v>492</v>
      </c>
      <c r="E155" s="31">
        <v>25500</v>
      </c>
      <c r="F155" s="31" t="s">
        <v>364</v>
      </c>
      <c r="G155" s="209">
        <v>99164332</v>
      </c>
      <c r="H155" s="44">
        <v>44256</v>
      </c>
      <c r="I155" s="43">
        <v>23642273</v>
      </c>
      <c r="J155" s="43">
        <v>45517.5</v>
      </c>
      <c r="K155" s="44">
        <v>44270</v>
      </c>
      <c r="L155" s="199">
        <v>42507.839999999997</v>
      </c>
      <c r="M155" s="44">
        <v>44270</v>
      </c>
      <c r="N155" s="54" t="s">
        <v>340</v>
      </c>
      <c r="O155" s="44">
        <v>44334</v>
      </c>
      <c r="P155" s="44" t="s">
        <v>418</v>
      </c>
      <c r="Q155" s="47" t="s">
        <v>340</v>
      </c>
      <c r="R155" s="44">
        <f>+M155+105</f>
        <v>44375</v>
      </c>
      <c r="S155" s="47">
        <v>44375</v>
      </c>
      <c r="T155" s="47" t="s">
        <v>564</v>
      </c>
      <c r="U155" s="47">
        <v>44270</v>
      </c>
      <c r="V155" s="47" t="s">
        <v>340</v>
      </c>
      <c r="W155" s="50">
        <v>352021000238427</v>
      </c>
      <c r="X155" s="47">
        <v>44375</v>
      </c>
      <c r="Y155" s="139" t="s">
        <v>505</v>
      </c>
    </row>
    <row r="156" spans="1:25" s="201" customFormat="1" x14ac:dyDescent="0.25">
      <c r="A156" s="211">
        <v>8613</v>
      </c>
      <c r="B156" s="74" t="s">
        <v>457</v>
      </c>
      <c r="C156" s="74" t="s">
        <v>292</v>
      </c>
      <c r="D156" s="74" t="s">
        <v>48</v>
      </c>
      <c r="E156" s="74">
        <v>1</v>
      </c>
      <c r="F156" s="74" t="s">
        <v>59</v>
      </c>
      <c r="G156" s="74" t="s">
        <v>565</v>
      </c>
      <c r="H156" s="77"/>
      <c r="I156" s="74" t="s">
        <v>566</v>
      </c>
      <c r="J156" s="76">
        <v>1880</v>
      </c>
      <c r="K156" s="77">
        <v>44259</v>
      </c>
      <c r="L156" s="76">
        <f>+J156</f>
        <v>1880</v>
      </c>
      <c r="M156" s="77">
        <v>44262</v>
      </c>
      <c r="N156" s="74">
        <v>8</v>
      </c>
      <c r="O156" s="77">
        <v>44269</v>
      </c>
      <c r="P156" s="74" t="s">
        <v>54</v>
      </c>
      <c r="Q156" s="77">
        <v>44301</v>
      </c>
      <c r="R156" s="111">
        <v>44217</v>
      </c>
      <c r="S156" s="77">
        <v>44217</v>
      </c>
      <c r="T156" s="74">
        <v>3635165763</v>
      </c>
      <c r="U156" s="77">
        <v>44259</v>
      </c>
      <c r="V156" s="74" t="s">
        <v>340</v>
      </c>
      <c r="W156" s="210">
        <v>32021000365488</v>
      </c>
      <c r="X156" s="77">
        <v>44285</v>
      </c>
      <c r="Y156" s="74" t="s">
        <v>34</v>
      </c>
    </row>
    <row r="157" spans="1:25" x14ac:dyDescent="0.25">
      <c r="A157" s="73" t="s">
        <v>567</v>
      </c>
      <c r="B157" s="74" t="s">
        <v>507</v>
      </c>
      <c r="C157" s="74" t="s">
        <v>508</v>
      </c>
      <c r="D157" s="74">
        <v>1340</v>
      </c>
      <c r="E157" s="74">
        <v>500</v>
      </c>
      <c r="F157" s="74" t="s">
        <v>364</v>
      </c>
      <c r="G157" s="166"/>
      <c r="H157" s="77"/>
      <c r="I157" s="74" t="s">
        <v>568</v>
      </c>
      <c r="J157" s="74">
        <f>16896+1200</f>
        <v>18096</v>
      </c>
      <c r="K157" s="77">
        <v>44236</v>
      </c>
      <c r="L157" s="76">
        <v>16896</v>
      </c>
      <c r="M157" s="77">
        <v>44253</v>
      </c>
      <c r="N157" s="75">
        <v>15</v>
      </c>
      <c r="O157" s="77">
        <v>44258</v>
      </c>
      <c r="P157" s="77" t="s">
        <v>31</v>
      </c>
      <c r="Q157" s="77">
        <v>44260</v>
      </c>
      <c r="R157" s="165" t="s">
        <v>340</v>
      </c>
      <c r="S157" s="165" t="s">
        <v>340</v>
      </c>
      <c r="T157" s="77" t="s">
        <v>569</v>
      </c>
      <c r="U157" s="77">
        <v>44253</v>
      </c>
      <c r="V157" s="77" t="s">
        <v>340</v>
      </c>
      <c r="W157" s="79">
        <v>482021000128174</v>
      </c>
      <c r="X157" s="77">
        <v>44260</v>
      </c>
      <c r="Y157" s="91" t="s">
        <v>34</v>
      </c>
    </row>
    <row r="158" spans="1:25" x14ac:dyDescent="0.25">
      <c r="A158" s="45"/>
      <c r="B158" s="31" t="s">
        <v>507</v>
      </c>
      <c r="C158" s="31" t="s">
        <v>508</v>
      </c>
      <c r="D158" s="31" t="s">
        <v>871</v>
      </c>
      <c r="E158" s="31">
        <v>600</v>
      </c>
      <c r="F158" s="31" t="s">
        <v>364</v>
      </c>
      <c r="G158" s="152"/>
      <c r="H158" s="47"/>
      <c r="I158" s="31" t="s">
        <v>872</v>
      </c>
      <c r="J158" s="31">
        <v>20387</v>
      </c>
      <c r="K158" s="47">
        <v>44302</v>
      </c>
      <c r="L158" s="53">
        <f>+J158</f>
        <v>20387</v>
      </c>
      <c r="M158" s="47">
        <v>44309</v>
      </c>
      <c r="N158" s="54">
        <v>5</v>
      </c>
      <c r="O158" s="47">
        <v>44314</v>
      </c>
      <c r="P158" s="47" t="s">
        <v>31</v>
      </c>
      <c r="Q158" s="47" t="s">
        <v>340</v>
      </c>
      <c r="R158" s="47" t="s">
        <v>340</v>
      </c>
      <c r="S158" s="47">
        <v>44343</v>
      </c>
      <c r="T158" s="47" t="s">
        <v>873</v>
      </c>
      <c r="U158" s="47">
        <v>44309</v>
      </c>
      <c r="V158" s="47" t="s">
        <v>340</v>
      </c>
      <c r="W158" s="48">
        <v>482021000268084</v>
      </c>
      <c r="X158" s="47">
        <v>44323</v>
      </c>
      <c r="Y158" s="139" t="s">
        <v>505</v>
      </c>
    </row>
    <row r="159" spans="1:25" x14ac:dyDescent="0.25">
      <c r="A159" s="45"/>
      <c r="B159" s="31" t="s">
        <v>507</v>
      </c>
      <c r="C159" s="31" t="s">
        <v>508</v>
      </c>
      <c r="D159" s="31">
        <v>490</v>
      </c>
      <c r="E159" s="31">
        <v>300</v>
      </c>
      <c r="F159" s="31" t="s">
        <v>364</v>
      </c>
      <c r="G159" s="152"/>
      <c r="H159" s="47"/>
      <c r="I159" s="31" t="s">
        <v>872</v>
      </c>
      <c r="J159" s="31">
        <v>9238</v>
      </c>
      <c r="K159" s="47">
        <v>44302</v>
      </c>
      <c r="L159" s="53">
        <f>+J159</f>
        <v>9238</v>
      </c>
      <c r="M159" s="47">
        <v>44309</v>
      </c>
      <c r="N159" s="54">
        <v>5</v>
      </c>
      <c r="O159" s="47">
        <v>44314</v>
      </c>
      <c r="P159" s="47" t="s">
        <v>31</v>
      </c>
      <c r="Q159" s="47" t="s">
        <v>340</v>
      </c>
      <c r="R159" s="47" t="s">
        <v>340</v>
      </c>
      <c r="S159" s="47">
        <v>44343</v>
      </c>
      <c r="T159" s="47" t="s">
        <v>873</v>
      </c>
      <c r="U159" s="47">
        <v>44309</v>
      </c>
      <c r="V159" s="47" t="s">
        <v>340</v>
      </c>
      <c r="W159" s="48">
        <v>482021000268084</v>
      </c>
      <c r="X159" s="47">
        <v>44323</v>
      </c>
      <c r="Y159" s="139" t="s">
        <v>505</v>
      </c>
    </row>
    <row r="160" spans="1:25" x14ac:dyDescent="0.25">
      <c r="A160" s="231">
        <v>8621</v>
      </c>
      <c r="B160" s="203" t="s">
        <v>222</v>
      </c>
      <c r="C160" s="203" t="s">
        <v>529</v>
      </c>
      <c r="D160" s="203" t="s">
        <v>530</v>
      </c>
      <c r="E160" s="203">
        <v>2400000</v>
      </c>
      <c r="F160" s="203" t="s">
        <v>364</v>
      </c>
      <c r="G160" s="232"/>
      <c r="H160" s="233"/>
      <c r="I160" s="203">
        <v>44066</v>
      </c>
      <c r="J160" s="234">
        <v>5493</v>
      </c>
      <c r="K160" s="233">
        <v>44211</v>
      </c>
      <c r="L160" s="235">
        <v>5493</v>
      </c>
      <c r="M160" s="233">
        <v>44229</v>
      </c>
      <c r="N160" s="203" t="s">
        <v>340</v>
      </c>
      <c r="O160" s="233">
        <v>44245</v>
      </c>
      <c r="P160" s="203" t="s">
        <v>31</v>
      </c>
      <c r="Q160" s="233">
        <v>44250</v>
      </c>
      <c r="R160" s="203" t="s">
        <v>454</v>
      </c>
      <c r="S160" s="203" t="s">
        <v>454</v>
      </c>
      <c r="T160" s="203" t="s">
        <v>570</v>
      </c>
      <c r="U160" s="233">
        <v>44229</v>
      </c>
      <c r="V160" s="203" t="s">
        <v>340</v>
      </c>
      <c r="W160" s="236">
        <v>4820210000104550</v>
      </c>
      <c r="X160" s="233">
        <v>44250</v>
      </c>
      <c r="Y160" s="203" t="s">
        <v>34</v>
      </c>
    </row>
    <row r="161" spans="1:25" ht="16.5" x14ac:dyDescent="0.25">
      <c r="A161" s="49"/>
      <c r="B161" s="43" t="s">
        <v>88</v>
      </c>
      <c r="C161" s="43" t="s">
        <v>881</v>
      </c>
      <c r="D161" s="43" t="s">
        <v>882</v>
      </c>
      <c r="E161" s="244">
        <v>270000</v>
      </c>
      <c r="F161" s="43" t="s">
        <v>131</v>
      </c>
      <c r="G161" s="200"/>
      <c r="H161" s="44"/>
      <c r="I161" s="43" t="s">
        <v>883</v>
      </c>
      <c r="J161" s="245" t="s">
        <v>899</v>
      </c>
      <c r="K161" s="44">
        <v>44326</v>
      </c>
      <c r="L161" s="267" t="s">
        <v>901</v>
      </c>
      <c r="M161" s="44"/>
      <c r="N161" s="43"/>
      <c r="O161" s="44">
        <v>44348</v>
      </c>
      <c r="P161" s="43" t="s">
        <v>54</v>
      </c>
      <c r="Q161" s="44">
        <v>44348</v>
      </c>
      <c r="R161" s="43" t="s">
        <v>884</v>
      </c>
      <c r="S161" s="44">
        <v>44368</v>
      </c>
      <c r="T161" s="43" t="s">
        <v>885</v>
      </c>
      <c r="U161" s="44">
        <v>44333</v>
      </c>
      <c r="V161" s="43"/>
      <c r="W161" s="247">
        <v>902021000076395</v>
      </c>
      <c r="X161" s="44">
        <v>44348</v>
      </c>
      <c r="Y161" s="43"/>
    </row>
    <row r="162" spans="1:25" s="201" customFormat="1" x14ac:dyDescent="0.25">
      <c r="A162" s="49"/>
      <c r="B162" s="43" t="s">
        <v>88</v>
      </c>
      <c r="C162" s="43" t="s">
        <v>881</v>
      </c>
      <c r="D162" s="43" t="s">
        <v>886</v>
      </c>
      <c r="E162" s="244">
        <v>15000</v>
      </c>
      <c r="F162" s="43" t="s">
        <v>131</v>
      </c>
      <c r="G162" s="200"/>
      <c r="H162" s="44"/>
      <c r="I162" s="43" t="s">
        <v>883</v>
      </c>
      <c r="J162" s="245" t="s">
        <v>900</v>
      </c>
      <c r="K162" s="44">
        <v>44326</v>
      </c>
      <c r="L162" s="246" t="s">
        <v>902</v>
      </c>
      <c r="M162" s="44"/>
      <c r="N162" s="43"/>
      <c r="O162" s="44">
        <v>44348</v>
      </c>
      <c r="P162" s="43" t="s">
        <v>54</v>
      </c>
      <c r="Q162" s="44">
        <v>44348</v>
      </c>
      <c r="R162" s="43" t="s">
        <v>884</v>
      </c>
      <c r="S162" s="44">
        <v>44368</v>
      </c>
      <c r="T162" s="43" t="s">
        <v>885</v>
      </c>
      <c r="U162" s="44">
        <v>44333</v>
      </c>
      <c r="V162" s="43"/>
      <c r="W162" s="247">
        <v>902021000076395</v>
      </c>
      <c r="X162" s="44">
        <v>44348</v>
      </c>
      <c r="Y162" s="43"/>
    </row>
    <row r="163" spans="1:25" s="201" customFormat="1" x14ac:dyDescent="0.25">
      <c r="A163" s="49">
        <v>8938</v>
      </c>
      <c r="B163" s="43" t="s">
        <v>68</v>
      </c>
      <c r="C163" s="43" t="s">
        <v>887</v>
      </c>
      <c r="D163" s="43" t="s">
        <v>888</v>
      </c>
      <c r="E163" s="244">
        <v>23375</v>
      </c>
      <c r="F163" s="43" t="s">
        <v>364</v>
      </c>
      <c r="G163" s="200"/>
      <c r="H163" s="44"/>
      <c r="I163" s="43" t="s">
        <v>889</v>
      </c>
      <c r="J163" s="245" t="s">
        <v>890</v>
      </c>
      <c r="K163" s="44">
        <v>44335</v>
      </c>
      <c r="L163" s="246" t="s">
        <v>903</v>
      </c>
      <c r="M163" s="44"/>
      <c r="N163" s="43"/>
      <c r="O163" s="44">
        <v>44342</v>
      </c>
      <c r="P163" s="43" t="s">
        <v>31</v>
      </c>
      <c r="Q163" s="44">
        <v>44347</v>
      </c>
      <c r="R163" s="44">
        <v>44427</v>
      </c>
      <c r="S163" s="43"/>
      <c r="T163" s="43" t="s">
        <v>891</v>
      </c>
      <c r="U163" s="44">
        <v>44335</v>
      </c>
      <c r="V163" s="43"/>
      <c r="W163" s="247">
        <v>482021000304490</v>
      </c>
      <c r="X163" s="44">
        <v>44343</v>
      </c>
      <c r="Y163" s="43"/>
    </row>
    <row r="164" spans="1:25" s="201" customFormat="1" x14ac:dyDescent="0.25">
      <c r="A164" s="49"/>
      <c r="B164" s="43" t="s">
        <v>26</v>
      </c>
      <c r="C164" s="43" t="s">
        <v>904</v>
      </c>
      <c r="D164" s="43" t="s">
        <v>44</v>
      </c>
      <c r="E164" s="244">
        <v>23375</v>
      </c>
      <c r="F164" s="43" t="s">
        <v>364</v>
      </c>
      <c r="G164" s="200"/>
      <c r="H164" s="44"/>
      <c r="I164" s="43">
        <v>225900</v>
      </c>
      <c r="J164" s="245" t="s">
        <v>907</v>
      </c>
      <c r="K164" s="44">
        <v>44340</v>
      </c>
      <c r="L164" s="246" t="s">
        <v>905</v>
      </c>
      <c r="M164" s="44"/>
      <c r="N164" s="43"/>
      <c r="O164" s="44">
        <v>44351</v>
      </c>
      <c r="P164" s="43" t="s">
        <v>249</v>
      </c>
      <c r="Q164" s="44">
        <v>44364</v>
      </c>
      <c r="R164" s="44">
        <v>44430</v>
      </c>
      <c r="S164" s="43"/>
      <c r="T164" s="43" t="s">
        <v>906</v>
      </c>
      <c r="U164" s="44">
        <v>44340</v>
      </c>
      <c r="V164" s="43"/>
      <c r="W164" s="247">
        <v>412021000009253</v>
      </c>
      <c r="X164" s="44">
        <v>44356</v>
      </c>
      <c r="Y164" s="43"/>
    </row>
    <row r="165" spans="1:25" s="201" customFormat="1" x14ac:dyDescent="0.25">
      <c r="A165" s="49"/>
      <c r="B165" s="43" t="s">
        <v>159</v>
      </c>
      <c r="C165" s="43" t="s">
        <v>908</v>
      </c>
      <c r="D165" s="43" t="s">
        <v>909</v>
      </c>
      <c r="E165" s="244">
        <v>30.75</v>
      </c>
      <c r="F165" s="43" t="s">
        <v>131</v>
      </c>
      <c r="G165" s="200"/>
      <c r="H165" s="44"/>
      <c r="I165" s="43" t="s">
        <v>910</v>
      </c>
      <c r="J165" s="245" t="s">
        <v>911</v>
      </c>
      <c r="K165" s="44">
        <v>44309</v>
      </c>
      <c r="L165" s="246" t="s">
        <v>912</v>
      </c>
      <c r="M165" s="44"/>
      <c r="N165" s="43"/>
      <c r="O165" s="44">
        <v>44317</v>
      </c>
      <c r="P165" s="43" t="s">
        <v>913</v>
      </c>
      <c r="Q165" s="44">
        <v>44326</v>
      </c>
      <c r="R165" s="43"/>
      <c r="S165" s="43"/>
      <c r="T165" s="43">
        <v>6467035621</v>
      </c>
      <c r="U165" s="44">
        <v>44315</v>
      </c>
      <c r="V165" s="43"/>
      <c r="W165" s="247">
        <v>32021000518387</v>
      </c>
      <c r="X165" s="44">
        <v>44322</v>
      </c>
      <c r="Y165" s="43"/>
    </row>
    <row r="166" spans="1:25" s="201" customFormat="1" x14ac:dyDescent="0.25">
      <c r="A166" s="49">
        <v>9074</v>
      </c>
      <c r="B166" s="43" t="s">
        <v>99</v>
      </c>
      <c r="C166" s="43" t="s">
        <v>415</v>
      </c>
      <c r="D166" s="43" t="s">
        <v>914</v>
      </c>
      <c r="E166" s="244">
        <v>1710</v>
      </c>
      <c r="F166" s="43" t="s">
        <v>364</v>
      </c>
      <c r="G166" s="200"/>
      <c r="H166" s="44"/>
      <c r="I166" s="43">
        <v>21000931</v>
      </c>
      <c r="J166" s="245" t="s">
        <v>915</v>
      </c>
      <c r="K166" s="44">
        <v>44358</v>
      </c>
      <c r="L166" s="246" t="s">
        <v>984</v>
      </c>
      <c r="M166" s="44"/>
      <c r="N166" s="43"/>
      <c r="O166" s="44">
        <v>44388</v>
      </c>
      <c r="P166" s="43" t="s">
        <v>31</v>
      </c>
      <c r="Q166" s="44">
        <v>44396</v>
      </c>
      <c r="R166" s="44" t="s">
        <v>454</v>
      </c>
      <c r="S166" s="44">
        <v>44355</v>
      </c>
      <c r="T166" s="43" t="s">
        <v>916</v>
      </c>
      <c r="U166" s="44">
        <v>44365</v>
      </c>
      <c r="V166" s="43"/>
      <c r="W166" s="247">
        <v>482021000411982</v>
      </c>
      <c r="X166" s="44">
        <v>44391</v>
      </c>
      <c r="Y166" s="43"/>
    </row>
    <row r="167" spans="1:25" s="201" customFormat="1" x14ac:dyDescent="0.25">
      <c r="A167" s="49">
        <v>9074</v>
      </c>
      <c r="B167" s="43" t="s">
        <v>99</v>
      </c>
      <c r="C167" s="43" t="s">
        <v>415</v>
      </c>
      <c r="D167" s="43" t="s">
        <v>917</v>
      </c>
      <c r="E167" s="244">
        <v>700</v>
      </c>
      <c r="F167" s="43" t="s">
        <v>364</v>
      </c>
      <c r="G167" s="289"/>
      <c r="H167" s="44"/>
      <c r="I167" s="43">
        <v>21000931</v>
      </c>
      <c r="J167" s="245" t="s">
        <v>918</v>
      </c>
      <c r="K167" s="44">
        <v>44358</v>
      </c>
      <c r="L167" s="246" t="s">
        <v>985</v>
      </c>
      <c r="M167" s="44"/>
      <c r="N167" s="43"/>
      <c r="O167" s="44">
        <v>44388</v>
      </c>
      <c r="P167" s="43" t="s">
        <v>31</v>
      </c>
      <c r="Q167" s="44">
        <v>44396</v>
      </c>
      <c r="R167" s="43" t="s">
        <v>454</v>
      </c>
      <c r="S167" s="44">
        <v>44355</v>
      </c>
      <c r="T167" s="43" t="s">
        <v>916</v>
      </c>
      <c r="U167" s="44">
        <v>44365</v>
      </c>
      <c r="V167" s="43"/>
      <c r="W167" s="247">
        <v>482021000411982</v>
      </c>
      <c r="X167" s="44">
        <v>44391</v>
      </c>
      <c r="Y167" s="43"/>
    </row>
    <row r="168" spans="1:25" s="201" customFormat="1" x14ac:dyDescent="0.25">
      <c r="A168" s="49"/>
      <c r="B168" s="43" t="s">
        <v>88</v>
      </c>
      <c r="C168" s="43" t="s">
        <v>881</v>
      </c>
      <c r="D168" s="43" t="s">
        <v>919</v>
      </c>
      <c r="E168" s="244">
        <v>780000</v>
      </c>
      <c r="F168" s="43" t="s">
        <v>364</v>
      </c>
      <c r="G168" s="289"/>
      <c r="H168" s="44"/>
      <c r="I168" s="43" t="s">
        <v>920</v>
      </c>
      <c r="J168" s="245" t="s">
        <v>921</v>
      </c>
      <c r="K168" s="44">
        <v>44344</v>
      </c>
      <c r="L168" s="246" t="s">
        <v>981</v>
      </c>
      <c r="M168" s="44"/>
      <c r="N168" s="43"/>
      <c r="O168" s="44">
        <v>44373</v>
      </c>
      <c r="P168" s="43" t="s">
        <v>31</v>
      </c>
      <c r="Q168" s="44">
        <v>44378</v>
      </c>
      <c r="R168" s="44">
        <v>44389</v>
      </c>
      <c r="S168" s="43" t="s">
        <v>1024</v>
      </c>
      <c r="T168" s="43" t="s">
        <v>922</v>
      </c>
      <c r="U168" s="44">
        <v>44358</v>
      </c>
      <c r="V168" s="43"/>
      <c r="W168" s="247">
        <v>482021000375831</v>
      </c>
      <c r="X168" s="44">
        <v>44376</v>
      </c>
      <c r="Y168" s="43"/>
    </row>
    <row r="169" spans="1:25" s="201" customFormat="1" x14ac:dyDescent="0.25">
      <c r="A169" s="49"/>
      <c r="B169" s="43" t="s">
        <v>88</v>
      </c>
      <c r="C169" s="43" t="s">
        <v>881</v>
      </c>
      <c r="D169" s="43" t="s">
        <v>923</v>
      </c>
      <c r="E169" s="244">
        <v>540000</v>
      </c>
      <c r="F169" s="43" t="s">
        <v>364</v>
      </c>
      <c r="G169" s="289"/>
      <c r="H169" s="44"/>
      <c r="I169" s="43" t="s">
        <v>920</v>
      </c>
      <c r="J169" s="245" t="s">
        <v>924</v>
      </c>
      <c r="K169" s="44">
        <v>44344</v>
      </c>
      <c r="L169" s="246" t="s">
        <v>982</v>
      </c>
      <c r="M169" s="44"/>
      <c r="N169" s="43"/>
      <c r="O169" s="44">
        <v>44373</v>
      </c>
      <c r="P169" s="43" t="s">
        <v>31</v>
      </c>
      <c r="Q169" s="44">
        <v>44378</v>
      </c>
      <c r="R169" s="44">
        <v>44389</v>
      </c>
      <c r="S169" s="43" t="s">
        <v>1024</v>
      </c>
      <c r="T169" s="43" t="s">
        <v>922</v>
      </c>
      <c r="U169" s="44">
        <v>44358</v>
      </c>
      <c r="V169" s="43"/>
      <c r="W169" s="247">
        <v>482021000375831</v>
      </c>
      <c r="X169" s="44">
        <v>44376</v>
      </c>
      <c r="Y169" s="43"/>
    </row>
    <row r="170" spans="1:25" s="201" customFormat="1" x14ac:dyDescent="0.25">
      <c r="A170" s="49"/>
      <c r="B170" s="43" t="s">
        <v>88</v>
      </c>
      <c r="C170" s="43" t="s">
        <v>881</v>
      </c>
      <c r="D170" s="43" t="s">
        <v>925</v>
      </c>
      <c r="E170" s="244">
        <v>402500</v>
      </c>
      <c r="F170" s="43" t="s">
        <v>364</v>
      </c>
      <c r="G170" s="289"/>
      <c r="H170" s="44"/>
      <c r="I170" s="43" t="s">
        <v>920</v>
      </c>
      <c r="J170" s="245" t="s">
        <v>926</v>
      </c>
      <c r="K170" s="44">
        <v>44344</v>
      </c>
      <c r="L170" s="246" t="s">
        <v>983</v>
      </c>
      <c r="M170" s="44"/>
      <c r="N170" s="43"/>
      <c r="O170" s="44">
        <v>44373</v>
      </c>
      <c r="P170" s="43" t="s">
        <v>31</v>
      </c>
      <c r="Q170" s="44">
        <v>44378</v>
      </c>
      <c r="R170" s="44">
        <v>44389</v>
      </c>
      <c r="S170" s="43" t="s">
        <v>1024</v>
      </c>
      <c r="T170" s="43" t="s">
        <v>922</v>
      </c>
      <c r="U170" s="44">
        <v>44358</v>
      </c>
      <c r="V170" s="43"/>
      <c r="W170" s="247">
        <v>482021000375831</v>
      </c>
      <c r="X170" s="44">
        <v>44376</v>
      </c>
      <c r="Y170" s="43"/>
    </row>
    <row r="171" spans="1:25" s="201" customFormat="1" x14ac:dyDescent="0.25">
      <c r="A171" s="49">
        <v>9101</v>
      </c>
      <c r="B171" s="43" t="s">
        <v>222</v>
      </c>
      <c r="C171" s="43" t="s">
        <v>529</v>
      </c>
      <c r="D171" s="43" t="s">
        <v>530</v>
      </c>
      <c r="E171" s="244" t="s">
        <v>1030</v>
      </c>
      <c r="F171" s="43" t="s">
        <v>364</v>
      </c>
      <c r="G171" s="289">
        <v>46036</v>
      </c>
      <c r="H171" s="44">
        <v>44362</v>
      </c>
      <c r="I171" s="43"/>
      <c r="J171" s="245"/>
      <c r="K171" s="44"/>
      <c r="L171" s="246"/>
      <c r="M171" s="44"/>
      <c r="N171" s="43"/>
      <c r="O171" s="44"/>
      <c r="P171" s="43"/>
      <c r="Q171" s="44"/>
      <c r="R171" s="43" t="s">
        <v>454</v>
      </c>
      <c r="S171" s="43"/>
      <c r="T171" s="43"/>
      <c r="U171" s="44"/>
      <c r="V171" s="43"/>
      <c r="W171" s="247"/>
      <c r="X171" s="44"/>
      <c r="Y171" s="43"/>
    </row>
    <row r="172" spans="1:25" s="201" customFormat="1" x14ac:dyDescent="0.25">
      <c r="A172" s="49">
        <v>9101</v>
      </c>
      <c r="B172" s="43" t="s">
        <v>222</v>
      </c>
      <c r="C172" s="43" t="s">
        <v>529</v>
      </c>
      <c r="D172" s="43" t="s">
        <v>927</v>
      </c>
      <c r="E172" s="244">
        <v>220000</v>
      </c>
      <c r="F172" s="43" t="s">
        <v>364</v>
      </c>
      <c r="G172" s="289">
        <v>46036</v>
      </c>
      <c r="H172" s="44">
        <v>44362</v>
      </c>
      <c r="I172" s="43"/>
      <c r="J172" s="245"/>
      <c r="K172" s="44"/>
      <c r="L172" s="246"/>
      <c r="M172" s="44"/>
      <c r="N172" s="43"/>
      <c r="O172" s="44"/>
      <c r="P172" s="43"/>
      <c r="Q172" s="44"/>
      <c r="R172" s="43" t="s">
        <v>454</v>
      </c>
      <c r="S172" s="43"/>
      <c r="T172" s="43"/>
      <c r="U172" s="44"/>
      <c r="V172" s="43"/>
      <c r="W172" s="247"/>
      <c r="X172" s="44"/>
      <c r="Y172" s="43"/>
    </row>
    <row r="173" spans="1:25" s="201" customFormat="1" x14ac:dyDescent="0.25">
      <c r="A173" s="49"/>
      <c r="B173" s="43" t="s">
        <v>222</v>
      </c>
      <c r="C173" s="43" t="s">
        <v>57</v>
      </c>
      <c r="D173" s="43" t="s">
        <v>194</v>
      </c>
      <c r="E173" s="244" t="s">
        <v>1029</v>
      </c>
      <c r="F173" s="43" t="s">
        <v>364</v>
      </c>
      <c r="G173" s="289">
        <v>46036</v>
      </c>
      <c r="H173" s="44">
        <v>44362</v>
      </c>
      <c r="I173" s="43">
        <v>45408</v>
      </c>
      <c r="J173" s="245" t="s">
        <v>1031</v>
      </c>
      <c r="K173" s="44">
        <v>44412</v>
      </c>
      <c r="L173" s="246"/>
      <c r="M173" s="44"/>
      <c r="N173" s="43"/>
      <c r="O173" s="44">
        <v>44442</v>
      </c>
      <c r="P173" s="43" t="s">
        <v>31</v>
      </c>
      <c r="Q173" s="44"/>
      <c r="R173" s="43" t="s">
        <v>454</v>
      </c>
      <c r="S173" s="43"/>
      <c r="T173" s="43"/>
      <c r="U173" s="44"/>
      <c r="V173" s="43"/>
      <c r="W173" s="247"/>
      <c r="X173" s="44"/>
      <c r="Y173" s="43"/>
    </row>
    <row r="174" spans="1:25" s="201" customFormat="1" x14ac:dyDescent="0.25">
      <c r="A174" s="49">
        <v>9104</v>
      </c>
      <c r="B174" s="43" t="s">
        <v>265</v>
      </c>
      <c r="C174" s="43" t="s">
        <v>387</v>
      </c>
      <c r="D174" s="43" t="s">
        <v>928</v>
      </c>
      <c r="E174" s="244"/>
      <c r="F174" s="43" t="s">
        <v>131</v>
      </c>
      <c r="G174" s="289"/>
      <c r="H174" s="44"/>
      <c r="I174" s="43" t="s">
        <v>929</v>
      </c>
      <c r="J174" s="245" t="s">
        <v>930</v>
      </c>
      <c r="K174" s="44">
        <v>44365</v>
      </c>
      <c r="L174" s="246" t="s">
        <v>980</v>
      </c>
      <c r="M174" s="44"/>
      <c r="N174" s="43"/>
      <c r="O174" s="44">
        <v>44371</v>
      </c>
      <c r="P174" s="43" t="s">
        <v>54</v>
      </c>
      <c r="Q174" s="44">
        <v>44371</v>
      </c>
      <c r="R174" s="43" t="s">
        <v>884</v>
      </c>
      <c r="S174" s="43"/>
      <c r="T174" s="43" t="s">
        <v>931</v>
      </c>
      <c r="U174" s="44">
        <v>44370</v>
      </c>
      <c r="V174" s="43"/>
      <c r="W174" s="247">
        <v>902021000087982</v>
      </c>
      <c r="X174" s="44">
        <v>44371</v>
      </c>
      <c r="Y174" s="43"/>
    </row>
    <row r="175" spans="1:25" s="201" customFormat="1" x14ac:dyDescent="0.25">
      <c r="A175" s="49"/>
      <c r="B175" s="43" t="s">
        <v>939</v>
      </c>
      <c r="C175" s="43" t="s">
        <v>314</v>
      </c>
      <c r="D175" s="43" t="s">
        <v>173</v>
      </c>
      <c r="E175" s="244" t="s">
        <v>940</v>
      </c>
      <c r="F175" s="43" t="s">
        <v>364</v>
      </c>
      <c r="G175" s="289" t="s">
        <v>941</v>
      </c>
      <c r="H175" s="44">
        <v>44370</v>
      </c>
      <c r="I175" s="43">
        <v>2805</v>
      </c>
      <c r="J175" s="245" t="s">
        <v>1019</v>
      </c>
      <c r="K175" s="44">
        <v>44379</v>
      </c>
      <c r="L175" s="246" t="s">
        <v>1036</v>
      </c>
      <c r="M175" s="44"/>
      <c r="N175" s="43"/>
      <c r="O175" s="44">
        <v>44411</v>
      </c>
      <c r="P175" s="43" t="s">
        <v>31</v>
      </c>
      <c r="Q175" s="44">
        <v>44417</v>
      </c>
      <c r="R175" s="44">
        <v>44499</v>
      </c>
      <c r="S175" s="43"/>
      <c r="T175" s="43">
        <v>211787563</v>
      </c>
      <c r="U175" s="44">
        <v>44325</v>
      </c>
      <c r="V175" s="43"/>
      <c r="W175" s="247" t="s">
        <v>1037</v>
      </c>
      <c r="X175" s="44">
        <v>44412</v>
      </c>
      <c r="Y175" s="43"/>
    </row>
    <row r="176" spans="1:25" s="201" customFormat="1" x14ac:dyDescent="0.25">
      <c r="A176" s="49"/>
      <c r="B176" s="43" t="s">
        <v>68</v>
      </c>
      <c r="C176" s="43" t="s">
        <v>314</v>
      </c>
      <c r="D176" s="43" t="s">
        <v>144</v>
      </c>
      <c r="E176" s="244" t="s">
        <v>942</v>
      </c>
      <c r="F176" s="43" t="s">
        <v>364</v>
      </c>
      <c r="G176" s="289" t="s">
        <v>943</v>
      </c>
      <c r="H176" s="44">
        <v>44375</v>
      </c>
      <c r="I176" s="43" t="s">
        <v>1038</v>
      </c>
      <c r="J176" s="245" t="s">
        <v>1039</v>
      </c>
      <c r="K176" s="44">
        <v>44406</v>
      </c>
      <c r="L176" s="246" t="s">
        <v>1041</v>
      </c>
      <c r="M176" s="44"/>
      <c r="N176" s="43"/>
      <c r="O176" s="44">
        <v>44413</v>
      </c>
      <c r="P176" s="43" t="s">
        <v>31</v>
      </c>
      <c r="Q176" s="44">
        <v>44421</v>
      </c>
      <c r="R176" s="44">
        <v>44497</v>
      </c>
      <c r="S176" s="43"/>
      <c r="T176" s="43" t="s">
        <v>1043</v>
      </c>
      <c r="U176" s="44">
        <v>44398</v>
      </c>
      <c r="V176" s="43"/>
      <c r="W176" s="247" t="s">
        <v>1044</v>
      </c>
      <c r="X176" s="44">
        <v>44414</v>
      </c>
      <c r="Y176" s="43"/>
    </row>
    <row r="177" spans="1:25" s="201" customFormat="1" x14ac:dyDescent="0.25">
      <c r="A177" s="49"/>
      <c r="B177" s="43" t="s">
        <v>68</v>
      </c>
      <c r="C177" s="43" t="s">
        <v>314</v>
      </c>
      <c r="D177" s="43" t="s">
        <v>944</v>
      </c>
      <c r="E177" s="244" t="s">
        <v>945</v>
      </c>
      <c r="F177" s="43" t="s">
        <v>364</v>
      </c>
      <c r="G177" s="289" t="s">
        <v>943</v>
      </c>
      <c r="H177" s="44">
        <v>44375</v>
      </c>
      <c r="I177" s="43" t="s">
        <v>1038</v>
      </c>
      <c r="J177" s="245" t="s">
        <v>1040</v>
      </c>
      <c r="K177" s="44">
        <v>44406</v>
      </c>
      <c r="L177" s="246" t="s">
        <v>1042</v>
      </c>
      <c r="M177" s="44"/>
      <c r="N177" s="43"/>
      <c r="O177" s="44">
        <v>44413</v>
      </c>
      <c r="P177" s="43" t="s">
        <v>31</v>
      </c>
      <c r="Q177" s="44">
        <v>44421</v>
      </c>
      <c r="R177" s="44">
        <v>44497</v>
      </c>
      <c r="S177" s="43"/>
      <c r="T177" s="43" t="s">
        <v>1043</v>
      </c>
      <c r="U177" s="44">
        <v>44398</v>
      </c>
      <c r="V177" s="43"/>
      <c r="W177" s="247" t="s">
        <v>1044</v>
      </c>
      <c r="X177" s="44">
        <v>44414</v>
      </c>
      <c r="Y177" s="43"/>
    </row>
    <row r="178" spans="1:25" s="201" customFormat="1" x14ac:dyDescent="0.25">
      <c r="A178" s="49"/>
      <c r="B178" s="43" t="s">
        <v>68</v>
      </c>
      <c r="C178" s="43" t="s">
        <v>314</v>
      </c>
      <c r="D178" s="43" t="s">
        <v>946</v>
      </c>
      <c r="E178" s="244" t="s">
        <v>947</v>
      </c>
      <c r="F178" s="43" t="s">
        <v>364</v>
      </c>
      <c r="G178" s="289" t="s">
        <v>948</v>
      </c>
      <c r="H178" s="44">
        <v>44375</v>
      </c>
      <c r="I178" s="43"/>
      <c r="J178" s="245"/>
      <c r="K178" s="44"/>
      <c r="L178" s="246"/>
      <c r="M178" s="44"/>
      <c r="N178" s="43"/>
      <c r="O178" s="44"/>
      <c r="P178" s="43"/>
      <c r="Q178" s="44"/>
      <c r="R178" s="44">
        <v>44497</v>
      </c>
      <c r="S178" s="43"/>
      <c r="T178" s="43"/>
      <c r="U178" s="44"/>
      <c r="V178" s="43"/>
      <c r="W178" s="247"/>
      <c r="X178" s="44"/>
      <c r="Y178" s="43"/>
    </row>
    <row r="179" spans="1:25" s="201" customFormat="1" x14ac:dyDescent="0.25">
      <c r="A179" s="49">
        <v>8939</v>
      </c>
      <c r="B179" s="43" t="s">
        <v>36</v>
      </c>
      <c r="C179" s="43" t="s">
        <v>314</v>
      </c>
      <c r="D179" s="43" t="s">
        <v>975</v>
      </c>
      <c r="E179" s="244" t="s">
        <v>1005</v>
      </c>
      <c r="F179" s="43" t="s">
        <v>364</v>
      </c>
      <c r="G179" s="289"/>
      <c r="H179" s="44"/>
      <c r="I179" s="43">
        <v>23642972</v>
      </c>
      <c r="J179" s="245" t="s">
        <v>1006</v>
      </c>
      <c r="K179" s="44">
        <v>44324</v>
      </c>
      <c r="L179" s="246" t="s">
        <v>1033</v>
      </c>
      <c r="M179" s="44"/>
      <c r="N179" s="43"/>
      <c r="O179" s="44">
        <v>44407</v>
      </c>
      <c r="P179" s="43" t="s">
        <v>999</v>
      </c>
      <c r="Q179" s="44">
        <v>44412</v>
      </c>
      <c r="R179" s="44">
        <v>44429</v>
      </c>
      <c r="S179" s="43"/>
      <c r="T179" s="43" t="s">
        <v>1007</v>
      </c>
      <c r="U179" s="44">
        <v>44324</v>
      </c>
      <c r="V179" s="43"/>
      <c r="W179" s="247" t="s">
        <v>1023</v>
      </c>
      <c r="X179" s="44">
        <v>44410</v>
      </c>
      <c r="Y179" s="43"/>
    </row>
    <row r="180" spans="1:25" s="201" customFormat="1" x14ac:dyDescent="0.25">
      <c r="A180" s="49">
        <v>9081</v>
      </c>
      <c r="B180" s="43" t="s">
        <v>36</v>
      </c>
      <c r="C180" s="43" t="s">
        <v>314</v>
      </c>
      <c r="D180" s="43" t="s">
        <v>978</v>
      </c>
      <c r="E180" s="244" t="s">
        <v>940</v>
      </c>
      <c r="F180" s="43" t="s">
        <v>364</v>
      </c>
      <c r="G180" s="289">
        <v>99166343</v>
      </c>
      <c r="H180" s="44">
        <v>44343</v>
      </c>
      <c r="I180" s="43">
        <v>23643328</v>
      </c>
      <c r="J180" s="245" t="s">
        <v>1008</v>
      </c>
      <c r="K180" s="44">
        <v>44350</v>
      </c>
      <c r="L180" s="246" t="s">
        <v>1034</v>
      </c>
      <c r="M180" s="44"/>
      <c r="N180" s="43"/>
      <c r="O180" s="44">
        <v>44411</v>
      </c>
      <c r="P180" s="43" t="s">
        <v>31</v>
      </c>
      <c r="Q180" s="44">
        <v>44417</v>
      </c>
      <c r="R180" s="44">
        <v>44455</v>
      </c>
      <c r="S180" s="43"/>
      <c r="T180" s="43" t="s">
        <v>1009</v>
      </c>
      <c r="U180" s="44">
        <v>44350</v>
      </c>
      <c r="V180" s="43"/>
      <c r="W180" s="247" t="s">
        <v>1035</v>
      </c>
      <c r="X180" s="44">
        <v>44412</v>
      </c>
      <c r="Y180" s="43"/>
    </row>
    <row r="181" spans="1:25" s="201" customFormat="1" x14ac:dyDescent="0.25">
      <c r="A181" s="49">
        <v>9080</v>
      </c>
      <c r="B181" s="43" t="s">
        <v>36</v>
      </c>
      <c r="C181" s="43" t="s">
        <v>314</v>
      </c>
      <c r="D181" s="43" t="s">
        <v>1010</v>
      </c>
      <c r="E181" s="244" t="s">
        <v>940</v>
      </c>
      <c r="F181" s="43" t="s">
        <v>364</v>
      </c>
      <c r="G181" s="289">
        <v>99166333</v>
      </c>
      <c r="H181" s="44">
        <v>44343</v>
      </c>
      <c r="I181" s="43">
        <v>23643350</v>
      </c>
      <c r="J181" s="245" t="s">
        <v>1011</v>
      </c>
      <c r="K181" s="44">
        <v>44354</v>
      </c>
      <c r="L181" s="246" t="s">
        <v>1045</v>
      </c>
      <c r="M181" s="44"/>
      <c r="N181" s="43"/>
      <c r="O181" s="44">
        <v>44417</v>
      </c>
      <c r="P181" s="43" t="s">
        <v>31</v>
      </c>
      <c r="Q181" s="44">
        <v>44421</v>
      </c>
      <c r="R181" s="44">
        <v>44459</v>
      </c>
      <c r="S181" s="43"/>
      <c r="T181" s="43" t="s">
        <v>1012</v>
      </c>
      <c r="U181" s="44">
        <v>44354</v>
      </c>
      <c r="V181" s="43"/>
      <c r="W181" s="247" t="s">
        <v>1046</v>
      </c>
      <c r="X181" s="44">
        <v>44418</v>
      </c>
      <c r="Y181" s="43"/>
    </row>
    <row r="182" spans="1:25" s="201" customFormat="1" x14ac:dyDescent="0.25">
      <c r="A182" s="49"/>
      <c r="B182" s="43" t="s">
        <v>56</v>
      </c>
      <c r="C182" s="43" t="s">
        <v>57</v>
      </c>
      <c r="D182" s="43" t="s">
        <v>949</v>
      </c>
      <c r="E182" s="244" t="s">
        <v>950</v>
      </c>
      <c r="F182" s="43" t="s">
        <v>364</v>
      </c>
      <c r="G182" s="289">
        <v>210630</v>
      </c>
      <c r="H182" s="44">
        <v>44377</v>
      </c>
      <c r="I182" s="43"/>
      <c r="J182" s="245"/>
      <c r="K182" s="44"/>
      <c r="L182" s="246"/>
      <c r="M182" s="44"/>
      <c r="N182" s="43"/>
      <c r="O182" s="44"/>
      <c r="P182" s="43"/>
      <c r="Q182" s="44"/>
      <c r="R182" s="44"/>
      <c r="S182" s="44">
        <v>44377</v>
      </c>
      <c r="T182" s="43"/>
      <c r="U182" s="44"/>
      <c r="V182" s="43"/>
      <c r="W182" s="247"/>
      <c r="X182" s="44"/>
      <c r="Y182" s="43"/>
    </row>
    <row r="183" spans="1:25" s="201" customFormat="1" x14ac:dyDescent="0.25">
      <c r="A183" s="49"/>
      <c r="B183" s="43" t="s">
        <v>962</v>
      </c>
      <c r="C183" s="43" t="s">
        <v>48</v>
      </c>
      <c r="D183" s="43" t="s">
        <v>963</v>
      </c>
      <c r="E183" s="244" t="s">
        <v>964</v>
      </c>
      <c r="F183" s="43" t="s">
        <v>364</v>
      </c>
      <c r="G183" s="289">
        <v>144</v>
      </c>
      <c r="H183" s="44">
        <v>44379</v>
      </c>
      <c r="I183" s="43"/>
      <c r="J183" s="245"/>
      <c r="K183" s="44"/>
      <c r="L183" s="246"/>
      <c r="M183" s="44"/>
      <c r="N183" s="43"/>
      <c r="O183" s="44"/>
      <c r="P183" s="43"/>
      <c r="Q183" s="44"/>
      <c r="R183" s="44" t="s">
        <v>965</v>
      </c>
      <c r="S183" s="44">
        <v>44384</v>
      </c>
      <c r="T183" s="43"/>
      <c r="U183" s="44"/>
      <c r="V183" s="43"/>
      <c r="W183" s="247"/>
      <c r="X183" s="44"/>
      <c r="Y183" s="43"/>
    </row>
    <row r="184" spans="1:25" s="201" customFormat="1" x14ac:dyDescent="0.25">
      <c r="A184" s="49"/>
      <c r="B184" s="43" t="s">
        <v>507</v>
      </c>
      <c r="C184" s="43" t="s">
        <v>508</v>
      </c>
      <c r="D184" s="43" t="s">
        <v>871</v>
      </c>
      <c r="E184" s="244" t="s">
        <v>1000</v>
      </c>
      <c r="F184" s="43" t="s">
        <v>364</v>
      </c>
      <c r="G184" s="289"/>
      <c r="H184" s="44"/>
      <c r="I184" s="43" t="s">
        <v>1001</v>
      </c>
      <c r="J184" s="245" t="s">
        <v>1002</v>
      </c>
      <c r="K184" s="44">
        <v>44396</v>
      </c>
      <c r="L184" s="246"/>
      <c r="M184" s="44"/>
      <c r="N184" s="43"/>
      <c r="O184" s="44"/>
      <c r="P184" s="43" t="s">
        <v>31</v>
      </c>
      <c r="Q184" s="44"/>
      <c r="R184" s="44">
        <v>44426</v>
      </c>
      <c r="S184" s="43"/>
      <c r="V184" s="43"/>
      <c r="W184" s="247"/>
      <c r="X184" s="44"/>
      <c r="Y184" s="43"/>
    </row>
    <row r="185" spans="1:25" s="201" customFormat="1" x14ac:dyDescent="0.25">
      <c r="A185" s="49">
        <v>9190</v>
      </c>
      <c r="B185" s="43" t="s">
        <v>36</v>
      </c>
      <c r="C185" s="43" t="s">
        <v>314</v>
      </c>
      <c r="D185" s="43" t="s">
        <v>975</v>
      </c>
      <c r="E185" s="244" t="s">
        <v>976</v>
      </c>
      <c r="F185" s="43" t="s">
        <v>364</v>
      </c>
      <c r="G185" s="289">
        <v>99167001</v>
      </c>
      <c r="H185" s="44">
        <v>44377</v>
      </c>
      <c r="I185" s="43">
        <v>23643798</v>
      </c>
      <c r="J185" s="245" t="s">
        <v>998</v>
      </c>
      <c r="K185" s="44">
        <v>44388</v>
      </c>
      <c r="L185" s="246"/>
      <c r="M185" s="44"/>
      <c r="N185" s="43"/>
      <c r="O185" s="44"/>
      <c r="P185" s="43" t="s">
        <v>999</v>
      </c>
      <c r="Q185" s="44"/>
      <c r="R185" s="44">
        <v>44493</v>
      </c>
      <c r="S185" s="43"/>
      <c r="T185" s="43" t="s">
        <v>1021</v>
      </c>
      <c r="U185" s="44">
        <v>44388</v>
      </c>
      <c r="V185" s="43"/>
      <c r="W185" s="247"/>
      <c r="X185" s="44"/>
      <c r="Y185" s="43"/>
    </row>
    <row r="186" spans="1:25" s="201" customFormat="1" x14ac:dyDescent="0.25">
      <c r="A186" s="49">
        <v>9191</v>
      </c>
      <c r="B186" s="43" t="s">
        <v>36</v>
      </c>
      <c r="C186" s="43" t="s">
        <v>314</v>
      </c>
      <c r="D186" s="43" t="s">
        <v>978</v>
      </c>
      <c r="E186" s="244" t="s">
        <v>976</v>
      </c>
      <c r="F186" s="43" t="s">
        <v>364</v>
      </c>
      <c r="G186" s="200">
        <v>99167005</v>
      </c>
      <c r="H186" s="44">
        <v>44377</v>
      </c>
      <c r="I186" s="43">
        <v>23643942</v>
      </c>
      <c r="J186" s="245" t="s">
        <v>1016</v>
      </c>
      <c r="K186" s="44">
        <v>44396</v>
      </c>
      <c r="L186" s="246"/>
      <c r="M186" s="44"/>
      <c r="N186" s="43"/>
      <c r="O186" s="44"/>
      <c r="P186" s="43" t="s">
        <v>999</v>
      </c>
      <c r="Q186" s="44"/>
      <c r="R186" s="44" t="s">
        <v>977</v>
      </c>
      <c r="S186" s="43"/>
      <c r="T186" s="43" t="s">
        <v>1020</v>
      </c>
      <c r="U186" s="44">
        <v>44396</v>
      </c>
      <c r="V186" s="43"/>
      <c r="W186" s="247"/>
      <c r="X186" s="44"/>
      <c r="Y186" s="43"/>
    </row>
    <row r="187" spans="1:25" s="201" customFormat="1" x14ac:dyDescent="0.25">
      <c r="A187" s="49"/>
      <c r="B187" s="43" t="s">
        <v>986</v>
      </c>
      <c r="C187" s="43" t="s">
        <v>48</v>
      </c>
      <c r="D187" s="43" t="s">
        <v>987</v>
      </c>
      <c r="E187" s="244">
        <v>1</v>
      </c>
      <c r="F187" s="43" t="s">
        <v>988</v>
      </c>
      <c r="G187" s="200">
        <v>2490</v>
      </c>
      <c r="H187" s="44">
        <v>44389</v>
      </c>
      <c r="I187" s="43" t="s">
        <v>989</v>
      </c>
      <c r="J187" s="245" t="s">
        <v>990</v>
      </c>
      <c r="K187" s="44">
        <v>44392</v>
      </c>
      <c r="L187" s="246" t="s">
        <v>991</v>
      </c>
      <c r="M187" s="44"/>
      <c r="N187" s="43"/>
      <c r="O187" s="44">
        <v>44398</v>
      </c>
      <c r="P187" s="43" t="s">
        <v>54</v>
      </c>
      <c r="Q187" s="44">
        <v>44399</v>
      </c>
      <c r="R187" s="44" t="s">
        <v>287</v>
      </c>
      <c r="S187" s="44">
        <v>44390</v>
      </c>
      <c r="T187" s="43" t="s">
        <v>992</v>
      </c>
      <c r="U187" s="44">
        <v>44392</v>
      </c>
      <c r="V187" s="43"/>
      <c r="W187" s="247" t="s">
        <v>992</v>
      </c>
      <c r="X187" s="44">
        <v>44396</v>
      </c>
      <c r="Y187" s="43"/>
    </row>
    <row r="188" spans="1:25" s="201" customFormat="1" x14ac:dyDescent="0.25">
      <c r="A188" s="49"/>
      <c r="B188" s="43" t="s">
        <v>986</v>
      </c>
      <c r="C188" s="43" t="s">
        <v>987</v>
      </c>
      <c r="D188" s="43" t="s">
        <v>987</v>
      </c>
      <c r="E188" s="244">
        <v>1</v>
      </c>
      <c r="F188" s="43" t="s">
        <v>988</v>
      </c>
      <c r="G188" s="200">
        <v>2490</v>
      </c>
      <c r="H188" s="44" t="s">
        <v>993</v>
      </c>
      <c r="I188" s="43" t="s">
        <v>989</v>
      </c>
      <c r="J188" s="245" t="s">
        <v>994</v>
      </c>
      <c r="K188" s="44">
        <v>44392</v>
      </c>
      <c r="L188" s="246" t="s">
        <v>995</v>
      </c>
      <c r="M188" s="44"/>
      <c r="N188" s="43"/>
      <c r="O188" s="44">
        <v>44398</v>
      </c>
      <c r="P188" s="43" t="s">
        <v>54</v>
      </c>
      <c r="Q188" s="44">
        <v>44399</v>
      </c>
      <c r="R188" s="44" t="s">
        <v>287</v>
      </c>
      <c r="S188" s="44">
        <v>44390</v>
      </c>
      <c r="T188" s="43" t="s">
        <v>992</v>
      </c>
      <c r="U188" s="44">
        <v>44392</v>
      </c>
      <c r="V188" s="43"/>
      <c r="W188" s="247" t="s">
        <v>992</v>
      </c>
      <c r="X188" s="44">
        <v>44396</v>
      </c>
      <c r="Y188" s="43"/>
    </row>
    <row r="189" spans="1:25" s="201" customFormat="1" x14ac:dyDescent="0.25">
      <c r="A189" s="49"/>
      <c r="B189" s="43" t="s">
        <v>26</v>
      </c>
      <c r="C189" s="43" t="s">
        <v>314</v>
      </c>
      <c r="D189" s="43" t="s">
        <v>44</v>
      </c>
      <c r="E189" s="244" t="s">
        <v>1013</v>
      </c>
      <c r="F189" s="43" t="s">
        <v>364</v>
      </c>
      <c r="G189" s="200">
        <v>20029932</v>
      </c>
      <c r="H189" s="44">
        <v>44377</v>
      </c>
      <c r="I189" s="43"/>
      <c r="J189" s="245" t="s">
        <v>1014</v>
      </c>
      <c r="K189" s="44"/>
      <c r="L189" s="246"/>
      <c r="M189" s="44"/>
      <c r="N189" s="43"/>
      <c r="O189" s="44">
        <v>44428</v>
      </c>
      <c r="P189" s="43" t="s">
        <v>31</v>
      </c>
      <c r="Q189" s="44"/>
      <c r="R189" s="44" t="s">
        <v>1015</v>
      </c>
      <c r="S189" s="44"/>
      <c r="T189" s="43"/>
      <c r="U189" s="44"/>
      <c r="V189" s="43"/>
      <c r="W189" s="247"/>
      <c r="X189" s="44"/>
      <c r="Y189" s="43"/>
    </row>
    <row r="190" spans="1:25" s="201" customFormat="1" x14ac:dyDescent="0.25">
      <c r="A190" s="49"/>
      <c r="B190" s="43" t="s">
        <v>36</v>
      </c>
      <c r="C190" s="43" t="s">
        <v>314</v>
      </c>
      <c r="D190" s="43" t="s">
        <v>978</v>
      </c>
      <c r="E190" s="244" t="s">
        <v>1022</v>
      </c>
      <c r="F190" s="43" t="s">
        <v>364</v>
      </c>
      <c r="G190" s="200">
        <v>99167615</v>
      </c>
      <c r="H190" s="44">
        <v>44406</v>
      </c>
      <c r="I190" s="43"/>
      <c r="J190" s="245"/>
      <c r="K190" s="44"/>
      <c r="L190" s="246"/>
      <c r="M190" s="44"/>
      <c r="N190" s="43"/>
      <c r="O190" s="44"/>
      <c r="P190" s="43" t="s">
        <v>31</v>
      </c>
      <c r="Q190" s="44"/>
      <c r="R190" s="44" t="s">
        <v>977</v>
      </c>
      <c r="S190" s="44"/>
      <c r="T190" s="43"/>
      <c r="U190" s="44"/>
      <c r="V190" s="43"/>
      <c r="W190" s="247"/>
      <c r="X190" s="44"/>
      <c r="Y190" s="43"/>
    </row>
    <row r="191" spans="1:25" s="201" customFormat="1" x14ac:dyDescent="0.25">
      <c r="A191" s="49"/>
      <c r="B191" s="43" t="s">
        <v>36</v>
      </c>
      <c r="C191" s="43" t="s">
        <v>314</v>
      </c>
      <c r="D191" s="43" t="s">
        <v>975</v>
      </c>
      <c r="E191" s="244" t="s">
        <v>1022</v>
      </c>
      <c r="F191" s="43" t="s">
        <v>364</v>
      </c>
      <c r="G191" s="200">
        <v>99167616</v>
      </c>
      <c r="H191" s="44">
        <v>44406</v>
      </c>
      <c r="I191" s="43"/>
      <c r="J191" s="245"/>
      <c r="K191" s="44"/>
      <c r="L191" s="246"/>
      <c r="M191" s="44"/>
      <c r="N191" s="43"/>
      <c r="O191" s="44"/>
      <c r="P191" s="43" t="s">
        <v>31</v>
      </c>
      <c r="Q191" s="44"/>
      <c r="R191" s="44" t="s">
        <v>977</v>
      </c>
      <c r="S191" s="44"/>
      <c r="T191" s="43"/>
      <c r="U191" s="44"/>
      <c r="V191" s="43"/>
      <c r="W191" s="247"/>
      <c r="X191" s="44"/>
      <c r="Y191" s="43"/>
    </row>
    <row r="192" spans="1:25" s="201" customFormat="1" x14ac:dyDescent="0.25">
      <c r="A192" s="49">
        <v>9324</v>
      </c>
      <c r="B192" s="43" t="s">
        <v>88</v>
      </c>
      <c r="C192" s="43" t="s">
        <v>357</v>
      </c>
      <c r="D192" s="43" t="s">
        <v>882</v>
      </c>
      <c r="E192" s="244" t="s">
        <v>1025</v>
      </c>
      <c r="F192" s="43" t="s">
        <v>364</v>
      </c>
      <c r="G192" s="200" t="s">
        <v>1026</v>
      </c>
      <c r="H192" s="44">
        <v>44412</v>
      </c>
      <c r="I192" s="43"/>
      <c r="J192" s="245"/>
      <c r="K192" s="44"/>
      <c r="L192" s="246"/>
      <c r="M192" s="44"/>
      <c r="N192" s="43"/>
      <c r="O192" s="44"/>
      <c r="P192" s="43"/>
      <c r="Q192" s="44"/>
      <c r="R192" s="44">
        <v>44442</v>
      </c>
      <c r="S192" s="44"/>
      <c r="T192" s="43"/>
      <c r="U192" s="44"/>
      <c r="V192" s="43"/>
      <c r="W192" s="247"/>
      <c r="X192" s="44"/>
      <c r="Y192" s="43"/>
    </row>
    <row r="193" spans="1:25" s="201" customFormat="1" x14ac:dyDescent="0.25">
      <c r="A193" s="49">
        <v>9324</v>
      </c>
      <c r="B193" s="43" t="s">
        <v>88</v>
      </c>
      <c r="C193" s="43" t="s">
        <v>357</v>
      </c>
      <c r="D193" s="43" t="s">
        <v>1028</v>
      </c>
      <c r="E193" s="244" t="s">
        <v>1027</v>
      </c>
      <c r="F193" s="43" t="s">
        <v>364</v>
      </c>
      <c r="G193" s="200" t="s">
        <v>1026</v>
      </c>
      <c r="H193" s="44">
        <v>44412</v>
      </c>
      <c r="I193" s="43"/>
      <c r="J193" s="245"/>
      <c r="K193" s="44"/>
      <c r="L193" s="246"/>
      <c r="M193" s="44"/>
      <c r="N193" s="43"/>
      <c r="O193" s="44"/>
      <c r="P193" s="43"/>
      <c r="Q193" s="44"/>
      <c r="R193" s="44">
        <v>44442</v>
      </c>
      <c r="S193" s="44"/>
      <c r="T193" s="43"/>
      <c r="U193" s="44"/>
      <c r="V193" s="43"/>
      <c r="W193" s="247"/>
      <c r="X193" s="44"/>
      <c r="Y193" s="43"/>
    </row>
    <row r="194" spans="1:25" s="201" customFormat="1" x14ac:dyDescent="0.25">
      <c r="A194" s="49"/>
      <c r="B194" s="43"/>
      <c r="C194" s="43"/>
      <c r="D194" s="43"/>
      <c r="E194" s="244"/>
      <c r="F194" s="43"/>
      <c r="G194" s="200"/>
      <c r="H194" s="44"/>
      <c r="I194" s="43"/>
      <c r="J194" s="245"/>
      <c r="K194" s="44"/>
      <c r="L194" s="246"/>
      <c r="M194" s="44"/>
      <c r="N194" s="43"/>
      <c r="O194" s="44"/>
      <c r="P194" s="43"/>
      <c r="Q194" s="44"/>
      <c r="R194" s="44"/>
      <c r="S194" s="44"/>
      <c r="T194" s="43"/>
      <c r="U194" s="44"/>
      <c r="V194" s="43"/>
      <c r="W194" s="247"/>
      <c r="X194" s="44"/>
      <c r="Y194" s="43"/>
    </row>
    <row r="195" spans="1:25" s="201" customFormat="1" x14ac:dyDescent="0.25">
      <c r="A195" s="49"/>
      <c r="B195" s="43"/>
      <c r="C195" s="43"/>
      <c r="D195" s="43"/>
      <c r="E195" s="244"/>
      <c r="F195" s="43"/>
      <c r="G195" s="200"/>
      <c r="H195" s="44"/>
      <c r="I195" s="43"/>
      <c r="J195" s="245"/>
      <c r="K195" s="44"/>
      <c r="L195" s="246"/>
      <c r="M195" s="44"/>
      <c r="N195" s="43"/>
      <c r="O195" s="44"/>
      <c r="P195" s="43"/>
      <c r="Q195" s="44"/>
      <c r="R195" s="44"/>
      <c r="S195" s="44"/>
      <c r="T195" s="43"/>
      <c r="U195" s="44"/>
      <c r="V195" s="43"/>
      <c r="W195" s="247"/>
      <c r="X195" s="44"/>
      <c r="Y195" s="43"/>
    </row>
    <row r="196" spans="1:25" s="201" customFormat="1" x14ac:dyDescent="0.25">
      <c r="A196" s="49"/>
      <c r="B196" s="43"/>
      <c r="C196" s="43"/>
      <c r="D196" s="43"/>
      <c r="E196" s="244"/>
      <c r="F196" s="43"/>
      <c r="G196" s="200"/>
      <c r="H196" s="44"/>
      <c r="I196" s="43"/>
      <c r="J196" s="245"/>
      <c r="K196" s="44"/>
      <c r="L196" s="246"/>
      <c r="M196" s="44"/>
      <c r="N196" s="43"/>
      <c r="O196" s="44"/>
      <c r="P196" s="43"/>
      <c r="Q196" s="44"/>
      <c r="R196" s="44"/>
      <c r="S196" s="44"/>
      <c r="T196" s="43"/>
      <c r="U196" s="44"/>
      <c r="V196" s="43"/>
      <c r="W196" s="247"/>
      <c r="X196" s="44"/>
      <c r="Y196" s="43"/>
    </row>
    <row r="197" spans="1:25" s="201" customFormat="1" x14ac:dyDescent="0.25">
      <c r="A197" s="49"/>
      <c r="B197" s="43"/>
      <c r="C197" s="43"/>
      <c r="D197" s="43"/>
      <c r="E197" s="244"/>
      <c r="F197" s="43"/>
      <c r="G197" s="200"/>
      <c r="H197" s="44"/>
      <c r="I197" s="43"/>
      <c r="J197" s="245"/>
      <c r="K197" s="44"/>
      <c r="L197" s="246"/>
      <c r="M197" s="44"/>
      <c r="N197" s="43"/>
      <c r="O197" s="44"/>
      <c r="P197" s="43"/>
      <c r="Q197" s="44"/>
      <c r="R197" s="44"/>
      <c r="S197" s="44"/>
      <c r="T197" s="43"/>
      <c r="U197" s="44"/>
      <c r="V197" s="43"/>
      <c r="W197" s="247"/>
      <c r="X197" s="44"/>
      <c r="Y197" s="43"/>
    </row>
    <row r="198" spans="1:25" s="201" customFormat="1" x14ac:dyDescent="0.25">
      <c r="A198" s="49"/>
      <c r="B198" s="43"/>
      <c r="C198" s="43"/>
      <c r="D198" s="43"/>
      <c r="E198" s="244"/>
      <c r="F198" s="43"/>
      <c r="G198" s="200"/>
      <c r="H198" s="44"/>
      <c r="I198" s="43"/>
      <c r="J198" s="245"/>
      <c r="K198" s="44"/>
      <c r="L198" s="246"/>
      <c r="M198" s="44"/>
      <c r="N198" s="43"/>
      <c r="O198" s="44"/>
      <c r="P198" s="43"/>
      <c r="Q198" s="44"/>
      <c r="R198" s="44"/>
      <c r="S198" s="43"/>
      <c r="T198" s="43"/>
      <c r="U198" s="44"/>
      <c r="V198" s="43"/>
      <c r="W198" s="247"/>
      <c r="X198" s="44"/>
      <c r="Y198" s="43"/>
    </row>
    <row r="199" spans="1:25" s="201" customFormat="1" x14ac:dyDescent="0.25">
      <c r="A199" s="49"/>
      <c r="B199" s="43"/>
      <c r="C199" s="43"/>
      <c r="D199" s="43"/>
      <c r="E199" s="244"/>
      <c r="F199" s="43"/>
      <c r="G199" s="200"/>
      <c r="H199" s="44"/>
      <c r="I199" s="43"/>
      <c r="J199" s="245"/>
      <c r="K199" s="44"/>
      <c r="L199" s="246"/>
      <c r="M199" s="44"/>
      <c r="N199" s="43"/>
      <c r="O199" s="44"/>
      <c r="P199" s="43"/>
      <c r="Q199" s="44"/>
      <c r="R199" s="44"/>
      <c r="S199" s="43"/>
      <c r="T199" s="43"/>
      <c r="U199" s="44"/>
      <c r="V199" s="43"/>
      <c r="W199" s="247"/>
      <c r="X199" s="44"/>
      <c r="Y199" s="43"/>
    </row>
    <row r="200" spans="1:25" s="201" customFormat="1" x14ac:dyDescent="0.25">
      <c r="A200" s="49"/>
      <c r="B200" s="43"/>
      <c r="C200" s="43"/>
      <c r="D200" s="43"/>
      <c r="E200" s="244"/>
      <c r="F200" s="43"/>
      <c r="G200" s="200"/>
      <c r="H200" s="44"/>
      <c r="I200" s="43"/>
      <c r="J200" s="245"/>
      <c r="K200" s="44"/>
      <c r="L200" s="246"/>
      <c r="M200" s="44"/>
      <c r="N200" s="43"/>
      <c r="O200" s="44"/>
      <c r="P200" s="43"/>
      <c r="Q200" s="44"/>
      <c r="R200" s="43"/>
      <c r="S200" s="43"/>
      <c r="T200" s="43"/>
      <c r="U200" s="44"/>
      <c r="V200" s="43"/>
      <c r="W200" s="247"/>
      <c r="X200" s="44"/>
      <c r="Y200" s="43"/>
    </row>
    <row r="201" spans="1:25" s="201" customFormat="1" x14ac:dyDescent="0.25">
      <c r="A201" s="205"/>
      <c r="G201" s="214"/>
      <c r="H201" s="206"/>
      <c r="J201" s="228"/>
      <c r="K201" s="206"/>
      <c r="L201" s="229"/>
      <c r="M201" s="206"/>
      <c r="O201" s="206"/>
      <c r="Q201" s="206"/>
      <c r="U201" s="206"/>
      <c r="W201" s="230"/>
      <c r="X201" s="206"/>
    </row>
    <row r="202" spans="1:25" s="201" customFormat="1" x14ac:dyDescent="0.25">
      <c r="A202" s="205"/>
      <c r="G202" s="214"/>
      <c r="H202" s="206"/>
      <c r="J202" s="228"/>
      <c r="K202" s="206"/>
      <c r="L202" s="229"/>
      <c r="M202" s="206"/>
      <c r="O202" s="206"/>
      <c r="Q202" s="206"/>
      <c r="U202" s="206"/>
      <c r="W202" s="230"/>
      <c r="X202" s="206"/>
    </row>
    <row r="203" spans="1:25" s="201" customFormat="1" x14ac:dyDescent="0.25">
      <c r="A203" s="205"/>
      <c r="G203" s="214"/>
      <c r="H203" s="206"/>
      <c r="J203" s="228"/>
      <c r="K203" s="206"/>
      <c r="L203" s="229"/>
      <c r="M203" s="206"/>
      <c r="O203" s="206"/>
      <c r="Q203" s="206"/>
      <c r="U203" s="206"/>
      <c r="W203" s="230"/>
      <c r="X203" s="206"/>
    </row>
    <row r="204" spans="1:25" s="201" customFormat="1" x14ac:dyDescent="0.25">
      <c r="A204" s="205"/>
      <c r="B204" s="212"/>
      <c r="C204" s="213"/>
      <c r="G204" s="214"/>
      <c r="H204" s="206"/>
      <c r="Y204" s="202"/>
    </row>
    <row r="205" spans="1:25" x14ac:dyDescent="0.25">
      <c r="B205" s="299" t="s">
        <v>571</v>
      </c>
      <c r="C205" s="300"/>
    </row>
    <row r="206" spans="1:25" x14ac:dyDescent="0.25">
      <c r="B206" s="64" t="s">
        <v>572</v>
      </c>
      <c r="C206" s="65" t="s">
        <v>573</v>
      </c>
    </row>
    <row r="207" spans="1:25" x14ac:dyDescent="0.25">
      <c r="B207" s="66" t="s">
        <v>34</v>
      </c>
      <c r="C207" s="68" t="s">
        <v>574</v>
      </c>
    </row>
    <row r="208" spans="1:25" x14ac:dyDescent="0.25">
      <c r="B208" s="66" t="s">
        <v>342</v>
      </c>
      <c r="C208" s="69" t="s">
        <v>575</v>
      </c>
    </row>
    <row r="209" spans="2:3" ht="30" x14ac:dyDescent="0.25">
      <c r="B209" s="66" t="s">
        <v>481</v>
      </c>
      <c r="C209" s="70" t="s">
        <v>576</v>
      </c>
    </row>
    <row r="210" spans="2:3" x14ac:dyDescent="0.25">
      <c r="B210" s="66" t="s">
        <v>334</v>
      </c>
      <c r="C210" s="71" t="s">
        <v>577</v>
      </c>
    </row>
    <row r="211" spans="2:3" ht="15.75" thickBot="1" x14ac:dyDescent="0.3">
      <c r="B211" s="67" t="s">
        <v>505</v>
      </c>
      <c r="C211" s="72" t="s">
        <v>578</v>
      </c>
    </row>
  </sheetData>
  <autoFilter ref="A1:Y200" xr:uid="{00000000-0009-0000-0000-000000000000}"/>
  <sortState xmlns:xlrd2="http://schemas.microsoft.com/office/spreadsheetml/2017/richdata2" ref="A33:Y41">
    <sortCondition ref="O33:O41"/>
  </sortState>
  <mergeCells count="6">
    <mergeCell ref="Y117:Y121"/>
    <mergeCell ref="B205:C205"/>
    <mergeCell ref="W117:W121"/>
    <mergeCell ref="X117:X121"/>
    <mergeCell ref="Q117:Q121"/>
    <mergeCell ref="S117:S12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87"/>
  <sheetViews>
    <sheetView zoomScaleNormal="100" workbookViewId="0">
      <pane ySplit="1" topLeftCell="A158" activePane="bottomLeft" state="frozen"/>
      <selection pane="bottomLeft" activeCell="J167" sqref="J167"/>
    </sheetView>
  </sheetViews>
  <sheetFormatPr baseColWidth="10" defaultColWidth="11.42578125" defaultRowHeight="15" x14ac:dyDescent="0.25"/>
  <cols>
    <col min="1" max="1" width="14" style="19" customWidth="1"/>
    <col min="2" max="2" width="17.5703125" style="30" customWidth="1"/>
    <col min="3" max="3" width="48.85546875" style="2" bestFit="1" customWidth="1"/>
    <col min="4" max="4" width="12.140625" style="11" hidden="1" customWidth="1"/>
    <col min="5" max="5" width="22.85546875" style="26" hidden="1" customWidth="1"/>
    <col min="6" max="6" width="18.140625" style="26" hidden="1" customWidth="1"/>
    <col min="7" max="7" width="17" style="26" hidden="1" customWidth="1"/>
    <col min="8" max="8" width="20" style="14" customWidth="1"/>
    <col min="9" max="9" width="14.7109375" style="11" customWidth="1"/>
    <col min="10" max="10" width="20.42578125" style="17" bestFit="1" customWidth="1"/>
    <col min="11" max="11" width="17" style="11" bestFit="1" customWidth="1"/>
    <col min="12" max="12" width="16.7109375" style="14" customWidth="1"/>
    <col min="13" max="13" width="17.28515625" style="11" customWidth="1"/>
    <col min="14" max="14" width="21.28515625" style="2" hidden="1" customWidth="1"/>
    <col min="15" max="16384" width="11.42578125" style="2"/>
  </cols>
  <sheetData>
    <row r="1" spans="1:16" x14ac:dyDescent="0.25">
      <c r="A1" s="129" t="s">
        <v>8</v>
      </c>
      <c r="B1" s="130" t="s">
        <v>10</v>
      </c>
      <c r="C1" s="131" t="s">
        <v>579</v>
      </c>
      <c r="D1" s="132" t="s">
        <v>580</v>
      </c>
      <c r="E1" s="133" t="s">
        <v>581</v>
      </c>
      <c r="F1" s="133" t="s">
        <v>582</v>
      </c>
      <c r="G1" s="133" t="s">
        <v>583</v>
      </c>
      <c r="H1" s="134" t="s">
        <v>584</v>
      </c>
      <c r="I1" s="132" t="s">
        <v>585</v>
      </c>
      <c r="J1" s="135" t="s">
        <v>586</v>
      </c>
      <c r="K1" s="132" t="s">
        <v>587</v>
      </c>
      <c r="L1" s="134" t="s">
        <v>588</v>
      </c>
      <c r="M1" s="136" t="s">
        <v>589</v>
      </c>
      <c r="N1" s="137" t="s">
        <v>590</v>
      </c>
    </row>
    <row r="2" spans="1:16" ht="30" x14ac:dyDescent="0.25">
      <c r="A2" s="96">
        <v>45674</v>
      </c>
      <c r="B2" s="97">
        <v>43201</v>
      </c>
      <c r="C2" s="91" t="s">
        <v>591</v>
      </c>
      <c r="D2" s="98">
        <f>+B2+30</f>
        <v>43231</v>
      </c>
      <c r="E2" s="99">
        <v>2078.3000000000002</v>
      </c>
      <c r="F2" s="99"/>
      <c r="G2" s="99">
        <f>E2+F2</f>
        <v>2078.3000000000002</v>
      </c>
      <c r="H2" s="100" t="s">
        <v>592</v>
      </c>
      <c r="I2" s="101"/>
      <c r="J2" s="102"/>
      <c r="K2" s="101"/>
      <c r="L2" s="100" t="s">
        <v>593</v>
      </c>
      <c r="M2" s="103">
        <v>43634</v>
      </c>
      <c r="N2" s="104"/>
    </row>
    <row r="3" spans="1:16" x14ac:dyDescent="0.25">
      <c r="A3" s="105">
        <v>43266</v>
      </c>
      <c r="B3" s="97">
        <v>43210</v>
      </c>
      <c r="C3" s="91" t="s">
        <v>594</v>
      </c>
      <c r="D3" s="101">
        <v>43255</v>
      </c>
      <c r="E3" s="99">
        <v>38142.76</v>
      </c>
      <c r="F3" s="106">
        <v>1465</v>
      </c>
      <c r="G3" s="106">
        <v>36677.75</v>
      </c>
      <c r="H3" s="100"/>
      <c r="I3" s="101"/>
      <c r="J3" s="107"/>
      <c r="K3" s="101"/>
      <c r="L3" s="100" t="s">
        <v>595</v>
      </c>
      <c r="M3" s="103">
        <v>43717</v>
      </c>
      <c r="N3" s="108">
        <v>10000</v>
      </c>
    </row>
    <row r="4" spans="1:16" x14ac:dyDescent="0.25">
      <c r="A4" s="105">
        <v>43266</v>
      </c>
      <c r="B4" s="97">
        <v>43210</v>
      </c>
      <c r="C4" s="91" t="s">
        <v>594</v>
      </c>
      <c r="D4" s="101">
        <v>43255</v>
      </c>
      <c r="E4" s="99"/>
      <c r="F4" s="106"/>
      <c r="G4" s="106"/>
      <c r="H4" s="100"/>
      <c r="I4" s="101"/>
      <c r="J4" s="102"/>
      <c r="K4" s="101"/>
      <c r="L4" s="100" t="s">
        <v>595</v>
      </c>
      <c r="M4" s="103">
        <v>43760</v>
      </c>
      <c r="N4" s="108">
        <v>8000</v>
      </c>
    </row>
    <row r="5" spans="1:16" x14ac:dyDescent="0.25">
      <c r="A5" s="105">
        <v>43266</v>
      </c>
      <c r="B5" s="97">
        <v>43210</v>
      </c>
      <c r="C5" s="91" t="s">
        <v>594</v>
      </c>
      <c r="D5" s="101">
        <v>43255</v>
      </c>
      <c r="E5" s="99"/>
      <c r="F5" s="106"/>
      <c r="G5" s="106"/>
      <c r="H5" s="100"/>
      <c r="I5" s="101"/>
      <c r="J5" s="102"/>
      <c r="K5" s="101"/>
      <c r="L5" s="100" t="s">
        <v>595</v>
      </c>
      <c r="M5" s="103">
        <v>43873</v>
      </c>
      <c r="N5" s="108">
        <v>10000</v>
      </c>
    </row>
    <row r="6" spans="1:16" x14ac:dyDescent="0.25">
      <c r="A6" s="105">
        <v>43266</v>
      </c>
      <c r="B6" s="97">
        <v>43210</v>
      </c>
      <c r="C6" s="91" t="s">
        <v>594</v>
      </c>
      <c r="D6" s="101">
        <v>43255</v>
      </c>
      <c r="E6" s="99"/>
      <c r="F6" s="106"/>
      <c r="G6" s="106"/>
      <c r="H6" s="100"/>
      <c r="I6" s="101"/>
      <c r="J6" s="102"/>
      <c r="K6" s="101"/>
      <c r="L6" s="100" t="s">
        <v>595</v>
      </c>
      <c r="M6" s="103">
        <v>43929</v>
      </c>
      <c r="N6" s="108">
        <v>7000</v>
      </c>
    </row>
    <row r="7" spans="1:16" x14ac:dyDescent="0.25">
      <c r="A7" s="105">
        <v>43266</v>
      </c>
      <c r="B7" s="97">
        <v>43210</v>
      </c>
      <c r="C7" s="91" t="s">
        <v>594</v>
      </c>
      <c r="D7" s="101">
        <v>43255</v>
      </c>
      <c r="E7" s="99"/>
      <c r="F7" s="106"/>
      <c r="G7" s="106"/>
      <c r="H7" s="100"/>
      <c r="I7" s="101"/>
      <c r="J7" s="102"/>
      <c r="K7" s="101"/>
      <c r="L7" s="100" t="s">
        <v>593</v>
      </c>
      <c r="M7" s="103">
        <v>43936</v>
      </c>
      <c r="N7" s="108">
        <v>3143</v>
      </c>
    </row>
    <row r="8" spans="1:16" x14ac:dyDescent="0.25">
      <c r="A8" s="96" t="s">
        <v>596</v>
      </c>
      <c r="B8" s="97">
        <v>43472</v>
      </c>
      <c r="C8" s="101" t="s">
        <v>597</v>
      </c>
      <c r="D8" s="101">
        <v>43837</v>
      </c>
      <c r="E8" s="99">
        <v>3554.15</v>
      </c>
      <c r="F8" s="106">
        <f>800+200+80</f>
        <v>1080</v>
      </c>
      <c r="G8" s="106">
        <v>2474.15</v>
      </c>
      <c r="H8" s="100"/>
      <c r="I8" s="101">
        <v>43837</v>
      </c>
      <c r="J8" s="107">
        <v>6007656169069</v>
      </c>
      <c r="K8" s="101">
        <v>43843</v>
      </c>
      <c r="L8" s="100" t="s">
        <v>593</v>
      </c>
      <c r="M8" s="103">
        <v>43950</v>
      </c>
      <c r="N8" s="109"/>
    </row>
    <row r="9" spans="1:16" x14ac:dyDescent="0.25">
      <c r="A9" s="96">
        <v>45810</v>
      </c>
      <c r="B9" s="97">
        <v>43479</v>
      </c>
      <c r="C9" s="91" t="s">
        <v>591</v>
      </c>
      <c r="D9" s="98">
        <f>+B9+30</f>
        <v>43509</v>
      </c>
      <c r="E9" s="99">
        <v>3322.38</v>
      </c>
      <c r="F9" s="99"/>
      <c r="G9" s="99">
        <f t="shared" ref="G9:G14" si="0">E9+F9</f>
        <v>3322.38</v>
      </c>
      <c r="H9" s="100" t="s">
        <v>598</v>
      </c>
      <c r="I9" s="101">
        <v>43480</v>
      </c>
      <c r="J9" s="110" t="s">
        <v>599</v>
      </c>
      <c r="K9" s="111">
        <v>43483</v>
      </c>
      <c r="L9" s="100" t="s">
        <v>593</v>
      </c>
      <c r="M9" s="103">
        <v>43516</v>
      </c>
      <c r="N9" s="109"/>
    </row>
    <row r="10" spans="1:16" ht="30" x14ac:dyDescent="0.25">
      <c r="A10" s="96">
        <v>45854</v>
      </c>
      <c r="B10" s="97">
        <v>43483</v>
      </c>
      <c r="C10" s="122" t="s">
        <v>600</v>
      </c>
      <c r="D10" s="98">
        <f>+B10+15</f>
        <v>43498</v>
      </c>
      <c r="E10" s="99">
        <v>21397.5</v>
      </c>
      <c r="F10" s="99">
        <f>350+400+790+120</f>
        <v>1660</v>
      </c>
      <c r="G10" s="99">
        <f t="shared" si="0"/>
        <v>23057.5</v>
      </c>
      <c r="H10" s="100" t="s">
        <v>601</v>
      </c>
      <c r="I10" s="101">
        <v>43495</v>
      </c>
      <c r="J10" s="107">
        <v>6007640233157</v>
      </c>
      <c r="K10" s="111">
        <v>43497</v>
      </c>
      <c r="L10" s="100" t="s">
        <v>593</v>
      </c>
      <c r="M10" s="103" t="s">
        <v>602</v>
      </c>
      <c r="N10" s="109"/>
      <c r="P10" s="3"/>
    </row>
    <row r="11" spans="1:16" x14ac:dyDescent="0.25">
      <c r="A11" s="96">
        <v>45870</v>
      </c>
      <c r="B11" s="97">
        <v>43486</v>
      </c>
      <c r="C11" s="91" t="s">
        <v>594</v>
      </c>
      <c r="D11" s="98">
        <f>+B11+45</f>
        <v>43531</v>
      </c>
      <c r="E11" s="99">
        <v>5000</v>
      </c>
      <c r="F11" s="99">
        <v>1080</v>
      </c>
      <c r="G11" s="99">
        <f t="shared" si="0"/>
        <v>6080</v>
      </c>
      <c r="H11" s="100" t="s">
        <v>603</v>
      </c>
      <c r="I11" s="101">
        <v>43495</v>
      </c>
      <c r="J11" s="110" t="s">
        <v>604</v>
      </c>
      <c r="K11" s="111">
        <v>43500</v>
      </c>
      <c r="L11" s="100" t="s">
        <v>593</v>
      </c>
      <c r="M11" s="103">
        <v>43579</v>
      </c>
      <c r="N11" s="109"/>
    </row>
    <row r="12" spans="1:16" x14ac:dyDescent="0.25">
      <c r="A12" s="96">
        <v>45913</v>
      </c>
      <c r="B12" s="97">
        <v>43490</v>
      </c>
      <c r="C12" s="91" t="s">
        <v>605</v>
      </c>
      <c r="D12" s="98">
        <f>+B12+15</f>
        <v>43505</v>
      </c>
      <c r="E12" s="99">
        <v>19427.18</v>
      </c>
      <c r="F12" s="99">
        <f>450+700+100</f>
        <v>1250</v>
      </c>
      <c r="G12" s="99">
        <f t="shared" si="0"/>
        <v>20677.18</v>
      </c>
      <c r="H12" s="100" t="s">
        <v>606</v>
      </c>
      <c r="I12" s="101">
        <v>43505</v>
      </c>
      <c r="J12" s="107">
        <v>6007640759854</v>
      </c>
      <c r="K12" s="111">
        <v>43507</v>
      </c>
      <c r="L12" s="100" t="s">
        <v>593</v>
      </c>
      <c r="M12" s="103">
        <v>43543</v>
      </c>
      <c r="N12" s="109"/>
    </row>
    <row r="13" spans="1:16" x14ac:dyDescent="0.25">
      <c r="A13" s="96">
        <v>46028</v>
      </c>
      <c r="B13" s="97">
        <v>43502</v>
      </c>
      <c r="C13" s="91" t="s">
        <v>607</v>
      </c>
      <c r="D13" s="98">
        <f>+B13+30</f>
        <v>43532</v>
      </c>
      <c r="E13" s="99">
        <v>1999.5</v>
      </c>
      <c r="F13" s="99"/>
      <c r="G13" s="99">
        <f t="shared" si="0"/>
        <v>1999.5</v>
      </c>
      <c r="H13" s="100" t="s">
        <v>608</v>
      </c>
      <c r="I13" s="101">
        <v>43504</v>
      </c>
      <c r="J13" s="110" t="s">
        <v>609</v>
      </c>
      <c r="K13" s="111">
        <v>43508</v>
      </c>
      <c r="L13" s="100" t="s">
        <v>593</v>
      </c>
      <c r="M13" s="103">
        <v>43523</v>
      </c>
      <c r="N13" s="109"/>
    </row>
    <row r="14" spans="1:16" x14ac:dyDescent="0.25">
      <c r="A14" s="96">
        <v>46143</v>
      </c>
      <c r="B14" s="112">
        <v>43516</v>
      </c>
      <c r="C14" s="113" t="s">
        <v>610</v>
      </c>
      <c r="D14" s="114">
        <f>+B14+60</f>
        <v>43576</v>
      </c>
      <c r="E14" s="99">
        <v>85302.25</v>
      </c>
      <c r="F14" s="99"/>
      <c r="G14" s="99">
        <f t="shared" si="0"/>
        <v>85302.25</v>
      </c>
      <c r="H14" s="100" t="s">
        <v>611</v>
      </c>
      <c r="I14" s="101">
        <v>43536</v>
      </c>
      <c r="J14" s="110" t="s">
        <v>612</v>
      </c>
      <c r="K14" s="111">
        <v>43538</v>
      </c>
      <c r="L14" s="100" t="s">
        <v>593</v>
      </c>
      <c r="M14" s="103">
        <v>43634</v>
      </c>
      <c r="N14" s="109"/>
    </row>
    <row r="15" spans="1:16" x14ac:dyDescent="0.25">
      <c r="A15" s="96">
        <v>46163</v>
      </c>
      <c r="B15" s="112">
        <v>43518</v>
      </c>
      <c r="C15" s="113" t="s">
        <v>591</v>
      </c>
      <c r="D15" s="114">
        <f>+B15+30</f>
        <v>43548</v>
      </c>
      <c r="E15" s="99">
        <v>37062.94</v>
      </c>
      <c r="F15" s="99">
        <f>800+650+247.28</f>
        <v>1697.28</v>
      </c>
      <c r="G15" s="99">
        <f>+E15+F15</f>
        <v>38760.22</v>
      </c>
      <c r="H15" s="100" t="s">
        <v>613</v>
      </c>
      <c r="I15" s="101">
        <v>43527</v>
      </c>
      <c r="J15" s="110" t="s">
        <v>614</v>
      </c>
      <c r="K15" s="111">
        <v>43532</v>
      </c>
      <c r="L15" s="100" t="s">
        <v>593</v>
      </c>
      <c r="M15" s="103">
        <v>43564</v>
      </c>
      <c r="N15" s="109" t="s">
        <v>34</v>
      </c>
    </row>
    <row r="16" spans="1:16" x14ac:dyDescent="0.25">
      <c r="A16" s="96">
        <v>46176</v>
      </c>
      <c r="B16" s="112">
        <v>43522</v>
      </c>
      <c r="C16" s="101" t="s">
        <v>597</v>
      </c>
      <c r="D16" s="114">
        <f>+B16+30</f>
        <v>43552</v>
      </c>
      <c r="E16" s="99">
        <v>1328</v>
      </c>
      <c r="F16" s="99">
        <f>420+80</f>
        <v>500</v>
      </c>
      <c r="G16" s="99">
        <f t="shared" ref="G16:G57" si="1">E16+F16</f>
        <v>1828</v>
      </c>
      <c r="H16" s="100" t="s">
        <v>615</v>
      </c>
      <c r="I16" s="101">
        <v>43523</v>
      </c>
      <c r="J16" s="110" t="s">
        <v>616</v>
      </c>
      <c r="K16" s="111">
        <v>43532</v>
      </c>
      <c r="L16" s="100" t="s">
        <v>593</v>
      </c>
      <c r="M16" s="103">
        <v>43578</v>
      </c>
      <c r="N16" s="109"/>
    </row>
    <row r="17" spans="1:44" x14ac:dyDescent="0.25">
      <c r="A17" s="96">
        <v>46344</v>
      </c>
      <c r="B17" s="112">
        <v>43539</v>
      </c>
      <c r="C17" s="113" t="s">
        <v>617</v>
      </c>
      <c r="D17" s="114">
        <f>+B17</f>
        <v>43539</v>
      </c>
      <c r="E17" s="99">
        <v>780</v>
      </c>
      <c r="F17" s="99"/>
      <c r="G17" s="99">
        <f t="shared" si="1"/>
        <v>780</v>
      </c>
      <c r="H17" s="115" t="s">
        <v>618</v>
      </c>
      <c r="I17" s="101">
        <v>43542</v>
      </c>
      <c r="J17" s="116" t="s">
        <v>618</v>
      </c>
      <c r="K17" s="101">
        <v>43542</v>
      </c>
      <c r="L17" s="100" t="s">
        <v>593</v>
      </c>
      <c r="M17" s="103">
        <v>43523</v>
      </c>
      <c r="N17" s="109" t="s">
        <v>619</v>
      </c>
    </row>
    <row r="18" spans="1:44" x14ac:dyDescent="0.25">
      <c r="A18" s="96">
        <v>46633</v>
      </c>
      <c r="B18" s="112">
        <v>43543</v>
      </c>
      <c r="C18" s="101" t="s">
        <v>597</v>
      </c>
      <c r="D18" s="114">
        <f>+B18+30</f>
        <v>43573</v>
      </c>
      <c r="E18" s="99">
        <v>66420.67</v>
      </c>
      <c r="F18" s="99">
        <f>650+332.1</f>
        <v>982.1</v>
      </c>
      <c r="G18" s="99">
        <f t="shared" si="1"/>
        <v>67402.77</v>
      </c>
      <c r="H18" s="100" t="s">
        <v>620</v>
      </c>
      <c r="I18" s="101">
        <v>43553</v>
      </c>
      <c r="J18" s="110" t="s">
        <v>621</v>
      </c>
      <c r="K18" s="111">
        <v>43556</v>
      </c>
      <c r="L18" s="100" t="s">
        <v>593</v>
      </c>
      <c r="M18" s="103">
        <v>43633</v>
      </c>
      <c r="N18" s="109"/>
    </row>
    <row r="19" spans="1:44" x14ac:dyDescent="0.25">
      <c r="A19" s="96">
        <v>46484</v>
      </c>
      <c r="B19" s="97">
        <v>43556</v>
      </c>
      <c r="C19" s="91" t="s">
        <v>594</v>
      </c>
      <c r="D19" s="98">
        <f>+B19+45</f>
        <v>43601</v>
      </c>
      <c r="E19" s="99">
        <v>26521.599999999999</v>
      </c>
      <c r="F19" s="99">
        <f>1320+120</f>
        <v>1440</v>
      </c>
      <c r="G19" s="99">
        <f t="shared" si="1"/>
        <v>27961.599999999999</v>
      </c>
      <c r="H19" s="100" t="s">
        <v>622</v>
      </c>
      <c r="I19" s="101">
        <v>43565</v>
      </c>
      <c r="J19" s="107">
        <v>6007643611239</v>
      </c>
      <c r="K19" s="111">
        <v>43570</v>
      </c>
      <c r="L19" s="100" t="s">
        <v>595</v>
      </c>
      <c r="M19" s="103">
        <v>44180</v>
      </c>
      <c r="N19" s="109" t="s">
        <v>623</v>
      </c>
    </row>
    <row r="20" spans="1:44" s="4" customFormat="1" x14ac:dyDescent="0.25">
      <c r="A20" s="96">
        <v>46557</v>
      </c>
      <c r="B20" s="97">
        <v>43564</v>
      </c>
      <c r="C20" s="91" t="s">
        <v>624</v>
      </c>
      <c r="D20" s="98">
        <f>+B20+30</f>
        <v>43594</v>
      </c>
      <c r="E20" s="99">
        <v>10167</v>
      </c>
      <c r="F20" s="99"/>
      <c r="G20" s="99">
        <f t="shared" si="1"/>
        <v>10167</v>
      </c>
      <c r="H20" s="100">
        <v>72968915571</v>
      </c>
      <c r="I20" s="101">
        <v>43567</v>
      </c>
      <c r="J20" s="107">
        <v>6007643722194</v>
      </c>
      <c r="K20" s="111">
        <v>43570</v>
      </c>
      <c r="L20" s="100" t="s">
        <v>593</v>
      </c>
      <c r="M20" s="103">
        <v>43599</v>
      </c>
      <c r="N20" s="109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s="4" customFormat="1" x14ac:dyDescent="0.25">
      <c r="A21" s="96">
        <v>46563</v>
      </c>
      <c r="B21" s="97">
        <v>43564</v>
      </c>
      <c r="C21" s="91" t="s">
        <v>624</v>
      </c>
      <c r="D21" s="98">
        <f>+B21+30</f>
        <v>43594</v>
      </c>
      <c r="E21" s="99">
        <v>1415</v>
      </c>
      <c r="F21" s="99"/>
      <c r="G21" s="99">
        <f t="shared" si="1"/>
        <v>1415</v>
      </c>
      <c r="H21" s="100">
        <v>72968915571</v>
      </c>
      <c r="I21" s="101">
        <v>43567</v>
      </c>
      <c r="J21" s="107">
        <v>6007643722194</v>
      </c>
      <c r="K21" s="111">
        <v>43570</v>
      </c>
      <c r="L21" s="100" t="s">
        <v>593</v>
      </c>
      <c r="M21" s="103">
        <v>43599</v>
      </c>
      <c r="N21" s="10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s="4" customFormat="1" x14ac:dyDescent="0.25">
      <c r="A22" s="96">
        <v>46564</v>
      </c>
      <c r="B22" s="97">
        <v>43564</v>
      </c>
      <c r="C22" s="91" t="s">
        <v>625</v>
      </c>
      <c r="D22" s="98">
        <f>+B22+30</f>
        <v>43594</v>
      </c>
      <c r="E22" s="99">
        <v>6003</v>
      </c>
      <c r="F22" s="99"/>
      <c r="G22" s="99">
        <f t="shared" si="1"/>
        <v>6003</v>
      </c>
      <c r="H22" s="100">
        <v>23099243163</v>
      </c>
      <c r="I22" s="101">
        <v>43567</v>
      </c>
      <c r="J22" s="107">
        <v>6007643774717</v>
      </c>
      <c r="K22" s="111">
        <v>43571</v>
      </c>
      <c r="L22" s="100" t="s">
        <v>593</v>
      </c>
      <c r="M22" s="103">
        <v>43599</v>
      </c>
      <c r="N22" s="10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25">
      <c r="A23" s="96">
        <v>46565</v>
      </c>
      <c r="B23" s="97">
        <v>43564</v>
      </c>
      <c r="C23" s="91" t="s">
        <v>625</v>
      </c>
      <c r="D23" s="98">
        <f>+B23+30</f>
        <v>43594</v>
      </c>
      <c r="E23" s="99">
        <v>715</v>
      </c>
      <c r="F23" s="99"/>
      <c r="G23" s="99">
        <f t="shared" si="1"/>
        <v>715</v>
      </c>
      <c r="H23" s="100">
        <v>23099243163</v>
      </c>
      <c r="I23" s="101">
        <v>43567</v>
      </c>
      <c r="J23" s="107">
        <v>6007643774717</v>
      </c>
      <c r="K23" s="111">
        <v>43571</v>
      </c>
      <c r="L23" s="100" t="s">
        <v>593</v>
      </c>
      <c r="M23" s="103">
        <v>43599</v>
      </c>
      <c r="N23" s="109"/>
    </row>
    <row r="24" spans="1:44" x14ac:dyDescent="0.25">
      <c r="A24" s="96">
        <v>46733</v>
      </c>
      <c r="B24" s="97">
        <v>43587</v>
      </c>
      <c r="C24" s="91" t="s">
        <v>626</v>
      </c>
      <c r="D24" s="98">
        <f>+B24+75</f>
        <v>43662</v>
      </c>
      <c r="E24" s="99">
        <v>5517.9</v>
      </c>
      <c r="F24" s="99">
        <f>285+1100+80</f>
        <v>1465</v>
      </c>
      <c r="G24" s="99">
        <f t="shared" si="1"/>
        <v>6982.9</v>
      </c>
      <c r="H24" s="100">
        <v>23099243222</v>
      </c>
      <c r="I24" s="101">
        <v>43588</v>
      </c>
      <c r="J24" s="107">
        <v>6007644781304</v>
      </c>
      <c r="K24" s="111">
        <v>43591</v>
      </c>
      <c r="L24" s="100" t="s">
        <v>593</v>
      </c>
      <c r="M24" s="103">
        <v>43634</v>
      </c>
      <c r="N24" s="109"/>
    </row>
    <row r="25" spans="1:44" x14ac:dyDescent="0.25">
      <c r="A25" s="96">
        <v>46775</v>
      </c>
      <c r="B25" s="97">
        <v>43592</v>
      </c>
      <c r="C25" s="91" t="s">
        <v>627</v>
      </c>
      <c r="D25" s="98">
        <f>+B25+30</f>
        <v>43622</v>
      </c>
      <c r="E25" s="99">
        <v>7244.88</v>
      </c>
      <c r="F25" s="99"/>
      <c r="G25" s="99">
        <f t="shared" si="1"/>
        <v>7244.88</v>
      </c>
      <c r="H25" s="100" t="s">
        <v>628</v>
      </c>
      <c r="I25" s="101">
        <v>43599</v>
      </c>
      <c r="J25" s="107">
        <v>6007645272034</v>
      </c>
      <c r="K25" s="111">
        <v>43608</v>
      </c>
      <c r="L25" s="100" t="s">
        <v>593</v>
      </c>
      <c r="M25" s="103">
        <v>43726</v>
      </c>
      <c r="N25" s="109">
        <v>7234.88</v>
      </c>
    </row>
    <row r="26" spans="1:44" x14ac:dyDescent="0.25">
      <c r="A26" s="96">
        <v>46776</v>
      </c>
      <c r="B26" s="97">
        <v>43592</v>
      </c>
      <c r="C26" s="91" t="s">
        <v>629</v>
      </c>
      <c r="D26" s="98">
        <f>+B26+30</f>
        <v>43622</v>
      </c>
      <c r="E26" s="99">
        <v>4360.4799999999996</v>
      </c>
      <c r="F26" s="99">
        <f>295+420+80</f>
        <v>795</v>
      </c>
      <c r="G26" s="99">
        <f t="shared" si="1"/>
        <v>5155.4799999999996</v>
      </c>
      <c r="H26" s="100">
        <v>23099243233</v>
      </c>
      <c r="I26" s="101">
        <v>43593</v>
      </c>
      <c r="J26" s="107">
        <v>6007645007077</v>
      </c>
      <c r="K26" s="111">
        <v>43598</v>
      </c>
      <c r="L26" s="100" t="s">
        <v>593</v>
      </c>
      <c r="M26" s="103">
        <v>43642</v>
      </c>
      <c r="N26" s="109"/>
    </row>
    <row r="27" spans="1:44" x14ac:dyDescent="0.25">
      <c r="A27" s="96">
        <v>46760</v>
      </c>
      <c r="B27" s="97">
        <v>43593</v>
      </c>
      <c r="C27" s="91" t="s">
        <v>607</v>
      </c>
      <c r="D27" s="98">
        <f>+B27+30</f>
        <v>43623</v>
      </c>
      <c r="E27" s="99">
        <v>1410</v>
      </c>
      <c r="F27" s="99"/>
      <c r="G27" s="99">
        <f t="shared" si="1"/>
        <v>1410</v>
      </c>
      <c r="H27" s="100">
        <v>23099243244</v>
      </c>
      <c r="I27" s="101">
        <v>43593</v>
      </c>
      <c r="J27" s="107">
        <v>6007645017791</v>
      </c>
      <c r="K27" s="111">
        <v>43598</v>
      </c>
      <c r="L27" s="100" t="s">
        <v>593</v>
      </c>
      <c r="M27" s="103">
        <v>43642</v>
      </c>
      <c r="N27" s="109"/>
    </row>
    <row r="28" spans="1:44" x14ac:dyDescent="0.25">
      <c r="A28" s="96">
        <v>46803</v>
      </c>
      <c r="B28" s="97">
        <v>43594</v>
      </c>
      <c r="C28" s="91" t="s">
        <v>610</v>
      </c>
      <c r="D28" s="98">
        <f>+B28+30</f>
        <v>43624</v>
      </c>
      <c r="E28" s="99">
        <v>88263.1</v>
      </c>
      <c r="F28" s="99"/>
      <c r="G28" s="99">
        <f t="shared" si="1"/>
        <v>88263.1</v>
      </c>
      <c r="H28" s="100" t="s">
        <v>630</v>
      </c>
      <c r="I28" s="101">
        <v>43613</v>
      </c>
      <c r="J28" s="110" t="s">
        <v>631</v>
      </c>
      <c r="K28" s="111">
        <v>43615</v>
      </c>
      <c r="L28" s="100"/>
      <c r="M28" s="103"/>
      <c r="N28" s="109"/>
    </row>
    <row r="29" spans="1:44" x14ac:dyDescent="0.25">
      <c r="A29" s="96">
        <v>46832</v>
      </c>
      <c r="B29" s="97">
        <v>43599</v>
      </c>
      <c r="C29" s="91" t="s">
        <v>632</v>
      </c>
      <c r="D29" s="98">
        <f>+B28+60</f>
        <v>43654</v>
      </c>
      <c r="E29" s="99">
        <v>2561</v>
      </c>
      <c r="F29" s="99">
        <f>795+80</f>
        <v>875</v>
      </c>
      <c r="G29" s="99">
        <f t="shared" si="1"/>
        <v>3436</v>
      </c>
      <c r="H29" s="100">
        <v>72968915825</v>
      </c>
      <c r="I29" s="101">
        <v>43602</v>
      </c>
      <c r="J29" s="107">
        <v>6007645528308</v>
      </c>
      <c r="K29" s="111">
        <v>43607</v>
      </c>
      <c r="L29" s="100"/>
      <c r="M29" s="103"/>
      <c r="N29" s="109"/>
    </row>
    <row r="30" spans="1:44" x14ac:dyDescent="0.25">
      <c r="A30" s="96">
        <v>46833</v>
      </c>
      <c r="B30" s="97">
        <v>43599</v>
      </c>
      <c r="C30" s="91" t="s">
        <v>633</v>
      </c>
      <c r="D30" s="98">
        <f>+B30</f>
        <v>43599</v>
      </c>
      <c r="E30" s="99">
        <v>1995</v>
      </c>
      <c r="F30" s="99"/>
      <c r="G30" s="99">
        <f t="shared" si="1"/>
        <v>1995</v>
      </c>
      <c r="H30" s="100">
        <v>23099615655</v>
      </c>
      <c r="I30" s="101">
        <v>43601</v>
      </c>
      <c r="J30" s="117">
        <v>6007645381262</v>
      </c>
      <c r="K30" s="118">
        <v>43605</v>
      </c>
      <c r="L30" s="100" t="s">
        <v>593</v>
      </c>
      <c r="M30" s="103">
        <v>43602</v>
      </c>
      <c r="N30" s="109"/>
    </row>
    <row r="31" spans="1:44" x14ac:dyDescent="0.25">
      <c r="A31" s="96">
        <v>46834</v>
      </c>
      <c r="B31" s="97">
        <v>43599</v>
      </c>
      <c r="C31" s="91" t="s">
        <v>626</v>
      </c>
      <c r="D31" s="98">
        <f>+B31+75</f>
        <v>43674</v>
      </c>
      <c r="E31" s="99">
        <v>1800</v>
      </c>
      <c r="F31" s="99">
        <f>100+220</f>
        <v>320</v>
      </c>
      <c r="G31" s="99">
        <f t="shared" si="1"/>
        <v>2120</v>
      </c>
      <c r="H31" s="100">
        <v>23099615670</v>
      </c>
      <c r="I31" s="101">
        <v>43605</v>
      </c>
      <c r="J31" s="107">
        <v>6007645563598</v>
      </c>
      <c r="K31" s="111">
        <v>43608</v>
      </c>
      <c r="L31" s="100" t="s">
        <v>593</v>
      </c>
      <c r="M31" s="103">
        <v>43670</v>
      </c>
      <c r="N31" s="109"/>
    </row>
    <row r="32" spans="1:44" x14ac:dyDescent="0.25">
      <c r="A32" s="96">
        <v>46839</v>
      </c>
      <c r="B32" s="97">
        <v>43600</v>
      </c>
      <c r="C32" s="91" t="s">
        <v>634</v>
      </c>
      <c r="D32" s="98">
        <f>+B32+60</f>
        <v>43660</v>
      </c>
      <c r="E32" s="99">
        <v>2338</v>
      </c>
      <c r="F32" s="99">
        <f>250+690+80</f>
        <v>1020</v>
      </c>
      <c r="G32" s="99">
        <f t="shared" si="1"/>
        <v>3358</v>
      </c>
      <c r="H32" s="100">
        <v>72968915836</v>
      </c>
      <c r="I32" s="101">
        <v>43598</v>
      </c>
      <c r="J32" s="107">
        <v>6007645381190</v>
      </c>
      <c r="K32" s="111">
        <v>43605</v>
      </c>
      <c r="L32" s="100"/>
      <c r="M32" s="103"/>
      <c r="N32" s="109"/>
    </row>
    <row r="33" spans="1:44" s="5" customFormat="1" x14ac:dyDescent="0.25">
      <c r="A33" s="96">
        <v>46952</v>
      </c>
      <c r="B33" s="97">
        <v>43608</v>
      </c>
      <c r="C33" s="91" t="s">
        <v>635</v>
      </c>
      <c r="D33" s="98">
        <f>+B33+30</f>
        <v>43638</v>
      </c>
      <c r="E33" s="99">
        <v>3744</v>
      </c>
      <c r="F33" s="99"/>
      <c r="G33" s="99">
        <f t="shared" si="1"/>
        <v>3744</v>
      </c>
      <c r="H33" s="100">
        <v>23099615692</v>
      </c>
      <c r="I33" s="101">
        <v>43609</v>
      </c>
      <c r="J33" s="107">
        <v>60076445821441</v>
      </c>
      <c r="K33" s="111">
        <v>43612</v>
      </c>
      <c r="L33" s="100"/>
      <c r="M33" s="103"/>
      <c r="N33" s="109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s="5" customFormat="1" x14ac:dyDescent="0.25">
      <c r="A34" s="96">
        <v>46953</v>
      </c>
      <c r="B34" s="97">
        <v>43608</v>
      </c>
      <c r="C34" s="91" t="s">
        <v>635</v>
      </c>
      <c r="D34" s="98">
        <f>+B34+30</f>
        <v>43638</v>
      </c>
      <c r="E34" s="99">
        <v>535</v>
      </c>
      <c r="F34" s="99"/>
      <c r="G34" s="99">
        <f t="shared" si="1"/>
        <v>535</v>
      </c>
      <c r="H34" s="100">
        <v>23099615692</v>
      </c>
      <c r="I34" s="101">
        <v>43609</v>
      </c>
      <c r="J34" s="107">
        <v>60076445821441</v>
      </c>
      <c r="K34" s="111">
        <v>43612</v>
      </c>
      <c r="L34" s="100"/>
      <c r="M34" s="103"/>
      <c r="N34" s="109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25">
      <c r="A35" s="96">
        <v>46972</v>
      </c>
      <c r="B35" s="97">
        <v>43609</v>
      </c>
      <c r="C35" s="91" t="s">
        <v>626</v>
      </c>
      <c r="D35" s="98">
        <f>+B35+75</f>
        <v>43684</v>
      </c>
      <c r="E35" s="99">
        <v>10122</v>
      </c>
      <c r="F35" s="99">
        <f>300+1600</f>
        <v>1900</v>
      </c>
      <c r="G35" s="99">
        <f t="shared" si="1"/>
        <v>12022</v>
      </c>
      <c r="H35" s="100">
        <v>23099615703</v>
      </c>
      <c r="I35" s="101">
        <v>43614</v>
      </c>
      <c r="J35" s="107">
        <v>6007646032441</v>
      </c>
      <c r="K35" s="111">
        <v>43620</v>
      </c>
      <c r="L35" s="100" t="s">
        <v>593</v>
      </c>
      <c r="M35" s="103">
        <v>43670</v>
      </c>
      <c r="N35" s="109"/>
    </row>
    <row r="36" spans="1:44" x14ac:dyDescent="0.25">
      <c r="A36" s="96">
        <v>47072</v>
      </c>
      <c r="B36" s="97">
        <v>43622</v>
      </c>
      <c r="C36" s="91" t="s">
        <v>636</v>
      </c>
      <c r="D36" s="98">
        <f>+B36+30</f>
        <v>43652</v>
      </c>
      <c r="E36" s="99">
        <v>1410</v>
      </c>
      <c r="F36" s="99"/>
      <c r="G36" s="99">
        <f t="shared" si="1"/>
        <v>1410</v>
      </c>
      <c r="H36" s="100">
        <v>23099615740</v>
      </c>
      <c r="I36" s="101">
        <v>43623</v>
      </c>
      <c r="J36" s="107">
        <v>6007646390551</v>
      </c>
      <c r="K36" s="111">
        <v>43626</v>
      </c>
      <c r="L36" s="100" t="s">
        <v>593</v>
      </c>
      <c r="M36" s="103">
        <v>43651</v>
      </c>
      <c r="N36" s="109"/>
    </row>
    <row r="37" spans="1:44" x14ac:dyDescent="0.25">
      <c r="A37" s="96">
        <v>47138</v>
      </c>
      <c r="B37" s="97">
        <v>43626</v>
      </c>
      <c r="C37" s="91" t="s">
        <v>591</v>
      </c>
      <c r="D37" s="98">
        <f>+B37+30</f>
        <v>43656</v>
      </c>
      <c r="E37" s="99">
        <v>33723.089999999997</v>
      </c>
      <c r="F37" s="99">
        <f>700+600+180.63</f>
        <v>1480.63</v>
      </c>
      <c r="G37" s="99">
        <f t="shared" si="1"/>
        <v>35203.719999999994</v>
      </c>
      <c r="H37" s="100" t="s">
        <v>637</v>
      </c>
      <c r="I37" s="101">
        <v>43635</v>
      </c>
      <c r="J37" s="107">
        <v>6007646989414</v>
      </c>
      <c r="K37" s="111">
        <v>43643</v>
      </c>
      <c r="L37" s="100" t="s">
        <v>593</v>
      </c>
      <c r="M37" s="103">
        <v>43661</v>
      </c>
      <c r="N37" s="109" t="s">
        <v>34</v>
      </c>
    </row>
    <row r="38" spans="1:44" x14ac:dyDescent="0.25">
      <c r="A38" s="96">
        <v>47245</v>
      </c>
      <c r="B38" s="97">
        <v>43635</v>
      </c>
      <c r="C38" s="101" t="s">
        <v>597</v>
      </c>
      <c r="D38" s="98">
        <f>+B38+30</f>
        <v>43665</v>
      </c>
      <c r="E38" s="99">
        <v>62223.56</v>
      </c>
      <c r="F38" s="99">
        <f>650+311.12</f>
        <v>961.12</v>
      </c>
      <c r="G38" s="99">
        <f t="shared" si="1"/>
        <v>63184.68</v>
      </c>
      <c r="H38" s="100" t="s">
        <v>638</v>
      </c>
      <c r="I38" s="101">
        <v>43652</v>
      </c>
      <c r="J38" s="107">
        <v>6007647638335</v>
      </c>
      <c r="K38" s="111">
        <v>43655</v>
      </c>
      <c r="L38" s="100" t="s">
        <v>593</v>
      </c>
      <c r="M38" s="103">
        <v>43727</v>
      </c>
      <c r="N38" s="109"/>
    </row>
    <row r="39" spans="1:44" x14ac:dyDescent="0.25">
      <c r="A39" s="96">
        <v>47349</v>
      </c>
      <c r="B39" s="97">
        <v>43648</v>
      </c>
      <c r="C39" s="91" t="s">
        <v>639</v>
      </c>
      <c r="D39" s="98">
        <f>+B39</f>
        <v>43648</v>
      </c>
      <c r="E39" s="99">
        <v>1600</v>
      </c>
      <c r="F39" s="99">
        <f>1003+80</f>
        <v>1083</v>
      </c>
      <c r="G39" s="99">
        <f t="shared" si="1"/>
        <v>2683</v>
      </c>
      <c r="H39" s="100">
        <v>23099615751</v>
      </c>
      <c r="I39" s="101">
        <v>43650</v>
      </c>
      <c r="J39" s="107">
        <v>6007647636647</v>
      </c>
      <c r="K39" s="111">
        <v>43654</v>
      </c>
      <c r="L39" s="100"/>
      <c r="M39" s="103"/>
      <c r="N39" s="109"/>
    </row>
    <row r="40" spans="1:44" x14ac:dyDescent="0.25">
      <c r="A40" s="96">
        <v>47411</v>
      </c>
      <c r="B40" s="97">
        <v>43655</v>
      </c>
      <c r="C40" s="91" t="s">
        <v>626</v>
      </c>
      <c r="D40" s="98">
        <f>+B40+75</f>
        <v>43730</v>
      </c>
      <c r="E40" s="99">
        <v>19792.5</v>
      </c>
      <c r="F40" s="99">
        <f>250+2993.75</f>
        <v>3243.75</v>
      </c>
      <c r="G40" s="99">
        <f t="shared" si="1"/>
        <v>23036.25</v>
      </c>
      <c r="H40" s="100" t="s">
        <v>640</v>
      </c>
      <c r="I40" s="101">
        <v>43686</v>
      </c>
      <c r="J40" s="107">
        <v>6007649313407</v>
      </c>
      <c r="K40" s="111">
        <v>43690</v>
      </c>
      <c r="L40" s="100" t="s">
        <v>641</v>
      </c>
      <c r="M40" s="103">
        <v>43739</v>
      </c>
      <c r="N40" s="109"/>
    </row>
    <row r="41" spans="1:44" x14ac:dyDescent="0.25">
      <c r="A41" s="96">
        <v>46713</v>
      </c>
      <c r="B41" s="97">
        <v>43675</v>
      </c>
      <c r="C41" s="91" t="s">
        <v>642</v>
      </c>
      <c r="D41" s="98">
        <v>43705</v>
      </c>
      <c r="E41" s="99">
        <v>1287.1600000000001</v>
      </c>
      <c r="F41" s="99">
        <v>0</v>
      </c>
      <c r="G41" s="99">
        <f t="shared" si="1"/>
        <v>1287.1600000000001</v>
      </c>
      <c r="H41" s="100" t="s">
        <v>643</v>
      </c>
      <c r="I41" s="101">
        <v>43677</v>
      </c>
      <c r="J41" s="107">
        <v>6007648811602</v>
      </c>
      <c r="K41" s="111">
        <v>43679</v>
      </c>
      <c r="L41" s="100"/>
      <c r="M41" s="103">
        <v>43791</v>
      </c>
      <c r="N41" s="109"/>
    </row>
    <row r="42" spans="1:44" x14ac:dyDescent="0.25">
      <c r="A42" s="96">
        <v>47614</v>
      </c>
      <c r="B42" s="97">
        <v>43675</v>
      </c>
      <c r="C42" s="91" t="s">
        <v>644</v>
      </c>
      <c r="D42" s="98">
        <v>43675</v>
      </c>
      <c r="E42" s="99">
        <v>8019.4</v>
      </c>
      <c r="F42" s="99">
        <f>250+600+80</f>
        <v>930</v>
      </c>
      <c r="G42" s="99">
        <f t="shared" si="1"/>
        <v>8949.4</v>
      </c>
      <c r="H42" s="100" t="s">
        <v>645</v>
      </c>
      <c r="I42" s="101">
        <v>43693</v>
      </c>
      <c r="J42" s="107">
        <v>6007649563602</v>
      </c>
      <c r="K42" s="111">
        <v>43697</v>
      </c>
      <c r="L42" s="100" t="s">
        <v>593</v>
      </c>
      <c r="M42" s="103">
        <v>43753</v>
      </c>
      <c r="N42" s="109"/>
    </row>
    <row r="43" spans="1:44" x14ac:dyDescent="0.25">
      <c r="A43" s="96">
        <v>47615</v>
      </c>
      <c r="B43" s="97">
        <v>43675</v>
      </c>
      <c r="C43" s="91" t="s">
        <v>646</v>
      </c>
      <c r="D43" s="98">
        <v>43675</v>
      </c>
      <c r="E43" s="99">
        <v>788.04</v>
      </c>
      <c r="F43" s="99">
        <f>450+170+80</f>
        <v>700</v>
      </c>
      <c r="G43" s="99">
        <f t="shared" si="1"/>
        <v>1488.04</v>
      </c>
      <c r="H43" s="100" t="s">
        <v>647</v>
      </c>
      <c r="I43" s="101">
        <v>43691</v>
      </c>
      <c r="J43" s="107">
        <v>6007649440881</v>
      </c>
      <c r="K43" s="111">
        <v>43693</v>
      </c>
      <c r="L43" s="100" t="s">
        <v>593</v>
      </c>
      <c r="M43" s="103">
        <v>43742</v>
      </c>
      <c r="N43" s="109"/>
    </row>
    <row r="44" spans="1:44" ht="30" x14ac:dyDescent="0.25">
      <c r="A44" s="96">
        <v>47616</v>
      </c>
      <c r="B44" s="97">
        <v>43675</v>
      </c>
      <c r="C44" s="91" t="s">
        <v>648</v>
      </c>
      <c r="D44" s="98">
        <v>43675</v>
      </c>
      <c r="E44" s="99">
        <v>22335.7</v>
      </c>
      <c r="F44" s="99">
        <f>450+920+80.1</f>
        <v>1450.1</v>
      </c>
      <c r="G44" s="99">
        <f t="shared" si="1"/>
        <v>23785.8</v>
      </c>
      <c r="H44" s="100" t="s">
        <v>649</v>
      </c>
      <c r="I44" s="101">
        <v>43693</v>
      </c>
      <c r="J44" s="107">
        <v>6007649563611</v>
      </c>
      <c r="K44" s="111">
        <v>43697</v>
      </c>
      <c r="L44" s="100" t="s">
        <v>593</v>
      </c>
      <c r="M44" s="103">
        <v>43753</v>
      </c>
      <c r="N44" s="109"/>
    </row>
    <row r="45" spans="1:44" x14ac:dyDescent="0.25">
      <c r="A45" s="96">
        <v>47668</v>
      </c>
      <c r="B45" s="97">
        <v>43682</v>
      </c>
      <c r="C45" s="91" t="s">
        <v>591</v>
      </c>
      <c r="D45" s="98">
        <v>43712</v>
      </c>
      <c r="E45" s="99">
        <v>801.66</v>
      </c>
      <c r="F45" s="99">
        <f>250+649.98+80</f>
        <v>979.98</v>
      </c>
      <c r="G45" s="99">
        <f t="shared" si="1"/>
        <v>1781.6399999999999</v>
      </c>
      <c r="H45" s="100" t="s">
        <v>650</v>
      </c>
      <c r="I45" s="101">
        <v>43686</v>
      </c>
      <c r="J45" s="107">
        <v>6007649313414</v>
      </c>
      <c r="K45" s="111">
        <v>43690</v>
      </c>
      <c r="L45" s="100"/>
      <c r="M45" s="103">
        <v>43713</v>
      </c>
      <c r="N45" s="109" t="s">
        <v>34</v>
      </c>
    </row>
    <row r="46" spans="1:44" x14ac:dyDescent="0.25">
      <c r="A46" s="96">
        <v>47670</v>
      </c>
      <c r="B46" s="97">
        <v>43682</v>
      </c>
      <c r="C46" s="91" t="s">
        <v>651</v>
      </c>
      <c r="D46" s="98">
        <v>43682</v>
      </c>
      <c r="E46" s="99">
        <v>12825</v>
      </c>
      <c r="F46" s="99">
        <f>4240+100</f>
        <v>4340</v>
      </c>
      <c r="G46" s="99">
        <f t="shared" si="1"/>
        <v>17165</v>
      </c>
      <c r="H46" s="100" t="s">
        <v>652</v>
      </c>
      <c r="I46" s="101">
        <v>43690</v>
      </c>
      <c r="J46" s="107">
        <v>6007649447721</v>
      </c>
      <c r="K46" s="111">
        <v>43693</v>
      </c>
      <c r="L46" s="100"/>
      <c r="M46" s="103">
        <v>43686</v>
      </c>
      <c r="N46" s="109"/>
    </row>
    <row r="47" spans="1:44" x14ac:dyDescent="0.25">
      <c r="A47" s="96">
        <v>47675</v>
      </c>
      <c r="B47" s="97">
        <v>43683</v>
      </c>
      <c r="C47" s="91" t="s">
        <v>642</v>
      </c>
      <c r="D47" s="98">
        <v>43683</v>
      </c>
      <c r="E47" s="99">
        <v>7037.38</v>
      </c>
      <c r="F47" s="99"/>
      <c r="G47" s="99">
        <f t="shared" si="1"/>
        <v>7037.38</v>
      </c>
      <c r="H47" s="100" t="s">
        <v>653</v>
      </c>
      <c r="I47" s="101">
        <v>43686</v>
      </c>
      <c r="J47" s="107">
        <v>6007649326105</v>
      </c>
      <c r="K47" s="111">
        <v>43685</v>
      </c>
      <c r="L47" s="100" t="s">
        <v>593</v>
      </c>
      <c r="M47" s="103">
        <v>43791</v>
      </c>
      <c r="N47" s="109"/>
    </row>
    <row r="48" spans="1:44" x14ac:dyDescent="0.25">
      <c r="A48" s="96">
        <v>47754</v>
      </c>
      <c r="B48" s="97">
        <v>43691</v>
      </c>
      <c r="C48" s="91" t="s">
        <v>642</v>
      </c>
      <c r="D48" s="98">
        <v>43691</v>
      </c>
      <c r="E48" s="99">
        <v>83987.51</v>
      </c>
      <c r="F48" s="99">
        <f>650+425.45</f>
        <v>1075.45</v>
      </c>
      <c r="G48" s="99">
        <f t="shared" si="1"/>
        <v>85062.959999999992</v>
      </c>
      <c r="H48" s="100">
        <v>711900035234</v>
      </c>
      <c r="I48" s="101">
        <v>43682</v>
      </c>
      <c r="J48" s="107">
        <v>6007649873748</v>
      </c>
      <c r="K48" s="111">
        <v>43703</v>
      </c>
      <c r="L48" s="100" t="s">
        <v>593</v>
      </c>
      <c r="M48" s="103">
        <v>43791</v>
      </c>
      <c r="N48" s="109"/>
    </row>
    <row r="49" spans="1:44" x14ac:dyDescent="0.25">
      <c r="A49" s="96">
        <v>47763</v>
      </c>
      <c r="B49" s="97">
        <v>43692</v>
      </c>
      <c r="C49" s="91" t="s">
        <v>607</v>
      </c>
      <c r="D49" s="98">
        <v>43722</v>
      </c>
      <c r="E49" s="99">
        <v>1410</v>
      </c>
      <c r="F49" s="99">
        <v>0</v>
      </c>
      <c r="G49" s="99">
        <f t="shared" si="1"/>
        <v>1410</v>
      </c>
      <c r="H49" s="100"/>
      <c r="I49" s="101"/>
      <c r="J49" s="107">
        <v>6007649547448</v>
      </c>
      <c r="K49" s="111">
        <v>43697</v>
      </c>
      <c r="L49" s="100" t="s">
        <v>593</v>
      </c>
      <c r="M49" s="103">
        <v>43726</v>
      </c>
      <c r="N49" s="109"/>
    </row>
    <row r="50" spans="1:44" x14ac:dyDescent="0.25">
      <c r="A50" s="96">
        <v>47844</v>
      </c>
      <c r="B50" s="97">
        <v>43699</v>
      </c>
      <c r="C50" s="91" t="s">
        <v>654</v>
      </c>
      <c r="D50" s="98">
        <v>43699</v>
      </c>
      <c r="E50" s="99">
        <v>1160</v>
      </c>
      <c r="F50" s="99">
        <f>340+80</f>
        <v>420</v>
      </c>
      <c r="G50" s="99">
        <f t="shared" si="1"/>
        <v>1580</v>
      </c>
      <c r="H50" s="100" t="s">
        <v>655</v>
      </c>
      <c r="I50" s="101">
        <v>43705</v>
      </c>
      <c r="J50" s="107">
        <v>6007650081359</v>
      </c>
      <c r="K50" s="111">
        <v>43710</v>
      </c>
      <c r="L50" s="100" t="s">
        <v>593</v>
      </c>
      <c r="M50" s="103">
        <v>43697</v>
      </c>
      <c r="N50" s="109"/>
    </row>
    <row r="51" spans="1:44" s="5" customFormat="1" x14ac:dyDescent="0.25">
      <c r="A51" s="96">
        <v>47850</v>
      </c>
      <c r="B51" s="97">
        <v>43700</v>
      </c>
      <c r="C51" s="91" t="s">
        <v>642</v>
      </c>
      <c r="D51" s="98">
        <f>+B51+30</f>
        <v>43730</v>
      </c>
      <c r="E51" s="99">
        <v>69693.41</v>
      </c>
      <c r="F51" s="99">
        <f>650+350.59</f>
        <v>1000.5899999999999</v>
      </c>
      <c r="G51" s="99">
        <f t="shared" si="1"/>
        <v>70694</v>
      </c>
      <c r="H51" s="100">
        <v>711900036575</v>
      </c>
      <c r="I51" s="101">
        <v>43700</v>
      </c>
      <c r="J51" s="107">
        <v>6007650200722</v>
      </c>
      <c r="K51" s="111">
        <v>43713</v>
      </c>
      <c r="L51" s="100" t="s">
        <v>593</v>
      </c>
      <c r="M51" s="103">
        <v>43791</v>
      </c>
      <c r="N51" s="109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s="5" customFormat="1" x14ac:dyDescent="0.25">
      <c r="A52" s="96">
        <v>47965</v>
      </c>
      <c r="B52" s="97">
        <v>43709</v>
      </c>
      <c r="C52" s="91" t="s">
        <v>642</v>
      </c>
      <c r="D52" s="98">
        <v>43739</v>
      </c>
      <c r="E52" s="99">
        <v>52936.160000000003</v>
      </c>
      <c r="F52" s="99">
        <f>745+105.87</f>
        <v>850.87</v>
      </c>
      <c r="G52" s="99">
        <f t="shared" si="1"/>
        <v>53787.030000000006</v>
      </c>
      <c r="H52" s="100"/>
      <c r="I52" s="101">
        <v>43726</v>
      </c>
      <c r="J52" s="107">
        <v>6007650902964</v>
      </c>
      <c r="K52" s="111">
        <v>43715</v>
      </c>
      <c r="L52" s="100" t="s">
        <v>593</v>
      </c>
      <c r="M52" s="103">
        <v>43791</v>
      </c>
      <c r="N52" s="109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s="4" customFormat="1" x14ac:dyDescent="0.25">
      <c r="A53" s="96">
        <v>48050</v>
      </c>
      <c r="B53" s="97">
        <v>43717</v>
      </c>
      <c r="C53" s="91" t="s">
        <v>656</v>
      </c>
      <c r="D53" s="98">
        <v>43717</v>
      </c>
      <c r="E53" s="99">
        <v>4704</v>
      </c>
      <c r="F53" s="99">
        <v>1250</v>
      </c>
      <c r="G53" s="99">
        <f t="shared" si="1"/>
        <v>5954</v>
      </c>
      <c r="H53" s="100" t="s">
        <v>657</v>
      </c>
      <c r="I53" s="101">
        <v>43721</v>
      </c>
      <c r="J53" s="107">
        <v>6007651024079</v>
      </c>
      <c r="K53" s="111">
        <v>43727</v>
      </c>
      <c r="L53" s="100" t="s">
        <v>593</v>
      </c>
      <c r="M53" s="103"/>
      <c r="N53" s="109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x14ac:dyDescent="0.25">
      <c r="A54" s="96">
        <v>48039</v>
      </c>
      <c r="B54" s="97">
        <v>43717</v>
      </c>
      <c r="C54" s="91" t="s">
        <v>658</v>
      </c>
      <c r="D54" s="98">
        <v>43717</v>
      </c>
      <c r="E54" s="99">
        <v>19060</v>
      </c>
      <c r="F54" s="99">
        <f>2150+90+900</f>
        <v>3140</v>
      </c>
      <c r="G54" s="99">
        <f t="shared" si="1"/>
        <v>22200</v>
      </c>
      <c r="H54" s="100" t="s">
        <v>659</v>
      </c>
      <c r="I54" s="101">
        <v>43733</v>
      </c>
      <c r="J54" s="107">
        <v>6007651477948</v>
      </c>
      <c r="K54" s="111">
        <v>43738</v>
      </c>
      <c r="L54" s="100" t="s">
        <v>593</v>
      </c>
      <c r="M54" s="103"/>
      <c r="N54" s="109"/>
    </row>
    <row r="55" spans="1:44" x14ac:dyDescent="0.25">
      <c r="A55" s="96">
        <v>48189</v>
      </c>
      <c r="B55" s="97">
        <v>43733</v>
      </c>
      <c r="C55" s="91" t="s">
        <v>591</v>
      </c>
      <c r="D55" s="98">
        <v>43733</v>
      </c>
      <c r="E55" s="99">
        <v>3146.05</v>
      </c>
      <c r="F55" s="99">
        <f>85+493.2+80</f>
        <v>658.2</v>
      </c>
      <c r="G55" s="99">
        <f t="shared" si="1"/>
        <v>3804.25</v>
      </c>
      <c r="H55" s="100" t="s">
        <v>660</v>
      </c>
      <c r="I55" s="101">
        <v>43734</v>
      </c>
      <c r="J55" s="107">
        <v>600765158709</v>
      </c>
      <c r="K55" s="111">
        <v>43740</v>
      </c>
      <c r="L55" s="100" t="s">
        <v>593</v>
      </c>
      <c r="M55" s="103">
        <v>43787</v>
      </c>
      <c r="N55" s="109" t="s">
        <v>34</v>
      </c>
    </row>
    <row r="56" spans="1:44" x14ac:dyDescent="0.25">
      <c r="A56" s="96">
        <v>48269</v>
      </c>
      <c r="B56" s="97">
        <v>43739</v>
      </c>
      <c r="C56" s="91" t="s">
        <v>591</v>
      </c>
      <c r="D56" s="98">
        <v>43769</v>
      </c>
      <c r="E56" s="99">
        <v>19004.77</v>
      </c>
      <c r="F56" s="99">
        <f>85+500+80</f>
        <v>665</v>
      </c>
      <c r="G56" s="99">
        <f t="shared" si="1"/>
        <v>19669.77</v>
      </c>
      <c r="H56" s="100"/>
      <c r="I56" s="101"/>
      <c r="J56" s="107">
        <v>6007652548249</v>
      </c>
      <c r="K56" s="111"/>
      <c r="L56" s="100" t="s">
        <v>641</v>
      </c>
      <c r="M56" s="103">
        <v>43804</v>
      </c>
      <c r="N56" s="109" t="s">
        <v>34</v>
      </c>
    </row>
    <row r="57" spans="1:44" x14ac:dyDescent="0.25">
      <c r="A57" s="96">
        <v>48287</v>
      </c>
      <c r="B57" s="97">
        <v>43742</v>
      </c>
      <c r="C57" s="91" t="s">
        <v>607</v>
      </c>
      <c r="D57" s="98">
        <v>43772</v>
      </c>
      <c r="E57" s="99">
        <v>1410</v>
      </c>
      <c r="F57" s="99">
        <v>0</v>
      </c>
      <c r="G57" s="99">
        <f t="shared" si="1"/>
        <v>1410</v>
      </c>
      <c r="H57" s="100" t="s">
        <v>661</v>
      </c>
      <c r="I57" s="101">
        <v>43745</v>
      </c>
      <c r="J57" s="107">
        <v>6007652778271</v>
      </c>
      <c r="K57" s="111">
        <v>43745</v>
      </c>
      <c r="L57" s="100" t="s">
        <v>593</v>
      </c>
      <c r="M57" s="103">
        <v>43790</v>
      </c>
      <c r="N57" s="109"/>
    </row>
    <row r="58" spans="1:44" x14ac:dyDescent="0.25">
      <c r="A58" s="96">
        <v>48476</v>
      </c>
      <c r="B58" s="97">
        <v>43762</v>
      </c>
      <c r="C58" s="91" t="s">
        <v>607</v>
      </c>
      <c r="D58" s="98">
        <v>43792</v>
      </c>
      <c r="E58" s="99">
        <v>182</v>
      </c>
      <c r="F58" s="99">
        <v>0</v>
      </c>
      <c r="G58" s="99">
        <v>182</v>
      </c>
      <c r="H58" s="100"/>
      <c r="I58" s="101"/>
      <c r="J58" s="107"/>
      <c r="K58" s="111"/>
      <c r="L58" s="100" t="s">
        <v>593</v>
      </c>
      <c r="M58" s="103">
        <v>43852</v>
      </c>
      <c r="N58" s="109" t="s">
        <v>662</v>
      </c>
    </row>
    <row r="59" spans="1:44" x14ac:dyDescent="0.25">
      <c r="A59" s="96">
        <v>48495</v>
      </c>
      <c r="B59" s="97">
        <v>43762</v>
      </c>
      <c r="C59" s="91" t="s">
        <v>663</v>
      </c>
      <c r="D59" s="98">
        <v>43792</v>
      </c>
      <c r="E59" s="99">
        <v>6951.95</v>
      </c>
      <c r="F59" s="99" t="s">
        <v>664</v>
      </c>
      <c r="G59" s="99">
        <v>6951.95</v>
      </c>
      <c r="H59" s="100" t="s">
        <v>665</v>
      </c>
      <c r="I59" s="101">
        <v>43781</v>
      </c>
      <c r="J59" s="107">
        <v>6027655346001</v>
      </c>
      <c r="K59" s="111">
        <v>43781</v>
      </c>
      <c r="L59" s="100" t="s">
        <v>593</v>
      </c>
      <c r="M59" s="103">
        <v>43871</v>
      </c>
      <c r="N59" s="109"/>
    </row>
    <row r="60" spans="1:44" s="4" customFormat="1" x14ac:dyDescent="0.25">
      <c r="A60" s="96">
        <v>48744</v>
      </c>
      <c r="B60" s="97">
        <v>43782</v>
      </c>
      <c r="C60" s="91" t="s">
        <v>626</v>
      </c>
      <c r="D60" s="101">
        <v>43812</v>
      </c>
      <c r="E60" s="99">
        <v>15994.4</v>
      </c>
      <c r="F60" s="106" t="s">
        <v>666</v>
      </c>
      <c r="G60" s="106">
        <v>13974.4</v>
      </c>
      <c r="H60" s="100" t="s">
        <v>667</v>
      </c>
      <c r="I60" s="101">
        <v>43788</v>
      </c>
      <c r="J60" s="107">
        <v>6007654076272</v>
      </c>
      <c r="K60" s="101">
        <v>43791</v>
      </c>
      <c r="L60" s="100" t="s">
        <v>593</v>
      </c>
      <c r="M60" s="103">
        <v>43817</v>
      </c>
      <c r="N60" s="109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s="4" customFormat="1" ht="60" x14ac:dyDescent="0.25">
      <c r="A61" s="96">
        <v>48869</v>
      </c>
      <c r="B61" s="97">
        <v>43789</v>
      </c>
      <c r="C61" s="91" t="s">
        <v>668</v>
      </c>
      <c r="D61" s="98">
        <v>43789</v>
      </c>
      <c r="E61" s="99" t="s">
        <v>669</v>
      </c>
      <c r="F61" s="99"/>
      <c r="G61" s="99"/>
      <c r="H61" s="100" t="s">
        <v>670</v>
      </c>
      <c r="I61" s="101" t="s">
        <v>671</v>
      </c>
      <c r="J61" s="107"/>
      <c r="K61" s="111"/>
      <c r="L61" s="100"/>
      <c r="M61" s="103"/>
      <c r="N61" s="109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s="4" customFormat="1" x14ac:dyDescent="0.25">
      <c r="A62" s="96">
        <v>48974</v>
      </c>
      <c r="B62" s="97">
        <v>43795</v>
      </c>
      <c r="C62" s="91" t="s">
        <v>672</v>
      </c>
      <c r="D62" s="98" t="s">
        <v>673</v>
      </c>
      <c r="E62" s="99">
        <v>2206</v>
      </c>
      <c r="F62" s="99">
        <v>280</v>
      </c>
      <c r="G62" s="99">
        <v>1776</v>
      </c>
      <c r="H62" s="100" t="s">
        <v>674</v>
      </c>
      <c r="I62" s="101">
        <v>43810</v>
      </c>
      <c r="J62" s="107">
        <v>6007655085103</v>
      </c>
      <c r="K62" s="111">
        <v>43812</v>
      </c>
      <c r="L62" s="100" t="s">
        <v>593</v>
      </c>
      <c r="M62" s="103">
        <v>43854</v>
      </c>
      <c r="N62" s="109">
        <v>2156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s="4" customFormat="1" x14ac:dyDescent="0.25">
      <c r="A63" s="96">
        <v>48928</v>
      </c>
      <c r="B63" s="97">
        <v>43795</v>
      </c>
      <c r="C63" s="91" t="s">
        <v>591</v>
      </c>
      <c r="D63" s="98">
        <f>+B63+30</f>
        <v>43825</v>
      </c>
      <c r="E63" s="99">
        <v>32423.01</v>
      </c>
      <c r="F63" s="99">
        <v>380</v>
      </c>
      <c r="G63" s="99">
        <v>31793.01</v>
      </c>
      <c r="H63" s="100" t="s">
        <v>675</v>
      </c>
      <c r="I63" s="101">
        <v>43810</v>
      </c>
      <c r="J63" s="107">
        <v>6007565085095</v>
      </c>
      <c r="K63" s="111">
        <v>43812</v>
      </c>
      <c r="L63" s="100" t="s">
        <v>593</v>
      </c>
      <c r="M63" s="103">
        <v>43845</v>
      </c>
      <c r="N63" s="109" t="s">
        <v>34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x14ac:dyDescent="0.25">
      <c r="A64" s="96" t="s">
        <v>676</v>
      </c>
      <c r="B64" s="97">
        <v>43810</v>
      </c>
      <c r="C64" s="91" t="s">
        <v>626</v>
      </c>
      <c r="D64" s="98">
        <v>43808</v>
      </c>
      <c r="E64" s="99">
        <v>4003.5</v>
      </c>
      <c r="F64" s="99">
        <f>280+1153.5+50</f>
        <v>1483.5</v>
      </c>
      <c r="G64" s="99">
        <f>+E64-F64</f>
        <v>2520</v>
      </c>
      <c r="H64" s="100" t="s">
        <v>677</v>
      </c>
      <c r="I64" s="101">
        <v>43811</v>
      </c>
      <c r="J64" s="107">
        <v>6007655122752</v>
      </c>
      <c r="K64" s="111">
        <v>43810</v>
      </c>
      <c r="L64" s="100" t="s">
        <v>593</v>
      </c>
      <c r="M64" s="103">
        <v>43830</v>
      </c>
      <c r="N64" s="109"/>
    </row>
    <row r="65" spans="1:44" x14ac:dyDescent="0.25">
      <c r="A65" s="96" t="s">
        <v>678</v>
      </c>
      <c r="B65" s="97">
        <v>43810</v>
      </c>
      <c r="C65" s="91" t="s">
        <v>679</v>
      </c>
      <c r="D65" s="101">
        <v>43810</v>
      </c>
      <c r="E65" s="99">
        <v>1295</v>
      </c>
      <c r="F65" s="106">
        <f>545+83</f>
        <v>628</v>
      </c>
      <c r="G65" s="106">
        <f>+E65-F65</f>
        <v>667</v>
      </c>
      <c r="H65" s="100" t="s">
        <v>680</v>
      </c>
      <c r="I65" s="101">
        <v>43811</v>
      </c>
      <c r="J65" s="107">
        <v>6007655755542</v>
      </c>
      <c r="K65" s="101">
        <v>43811</v>
      </c>
      <c r="L65" s="100"/>
      <c r="M65" s="103">
        <v>43805</v>
      </c>
      <c r="N65" s="109"/>
    </row>
    <row r="66" spans="1:44" x14ac:dyDescent="0.25">
      <c r="A66" s="96" t="s">
        <v>681</v>
      </c>
      <c r="B66" s="97">
        <v>43810</v>
      </c>
      <c r="C66" s="101" t="s">
        <v>597</v>
      </c>
      <c r="D66" s="101">
        <v>43475</v>
      </c>
      <c r="E66" s="99">
        <v>2672.66</v>
      </c>
      <c r="F66" s="106">
        <f>429+50+155</f>
        <v>634</v>
      </c>
      <c r="G66" s="106">
        <f>+E66-F66</f>
        <v>2038.6599999999999</v>
      </c>
      <c r="H66" s="100" t="s">
        <v>682</v>
      </c>
      <c r="I66" s="101">
        <v>43811</v>
      </c>
      <c r="J66" s="107">
        <v>6007655123363</v>
      </c>
      <c r="K66" s="101">
        <v>43811</v>
      </c>
      <c r="L66" s="100" t="s">
        <v>593</v>
      </c>
      <c r="M66" s="103">
        <v>43950</v>
      </c>
      <c r="N66" s="109"/>
    </row>
    <row r="67" spans="1:44" x14ac:dyDescent="0.25">
      <c r="A67" s="96" t="s">
        <v>683</v>
      </c>
      <c r="B67" s="97">
        <v>43826</v>
      </c>
      <c r="C67" s="122" t="s">
        <v>600</v>
      </c>
      <c r="D67" s="101">
        <v>43834</v>
      </c>
      <c r="E67" s="99">
        <v>14887</v>
      </c>
      <c r="F67" s="106">
        <v>955</v>
      </c>
      <c r="G67" s="106">
        <v>13932</v>
      </c>
      <c r="H67" s="100" t="s">
        <v>684</v>
      </c>
      <c r="I67" s="101">
        <v>43839</v>
      </c>
      <c r="J67" s="107"/>
      <c r="K67" s="101"/>
      <c r="L67" s="100" t="s">
        <v>593</v>
      </c>
      <c r="M67" s="103">
        <v>43879</v>
      </c>
      <c r="N67" s="109"/>
    </row>
    <row r="68" spans="1:44" x14ac:dyDescent="0.25">
      <c r="A68" s="96" t="s">
        <v>685</v>
      </c>
      <c r="B68" s="97">
        <v>43833</v>
      </c>
      <c r="C68" s="91" t="s">
        <v>672</v>
      </c>
      <c r="D68" s="101">
        <v>43833</v>
      </c>
      <c r="E68" s="99">
        <v>6871.16</v>
      </c>
      <c r="F68" s="106">
        <f>200+80+150</f>
        <v>430</v>
      </c>
      <c r="G68" s="106">
        <v>6351.16</v>
      </c>
      <c r="H68" s="100"/>
      <c r="I68" s="101">
        <v>43837</v>
      </c>
      <c r="J68" s="107">
        <v>6007656278240</v>
      </c>
      <c r="K68" s="101">
        <v>43847</v>
      </c>
      <c r="L68" s="100">
        <v>6971.12</v>
      </c>
      <c r="M68" s="103">
        <v>43872</v>
      </c>
      <c r="N68" s="109">
        <v>6971.12</v>
      </c>
    </row>
    <row r="69" spans="1:44" x14ac:dyDescent="0.25">
      <c r="A69" s="96" t="s">
        <v>686</v>
      </c>
      <c r="B69" s="97">
        <v>43833</v>
      </c>
      <c r="C69" s="91" t="s">
        <v>591</v>
      </c>
      <c r="D69" s="101">
        <v>43833</v>
      </c>
      <c r="E69" s="99">
        <v>63221.97</v>
      </c>
      <c r="F69" s="106">
        <f>250+800+80</f>
        <v>1130</v>
      </c>
      <c r="G69" s="106">
        <v>62091.97</v>
      </c>
      <c r="H69" s="100"/>
      <c r="I69" s="101">
        <v>43837</v>
      </c>
      <c r="J69" s="107">
        <v>6007656278258</v>
      </c>
      <c r="K69" s="101">
        <v>43847</v>
      </c>
      <c r="L69" s="100" t="s">
        <v>593</v>
      </c>
      <c r="M69" s="103">
        <v>43966</v>
      </c>
      <c r="N69" s="109" t="s">
        <v>34</v>
      </c>
    </row>
    <row r="70" spans="1:44" x14ac:dyDescent="0.25">
      <c r="A70" s="6" t="s">
        <v>687</v>
      </c>
      <c r="B70" s="28">
        <v>43846</v>
      </c>
      <c r="C70" s="20" t="s">
        <v>594</v>
      </c>
      <c r="D70" s="7">
        <v>43846</v>
      </c>
      <c r="E70" s="21">
        <v>8562.75</v>
      </c>
      <c r="F70" s="22">
        <f>900+80</f>
        <v>980</v>
      </c>
      <c r="G70" s="22">
        <v>7582.75</v>
      </c>
      <c r="H70" s="12" t="s">
        <v>688</v>
      </c>
      <c r="I70" s="7">
        <v>43846</v>
      </c>
      <c r="J70" s="23">
        <v>6007657084450</v>
      </c>
      <c r="K70" s="7">
        <v>43858</v>
      </c>
      <c r="L70" s="12"/>
      <c r="M70" s="8"/>
      <c r="N70" s="128" t="s">
        <v>342</v>
      </c>
    </row>
    <row r="71" spans="1:44" x14ac:dyDescent="0.25">
      <c r="A71" s="96" t="s">
        <v>689</v>
      </c>
      <c r="B71" s="97">
        <v>43850</v>
      </c>
      <c r="C71" s="91" t="s">
        <v>690</v>
      </c>
      <c r="D71" s="101">
        <v>43850</v>
      </c>
      <c r="E71" s="99">
        <v>864.83</v>
      </c>
      <c r="F71" s="106">
        <f>80+25+50+20</f>
        <v>175</v>
      </c>
      <c r="G71" s="106">
        <v>689.83</v>
      </c>
      <c r="H71" s="100" t="s">
        <v>691</v>
      </c>
      <c r="I71" s="101">
        <v>43850</v>
      </c>
      <c r="J71" s="107">
        <v>6007657105638</v>
      </c>
      <c r="K71" s="101"/>
      <c r="L71" s="100" t="s">
        <v>593</v>
      </c>
      <c r="M71" s="103">
        <v>43951</v>
      </c>
      <c r="N71" s="109"/>
    </row>
    <row r="72" spans="1:44" s="4" customFormat="1" x14ac:dyDescent="0.25">
      <c r="A72" s="96" t="s">
        <v>692</v>
      </c>
      <c r="B72" s="97">
        <v>43851</v>
      </c>
      <c r="C72" s="91" t="s">
        <v>690</v>
      </c>
      <c r="D72" s="101">
        <v>43851</v>
      </c>
      <c r="E72" s="99">
        <v>42532.5</v>
      </c>
      <c r="F72" s="106">
        <f>1000+200+500+80</f>
        <v>1780</v>
      </c>
      <c r="G72" s="106">
        <v>40752.5</v>
      </c>
      <c r="H72" s="100"/>
      <c r="I72" s="101">
        <v>43851</v>
      </c>
      <c r="J72" s="107">
        <v>6007657105638</v>
      </c>
      <c r="K72" s="101"/>
      <c r="L72" s="100" t="s">
        <v>593</v>
      </c>
      <c r="M72" s="103">
        <v>43951</v>
      </c>
      <c r="N72" s="109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25">
      <c r="A73" s="6" t="s">
        <v>693</v>
      </c>
      <c r="B73" s="28">
        <v>43858</v>
      </c>
      <c r="C73" s="20" t="s">
        <v>626</v>
      </c>
      <c r="D73" s="7">
        <v>43858</v>
      </c>
      <c r="E73" s="21" t="s">
        <v>694</v>
      </c>
      <c r="F73" s="22">
        <v>644</v>
      </c>
      <c r="G73" s="22">
        <v>33528.400000000001</v>
      </c>
      <c r="H73" s="12"/>
      <c r="I73" s="7">
        <v>43858</v>
      </c>
      <c r="J73" s="23">
        <v>600765482091</v>
      </c>
      <c r="K73" s="7">
        <v>43859</v>
      </c>
      <c r="L73" s="12" t="s">
        <v>595</v>
      </c>
      <c r="M73" s="8">
        <v>43929</v>
      </c>
      <c r="N73" s="27">
        <v>18408.400000000001</v>
      </c>
    </row>
    <row r="74" spans="1:44" x14ac:dyDescent="0.25">
      <c r="A74" s="96" t="s">
        <v>695</v>
      </c>
      <c r="B74" s="97">
        <v>43859</v>
      </c>
      <c r="C74" s="101" t="s">
        <v>597</v>
      </c>
      <c r="D74" s="101">
        <v>43859</v>
      </c>
      <c r="E74" s="106" t="s">
        <v>696</v>
      </c>
      <c r="F74" s="106">
        <v>890</v>
      </c>
      <c r="G74" s="106">
        <v>3792.12</v>
      </c>
      <c r="H74" s="100" t="s">
        <v>697</v>
      </c>
      <c r="I74" s="101">
        <v>43859</v>
      </c>
      <c r="J74" s="107">
        <v>600765358189</v>
      </c>
      <c r="K74" s="101">
        <v>43860</v>
      </c>
      <c r="L74" s="100" t="s">
        <v>593</v>
      </c>
      <c r="M74" s="103">
        <v>43950</v>
      </c>
      <c r="N74" s="109"/>
    </row>
    <row r="75" spans="1:44" x14ac:dyDescent="0.25">
      <c r="A75" s="6" t="s">
        <v>698</v>
      </c>
      <c r="B75" s="28">
        <v>43861</v>
      </c>
      <c r="C75" s="20" t="s">
        <v>626</v>
      </c>
      <c r="D75" s="7" t="s">
        <v>699</v>
      </c>
      <c r="E75" s="21">
        <v>1278</v>
      </c>
      <c r="F75" s="22">
        <f>100+300+50</f>
        <v>450</v>
      </c>
      <c r="G75" s="22">
        <v>828</v>
      </c>
      <c r="H75" s="12" t="s">
        <v>700</v>
      </c>
      <c r="I75" s="7">
        <v>43861</v>
      </c>
      <c r="J75" s="23">
        <v>6007657474930</v>
      </c>
      <c r="K75" s="7">
        <v>43867</v>
      </c>
      <c r="L75" s="12"/>
      <c r="M75" s="8"/>
      <c r="N75" s="128" t="s">
        <v>342</v>
      </c>
    </row>
    <row r="76" spans="1:44" x14ac:dyDescent="0.25">
      <c r="A76" s="96" t="s">
        <v>701</v>
      </c>
      <c r="B76" s="97">
        <v>43865</v>
      </c>
      <c r="C76" s="91" t="s">
        <v>607</v>
      </c>
      <c r="D76" s="101">
        <v>43865</v>
      </c>
      <c r="E76" s="99">
        <v>1410</v>
      </c>
      <c r="F76" s="106">
        <v>0</v>
      </c>
      <c r="G76" s="106">
        <v>1410</v>
      </c>
      <c r="H76" s="100" t="s">
        <v>702</v>
      </c>
      <c r="I76" s="101">
        <v>43866</v>
      </c>
      <c r="J76" s="107">
        <v>6007657680408</v>
      </c>
      <c r="K76" s="101">
        <v>43872</v>
      </c>
      <c r="L76" s="100" t="s">
        <v>593</v>
      </c>
      <c r="M76" s="103">
        <v>43902</v>
      </c>
      <c r="N76" s="109">
        <v>1400</v>
      </c>
    </row>
    <row r="77" spans="1:44" x14ac:dyDescent="0.25">
      <c r="A77" s="96" t="s">
        <v>703</v>
      </c>
      <c r="B77" s="97">
        <v>43865</v>
      </c>
      <c r="C77" s="91" t="s">
        <v>629</v>
      </c>
      <c r="D77" s="101">
        <v>43895</v>
      </c>
      <c r="E77" s="99">
        <v>4805.18</v>
      </c>
      <c r="F77" s="106">
        <f>490+90+290</f>
        <v>870</v>
      </c>
      <c r="G77" s="106">
        <v>3930.18</v>
      </c>
      <c r="H77" s="100" t="s">
        <v>704</v>
      </c>
      <c r="I77" s="101">
        <v>43867</v>
      </c>
      <c r="J77" s="107">
        <v>6007657749595</v>
      </c>
      <c r="K77" s="101">
        <v>43872</v>
      </c>
      <c r="L77" s="100" t="s">
        <v>593</v>
      </c>
      <c r="M77" s="103">
        <v>43859</v>
      </c>
      <c r="N77" s="109">
        <v>4678.3999999999996</v>
      </c>
    </row>
    <row r="78" spans="1:44" x14ac:dyDescent="0.25">
      <c r="A78" s="96" t="s">
        <v>705</v>
      </c>
      <c r="B78" s="97">
        <v>43871</v>
      </c>
      <c r="C78" s="91" t="s">
        <v>642</v>
      </c>
      <c r="D78" s="101">
        <v>43901</v>
      </c>
      <c r="E78" s="99">
        <v>11637.6</v>
      </c>
      <c r="F78" s="106">
        <f>250+4050+80</f>
        <v>4380</v>
      </c>
      <c r="G78" s="106">
        <v>7257.6</v>
      </c>
      <c r="H78" s="100" t="s">
        <v>706</v>
      </c>
      <c r="I78" s="101">
        <v>43871</v>
      </c>
      <c r="J78" s="107">
        <v>6007658105612</v>
      </c>
      <c r="K78" s="101">
        <v>43872</v>
      </c>
      <c r="L78" s="100" t="s">
        <v>593</v>
      </c>
      <c r="M78" s="103">
        <v>43920</v>
      </c>
      <c r="N78" s="109"/>
    </row>
    <row r="79" spans="1:44" x14ac:dyDescent="0.25">
      <c r="A79" s="96" t="s">
        <v>707</v>
      </c>
      <c r="B79" s="97">
        <v>43879</v>
      </c>
      <c r="C79" s="91" t="s">
        <v>679</v>
      </c>
      <c r="D79" s="101">
        <v>43879</v>
      </c>
      <c r="E79" s="99">
        <v>1741</v>
      </c>
      <c r="F79" s="106">
        <f>608+86</f>
        <v>694</v>
      </c>
      <c r="G79" s="106">
        <v>1047</v>
      </c>
      <c r="H79" s="100" t="s">
        <v>708</v>
      </c>
      <c r="I79" s="101">
        <v>43880</v>
      </c>
      <c r="J79" s="107">
        <v>6007658327534</v>
      </c>
      <c r="K79" s="101">
        <v>43889</v>
      </c>
      <c r="L79" s="100" t="s">
        <v>593</v>
      </c>
      <c r="M79" s="103">
        <v>43901</v>
      </c>
      <c r="N79" s="109"/>
    </row>
    <row r="80" spans="1:44" x14ac:dyDescent="0.25">
      <c r="A80" s="96" t="s">
        <v>709</v>
      </c>
      <c r="B80" s="97">
        <v>43881</v>
      </c>
      <c r="C80" s="91" t="s">
        <v>642</v>
      </c>
      <c r="D80" s="101">
        <v>43881</v>
      </c>
      <c r="E80" s="99">
        <v>25959.5</v>
      </c>
      <c r="F80" s="106">
        <f>185+10492.95+80</f>
        <v>10757.95</v>
      </c>
      <c r="G80" s="106">
        <v>15201.55</v>
      </c>
      <c r="H80" s="100" t="s">
        <v>710</v>
      </c>
      <c r="I80" s="101">
        <v>43882</v>
      </c>
      <c r="J80" s="107">
        <v>6007658598601</v>
      </c>
      <c r="K80" s="101">
        <v>43889</v>
      </c>
      <c r="L80" s="100" t="s">
        <v>593</v>
      </c>
      <c r="M80" s="103">
        <v>43920</v>
      </c>
      <c r="N80" s="109"/>
    </row>
    <row r="81" spans="1:14" ht="60" x14ac:dyDescent="0.25">
      <c r="A81" s="96" t="s">
        <v>711</v>
      </c>
      <c r="B81" s="97">
        <v>43886</v>
      </c>
      <c r="C81" s="91" t="s">
        <v>642</v>
      </c>
      <c r="D81" s="101">
        <v>43881</v>
      </c>
      <c r="E81" s="99">
        <v>3574.12</v>
      </c>
      <c r="F81" s="106">
        <f>155+1653.6+50</f>
        <v>1858.6</v>
      </c>
      <c r="G81" s="106">
        <v>1715.52</v>
      </c>
      <c r="H81" s="100" t="s">
        <v>710</v>
      </c>
      <c r="I81" s="101">
        <v>43882</v>
      </c>
      <c r="J81" s="107">
        <v>6007658598601</v>
      </c>
      <c r="K81" s="101">
        <v>43889</v>
      </c>
      <c r="L81" s="103" t="s">
        <v>593</v>
      </c>
      <c r="M81" s="103"/>
      <c r="N81" s="100" t="s">
        <v>712</v>
      </c>
    </row>
    <row r="82" spans="1:14" x14ac:dyDescent="0.25">
      <c r="A82" s="96" t="s">
        <v>713</v>
      </c>
      <c r="B82" s="97">
        <v>43886</v>
      </c>
      <c r="C82" s="91" t="s">
        <v>591</v>
      </c>
      <c r="D82" s="101">
        <v>43886</v>
      </c>
      <c r="E82" s="99">
        <v>17840.7</v>
      </c>
      <c r="F82" s="106">
        <f>250+600+80</f>
        <v>930</v>
      </c>
      <c r="G82" s="106">
        <v>16910.7</v>
      </c>
      <c r="H82" s="100"/>
      <c r="I82" s="101"/>
      <c r="J82" s="107">
        <v>6007658802860</v>
      </c>
      <c r="K82" s="101">
        <v>43894</v>
      </c>
      <c r="L82" s="100" t="s">
        <v>593</v>
      </c>
      <c r="M82" s="103">
        <v>43938</v>
      </c>
      <c r="N82" s="109" t="s">
        <v>34</v>
      </c>
    </row>
    <row r="83" spans="1:14" x14ac:dyDescent="0.25">
      <c r="A83" s="96" t="s">
        <v>714</v>
      </c>
      <c r="B83" s="97">
        <v>43886</v>
      </c>
      <c r="C83" s="91" t="s">
        <v>672</v>
      </c>
      <c r="D83" s="101">
        <v>43886</v>
      </c>
      <c r="E83" s="99">
        <v>9370.52</v>
      </c>
      <c r="F83" s="106">
        <f>150+200+80</f>
        <v>430</v>
      </c>
      <c r="G83" s="106">
        <v>8940.52</v>
      </c>
      <c r="H83" s="100"/>
      <c r="I83" s="101"/>
      <c r="J83" s="107"/>
      <c r="K83" s="101"/>
      <c r="L83" s="100" t="s">
        <v>593</v>
      </c>
      <c r="M83" s="103">
        <v>43937</v>
      </c>
      <c r="N83" s="109"/>
    </row>
    <row r="84" spans="1:14" x14ac:dyDescent="0.25">
      <c r="A84" s="96" t="s">
        <v>715</v>
      </c>
      <c r="B84" s="97">
        <v>43909</v>
      </c>
      <c r="C84" s="101" t="s">
        <v>597</v>
      </c>
      <c r="D84" s="101">
        <v>43909</v>
      </c>
      <c r="E84" s="99">
        <v>15465.08</v>
      </c>
      <c r="F84" s="106">
        <v>3640</v>
      </c>
      <c r="G84" s="106">
        <v>11825.08</v>
      </c>
      <c r="H84" s="100" t="s">
        <v>716</v>
      </c>
      <c r="I84" s="101">
        <v>43912</v>
      </c>
      <c r="J84" s="107">
        <v>6007659666445</v>
      </c>
      <c r="K84" s="101">
        <v>43915</v>
      </c>
      <c r="L84" s="100" t="s">
        <v>593</v>
      </c>
      <c r="M84" s="103">
        <v>43950</v>
      </c>
      <c r="N84" s="109"/>
    </row>
    <row r="85" spans="1:14" x14ac:dyDescent="0.25">
      <c r="A85" s="96" t="s">
        <v>717</v>
      </c>
      <c r="B85" s="97">
        <v>43915</v>
      </c>
      <c r="C85" s="91" t="s">
        <v>672</v>
      </c>
      <c r="D85" s="101">
        <v>43915</v>
      </c>
      <c r="E85" s="106">
        <v>10173.6</v>
      </c>
      <c r="F85" s="106">
        <f>150+300+80</f>
        <v>530</v>
      </c>
      <c r="G85" s="106">
        <v>9646.6</v>
      </c>
      <c r="H85" s="119"/>
      <c r="I85" s="101"/>
      <c r="J85" s="107">
        <v>6007660214350</v>
      </c>
      <c r="K85" s="101">
        <v>43937</v>
      </c>
      <c r="L85" s="100" t="s">
        <v>718</v>
      </c>
      <c r="M85" s="103">
        <v>44060</v>
      </c>
      <c r="N85" s="109" t="s">
        <v>719</v>
      </c>
    </row>
    <row r="86" spans="1:14" x14ac:dyDescent="0.25">
      <c r="A86" s="96" t="s">
        <v>720</v>
      </c>
      <c r="B86" s="97">
        <v>43915</v>
      </c>
      <c r="C86" s="91" t="s">
        <v>591</v>
      </c>
      <c r="D86" s="101">
        <v>43915</v>
      </c>
      <c r="E86" s="106">
        <v>24476.99</v>
      </c>
      <c r="F86" s="106">
        <f>250+850+80</f>
        <v>1180</v>
      </c>
      <c r="G86" s="106">
        <v>23296.99</v>
      </c>
      <c r="H86" s="119"/>
      <c r="I86" s="101"/>
      <c r="J86" s="107"/>
      <c r="K86" s="101"/>
      <c r="L86" s="100"/>
      <c r="M86" s="103"/>
      <c r="N86" s="109" t="s">
        <v>34</v>
      </c>
    </row>
    <row r="87" spans="1:14" x14ac:dyDescent="0.25">
      <c r="A87" s="6" t="s">
        <v>721</v>
      </c>
      <c r="B87" s="28">
        <v>43925</v>
      </c>
      <c r="C87" s="20" t="s">
        <v>642</v>
      </c>
      <c r="D87" s="7">
        <v>43955</v>
      </c>
      <c r="E87" s="22">
        <v>47211</v>
      </c>
      <c r="F87" s="22">
        <f>300+1200+120</f>
        <v>1620</v>
      </c>
      <c r="G87" s="22">
        <v>45591</v>
      </c>
      <c r="H87" s="12"/>
      <c r="I87" s="7"/>
      <c r="J87" s="23"/>
      <c r="K87" s="7"/>
      <c r="L87" s="12"/>
      <c r="M87" s="8"/>
      <c r="N87" s="128" t="s">
        <v>342</v>
      </c>
    </row>
    <row r="88" spans="1:14" x14ac:dyDescent="0.25">
      <c r="A88" s="6" t="s">
        <v>722</v>
      </c>
      <c r="B88" s="28">
        <v>43935</v>
      </c>
      <c r="C88" s="20" t="s">
        <v>642</v>
      </c>
      <c r="D88" s="7">
        <v>43965</v>
      </c>
      <c r="E88" s="21">
        <v>70822</v>
      </c>
      <c r="F88" s="22">
        <f>120+500+500</f>
        <v>1120</v>
      </c>
      <c r="G88" s="22">
        <v>69402</v>
      </c>
      <c r="H88" s="12"/>
      <c r="I88" s="7"/>
      <c r="J88" s="23">
        <v>6007660533518</v>
      </c>
      <c r="K88" s="7">
        <v>43950</v>
      </c>
      <c r="L88" s="12"/>
      <c r="M88" s="8"/>
      <c r="N88" s="128" t="s">
        <v>342</v>
      </c>
    </row>
    <row r="89" spans="1:14" x14ac:dyDescent="0.25">
      <c r="A89" s="6" t="s">
        <v>723</v>
      </c>
      <c r="B89" s="28">
        <v>43942</v>
      </c>
      <c r="C89" s="20" t="s">
        <v>642</v>
      </c>
      <c r="D89" s="7">
        <v>43942</v>
      </c>
      <c r="E89" s="22">
        <v>67343.039999999994</v>
      </c>
      <c r="F89" s="22">
        <f>300+1200+120</f>
        <v>1620</v>
      </c>
      <c r="G89" s="22">
        <v>65723.039999999994</v>
      </c>
      <c r="H89" s="12"/>
      <c r="I89" s="7"/>
      <c r="J89" s="23">
        <v>6007660533604</v>
      </c>
      <c r="K89" s="7">
        <v>43950</v>
      </c>
      <c r="L89" s="12"/>
      <c r="M89" s="8"/>
      <c r="N89" s="128" t="s">
        <v>342</v>
      </c>
    </row>
    <row r="90" spans="1:14" x14ac:dyDescent="0.25">
      <c r="A90" s="96" t="s">
        <v>724</v>
      </c>
      <c r="B90" s="97">
        <v>43942</v>
      </c>
      <c r="C90" s="91" t="s">
        <v>725</v>
      </c>
      <c r="D90" s="101">
        <v>43972</v>
      </c>
      <c r="E90" s="99">
        <v>3590.6</v>
      </c>
      <c r="F90" s="106">
        <f>870+95</f>
        <v>965</v>
      </c>
      <c r="G90" s="106">
        <v>2625.6</v>
      </c>
      <c r="H90" s="100" t="s">
        <v>726</v>
      </c>
      <c r="I90" s="101">
        <v>43945</v>
      </c>
      <c r="J90" s="107">
        <v>6007660568465</v>
      </c>
      <c r="K90" s="101">
        <v>43948</v>
      </c>
      <c r="L90" s="100" t="s">
        <v>593</v>
      </c>
      <c r="M90" s="103">
        <v>43978</v>
      </c>
      <c r="N90" s="109" t="s">
        <v>727</v>
      </c>
    </row>
    <row r="91" spans="1:14" x14ac:dyDescent="0.25">
      <c r="A91" s="96" t="s">
        <v>728</v>
      </c>
      <c r="B91" s="97">
        <v>43942</v>
      </c>
      <c r="C91" s="91" t="s">
        <v>729</v>
      </c>
      <c r="D91" s="101">
        <v>43942</v>
      </c>
      <c r="E91" s="99">
        <v>2592</v>
      </c>
      <c r="F91" s="106">
        <v>0</v>
      </c>
      <c r="G91" s="106">
        <v>2592</v>
      </c>
      <c r="H91" s="100"/>
      <c r="I91" s="101"/>
      <c r="J91" s="107"/>
      <c r="K91" s="101"/>
      <c r="L91" s="100" t="s">
        <v>593</v>
      </c>
      <c r="M91" s="103">
        <v>43889</v>
      </c>
      <c r="N91" s="109" t="s">
        <v>727</v>
      </c>
    </row>
    <row r="92" spans="1:14" x14ac:dyDescent="0.25">
      <c r="A92" s="6" t="s">
        <v>730</v>
      </c>
      <c r="B92" s="28">
        <v>43948</v>
      </c>
      <c r="C92" s="3" t="s">
        <v>642</v>
      </c>
      <c r="D92" s="7">
        <v>43978</v>
      </c>
      <c r="E92" s="21">
        <v>27669.09</v>
      </c>
      <c r="F92" s="22">
        <f>300+900+80</f>
        <v>1280</v>
      </c>
      <c r="G92" s="22">
        <v>26389.09</v>
      </c>
      <c r="H92" s="12"/>
      <c r="I92" s="7"/>
      <c r="J92" s="23"/>
      <c r="K92" s="7"/>
      <c r="L92" s="12"/>
      <c r="M92" s="8"/>
      <c r="N92" s="128" t="s">
        <v>342</v>
      </c>
    </row>
    <row r="93" spans="1:14" x14ac:dyDescent="0.25">
      <c r="A93" s="96" t="s">
        <v>731</v>
      </c>
      <c r="B93" s="97">
        <v>43949</v>
      </c>
      <c r="C93" s="91" t="s">
        <v>626</v>
      </c>
      <c r="D93" s="101">
        <v>43949</v>
      </c>
      <c r="E93" s="99">
        <v>13982.8</v>
      </c>
      <c r="F93" s="106">
        <f>280+3081+50</f>
        <v>3411</v>
      </c>
      <c r="G93" s="106">
        <v>10571.8</v>
      </c>
      <c r="H93" s="100" t="s">
        <v>732</v>
      </c>
      <c r="I93" s="101">
        <v>43951</v>
      </c>
      <c r="J93" s="107">
        <v>6007660815941</v>
      </c>
      <c r="K93" s="101">
        <v>43955</v>
      </c>
      <c r="L93" s="100" t="s">
        <v>593</v>
      </c>
      <c r="M93" s="103">
        <v>43969</v>
      </c>
      <c r="N93" s="109"/>
    </row>
    <row r="94" spans="1:14" ht="45" x14ac:dyDescent="0.25">
      <c r="A94" s="6" t="s">
        <v>30</v>
      </c>
      <c r="B94" s="28">
        <v>43955</v>
      </c>
      <c r="C94" s="20" t="s">
        <v>733</v>
      </c>
      <c r="D94" s="7"/>
      <c r="E94" s="21">
        <v>4020</v>
      </c>
      <c r="F94" s="22"/>
      <c r="G94" s="22"/>
      <c r="H94" s="12" t="s">
        <v>734</v>
      </c>
      <c r="I94" s="7"/>
      <c r="J94" s="23"/>
      <c r="K94" s="7"/>
      <c r="L94" s="12"/>
      <c r="M94" s="8"/>
      <c r="N94" s="128" t="s">
        <v>342</v>
      </c>
    </row>
    <row r="95" spans="1:14" ht="45" x14ac:dyDescent="0.25">
      <c r="A95" s="6" t="s">
        <v>30</v>
      </c>
      <c r="B95" s="28">
        <v>43955</v>
      </c>
      <c r="C95" s="20" t="s">
        <v>733</v>
      </c>
      <c r="D95" s="7"/>
      <c r="E95" s="21">
        <v>8973</v>
      </c>
      <c r="F95" s="22"/>
      <c r="G95" s="22"/>
      <c r="H95" s="12" t="s">
        <v>734</v>
      </c>
      <c r="I95" s="7"/>
      <c r="J95" s="23"/>
      <c r="K95" s="7"/>
      <c r="L95" s="12"/>
      <c r="M95" s="8"/>
      <c r="N95" s="128" t="s">
        <v>342</v>
      </c>
    </row>
    <row r="96" spans="1:14" x14ac:dyDescent="0.25">
      <c r="A96" s="6" t="s">
        <v>735</v>
      </c>
      <c r="B96" s="28">
        <v>43955</v>
      </c>
      <c r="C96" s="20" t="s">
        <v>733</v>
      </c>
      <c r="D96" s="7">
        <v>43955</v>
      </c>
      <c r="E96" s="22">
        <v>13013</v>
      </c>
      <c r="F96" s="22">
        <v>0</v>
      </c>
      <c r="G96" s="22">
        <v>13013</v>
      </c>
      <c r="H96" s="12"/>
      <c r="I96" s="7"/>
      <c r="J96" s="15"/>
      <c r="K96" s="7"/>
      <c r="L96" s="12"/>
      <c r="M96" s="8"/>
      <c r="N96" s="27"/>
    </row>
    <row r="97" spans="1:14" x14ac:dyDescent="0.25">
      <c r="A97" s="6" t="s">
        <v>30</v>
      </c>
      <c r="B97" s="28">
        <v>43958</v>
      </c>
      <c r="C97" s="20" t="s">
        <v>629</v>
      </c>
      <c r="D97" s="7"/>
      <c r="E97" s="21">
        <v>2250</v>
      </c>
      <c r="F97" s="22"/>
      <c r="G97" s="22"/>
      <c r="H97" s="12" t="s">
        <v>736</v>
      </c>
      <c r="I97" s="7"/>
      <c r="J97" s="15"/>
      <c r="K97" s="7"/>
      <c r="L97" s="12"/>
      <c r="M97" s="8"/>
      <c r="N97" s="128" t="s">
        <v>342</v>
      </c>
    </row>
    <row r="98" spans="1:14" x14ac:dyDescent="0.25">
      <c r="A98" s="96" t="s">
        <v>737</v>
      </c>
      <c r="B98" s="97">
        <v>44000</v>
      </c>
      <c r="C98" s="91" t="s">
        <v>591</v>
      </c>
      <c r="D98" s="101">
        <f>+Tabla1[[#This Row],[FECHA FACTURA]]+30</f>
        <v>44030</v>
      </c>
      <c r="E98" s="106">
        <v>85302.83</v>
      </c>
      <c r="F98" s="106">
        <f>744.52+135.17</f>
        <v>879.68999999999994</v>
      </c>
      <c r="G98" s="106">
        <f>+Tabla1[[#This Row],[VALOR FACTURA USD]]+Tabla1[[#This Row],[FLETE + SEGURO]]</f>
        <v>86182.52</v>
      </c>
      <c r="H98" s="100" t="s">
        <v>738</v>
      </c>
      <c r="I98" s="101">
        <v>44009</v>
      </c>
      <c r="J98" s="102">
        <v>6007662918042</v>
      </c>
      <c r="K98" s="101">
        <v>44013</v>
      </c>
      <c r="L98" s="100" t="s">
        <v>593</v>
      </c>
      <c r="M98" s="103">
        <v>44120</v>
      </c>
      <c r="N98" s="109" t="s">
        <v>34</v>
      </c>
    </row>
    <row r="99" spans="1:14" x14ac:dyDescent="0.25">
      <c r="A99" s="96" t="s">
        <v>739</v>
      </c>
      <c r="B99" s="97">
        <v>43959</v>
      </c>
      <c r="C99" s="91" t="s">
        <v>740</v>
      </c>
      <c r="D99" s="101">
        <v>43989</v>
      </c>
      <c r="E99" s="106">
        <v>1625.35</v>
      </c>
      <c r="F99" s="106">
        <f>2750+95</f>
        <v>2845</v>
      </c>
      <c r="G99" s="106">
        <v>12780.35</v>
      </c>
      <c r="H99" s="100"/>
      <c r="I99" s="101"/>
      <c r="J99" s="102">
        <v>6007661665992</v>
      </c>
      <c r="K99" s="101">
        <v>43978</v>
      </c>
      <c r="L99" s="100" t="s">
        <v>718</v>
      </c>
      <c r="M99" s="103">
        <v>44061</v>
      </c>
      <c r="N99" s="109" t="s">
        <v>727</v>
      </c>
    </row>
    <row r="100" spans="1:14" x14ac:dyDescent="0.25">
      <c r="A100" s="96" t="s">
        <v>741</v>
      </c>
      <c r="B100" s="97">
        <v>44018</v>
      </c>
      <c r="C100" s="91" t="s">
        <v>626</v>
      </c>
      <c r="D100" s="101">
        <f>+B100+30</f>
        <v>44048</v>
      </c>
      <c r="E100" s="106">
        <v>32390.68</v>
      </c>
      <c r="F100" s="106">
        <f>300+500+25</f>
        <v>825</v>
      </c>
      <c r="G100" s="106">
        <f>+Tabla1[[#This Row],[VALOR FACTURA USD]]-Tabla1[[#This Row],[FLETE + SEGURO]]</f>
        <v>31565.68</v>
      </c>
      <c r="H100" s="100" t="s">
        <v>742</v>
      </c>
      <c r="I100" s="101">
        <v>44024</v>
      </c>
      <c r="J100" s="102">
        <v>6007663545057</v>
      </c>
      <c r="K100" s="101">
        <v>44027</v>
      </c>
      <c r="L100" s="100" t="s">
        <v>593</v>
      </c>
      <c r="M100" s="103">
        <v>44070</v>
      </c>
      <c r="N100" s="109" t="s">
        <v>727</v>
      </c>
    </row>
    <row r="101" spans="1:14" ht="48" customHeight="1" x14ac:dyDescent="0.25">
      <c r="A101" s="120" t="s">
        <v>743</v>
      </c>
      <c r="B101" s="187">
        <v>44019</v>
      </c>
      <c r="C101" s="122" t="s">
        <v>597</v>
      </c>
      <c r="D101" s="188">
        <f>+B101+30</f>
        <v>44049</v>
      </c>
      <c r="E101" s="189">
        <v>13830.91</v>
      </c>
      <c r="F101" s="189">
        <f>695.5+118</f>
        <v>813.5</v>
      </c>
      <c r="G101" s="189">
        <f>+Tabla1[[#This Row],[VALOR FACTURA USD]]+Tabla1[[#This Row],[FLETE + SEGURO]]</f>
        <v>14644.41</v>
      </c>
      <c r="H101" s="190" t="s">
        <v>744</v>
      </c>
      <c r="I101" s="188">
        <v>44026</v>
      </c>
      <c r="J101" s="191">
        <v>6007663558959</v>
      </c>
      <c r="K101" s="188">
        <v>44028</v>
      </c>
      <c r="L101" s="190" t="s">
        <v>593</v>
      </c>
      <c r="M101" s="192">
        <v>44182</v>
      </c>
      <c r="N101" s="186" t="s">
        <v>745</v>
      </c>
    </row>
    <row r="102" spans="1:14" ht="17.25" customHeight="1" x14ac:dyDescent="0.25">
      <c r="A102" s="9" t="s">
        <v>746</v>
      </c>
      <c r="B102" s="29">
        <v>44020</v>
      </c>
      <c r="C102" s="24" t="s">
        <v>594</v>
      </c>
      <c r="D102" s="10">
        <f>+B102+30</f>
        <v>44050</v>
      </c>
      <c r="E102" s="25">
        <v>20690</v>
      </c>
      <c r="F102" s="25">
        <f>800+230+50</f>
        <v>1080</v>
      </c>
      <c r="G102" s="25">
        <f>+Tabla1[[#This Row],[VALOR FACTURA USD]]-Tabla1[[#This Row],[FLETE + SEGURO]]</f>
        <v>19610</v>
      </c>
      <c r="H102" s="13" t="s">
        <v>747</v>
      </c>
      <c r="I102" s="10">
        <v>44026</v>
      </c>
      <c r="J102" s="16">
        <v>6007663559101</v>
      </c>
      <c r="K102" s="10">
        <v>44028</v>
      </c>
      <c r="L102" s="13" t="s">
        <v>748</v>
      </c>
      <c r="M102" s="18"/>
      <c r="N102" s="57" t="s">
        <v>334</v>
      </c>
    </row>
    <row r="103" spans="1:14" ht="17.25" customHeight="1" x14ac:dyDescent="0.25">
      <c r="A103" s="120" t="s">
        <v>749</v>
      </c>
      <c r="B103" s="121">
        <v>44022</v>
      </c>
      <c r="C103" s="122" t="s">
        <v>725</v>
      </c>
      <c r="D103" s="123">
        <f>+B103+30</f>
        <v>44052</v>
      </c>
      <c r="E103" s="124">
        <v>6472</v>
      </c>
      <c r="F103" s="124">
        <f>867+50</f>
        <v>917</v>
      </c>
      <c r="G103" s="124">
        <f>+Tabla1[[#This Row],[VALOR FACTURA USD]]-Tabla1[[#This Row],[FLETE + SEGURO]]</f>
        <v>5555</v>
      </c>
      <c r="H103" s="125" t="s">
        <v>750</v>
      </c>
      <c r="I103" s="123">
        <v>44021</v>
      </c>
      <c r="J103" s="126">
        <v>6007663716548</v>
      </c>
      <c r="K103" s="123">
        <v>44033</v>
      </c>
      <c r="L103" s="125" t="s">
        <v>593</v>
      </c>
      <c r="M103" s="127">
        <v>44075</v>
      </c>
      <c r="N103" s="109" t="s">
        <v>727</v>
      </c>
    </row>
    <row r="104" spans="1:14" ht="17.25" customHeight="1" x14ac:dyDescent="0.25">
      <c r="A104" s="196" t="s">
        <v>751</v>
      </c>
      <c r="B104" s="121" t="s">
        <v>752</v>
      </c>
      <c r="C104" s="197" t="s">
        <v>600</v>
      </c>
      <c r="D104" s="123">
        <v>43959</v>
      </c>
      <c r="E104" s="124">
        <v>17303</v>
      </c>
      <c r="F104" s="124">
        <v>1050</v>
      </c>
      <c r="G104" s="124">
        <f>+Tabla1[[#This Row],[VALOR FACTURA USD]]+Tabla1[[#This Row],[FLETE + SEGURO]]</f>
        <v>18353</v>
      </c>
      <c r="H104" s="125" t="s">
        <v>753</v>
      </c>
      <c r="I104" s="123" t="s">
        <v>754</v>
      </c>
      <c r="J104" s="126">
        <v>6007664263541</v>
      </c>
      <c r="K104" s="123">
        <v>44048</v>
      </c>
      <c r="L104" s="125" t="s">
        <v>593</v>
      </c>
      <c r="M104" s="127">
        <v>44106</v>
      </c>
      <c r="N104" s="91" t="s">
        <v>334</v>
      </c>
    </row>
    <row r="105" spans="1:14" ht="17.25" customHeight="1" x14ac:dyDescent="0.25">
      <c r="A105" s="9" t="s">
        <v>755</v>
      </c>
      <c r="B105" s="29">
        <v>44056</v>
      </c>
      <c r="C105" s="24" t="s">
        <v>756</v>
      </c>
      <c r="D105" s="10">
        <f>+Tabla1[[#This Row],[FECHA FACTURA]]+30</f>
        <v>44086</v>
      </c>
      <c r="E105" s="25">
        <v>1422.9</v>
      </c>
      <c r="F105" s="25">
        <f>294+50</f>
        <v>344</v>
      </c>
      <c r="G105" s="25">
        <f>+Tabla1[[#This Row],[VALOR FACTURA USD]]-Tabla1[[#This Row],[FLETE + SEGURO]]</f>
        <v>1078.9000000000001</v>
      </c>
      <c r="H105" s="13" t="s">
        <v>757</v>
      </c>
      <c r="I105" s="10">
        <v>44076</v>
      </c>
      <c r="J105" s="16">
        <v>6007665730395</v>
      </c>
      <c r="K105" s="10">
        <v>44079</v>
      </c>
      <c r="L105" s="13" t="s">
        <v>748</v>
      </c>
      <c r="M105" s="18"/>
      <c r="N105" s="57" t="s">
        <v>334</v>
      </c>
    </row>
    <row r="106" spans="1:14" ht="17.25" customHeight="1" x14ac:dyDescent="0.25">
      <c r="A106" s="9" t="s">
        <v>758</v>
      </c>
      <c r="B106" s="29">
        <v>44056</v>
      </c>
      <c r="C106" s="24" t="s">
        <v>759</v>
      </c>
      <c r="D106" s="10">
        <f>+Tabla1[[#This Row],[FECHA FACTURA]]+30</f>
        <v>44086</v>
      </c>
      <c r="E106" s="25">
        <v>6572</v>
      </c>
      <c r="F106" s="25">
        <f>358.63+50</f>
        <v>408.63</v>
      </c>
      <c r="G106" s="25">
        <f>+Tabla1[[#This Row],[VALOR FACTURA USD]]-Tabla1[[#This Row],[FLETE + SEGURO]]</f>
        <v>6163.37</v>
      </c>
      <c r="H106" s="13" t="s">
        <v>760</v>
      </c>
      <c r="I106" s="10">
        <v>44076</v>
      </c>
      <c r="J106" s="16">
        <v>6007665730403</v>
      </c>
      <c r="K106" s="10">
        <v>44079</v>
      </c>
      <c r="L106" s="13" t="s">
        <v>748</v>
      </c>
      <c r="M106" s="18"/>
      <c r="N106" s="57" t="s">
        <v>334</v>
      </c>
    </row>
    <row r="107" spans="1:14" ht="17.25" customHeight="1" x14ac:dyDescent="0.25">
      <c r="A107" s="9" t="s">
        <v>761</v>
      </c>
      <c r="B107" s="29">
        <v>44056</v>
      </c>
      <c r="C107" s="24" t="s">
        <v>762</v>
      </c>
      <c r="D107" s="10">
        <f>+Tabla1[[#This Row],[FECHA FACTURA]]+30</f>
        <v>44086</v>
      </c>
      <c r="E107" s="25">
        <v>4051.7</v>
      </c>
      <c r="F107" s="25">
        <f>390.87+50</f>
        <v>440.87</v>
      </c>
      <c r="G107" s="25">
        <f>+Tabla1[[#This Row],[VALOR FACTURA USD]]-Tabla1[[#This Row],[FLETE + SEGURO]]</f>
        <v>3610.83</v>
      </c>
      <c r="H107" s="13" t="s">
        <v>763</v>
      </c>
      <c r="I107" s="10">
        <v>44076</v>
      </c>
      <c r="J107" s="16">
        <v>6007665730388</v>
      </c>
      <c r="K107" s="10">
        <v>44079</v>
      </c>
      <c r="L107" s="13" t="s">
        <v>748</v>
      </c>
      <c r="M107" s="18"/>
      <c r="N107" s="57" t="s">
        <v>334</v>
      </c>
    </row>
    <row r="108" spans="1:14" ht="17.25" customHeight="1" x14ac:dyDescent="0.25">
      <c r="A108" s="120" t="s">
        <v>764</v>
      </c>
      <c r="B108" s="121">
        <v>44057</v>
      </c>
      <c r="C108" s="122" t="s">
        <v>600</v>
      </c>
      <c r="D108" s="123">
        <f>+Tabla1[[#This Row],[FECHA FACTURA]]+15</f>
        <v>44072</v>
      </c>
      <c r="E108" s="124">
        <v>33030</v>
      </c>
      <c r="F108" s="124">
        <f>1120+60</f>
        <v>1180</v>
      </c>
      <c r="G108" s="124">
        <f>+Tabla1[[#This Row],[VALOR FACTURA USD]]-Tabla1[[#This Row],[FLETE + SEGURO]]</f>
        <v>31850</v>
      </c>
      <c r="H108" s="125" t="s">
        <v>765</v>
      </c>
      <c r="I108" s="123">
        <v>44070</v>
      </c>
      <c r="J108" s="126">
        <v>6007665443927</v>
      </c>
      <c r="K108" s="123">
        <v>43921</v>
      </c>
      <c r="L108" s="125" t="s">
        <v>748</v>
      </c>
      <c r="M108" s="127">
        <v>44145</v>
      </c>
      <c r="N108" s="109" t="s">
        <v>34</v>
      </c>
    </row>
    <row r="109" spans="1:14" ht="17.25" customHeight="1" x14ac:dyDescent="0.25">
      <c r="A109" s="120" t="s">
        <v>766</v>
      </c>
      <c r="B109" s="121">
        <v>44057</v>
      </c>
      <c r="C109" s="122" t="s">
        <v>597</v>
      </c>
      <c r="D109" s="123">
        <f>+Tabla1[[#This Row],[FECHA FACTURA]]+30</f>
        <v>44087</v>
      </c>
      <c r="E109" s="193">
        <v>1843.08</v>
      </c>
      <c r="F109" s="124">
        <f>750+90</f>
        <v>840</v>
      </c>
      <c r="G109" s="124">
        <f>+Tabla1[[#This Row],[VALOR FACTURA USD]]+Tabla1[[#This Row],[FLETE + SEGURO]]</f>
        <v>2683.08</v>
      </c>
      <c r="H109" s="125" t="s">
        <v>767</v>
      </c>
      <c r="I109" s="123">
        <v>44062</v>
      </c>
      <c r="J109" s="126">
        <v>6007665236914</v>
      </c>
      <c r="K109" s="123">
        <v>44067</v>
      </c>
      <c r="L109" s="125" t="s">
        <v>593</v>
      </c>
      <c r="M109" s="127">
        <v>44182</v>
      </c>
      <c r="N109" s="122" t="s">
        <v>334</v>
      </c>
    </row>
    <row r="110" spans="1:14" ht="17.25" customHeight="1" x14ac:dyDescent="0.25">
      <c r="A110" s="120" t="s">
        <v>768</v>
      </c>
      <c r="B110" s="121">
        <v>44075</v>
      </c>
      <c r="C110" s="122" t="s">
        <v>642</v>
      </c>
      <c r="D110" s="123">
        <f>+B110+30</f>
        <v>44105</v>
      </c>
      <c r="E110" s="124">
        <v>34400</v>
      </c>
      <c r="F110" s="124">
        <f>600+80</f>
        <v>680</v>
      </c>
      <c r="G110" s="124">
        <v>33720</v>
      </c>
      <c r="H110" s="125" t="s">
        <v>769</v>
      </c>
      <c r="I110" s="123">
        <v>44086</v>
      </c>
      <c r="J110" s="126">
        <v>6007666215504</v>
      </c>
      <c r="K110" s="123">
        <v>44090</v>
      </c>
      <c r="L110" s="125" t="s">
        <v>593</v>
      </c>
      <c r="M110" s="125" t="s">
        <v>770</v>
      </c>
      <c r="N110" s="122" t="s">
        <v>34</v>
      </c>
    </row>
    <row r="111" spans="1:14" s="140" customFormat="1" x14ac:dyDescent="0.25">
      <c r="A111" s="194" t="s">
        <v>771</v>
      </c>
      <c r="B111" s="97">
        <v>44082</v>
      </c>
      <c r="C111" s="91" t="s">
        <v>626</v>
      </c>
      <c r="D111" s="101">
        <f>+Tabla1[[#This Row],[FECHA FACTURA]]+30</f>
        <v>44112</v>
      </c>
      <c r="E111" s="156">
        <v>25279.7</v>
      </c>
      <c r="F111" s="156">
        <f>300+500+25</f>
        <v>825</v>
      </c>
      <c r="G111" s="156">
        <f>+Tabla1[[#This Row],[VALOR FACTURA USD]]-Tabla1[[#This Row],[FLETE + SEGURO]]</f>
        <v>24454.7</v>
      </c>
      <c r="H111" s="100" t="s">
        <v>772</v>
      </c>
      <c r="I111" s="101">
        <v>44087</v>
      </c>
      <c r="J111" s="102">
        <v>6007666232326</v>
      </c>
      <c r="K111" s="101">
        <v>44090</v>
      </c>
      <c r="L111" s="100" t="s">
        <v>593</v>
      </c>
      <c r="M111" s="100" t="s">
        <v>773</v>
      </c>
      <c r="N111" s="91" t="s">
        <v>34</v>
      </c>
    </row>
    <row r="112" spans="1:14" x14ac:dyDescent="0.25">
      <c r="A112" s="142" t="s">
        <v>774</v>
      </c>
      <c r="B112" s="143">
        <v>44084</v>
      </c>
      <c r="C112" s="144" t="s">
        <v>775</v>
      </c>
      <c r="D112" s="145">
        <v>44114</v>
      </c>
      <c r="E112" s="146">
        <v>17055.75</v>
      </c>
      <c r="F112" s="146">
        <v>1385.75</v>
      </c>
      <c r="G112" s="146">
        <f>+Tabla1[[#This Row],[VALOR FACTURA USD]]-Tabla1[[#This Row],[FLETE + SEGURO]]</f>
        <v>15670</v>
      </c>
      <c r="H112" s="147" t="s">
        <v>776</v>
      </c>
      <c r="I112" s="145">
        <v>44095</v>
      </c>
      <c r="J112" s="148">
        <v>6007666564743</v>
      </c>
      <c r="K112" s="145">
        <v>44089</v>
      </c>
      <c r="L112" s="147" t="s">
        <v>898</v>
      </c>
      <c r="M112" s="100" t="s">
        <v>770</v>
      </c>
      <c r="N112" s="149" t="s">
        <v>777</v>
      </c>
    </row>
    <row r="113" spans="1:14" x14ac:dyDescent="0.25">
      <c r="A113" s="142" t="s">
        <v>778</v>
      </c>
      <c r="B113" s="161">
        <v>44088</v>
      </c>
      <c r="C113" s="144" t="s">
        <v>779</v>
      </c>
      <c r="D113" s="145">
        <v>44118</v>
      </c>
      <c r="E113" s="146">
        <v>6452</v>
      </c>
      <c r="F113" s="146">
        <f>740+60</f>
        <v>800</v>
      </c>
      <c r="G113" s="146">
        <f>+Tabla1[[#This Row],[VALOR FACTURA USD]]-Tabla1[[#This Row],[FLETE + SEGURO]]</f>
        <v>5652</v>
      </c>
      <c r="H113" s="147" t="s">
        <v>780</v>
      </c>
      <c r="I113" s="145" t="s">
        <v>340</v>
      </c>
      <c r="J113" s="148">
        <v>6007666767442</v>
      </c>
      <c r="K113" s="145">
        <v>44102</v>
      </c>
      <c r="L113" s="147" t="s">
        <v>748</v>
      </c>
      <c r="M113" s="145"/>
      <c r="N113" s="141" t="s">
        <v>334</v>
      </c>
    </row>
    <row r="114" spans="1:14" x14ac:dyDescent="0.25">
      <c r="A114" s="194" t="s">
        <v>781</v>
      </c>
      <c r="B114" s="195">
        <v>44097</v>
      </c>
      <c r="C114" s="91" t="s">
        <v>782</v>
      </c>
      <c r="D114" s="101">
        <v>44127</v>
      </c>
      <c r="E114" s="156">
        <v>3480</v>
      </c>
      <c r="F114" s="156">
        <f>280+30</f>
        <v>310</v>
      </c>
      <c r="G114" s="156">
        <f>+Tabla1[[#This Row],[VALOR FACTURA USD]]-Tabla1[[#This Row],[FLETE + SEGURO]]</f>
        <v>3170</v>
      </c>
      <c r="H114" s="100" t="s">
        <v>783</v>
      </c>
      <c r="I114" s="101">
        <v>44115</v>
      </c>
      <c r="J114" s="102">
        <v>6007667437726</v>
      </c>
      <c r="K114" s="101">
        <v>44119</v>
      </c>
      <c r="L114" s="100" t="s">
        <v>593</v>
      </c>
      <c r="M114" s="101">
        <v>44172</v>
      </c>
      <c r="N114" s="122" t="s">
        <v>34</v>
      </c>
    </row>
    <row r="115" spans="1:14" x14ac:dyDescent="0.25">
      <c r="A115" s="185" t="s">
        <v>784</v>
      </c>
      <c r="B115" s="97">
        <v>44104</v>
      </c>
      <c r="C115" s="164" t="s">
        <v>597</v>
      </c>
      <c r="D115" s="101">
        <v>44134</v>
      </c>
      <c r="E115" s="156">
        <v>8374.7999999999993</v>
      </c>
      <c r="F115" s="156">
        <f>2386.9+90</f>
        <v>2476.9</v>
      </c>
      <c r="G115" s="156">
        <f>+Tabla1[[#This Row],[VALOR FACTURA USD]]+Tabla1[[#This Row],[FLETE + SEGURO]]</f>
        <v>10851.699999999999</v>
      </c>
      <c r="H115" s="100" t="s">
        <v>785</v>
      </c>
      <c r="I115" s="101" t="s">
        <v>340</v>
      </c>
      <c r="J115" s="102">
        <v>6007667285354</v>
      </c>
      <c r="K115" s="101">
        <v>44113</v>
      </c>
      <c r="L115" s="100" t="s">
        <v>593</v>
      </c>
      <c r="M115" s="101">
        <v>44182</v>
      </c>
      <c r="N115" s="122" t="s">
        <v>334</v>
      </c>
    </row>
    <row r="116" spans="1:14" x14ac:dyDescent="0.25">
      <c r="A116" s="162" t="s">
        <v>786</v>
      </c>
      <c r="B116" s="143">
        <v>44112</v>
      </c>
      <c r="C116" s="163" t="s">
        <v>787</v>
      </c>
      <c r="D116" s="145">
        <f>+Tabla1[[#This Row],[FECHA FACTURA]]+30</f>
        <v>44142</v>
      </c>
      <c r="E116" s="146">
        <v>2544</v>
      </c>
      <c r="F116" s="146">
        <v>0</v>
      </c>
      <c r="G116" s="146">
        <f>+Tabla1[[#This Row],[VALOR FACTURA USD]]+Tabla1[[#This Row],[FLETE + SEGURO]]</f>
        <v>2544</v>
      </c>
      <c r="H116" s="147" t="s">
        <v>788</v>
      </c>
      <c r="I116" s="145">
        <v>44131</v>
      </c>
      <c r="J116" s="148">
        <v>6007668223532</v>
      </c>
      <c r="K116" s="145">
        <v>44134</v>
      </c>
      <c r="L116" s="147" t="s">
        <v>748</v>
      </c>
      <c r="M116" s="145"/>
      <c r="N116" s="141" t="s">
        <v>334</v>
      </c>
    </row>
    <row r="117" spans="1:14" x14ac:dyDescent="0.25">
      <c r="A117" s="185" t="s">
        <v>789</v>
      </c>
      <c r="B117" s="97">
        <v>44131</v>
      </c>
      <c r="C117" s="164" t="s">
        <v>642</v>
      </c>
      <c r="D117" s="101">
        <f>+Tabla1[[#This Row],[FECHA FACTURA]]+30</f>
        <v>44161</v>
      </c>
      <c r="E117" s="156">
        <v>72734.100000000006</v>
      </c>
      <c r="F117" s="156">
        <f>560.09+63.91</f>
        <v>624</v>
      </c>
      <c r="G117" s="156">
        <f>+Tabla1[[#This Row],[VALOR FACTURA USD]]+Tabla1[[#This Row],[FLETE + SEGURO]]</f>
        <v>73358.100000000006</v>
      </c>
      <c r="H117" s="100" t="s">
        <v>790</v>
      </c>
      <c r="I117" s="101">
        <v>44154</v>
      </c>
      <c r="J117" s="102">
        <v>6007669250381</v>
      </c>
      <c r="K117" s="101">
        <v>44159</v>
      </c>
      <c r="L117" s="100" t="s">
        <v>593</v>
      </c>
      <c r="M117" s="125" t="s">
        <v>770</v>
      </c>
      <c r="N117" s="122" t="s">
        <v>34</v>
      </c>
    </row>
    <row r="118" spans="1:14" x14ac:dyDescent="0.25">
      <c r="A118" s="162" t="s">
        <v>791</v>
      </c>
      <c r="B118" s="143">
        <v>44139</v>
      </c>
      <c r="C118" s="163" t="s">
        <v>626</v>
      </c>
      <c r="D118" s="145">
        <f>+Tabla1[[#This Row],[FECHA FACTURA]]+30</f>
        <v>44169</v>
      </c>
      <c r="E118" s="146">
        <v>2037</v>
      </c>
      <c r="F118" s="146">
        <f>1000+160+25</f>
        <v>1185</v>
      </c>
      <c r="G118" s="146">
        <f>+Tabla1[[#This Row],[VALOR FACTURA USD]]+Tabla1[[#This Row],[FLETE + SEGURO]]</f>
        <v>3222</v>
      </c>
      <c r="H118" s="147" t="s">
        <v>792</v>
      </c>
      <c r="I118" s="145">
        <v>44142</v>
      </c>
      <c r="J118" s="148">
        <v>6007669010211</v>
      </c>
      <c r="K118" s="145">
        <v>44152</v>
      </c>
      <c r="L118" s="147" t="s">
        <v>748</v>
      </c>
      <c r="M118" s="100" t="s">
        <v>770</v>
      </c>
      <c r="N118" s="141" t="s">
        <v>334</v>
      </c>
    </row>
    <row r="119" spans="1:14" x14ac:dyDescent="0.25">
      <c r="A119" s="185" t="s">
        <v>793</v>
      </c>
      <c r="B119" s="97">
        <v>44145</v>
      </c>
      <c r="C119" s="91" t="s">
        <v>642</v>
      </c>
      <c r="D119" s="101">
        <f>+Tabla1[[#This Row],[FECHA FACTURA]]+30</f>
        <v>44175</v>
      </c>
      <c r="E119" s="156">
        <v>54129.22</v>
      </c>
      <c r="F119" s="156">
        <f>544.17+46.91</f>
        <v>591.07999999999993</v>
      </c>
      <c r="G119" s="156">
        <f>+Tabla1[[#This Row],[VALOR FACTURA USD]]+Tabla1[[#This Row],[FLETE + SEGURO]]</f>
        <v>54720.3</v>
      </c>
      <c r="H119" s="100" t="s">
        <v>340</v>
      </c>
      <c r="I119" s="101" t="s">
        <v>340</v>
      </c>
      <c r="J119" s="102">
        <v>6007669250405</v>
      </c>
      <c r="K119" s="101" t="s">
        <v>794</v>
      </c>
      <c r="L119" s="100" t="s">
        <v>593</v>
      </c>
      <c r="M119" s="100" t="s">
        <v>770</v>
      </c>
      <c r="N119" s="122" t="s">
        <v>34</v>
      </c>
    </row>
    <row r="120" spans="1:14" x14ac:dyDescent="0.25">
      <c r="A120" s="162" t="s">
        <v>795</v>
      </c>
      <c r="B120" s="143">
        <v>44152</v>
      </c>
      <c r="C120" s="151" t="s">
        <v>600</v>
      </c>
      <c r="D120" s="153">
        <v>44152</v>
      </c>
      <c r="E120" s="146">
        <v>36894</v>
      </c>
      <c r="F120" s="154">
        <v>0</v>
      </c>
      <c r="G120" s="146">
        <f>+Tabla1[[#This Row],[VALOR FACTURA USD]]+Tabla1[[#This Row],[FLETE + SEGURO]]</f>
        <v>36894</v>
      </c>
      <c r="H120" s="147" t="s">
        <v>796</v>
      </c>
      <c r="I120" s="145">
        <v>44160</v>
      </c>
      <c r="J120" s="148">
        <v>6007669576616</v>
      </c>
      <c r="K120" s="145">
        <v>44163</v>
      </c>
      <c r="L120" s="147" t="s">
        <v>748</v>
      </c>
      <c r="M120" s="145"/>
      <c r="N120" s="57" t="s">
        <v>334</v>
      </c>
    </row>
    <row r="121" spans="1:14" x14ac:dyDescent="0.25">
      <c r="A121" s="162" t="s">
        <v>797</v>
      </c>
      <c r="B121" s="143">
        <v>44155</v>
      </c>
      <c r="C121" s="151" t="s">
        <v>626</v>
      </c>
      <c r="D121" s="153">
        <f>+Tabla1[[#This Row],[FECHA FACTURA]]+30</f>
        <v>44185</v>
      </c>
      <c r="E121" s="146">
        <v>10223.799999999999</v>
      </c>
      <c r="F121" s="154">
        <v>610</v>
      </c>
      <c r="G121" s="146">
        <f>+Tabla1[[#This Row],[VALOR FACTURA USD]]+Tabla1[[#This Row],[FLETE + SEGURO]]</f>
        <v>10833.8</v>
      </c>
      <c r="H121" s="147" t="s">
        <v>340</v>
      </c>
      <c r="I121" s="145" t="s">
        <v>340</v>
      </c>
      <c r="J121" s="148" t="s">
        <v>340</v>
      </c>
      <c r="K121" s="145" t="s">
        <v>340</v>
      </c>
      <c r="L121" s="147" t="s">
        <v>748</v>
      </c>
      <c r="M121" s="145"/>
      <c r="N121" s="149" t="s">
        <v>777</v>
      </c>
    </row>
    <row r="122" spans="1:14" x14ac:dyDescent="0.25">
      <c r="A122" s="155" t="s">
        <v>798</v>
      </c>
      <c r="B122" s="97">
        <v>44160</v>
      </c>
      <c r="C122" s="91" t="s">
        <v>629</v>
      </c>
      <c r="D122" s="101" t="s">
        <v>736</v>
      </c>
      <c r="E122" s="156">
        <v>3968.02</v>
      </c>
      <c r="F122" s="156">
        <v>0</v>
      </c>
      <c r="G122" s="156">
        <f>+Tabla1[[#This Row],[VALOR FACTURA USD]]+Tabla1[[#This Row],[FLETE + SEGURO]]</f>
        <v>3968.02</v>
      </c>
      <c r="H122" s="100" t="s">
        <v>799</v>
      </c>
      <c r="I122" s="101">
        <v>44160</v>
      </c>
      <c r="J122" s="102" t="s">
        <v>800</v>
      </c>
      <c r="K122" s="101" t="s">
        <v>800</v>
      </c>
      <c r="L122" s="100" t="s">
        <v>593</v>
      </c>
      <c r="M122" s="109">
        <v>44152</v>
      </c>
      <c r="N122" s="109" t="s">
        <v>34</v>
      </c>
    </row>
    <row r="123" spans="1:14" x14ac:dyDescent="0.25">
      <c r="A123" s="155" t="s">
        <v>801</v>
      </c>
      <c r="B123" s="97">
        <v>44160</v>
      </c>
      <c r="C123" s="113" t="s">
        <v>802</v>
      </c>
      <c r="D123" s="109" t="s">
        <v>736</v>
      </c>
      <c r="E123" s="157">
        <v>1374.5</v>
      </c>
      <c r="F123" s="158">
        <v>0</v>
      </c>
      <c r="G123" s="156">
        <f>+Tabla1[[#This Row],[VALOR FACTURA USD]]+Tabla1[[#This Row],[FLETE + SEGURO]]</f>
        <v>1374.5</v>
      </c>
      <c r="H123" s="159" t="s">
        <v>803</v>
      </c>
      <c r="I123" s="109">
        <v>44158</v>
      </c>
      <c r="J123" s="160" t="s">
        <v>800</v>
      </c>
      <c r="K123" s="109" t="s">
        <v>800</v>
      </c>
      <c r="L123" s="100" t="s">
        <v>748</v>
      </c>
      <c r="M123" s="109"/>
      <c r="N123" s="109" t="s">
        <v>727</v>
      </c>
    </row>
    <row r="124" spans="1:14" x14ac:dyDescent="0.25">
      <c r="A124" s="150" t="s">
        <v>804</v>
      </c>
      <c r="B124" s="143">
        <v>44162</v>
      </c>
      <c r="C124" s="151" t="s">
        <v>626</v>
      </c>
      <c r="D124" s="153">
        <f>+Tabla1[[#This Row],[FECHA FACTURA]]+30</f>
        <v>44192</v>
      </c>
      <c r="E124" s="146">
        <v>3201</v>
      </c>
      <c r="F124" s="154">
        <v>1570</v>
      </c>
      <c r="G124" s="146">
        <f>+Tabla1[[#This Row],[VALOR FACTURA USD]]+Tabla1[[#This Row],[FLETE + SEGURO]]</f>
        <v>4771</v>
      </c>
      <c r="H124" s="147" t="s">
        <v>340</v>
      </c>
      <c r="I124" s="145" t="s">
        <v>340</v>
      </c>
      <c r="J124" s="148" t="s">
        <v>340</v>
      </c>
      <c r="K124" s="145" t="s">
        <v>340</v>
      </c>
      <c r="L124" s="147" t="s">
        <v>748</v>
      </c>
      <c r="M124" s="145"/>
      <c r="N124" s="149" t="s">
        <v>777</v>
      </c>
    </row>
    <row r="125" spans="1:14" x14ac:dyDescent="0.25">
      <c r="A125" s="170" t="s">
        <v>805</v>
      </c>
      <c r="B125" s="171">
        <v>44182</v>
      </c>
      <c r="C125" s="151" t="s">
        <v>605</v>
      </c>
      <c r="D125" s="173">
        <f>+Tabla1[[#This Row],[FECHA FACTURA]]+30</f>
        <v>44212</v>
      </c>
      <c r="E125" s="169">
        <v>3223.92</v>
      </c>
      <c r="F125" s="174">
        <f>750+70</f>
        <v>820</v>
      </c>
      <c r="G125" s="174">
        <f>+Tabla1[[#This Row],[VALOR FACTURA USD]]+Tabla1[[#This Row],[FLETE + SEGURO]]</f>
        <v>4043.92</v>
      </c>
      <c r="H125" s="175" t="s">
        <v>806</v>
      </c>
      <c r="I125" s="173">
        <v>44185</v>
      </c>
      <c r="J125" s="148">
        <v>6007671579351</v>
      </c>
      <c r="K125" s="145">
        <v>44208</v>
      </c>
      <c r="L125" s="147" t="s">
        <v>593</v>
      </c>
      <c r="M125" s="173"/>
      <c r="N125" s="149" t="s">
        <v>777</v>
      </c>
    </row>
    <row r="126" spans="1:14" x14ac:dyDescent="0.25">
      <c r="A126" s="170" t="s">
        <v>807</v>
      </c>
      <c r="B126" s="171">
        <v>44180</v>
      </c>
      <c r="C126" s="172" t="s">
        <v>594</v>
      </c>
      <c r="D126" s="173">
        <f>+Tabla1[[#This Row],[FECHA FACTURA]]+30</f>
        <v>44210</v>
      </c>
      <c r="E126" s="169">
        <v>17875.5</v>
      </c>
      <c r="F126" s="174">
        <f>250+1046+50</f>
        <v>1346</v>
      </c>
      <c r="G126" s="174">
        <f>+Tabla1[[#This Row],[VALOR FACTURA USD]]+Tabla1[[#This Row],[FLETE + SEGURO]]</f>
        <v>19221.5</v>
      </c>
      <c r="H126" s="175" t="s">
        <v>808</v>
      </c>
      <c r="I126" s="173">
        <v>44190</v>
      </c>
      <c r="J126" s="176">
        <v>6007670983056</v>
      </c>
      <c r="K126" s="173">
        <v>44193</v>
      </c>
      <c r="L126" s="175" t="s">
        <v>748</v>
      </c>
      <c r="M126" s="173"/>
      <c r="N126" s="57" t="s">
        <v>334</v>
      </c>
    </row>
    <row r="127" spans="1:14" x14ac:dyDescent="0.25">
      <c r="A127" s="170" t="s">
        <v>809</v>
      </c>
      <c r="B127" s="171">
        <v>44187</v>
      </c>
      <c r="C127" s="172" t="s">
        <v>597</v>
      </c>
      <c r="D127" s="173">
        <f>+Tabla1[[#This Row],[FECHA FACTURA]]+30</f>
        <v>44217</v>
      </c>
      <c r="E127" s="169">
        <v>1584.45</v>
      </c>
      <c r="F127" s="174">
        <f>560+80</f>
        <v>640</v>
      </c>
      <c r="G127" s="174">
        <f>+Tabla1[[#This Row],[VALOR FACTURA USD]]+Tabla1[[#This Row],[FLETE + SEGURO]]</f>
        <v>2224.4499999999998</v>
      </c>
      <c r="H127" s="147" t="s">
        <v>966</v>
      </c>
      <c r="I127" s="145">
        <v>44191</v>
      </c>
      <c r="J127" s="148">
        <v>6007670885296</v>
      </c>
      <c r="K127" s="145">
        <v>44558</v>
      </c>
      <c r="L127" s="147" t="s">
        <v>718</v>
      </c>
      <c r="M127" s="173"/>
      <c r="N127" s="149" t="s">
        <v>777</v>
      </c>
    </row>
    <row r="128" spans="1:14" x14ac:dyDescent="0.25">
      <c r="A128" s="183">
        <v>2021</v>
      </c>
      <c r="B128" s="178"/>
      <c r="C128" s="184"/>
      <c r="D128" s="179"/>
      <c r="E128" s="177"/>
      <c r="F128" s="180"/>
      <c r="G128" s="180"/>
      <c r="H128" s="181"/>
      <c r="I128" s="179"/>
      <c r="J128" s="182"/>
      <c r="K128" s="179"/>
      <c r="L128" s="181"/>
      <c r="M128" s="179"/>
      <c r="N128" s="179"/>
    </row>
    <row r="129" spans="1:14" x14ac:dyDescent="0.25">
      <c r="A129" s="226" t="s">
        <v>810</v>
      </c>
      <c r="B129" s="28">
        <v>44200</v>
      </c>
      <c r="C129" s="20" t="s">
        <v>626</v>
      </c>
      <c r="D129" s="7">
        <f>+Tabla1[[#This Row],[FECHA FACTURA]]+30</f>
        <v>44230</v>
      </c>
      <c r="E129" s="227">
        <v>6135</v>
      </c>
      <c r="F129" s="227">
        <f>110+1507.07+20</f>
        <v>1637.07</v>
      </c>
      <c r="G129" s="227">
        <f>+Tabla1[[#This Row],[VALOR FACTURA USD]]+Tabla1[[#This Row],[FLETE + SEGURO]]</f>
        <v>7772.07</v>
      </c>
      <c r="H129" s="147" t="s">
        <v>340</v>
      </c>
      <c r="I129" s="145" t="s">
        <v>340</v>
      </c>
      <c r="J129" s="148" t="s">
        <v>340</v>
      </c>
      <c r="K129" s="145" t="s">
        <v>340</v>
      </c>
      <c r="L129" s="147" t="s">
        <v>748</v>
      </c>
      <c r="M129" s="7"/>
      <c r="N129" s="149" t="s">
        <v>777</v>
      </c>
    </row>
    <row r="130" spans="1:14" x14ac:dyDescent="0.25">
      <c r="A130" s="226" t="s">
        <v>810</v>
      </c>
      <c r="B130" s="28">
        <v>44200</v>
      </c>
      <c r="C130" s="20" t="s">
        <v>626</v>
      </c>
      <c r="D130" s="7">
        <v>44230</v>
      </c>
      <c r="E130" s="227">
        <v>6135</v>
      </c>
      <c r="F130" s="227">
        <f>110+1507.7+20</f>
        <v>1637.7</v>
      </c>
      <c r="G130" s="227">
        <f>+Tabla1[[#This Row],[VALOR FACTURA USD]]+Tabla1[[#This Row],[FLETE + SEGURO]]</f>
        <v>7772.7</v>
      </c>
      <c r="H130" s="147" t="s">
        <v>811</v>
      </c>
      <c r="I130" s="145">
        <v>44203</v>
      </c>
      <c r="J130" s="148">
        <v>6007671641149</v>
      </c>
      <c r="K130" s="145">
        <v>44208</v>
      </c>
      <c r="L130" s="147" t="s">
        <v>748</v>
      </c>
      <c r="M130" s="7"/>
      <c r="N130" s="225" t="s">
        <v>34</v>
      </c>
    </row>
    <row r="131" spans="1:14" x14ac:dyDescent="0.25">
      <c r="A131" s="226" t="s">
        <v>812</v>
      </c>
      <c r="B131" s="28">
        <v>44201</v>
      </c>
      <c r="C131" s="20" t="s">
        <v>597</v>
      </c>
      <c r="D131" s="7">
        <f>+Tabla1[[#This Row],[FECHA FACTURA]]+30</f>
        <v>44231</v>
      </c>
      <c r="E131" s="227">
        <v>7172.28</v>
      </c>
      <c r="F131" s="227">
        <f>430+50</f>
        <v>480</v>
      </c>
      <c r="G131" s="227">
        <f>+Tabla1[[#This Row],[VALOR FACTURA USD]]+Tabla1[[#This Row],[FLETE + SEGURO]]</f>
        <v>7652.28</v>
      </c>
      <c r="H131" s="147" t="s">
        <v>813</v>
      </c>
      <c r="I131" s="145">
        <v>44221</v>
      </c>
      <c r="J131" s="148">
        <v>6007672269901</v>
      </c>
      <c r="K131" s="145">
        <v>44221</v>
      </c>
      <c r="L131" s="147" t="s">
        <v>748</v>
      </c>
      <c r="M131" s="145"/>
      <c r="N131" s="57" t="s">
        <v>334</v>
      </c>
    </row>
    <row r="132" spans="1:14" x14ac:dyDescent="0.25">
      <c r="A132" s="226" t="s">
        <v>814</v>
      </c>
      <c r="B132" s="28">
        <v>44211</v>
      </c>
      <c r="C132" s="20" t="s">
        <v>626</v>
      </c>
      <c r="D132" s="7">
        <v>44241</v>
      </c>
      <c r="E132" s="227">
        <f>+Tabla1[[#This Row],[VR FOB O CIF]]+Tabla1[[#This Row],[FLETE + SEGURO]]</f>
        <v>20673.7</v>
      </c>
      <c r="F132" s="227">
        <f>130+449.5+15</f>
        <v>594.5</v>
      </c>
      <c r="G132" s="227">
        <v>20079.2</v>
      </c>
      <c r="H132" s="12" t="s">
        <v>815</v>
      </c>
      <c r="I132" s="7">
        <v>44219</v>
      </c>
      <c r="J132" s="15">
        <v>6007672277141</v>
      </c>
      <c r="K132" s="7">
        <v>44224</v>
      </c>
      <c r="L132" s="147" t="s">
        <v>748</v>
      </c>
      <c r="M132" s="7"/>
      <c r="N132" s="7"/>
    </row>
    <row r="133" spans="1:14" x14ac:dyDescent="0.25">
      <c r="A133" s="226" t="s">
        <v>816</v>
      </c>
      <c r="B133" s="28">
        <v>44217</v>
      </c>
      <c r="C133" s="20" t="s">
        <v>591</v>
      </c>
      <c r="D133" s="7">
        <v>44247</v>
      </c>
      <c r="E133" s="227">
        <f>+Tabla1[[#This Row],[VR FOB O CIF]]-Tabla1[[#This Row],[FLETE + SEGURO]]</f>
        <v>13931.599999999999</v>
      </c>
      <c r="F133" s="227">
        <f>4576+50</f>
        <v>4626</v>
      </c>
      <c r="G133" s="227">
        <v>18557.599999999999</v>
      </c>
      <c r="H133" s="12" t="s">
        <v>817</v>
      </c>
      <c r="I133" s="7">
        <v>44217</v>
      </c>
      <c r="J133" s="15">
        <v>6007672414967</v>
      </c>
      <c r="K133" s="7">
        <v>44223</v>
      </c>
      <c r="L133" s="147" t="s">
        <v>748</v>
      </c>
      <c r="M133" s="7"/>
      <c r="N133" s="57" t="s">
        <v>334</v>
      </c>
    </row>
    <row r="134" spans="1:14" x14ac:dyDescent="0.25">
      <c r="A134" s="226" t="s">
        <v>818</v>
      </c>
      <c r="B134" s="28">
        <v>44218</v>
      </c>
      <c r="C134" s="20" t="s">
        <v>591</v>
      </c>
      <c r="D134" s="7">
        <v>44248</v>
      </c>
      <c r="E134" s="227">
        <f>+Tabla1[[#This Row],[VR FOB O CIF]]-Tabla1[[#This Row],[FLETE + SEGURO]]</f>
        <v>32994.94</v>
      </c>
      <c r="F134" s="227">
        <f>148.44+375+50.42</f>
        <v>573.86</v>
      </c>
      <c r="G134" s="227">
        <v>33568.800000000003</v>
      </c>
      <c r="H134" s="12" t="s">
        <v>819</v>
      </c>
      <c r="I134" s="7" t="s">
        <v>820</v>
      </c>
      <c r="J134" s="15">
        <v>6007672929135</v>
      </c>
      <c r="K134" s="7" t="s">
        <v>875</v>
      </c>
      <c r="L134" s="147" t="s">
        <v>748</v>
      </c>
      <c r="M134" s="7"/>
      <c r="N134" s="7"/>
    </row>
    <row r="135" spans="1:14" x14ac:dyDescent="0.25">
      <c r="A135" s="226" t="s">
        <v>821</v>
      </c>
      <c r="B135" s="28">
        <v>44223</v>
      </c>
      <c r="C135" s="20" t="s">
        <v>822</v>
      </c>
      <c r="D135" s="7">
        <v>44238</v>
      </c>
      <c r="E135" s="227">
        <v>1200</v>
      </c>
      <c r="F135" s="227">
        <v>0</v>
      </c>
      <c r="G135" s="227">
        <f>+Tabla1[[#This Row],[VALOR FACTURA USD]]+Tabla1[[#This Row],[FLETE + SEGURO]]</f>
        <v>1200</v>
      </c>
      <c r="H135" s="12" t="s">
        <v>823</v>
      </c>
      <c r="I135" s="7">
        <v>44225</v>
      </c>
      <c r="J135" s="15">
        <v>6007672655564</v>
      </c>
      <c r="K135" s="7" t="s">
        <v>874</v>
      </c>
      <c r="L135" s="147" t="s">
        <v>748</v>
      </c>
      <c r="M135" s="7"/>
      <c r="N135" s="225" t="s">
        <v>34</v>
      </c>
    </row>
    <row r="136" spans="1:14" x14ac:dyDescent="0.25">
      <c r="A136" s="226" t="s">
        <v>824</v>
      </c>
      <c r="B136" s="28">
        <v>44242</v>
      </c>
      <c r="C136" s="20" t="s">
        <v>656</v>
      </c>
      <c r="D136" s="7">
        <v>44242</v>
      </c>
      <c r="E136" s="227">
        <v>5796</v>
      </c>
      <c r="F136" s="227">
        <f>1650+95</f>
        <v>1745</v>
      </c>
      <c r="G136" s="227">
        <f>+Tabla1[[#This Row],[VALOR FACTURA USD]]+Tabla1[[#This Row],[FLETE + SEGURO]]</f>
        <v>7541</v>
      </c>
      <c r="H136" s="12" t="s">
        <v>825</v>
      </c>
      <c r="I136" s="7">
        <v>44243</v>
      </c>
      <c r="J136" s="15">
        <v>6007673886198</v>
      </c>
      <c r="K136" s="7">
        <v>44252</v>
      </c>
      <c r="L136" s="147" t="s">
        <v>593</v>
      </c>
      <c r="M136" s="7"/>
      <c r="N136" s="225" t="s">
        <v>34</v>
      </c>
    </row>
    <row r="137" spans="1:14" x14ac:dyDescent="0.25">
      <c r="A137" s="226" t="s">
        <v>826</v>
      </c>
      <c r="B137" s="28">
        <v>44245</v>
      </c>
      <c r="C137" s="20" t="s">
        <v>597</v>
      </c>
      <c r="D137" s="7">
        <v>44275</v>
      </c>
      <c r="E137" s="227">
        <f>+Tabla1[[#This Row],[VR FOB O CIF]]-Tabla1[[#This Row],[FLETE + SEGURO]]</f>
        <v>22034.28</v>
      </c>
      <c r="F137" s="227">
        <f>520+65</f>
        <v>585</v>
      </c>
      <c r="G137" s="227">
        <v>22619.279999999999</v>
      </c>
      <c r="H137" s="12" t="s">
        <v>827</v>
      </c>
      <c r="I137" s="7">
        <v>44260</v>
      </c>
      <c r="J137" s="15">
        <v>6007674423891</v>
      </c>
      <c r="K137" s="7">
        <v>44263</v>
      </c>
      <c r="L137" s="147" t="s">
        <v>748</v>
      </c>
      <c r="M137" s="7"/>
      <c r="N137" s="57" t="s">
        <v>334</v>
      </c>
    </row>
    <row r="138" spans="1:14" x14ac:dyDescent="0.25">
      <c r="A138" s="226" t="s">
        <v>828</v>
      </c>
      <c r="B138" s="28">
        <v>44245</v>
      </c>
      <c r="C138" s="20" t="s">
        <v>626</v>
      </c>
      <c r="D138" s="7">
        <v>44275</v>
      </c>
      <c r="E138" s="227">
        <v>2037</v>
      </c>
      <c r="F138" s="227">
        <f>100+970+20</f>
        <v>1090</v>
      </c>
      <c r="G138" s="227">
        <f>+Tabla1[[#This Row],[VALOR FACTURA USD]]+Tabla1[[#This Row],[FLETE + SEGURO]]</f>
        <v>3127</v>
      </c>
      <c r="H138" s="12" t="s">
        <v>829</v>
      </c>
      <c r="I138" s="7">
        <v>44245</v>
      </c>
      <c r="J138" s="15">
        <v>6007673846587</v>
      </c>
      <c r="K138" s="7">
        <v>44251</v>
      </c>
      <c r="L138" s="147" t="s">
        <v>748</v>
      </c>
      <c r="M138" s="7"/>
      <c r="N138" s="7"/>
    </row>
    <row r="139" spans="1:14" x14ac:dyDescent="0.25">
      <c r="A139" s="226" t="s">
        <v>830</v>
      </c>
      <c r="B139" s="28">
        <v>44252</v>
      </c>
      <c r="C139" s="20" t="s">
        <v>626</v>
      </c>
      <c r="D139" s="7">
        <v>44282</v>
      </c>
      <c r="E139" s="227">
        <f>+Tabla1[[#This Row],[VR FOB O CIF]]-Tabla1[[#This Row],[FLETE + SEGURO]]</f>
        <v>63100.5</v>
      </c>
      <c r="F139" s="227">
        <f>100+960+15</f>
        <v>1075</v>
      </c>
      <c r="G139" s="227">
        <v>64175.5</v>
      </c>
      <c r="H139" s="12" t="s">
        <v>831</v>
      </c>
      <c r="I139" s="7">
        <v>44262</v>
      </c>
      <c r="J139" s="15">
        <v>6007674435647</v>
      </c>
      <c r="K139" s="7">
        <v>44264</v>
      </c>
      <c r="L139" s="147" t="s">
        <v>748</v>
      </c>
      <c r="M139" s="7"/>
      <c r="N139" s="7"/>
    </row>
    <row r="140" spans="1:14" x14ac:dyDescent="0.25">
      <c r="A140" s="226" t="s">
        <v>832</v>
      </c>
      <c r="B140" s="28">
        <v>44253</v>
      </c>
      <c r="C140" s="20" t="s">
        <v>833</v>
      </c>
      <c r="D140" s="7">
        <v>44268</v>
      </c>
      <c r="E140" s="227">
        <v>2327.5</v>
      </c>
      <c r="F140" s="227">
        <f>130+450+15</f>
        <v>595</v>
      </c>
      <c r="G140" s="227">
        <f>+Tabla1[[#This Row],[VALOR FACTURA USD]]+Tabla1[[#This Row],[FLETE + SEGURO]]</f>
        <v>2922.5</v>
      </c>
      <c r="H140" s="12" t="s">
        <v>834</v>
      </c>
      <c r="I140" s="7">
        <v>44276</v>
      </c>
      <c r="J140" s="15">
        <v>6007675120151</v>
      </c>
      <c r="K140" s="7">
        <v>44279</v>
      </c>
      <c r="L140" s="147" t="s">
        <v>748</v>
      </c>
      <c r="M140" s="7"/>
      <c r="N140" s="7"/>
    </row>
    <row r="141" spans="1:14" x14ac:dyDescent="0.25">
      <c r="A141" s="226" t="s">
        <v>835</v>
      </c>
      <c r="B141" s="28">
        <v>44258</v>
      </c>
      <c r="C141" s="20" t="s">
        <v>594</v>
      </c>
      <c r="D141" s="7">
        <v>44303</v>
      </c>
      <c r="E141" s="227">
        <f>+Tabla1[[#This Row],[VR FOB O CIF]]-Tabla1[[#This Row],[FLETE + SEGURO]]</f>
        <v>17207</v>
      </c>
      <c r="F141" s="227">
        <f>100+1150+15</f>
        <v>1265</v>
      </c>
      <c r="G141" s="227">
        <v>18472</v>
      </c>
      <c r="H141" s="12" t="s">
        <v>836</v>
      </c>
      <c r="I141" s="7">
        <v>44283</v>
      </c>
      <c r="J141" s="15">
        <v>6007675458507</v>
      </c>
      <c r="K141" s="7" t="s">
        <v>876</v>
      </c>
      <c r="L141" s="147" t="s">
        <v>748</v>
      </c>
      <c r="M141" s="7"/>
      <c r="N141" s="57" t="s">
        <v>334</v>
      </c>
    </row>
    <row r="142" spans="1:14" x14ac:dyDescent="0.25">
      <c r="A142" s="226" t="s">
        <v>837</v>
      </c>
      <c r="B142" s="28">
        <v>44259</v>
      </c>
      <c r="C142" s="20" t="s">
        <v>838</v>
      </c>
      <c r="D142" s="7">
        <v>44289</v>
      </c>
      <c r="E142" s="227">
        <v>1253.5999999999999</v>
      </c>
      <c r="F142" s="227">
        <f>1000+35</f>
        <v>1035</v>
      </c>
      <c r="G142" s="227">
        <f>+Tabla1[[#This Row],[VALOR FACTURA USD]]+Tabla1[[#This Row],[FLETE + SEGURO]]</f>
        <v>2288.6</v>
      </c>
      <c r="H142" s="265">
        <v>3232707052</v>
      </c>
      <c r="I142" s="7">
        <v>44272</v>
      </c>
      <c r="J142" s="15" t="s">
        <v>800</v>
      </c>
      <c r="K142" s="7" t="s">
        <v>800</v>
      </c>
      <c r="L142" s="147" t="s">
        <v>593</v>
      </c>
      <c r="M142" s="7">
        <v>44364</v>
      </c>
      <c r="N142" s="57" t="s">
        <v>334</v>
      </c>
    </row>
    <row r="143" spans="1:14" x14ac:dyDescent="0.25">
      <c r="A143" s="226" t="s">
        <v>839</v>
      </c>
      <c r="B143" s="28">
        <v>44271</v>
      </c>
      <c r="C143" s="20" t="s">
        <v>642</v>
      </c>
      <c r="D143" s="7">
        <v>44301</v>
      </c>
      <c r="E143" s="227">
        <f>+Tabla1[[#This Row],[VR FOB O CIF]]-Tabla1[[#This Row],[FLETE + SEGURO]]</f>
        <v>55158.48</v>
      </c>
      <c r="F143" s="227">
        <f>662.76+526+49.76</f>
        <v>1238.52</v>
      </c>
      <c r="G143" s="227">
        <v>56397</v>
      </c>
      <c r="H143" s="12" t="s">
        <v>840</v>
      </c>
      <c r="I143" s="7">
        <v>44292</v>
      </c>
      <c r="J143" s="15">
        <v>6007675997113</v>
      </c>
      <c r="K143" s="7" t="s">
        <v>863</v>
      </c>
      <c r="L143" s="147" t="s">
        <v>748</v>
      </c>
      <c r="M143" s="7"/>
      <c r="N143" s="225" t="s">
        <v>34</v>
      </c>
    </row>
    <row r="144" spans="1:14" x14ac:dyDescent="0.25">
      <c r="A144" s="226" t="s">
        <v>841</v>
      </c>
      <c r="B144" s="28">
        <v>44271</v>
      </c>
      <c r="C144" s="20" t="s">
        <v>842</v>
      </c>
      <c r="D144" s="7">
        <v>44271</v>
      </c>
      <c r="E144" s="227">
        <v>4107.67</v>
      </c>
      <c r="F144" s="227">
        <f>695+50</f>
        <v>745</v>
      </c>
      <c r="G144" s="227">
        <f>+Tabla1[[#This Row],[VALOR FACTURA USD]]+Tabla1[[#This Row],[FLETE + SEGURO]]</f>
        <v>4852.67</v>
      </c>
      <c r="H144" s="12" t="s">
        <v>843</v>
      </c>
      <c r="I144" s="7">
        <v>44272</v>
      </c>
      <c r="J144" s="15">
        <v>6007675108309</v>
      </c>
      <c r="K144" s="7">
        <v>44279</v>
      </c>
      <c r="L144" s="147" t="s">
        <v>748</v>
      </c>
      <c r="M144" s="7"/>
      <c r="N144" s="57" t="s">
        <v>334</v>
      </c>
    </row>
    <row r="145" spans="1:15" x14ac:dyDescent="0.25">
      <c r="A145" s="226" t="s">
        <v>844</v>
      </c>
      <c r="B145" s="28">
        <v>44278</v>
      </c>
      <c r="C145" s="20" t="s">
        <v>787</v>
      </c>
      <c r="D145" s="7">
        <v>44308</v>
      </c>
      <c r="E145" s="227">
        <v>6701.5</v>
      </c>
      <c r="F145" s="227">
        <f>682+80</f>
        <v>762</v>
      </c>
      <c r="G145" s="227">
        <f>+Tabla1[[#This Row],[VALOR FACTURA USD]]+Tabla1[[#This Row],[FLETE + SEGURO]]</f>
        <v>7463.5</v>
      </c>
      <c r="H145" s="12" t="s">
        <v>845</v>
      </c>
      <c r="I145" s="7">
        <v>44283</v>
      </c>
      <c r="J145" s="15">
        <v>6007675382509</v>
      </c>
      <c r="K145" s="7">
        <v>44284</v>
      </c>
      <c r="L145" s="147" t="s">
        <v>748</v>
      </c>
      <c r="M145" s="7"/>
      <c r="N145" s="57" t="s">
        <v>334</v>
      </c>
    </row>
    <row r="146" spans="1:15" x14ac:dyDescent="0.25">
      <c r="A146" s="226" t="s">
        <v>846</v>
      </c>
      <c r="B146" s="28">
        <v>44281</v>
      </c>
      <c r="C146" s="20" t="s">
        <v>642</v>
      </c>
      <c r="D146" s="7">
        <v>44311</v>
      </c>
      <c r="E146" s="227">
        <v>58841.21</v>
      </c>
      <c r="F146" s="227">
        <f>650+49.63</f>
        <v>699.63</v>
      </c>
      <c r="G146" s="227">
        <f>+Tabla1[[#This Row],[VALOR FACTURA USD]]+Tabla1[[#This Row],[FLETE + SEGURO]]</f>
        <v>59540.84</v>
      </c>
      <c r="H146" s="12" t="s">
        <v>847</v>
      </c>
      <c r="I146" s="7">
        <v>44301</v>
      </c>
      <c r="J146" s="15">
        <v>6007676312663</v>
      </c>
      <c r="K146" s="7" t="s">
        <v>877</v>
      </c>
      <c r="L146" s="147" t="s">
        <v>748</v>
      </c>
      <c r="M146" s="7"/>
      <c r="N146" s="225" t="s">
        <v>34</v>
      </c>
    </row>
    <row r="147" spans="1:15" x14ac:dyDescent="0.25">
      <c r="A147" s="226" t="s">
        <v>848</v>
      </c>
      <c r="B147" s="28">
        <v>44284</v>
      </c>
      <c r="C147" s="20" t="s">
        <v>849</v>
      </c>
      <c r="D147" s="7">
        <v>44284</v>
      </c>
      <c r="E147" s="227">
        <v>7674.1</v>
      </c>
      <c r="F147" s="227">
        <v>0</v>
      </c>
      <c r="G147" s="227">
        <f>+Tabla1[[#This Row],[VALOR FACTURA USD]]+Tabla1[[#This Row],[FLETE + SEGURO]]</f>
        <v>7674.1</v>
      </c>
      <c r="H147" s="12" t="s">
        <v>850</v>
      </c>
      <c r="I147" s="7">
        <v>44307</v>
      </c>
      <c r="J147" s="15">
        <v>6007676665304</v>
      </c>
      <c r="K147" s="7" t="s">
        <v>878</v>
      </c>
      <c r="L147" s="147" t="s">
        <v>748</v>
      </c>
      <c r="M147" s="7"/>
      <c r="N147" s="7"/>
    </row>
    <row r="148" spans="1:15" x14ac:dyDescent="0.25">
      <c r="A148" s="226" t="s">
        <v>851</v>
      </c>
      <c r="B148" s="28">
        <v>44293</v>
      </c>
      <c r="C148" s="20" t="s">
        <v>852</v>
      </c>
      <c r="D148" s="7">
        <v>44293</v>
      </c>
      <c r="E148" s="227">
        <v>738.3</v>
      </c>
      <c r="F148" s="227">
        <f>500+40</f>
        <v>540</v>
      </c>
      <c r="G148" s="227">
        <f>+Tabla1[[#This Row],[VALOR FACTURA USD]]+Tabla1[[#This Row],[FLETE + SEGURO]]</f>
        <v>1278.3</v>
      </c>
      <c r="H148" s="12" t="s">
        <v>853</v>
      </c>
      <c r="I148" s="7">
        <v>44293</v>
      </c>
      <c r="J148" s="15">
        <v>6007676024421</v>
      </c>
      <c r="K148" s="7">
        <v>44299</v>
      </c>
      <c r="L148" s="147" t="s">
        <v>748</v>
      </c>
      <c r="M148" s="7"/>
      <c r="N148" s="7"/>
    </row>
    <row r="149" spans="1:15" x14ac:dyDescent="0.25">
      <c r="A149" s="226" t="s">
        <v>854</v>
      </c>
      <c r="B149" s="28">
        <v>44300</v>
      </c>
      <c r="C149" s="20" t="s">
        <v>642</v>
      </c>
      <c r="D149" s="7">
        <v>44330</v>
      </c>
      <c r="E149" s="227">
        <v>37010.5</v>
      </c>
      <c r="F149" s="227">
        <f>546.7+51.4</f>
        <v>598.1</v>
      </c>
      <c r="G149" s="227">
        <f>+Tabla1[[#This Row],[VALOR FACTURA USD]]+Tabla1[[#This Row],[FLETE + SEGURO]]</f>
        <v>37608.6</v>
      </c>
      <c r="H149" s="12" t="s">
        <v>866</v>
      </c>
      <c r="I149" s="7" t="s">
        <v>867</v>
      </c>
      <c r="J149" s="15">
        <v>6007677045132</v>
      </c>
      <c r="K149" s="7" t="s">
        <v>865</v>
      </c>
      <c r="L149" s="147" t="s">
        <v>593</v>
      </c>
      <c r="M149" s="7"/>
      <c r="N149" s="149" t="s">
        <v>777</v>
      </c>
    </row>
    <row r="150" spans="1:15" x14ac:dyDescent="0.25">
      <c r="A150" s="226" t="s">
        <v>855</v>
      </c>
      <c r="B150" s="28">
        <v>44306</v>
      </c>
      <c r="C150" s="20" t="s">
        <v>626</v>
      </c>
      <c r="D150" s="7">
        <v>44336</v>
      </c>
      <c r="E150" s="227">
        <v>1280</v>
      </c>
      <c r="F150" s="227">
        <f>732.7+30</f>
        <v>762.7</v>
      </c>
      <c r="G150" s="227">
        <f>+Tabla1[[#This Row],[VALOR FACTURA USD]]+Tabla1[[#This Row],[FLETE + SEGURO]]</f>
        <v>2042.7</v>
      </c>
      <c r="H150" s="12" t="s">
        <v>856</v>
      </c>
      <c r="I150" s="7">
        <v>44308</v>
      </c>
      <c r="J150" s="15">
        <v>6007676774034</v>
      </c>
      <c r="K150" s="7">
        <v>44312</v>
      </c>
      <c r="L150" s="147" t="s">
        <v>748</v>
      </c>
      <c r="M150" s="7"/>
      <c r="N150" s="7"/>
    </row>
    <row r="151" spans="1:15" x14ac:dyDescent="0.25">
      <c r="A151" s="226" t="s">
        <v>857</v>
      </c>
      <c r="B151" s="28">
        <v>44309</v>
      </c>
      <c r="C151" s="20" t="s">
        <v>626</v>
      </c>
      <c r="D151" s="7">
        <v>44339</v>
      </c>
      <c r="E151" s="227">
        <v>25871.5</v>
      </c>
      <c r="F151" s="227">
        <f>380+50</f>
        <v>430</v>
      </c>
      <c r="G151" s="227">
        <f>+Tabla1[[#This Row],[VALOR FACTURA USD]]+Tabla1[[#This Row],[FLETE + SEGURO]]</f>
        <v>26301.5</v>
      </c>
      <c r="H151" s="12" t="s">
        <v>858</v>
      </c>
      <c r="I151" s="7" t="s">
        <v>864</v>
      </c>
      <c r="J151" s="15">
        <v>6007677210695</v>
      </c>
      <c r="K151" s="7" t="s">
        <v>879</v>
      </c>
      <c r="L151" s="147" t="s">
        <v>748</v>
      </c>
      <c r="M151" s="7"/>
      <c r="N151" s="259" t="s">
        <v>777</v>
      </c>
    </row>
    <row r="152" spans="1:15" x14ac:dyDescent="0.25">
      <c r="A152" s="226" t="s">
        <v>859</v>
      </c>
      <c r="B152" s="28">
        <v>44309</v>
      </c>
      <c r="C152" s="253" t="s">
        <v>787</v>
      </c>
      <c r="D152" s="7">
        <v>44339</v>
      </c>
      <c r="E152" s="227">
        <v>6923</v>
      </c>
      <c r="F152" s="227">
        <f>785+90</f>
        <v>875</v>
      </c>
      <c r="G152" s="255">
        <f>+Tabla1[[#This Row],[VALOR FACTURA USD]]+Tabla1[[#This Row],[FLETE + SEGURO]]</f>
        <v>7798</v>
      </c>
      <c r="H152" s="12" t="s">
        <v>860</v>
      </c>
      <c r="I152" s="7" t="s">
        <v>861</v>
      </c>
      <c r="J152" s="15">
        <v>6007677164096</v>
      </c>
      <c r="K152" s="7" t="s">
        <v>880</v>
      </c>
      <c r="L152" s="147" t="s">
        <v>748</v>
      </c>
      <c r="M152" s="27"/>
      <c r="N152" s="276" t="s">
        <v>34</v>
      </c>
      <c r="O152" s="279"/>
    </row>
    <row r="153" spans="1:15" x14ac:dyDescent="0.25">
      <c r="A153" s="252" t="s">
        <v>892</v>
      </c>
      <c r="B153" s="254">
        <v>44328</v>
      </c>
      <c r="C153" s="248" t="s">
        <v>833</v>
      </c>
      <c r="D153" s="249"/>
      <c r="E153" s="250"/>
      <c r="F153" s="251"/>
      <c r="G153" s="251"/>
      <c r="H153" s="257" t="s">
        <v>893</v>
      </c>
      <c r="I153" s="237">
        <v>44328</v>
      </c>
      <c r="J153" s="266" t="s">
        <v>800</v>
      </c>
      <c r="K153" s="264" t="s">
        <v>800</v>
      </c>
      <c r="L153" s="268" t="s">
        <v>748</v>
      </c>
      <c r="M153" s="249"/>
      <c r="N153" s="260"/>
      <c r="O153" s="279"/>
    </row>
    <row r="154" spans="1:15" x14ac:dyDescent="0.25">
      <c r="A154" s="261" t="s">
        <v>894</v>
      </c>
      <c r="B154" s="254">
        <v>44335</v>
      </c>
      <c r="C154" s="262" t="s">
        <v>895</v>
      </c>
      <c r="D154" s="249"/>
      <c r="E154" s="250"/>
      <c r="F154" s="251"/>
      <c r="G154" s="251"/>
      <c r="H154" s="263" t="s">
        <v>896</v>
      </c>
      <c r="I154" s="264" t="s">
        <v>897</v>
      </c>
      <c r="J154" s="258">
        <v>6007678810762</v>
      </c>
      <c r="K154" s="237">
        <v>44356</v>
      </c>
      <c r="L154" s="268" t="s">
        <v>593</v>
      </c>
      <c r="M154" s="249"/>
      <c r="N154" s="260"/>
      <c r="O154" s="279"/>
    </row>
    <row r="155" spans="1:15" x14ac:dyDescent="0.25">
      <c r="A155" s="261" t="s">
        <v>932</v>
      </c>
      <c r="B155" s="254">
        <v>44337</v>
      </c>
      <c r="C155" s="262" t="s">
        <v>626</v>
      </c>
      <c r="D155" s="249"/>
      <c r="E155" s="250"/>
      <c r="F155" s="251"/>
      <c r="G155" s="251"/>
      <c r="H155" s="263" t="s">
        <v>933</v>
      </c>
      <c r="I155" s="237">
        <v>44359</v>
      </c>
      <c r="J155" s="258">
        <v>6007679032971</v>
      </c>
      <c r="K155" s="237">
        <v>44362</v>
      </c>
      <c r="L155" s="268" t="s">
        <v>748</v>
      </c>
      <c r="M155" s="249"/>
      <c r="N155" s="260"/>
      <c r="O155" s="279"/>
    </row>
    <row r="156" spans="1:15" x14ac:dyDescent="0.25">
      <c r="A156" s="226" t="s">
        <v>934</v>
      </c>
      <c r="B156" s="28">
        <v>44341</v>
      </c>
      <c r="C156" s="253" t="s">
        <v>597</v>
      </c>
      <c r="D156" s="7"/>
      <c r="E156" s="227"/>
      <c r="F156" s="227"/>
      <c r="G156" s="227"/>
      <c r="H156" s="12" t="s">
        <v>935</v>
      </c>
      <c r="I156" s="256">
        <v>44360</v>
      </c>
      <c r="J156" s="15">
        <v>6027678341447</v>
      </c>
      <c r="K156" s="7">
        <v>44347</v>
      </c>
      <c r="L156" s="12" t="s">
        <v>593</v>
      </c>
      <c r="M156" s="27"/>
      <c r="N156" s="277"/>
      <c r="O156" s="279"/>
    </row>
    <row r="157" spans="1:15" x14ac:dyDescent="0.25">
      <c r="A157" s="226" t="s">
        <v>936</v>
      </c>
      <c r="B157" s="28">
        <v>44348</v>
      </c>
      <c r="C157" s="20" t="s">
        <v>937</v>
      </c>
      <c r="D157" s="7"/>
      <c r="E157" s="227"/>
      <c r="F157" s="227"/>
      <c r="G157" s="227"/>
      <c r="H157" s="12" t="s">
        <v>938</v>
      </c>
      <c r="I157" s="7">
        <v>44360</v>
      </c>
      <c r="J157" s="15">
        <v>6007679083970</v>
      </c>
      <c r="K157" s="7">
        <v>44362</v>
      </c>
      <c r="L157" s="12" t="s">
        <v>593</v>
      </c>
      <c r="M157" s="7"/>
      <c r="N157" s="278"/>
      <c r="O157" s="279"/>
    </row>
    <row r="158" spans="1:15" x14ac:dyDescent="0.25">
      <c r="A158" s="271" t="s">
        <v>951</v>
      </c>
      <c r="B158" s="254">
        <v>44362</v>
      </c>
      <c r="C158" s="272" t="s">
        <v>952</v>
      </c>
      <c r="D158" s="237"/>
      <c r="E158" s="250"/>
      <c r="F158" s="250"/>
      <c r="G158" s="250"/>
      <c r="H158" s="263" t="s">
        <v>953</v>
      </c>
      <c r="I158" s="237">
        <v>44374</v>
      </c>
      <c r="J158" s="258">
        <v>6007679759936</v>
      </c>
      <c r="K158" s="237">
        <v>44376</v>
      </c>
      <c r="L158" s="263" t="s">
        <v>748</v>
      </c>
      <c r="M158" s="237"/>
      <c r="N158" s="249"/>
    </row>
    <row r="159" spans="1:15" x14ac:dyDescent="0.25">
      <c r="A159" s="271" t="s">
        <v>954</v>
      </c>
      <c r="B159" s="254">
        <v>44402</v>
      </c>
      <c r="C159" s="272" t="s">
        <v>955</v>
      </c>
      <c r="D159" s="237"/>
      <c r="E159" s="250"/>
      <c r="F159" s="250"/>
      <c r="G159" s="250"/>
      <c r="H159" s="263" t="s">
        <v>967</v>
      </c>
      <c r="I159" s="237">
        <v>44387</v>
      </c>
      <c r="J159" s="258">
        <v>6007680397511</v>
      </c>
      <c r="K159" s="237">
        <v>44389</v>
      </c>
      <c r="L159" s="263" t="s">
        <v>748</v>
      </c>
      <c r="M159" s="237"/>
      <c r="N159" s="249"/>
    </row>
    <row r="160" spans="1:15" x14ac:dyDescent="0.25">
      <c r="A160" s="271" t="s">
        <v>956</v>
      </c>
      <c r="B160" s="254">
        <v>44376</v>
      </c>
      <c r="C160" s="272" t="s">
        <v>591</v>
      </c>
      <c r="D160" s="237"/>
      <c r="E160" s="250"/>
      <c r="F160" s="250"/>
      <c r="G160" s="250"/>
      <c r="H160" s="263" t="s">
        <v>997</v>
      </c>
      <c r="I160" s="237">
        <v>44396</v>
      </c>
      <c r="J160" s="258">
        <v>6007680871973</v>
      </c>
      <c r="K160" s="237">
        <v>44399</v>
      </c>
      <c r="L160" s="263" t="s">
        <v>748</v>
      </c>
      <c r="M160" s="237"/>
      <c r="N160" s="249"/>
    </row>
    <row r="161" spans="1:14" x14ac:dyDescent="0.25">
      <c r="A161" s="271" t="s">
        <v>957</v>
      </c>
      <c r="B161" s="254">
        <v>44376</v>
      </c>
      <c r="C161" s="272" t="s">
        <v>591</v>
      </c>
      <c r="D161" s="237"/>
      <c r="E161" s="250"/>
      <c r="F161" s="250"/>
      <c r="G161" s="250"/>
      <c r="H161" s="263" t="s">
        <v>958</v>
      </c>
      <c r="I161" s="264" t="s">
        <v>959</v>
      </c>
      <c r="J161" s="258" t="s">
        <v>1003</v>
      </c>
      <c r="K161" s="237" t="s">
        <v>1004</v>
      </c>
      <c r="L161" s="257" t="s">
        <v>748</v>
      </c>
      <c r="M161" s="237"/>
      <c r="N161" s="249"/>
    </row>
    <row r="162" spans="1:14" x14ac:dyDescent="0.25">
      <c r="A162" s="226" t="s">
        <v>960</v>
      </c>
      <c r="B162" s="28">
        <v>44376</v>
      </c>
      <c r="C162" s="20" t="s">
        <v>600</v>
      </c>
      <c r="D162" s="7"/>
      <c r="E162" s="227"/>
      <c r="F162" s="227"/>
      <c r="G162" s="227"/>
      <c r="H162" s="12" t="s">
        <v>1017</v>
      </c>
      <c r="I162" s="7">
        <v>44401</v>
      </c>
      <c r="J162" s="15">
        <v>6007681169191</v>
      </c>
      <c r="K162" s="7">
        <v>44405</v>
      </c>
      <c r="L162" s="12"/>
      <c r="M162" s="7"/>
      <c r="N162" s="269"/>
    </row>
    <row r="163" spans="1:14" x14ac:dyDescent="0.25">
      <c r="A163" s="270" t="s">
        <v>961</v>
      </c>
      <c r="B163" s="254">
        <v>44376</v>
      </c>
      <c r="C163" s="272" t="s">
        <v>636</v>
      </c>
      <c r="D163" s="237"/>
      <c r="E163" s="250"/>
      <c r="F163" s="250"/>
      <c r="G163" s="250"/>
      <c r="H163" s="263" t="s">
        <v>974</v>
      </c>
      <c r="I163" s="237">
        <v>44391</v>
      </c>
      <c r="J163" s="258">
        <v>6007680666000</v>
      </c>
      <c r="K163" s="237">
        <v>44396</v>
      </c>
      <c r="L163" s="263" t="s">
        <v>748</v>
      </c>
      <c r="M163" s="237"/>
      <c r="N163" s="280"/>
    </row>
    <row r="164" spans="1:14" x14ac:dyDescent="0.25">
      <c r="A164" s="281" t="s">
        <v>968</v>
      </c>
      <c r="B164" s="282">
        <v>44384</v>
      </c>
      <c r="C164" s="287" t="s">
        <v>969</v>
      </c>
      <c r="D164" s="280"/>
      <c r="E164" s="283"/>
      <c r="F164" s="284"/>
      <c r="G164" s="284"/>
      <c r="H164" s="288" t="s">
        <v>970</v>
      </c>
      <c r="I164" s="280">
        <v>44387</v>
      </c>
      <c r="J164" s="286">
        <v>6007680532667</v>
      </c>
      <c r="K164" s="280">
        <v>44391</v>
      </c>
      <c r="L164" s="288" t="s">
        <v>748</v>
      </c>
      <c r="M164" s="280"/>
      <c r="N164" s="280"/>
    </row>
    <row r="165" spans="1:14" x14ac:dyDescent="0.25">
      <c r="A165" s="281" t="s">
        <v>971</v>
      </c>
      <c r="B165" s="282">
        <v>44383</v>
      </c>
      <c r="C165" s="287" t="s">
        <v>972</v>
      </c>
      <c r="D165" s="280"/>
      <c r="E165" s="283"/>
      <c r="F165" s="284"/>
      <c r="G165" s="284"/>
      <c r="H165" s="288" t="s">
        <v>973</v>
      </c>
      <c r="I165" s="280">
        <v>44393</v>
      </c>
      <c r="J165" s="286">
        <v>6007680795331</v>
      </c>
      <c r="K165" s="280">
        <v>44396</v>
      </c>
      <c r="L165" s="288" t="s">
        <v>748</v>
      </c>
      <c r="M165" s="280"/>
      <c r="N165" s="280"/>
    </row>
    <row r="166" spans="1:14" x14ac:dyDescent="0.25">
      <c r="A166" s="281" t="s">
        <v>979</v>
      </c>
      <c r="B166" s="282">
        <v>44392</v>
      </c>
      <c r="C166" s="287" t="s">
        <v>969</v>
      </c>
      <c r="D166" s="280"/>
      <c r="E166" s="283"/>
      <c r="F166" s="284"/>
      <c r="G166" s="284"/>
      <c r="H166" s="288" t="s">
        <v>996</v>
      </c>
      <c r="I166" s="280">
        <v>44398</v>
      </c>
      <c r="J166" s="286">
        <v>6007681037918</v>
      </c>
      <c r="K166" s="280">
        <v>44403</v>
      </c>
      <c r="L166" s="285"/>
      <c r="M166" s="280"/>
      <c r="N166" s="280"/>
    </row>
    <row r="167" spans="1:14" x14ac:dyDescent="0.25">
      <c r="A167" s="290" t="s">
        <v>1018</v>
      </c>
      <c r="B167" s="291">
        <v>44404</v>
      </c>
      <c r="C167" s="287" t="s">
        <v>626</v>
      </c>
      <c r="D167" s="292"/>
      <c r="E167" s="293"/>
      <c r="F167" s="294"/>
      <c r="G167" s="294"/>
      <c r="H167" s="288" t="s">
        <v>1032</v>
      </c>
      <c r="I167" s="292">
        <v>44418</v>
      </c>
      <c r="J167" s="295"/>
      <c r="K167" s="292"/>
      <c r="L167" s="288"/>
      <c r="M167" s="292"/>
      <c r="N167" s="292"/>
    </row>
    <row r="168" spans="1:14" x14ac:dyDescent="0.25">
      <c r="A168" s="226"/>
      <c r="B168" s="28"/>
      <c r="C168" s="20"/>
      <c r="D168" s="7"/>
      <c r="E168" s="227"/>
      <c r="F168" s="227"/>
      <c r="G168" s="227"/>
      <c r="H168" s="12"/>
      <c r="I168" s="7"/>
      <c r="J168" s="15"/>
      <c r="K168" s="7"/>
      <c r="L168" s="12"/>
      <c r="M168" s="7"/>
      <c r="N168" s="273"/>
    </row>
    <row r="169" spans="1:14" x14ac:dyDescent="0.25">
      <c r="A169" s="226"/>
      <c r="B169" s="28"/>
      <c r="C169" s="20"/>
      <c r="D169" s="7"/>
      <c r="E169" s="227"/>
      <c r="F169" s="227"/>
      <c r="G169" s="227"/>
      <c r="H169" s="12"/>
      <c r="I169" s="7"/>
      <c r="J169" s="15"/>
      <c r="K169" s="7"/>
      <c r="L169" s="12"/>
      <c r="M169" s="7"/>
      <c r="N169" s="273"/>
    </row>
    <row r="170" spans="1:14" x14ac:dyDescent="0.25">
      <c r="A170" s="226"/>
      <c r="B170" s="28"/>
      <c r="C170" s="20"/>
      <c r="D170" s="7"/>
      <c r="E170" s="227"/>
      <c r="F170" s="227"/>
      <c r="G170" s="227"/>
      <c r="H170" s="12"/>
      <c r="I170" s="7"/>
      <c r="J170" s="15"/>
      <c r="K170" s="7"/>
      <c r="L170" s="12"/>
      <c r="M170" s="7"/>
      <c r="N170" s="273"/>
    </row>
    <row r="171" spans="1:14" x14ac:dyDescent="0.25">
      <c r="A171" s="226"/>
      <c r="B171" s="28"/>
      <c r="C171" s="20"/>
      <c r="D171" s="7"/>
      <c r="E171" s="227"/>
      <c r="F171" s="227"/>
      <c r="G171" s="227"/>
      <c r="H171" s="12"/>
      <c r="I171" s="7"/>
      <c r="J171" s="15"/>
      <c r="K171" s="7"/>
      <c r="L171" s="12"/>
      <c r="M171" s="7"/>
      <c r="N171" s="273"/>
    </row>
    <row r="172" spans="1:14" x14ac:dyDescent="0.25">
      <c r="A172" s="226"/>
      <c r="B172" s="28"/>
      <c r="C172" s="20"/>
      <c r="D172" s="7"/>
      <c r="E172" s="227"/>
      <c r="F172" s="227"/>
      <c r="G172" s="227"/>
      <c r="H172" s="12"/>
      <c r="I172" s="7"/>
      <c r="J172" s="15"/>
      <c r="K172" s="7"/>
      <c r="L172" s="12"/>
      <c r="M172" s="7"/>
      <c r="N172" s="273"/>
    </row>
    <row r="173" spans="1:14" x14ac:dyDescent="0.25">
      <c r="A173" s="226"/>
      <c r="B173" s="28"/>
      <c r="C173" s="20"/>
      <c r="D173" s="7"/>
      <c r="E173" s="227"/>
      <c r="F173" s="227"/>
      <c r="G173" s="227"/>
      <c r="H173" s="12"/>
      <c r="I173" s="7"/>
      <c r="J173" s="15"/>
      <c r="K173" s="7"/>
      <c r="L173" s="12"/>
      <c r="M173" s="7"/>
      <c r="N173" s="273"/>
    </row>
    <row r="174" spans="1:14" x14ac:dyDescent="0.25">
      <c r="A174" s="226"/>
      <c r="B174" s="28"/>
      <c r="C174" s="20"/>
      <c r="D174" s="7"/>
      <c r="E174" s="227"/>
      <c r="F174" s="227"/>
      <c r="G174" s="227"/>
      <c r="H174" s="12"/>
      <c r="I174" s="7"/>
      <c r="J174" s="15"/>
      <c r="K174" s="7"/>
      <c r="L174" s="12"/>
      <c r="M174" s="7"/>
      <c r="N174" s="273"/>
    </row>
    <row r="175" spans="1:14" x14ac:dyDescent="0.25">
      <c r="A175" s="226"/>
      <c r="B175" s="28"/>
      <c r="C175" s="20"/>
      <c r="D175" s="7"/>
      <c r="E175" s="227"/>
      <c r="F175" s="227"/>
      <c r="G175" s="227"/>
      <c r="H175" s="12"/>
      <c r="I175" s="7"/>
      <c r="J175" s="15"/>
      <c r="K175" s="7"/>
      <c r="L175" s="12"/>
      <c r="M175" s="7"/>
      <c r="N175" s="273"/>
    </row>
    <row r="176" spans="1:14" x14ac:dyDescent="0.25">
      <c r="A176" s="226"/>
      <c r="B176" s="28"/>
      <c r="C176" s="20"/>
      <c r="D176" s="7"/>
      <c r="E176" s="227"/>
      <c r="F176" s="227"/>
      <c r="G176" s="227"/>
      <c r="H176" s="12"/>
      <c r="I176" s="7"/>
      <c r="J176" s="15"/>
      <c r="K176" s="7"/>
      <c r="L176" s="12"/>
      <c r="M176" s="7"/>
      <c r="N176" s="273"/>
    </row>
    <row r="177" spans="1:14" x14ac:dyDescent="0.25">
      <c r="A177" s="226"/>
      <c r="B177" s="28"/>
      <c r="C177" s="20"/>
      <c r="D177" s="7"/>
      <c r="E177" s="227"/>
      <c r="F177" s="227"/>
      <c r="G177" s="227"/>
      <c r="H177" s="12"/>
      <c r="I177" s="7"/>
      <c r="J177" s="15"/>
      <c r="K177" s="7"/>
      <c r="L177" s="12"/>
      <c r="M177" s="7"/>
      <c r="N177" s="273"/>
    </row>
    <row r="178" spans="1:14" x14ac:dyDescent="0.25">
      <c r="A178" s="226"/>
      <c r="B178" s="28"/>
      <c r="C178" s="20"/>
      <c r="D178" s="7"/>
      <c r="E178" s="227"/>
      <c r="F178" s="227"/>
      <c r="G178" s="227"/>
      <c r="H178" s="12"/>
      <c r="I178" s="7"/>
      <c r="J178" s="15"/>
      <c r="K178" s="7"/>
      <c r="L178" s="12"/>
      <c r="M178" s="7"/>
      <c r="N178" s="273"/>
    </row>
    <row r="179" spans="1:14" x14ac:dyDescent="0.25">
      <c r="A179" s="226"/>
      <c r="B179" s="28"/>
      <c r="C179" s="20"/>
      <c r="D179" s="7"/>
      <c r="E179" s="227"/>
      <c r="F179" s="227"/>
      <c r="G179" s="227"/>
      <c r="H179" s="12"/>
      <c r="I179" s="7"/>
      <c r="J179" s="15"/>
      <c r="K179" s="7"/>
      <c r="L179" s="12"/>
      <c r="M179" s="7"/>
      <c r="N179" s="273"/>
    </row>
    <row r="180" spans="1:14" x14ac:dyDescent="0.25">
      <c r="A180" s="274"/>
      <c r="B180" s="254"/>
      <c r="C180" s="275"/>
      <c r="D180" s="237"/>
      <c r="E180" s="250"/>
      <c r="F180" s="250"/>
      <c r="G180" s="250"/>
      <c r="H180" s="257"/>
      <c r="I180" s="237"/>
      <c r="J180" s="258"/>
      <c r="K180" s="237"/>
      <c r="L180" s="257"/>
      <c r="M180" s="237"/>
      <c r="N180" s="240"/>
    </row>
    <row r="181" spans="1:14" ht="15.75" thickBot="1" x14ac:dyDescent="0.3">
      <c r="A181" s="224"/>
      <c r="B181" s="238"/>
      <c r="C181" s="239"/>
      <c r="D181" s="240"/>
      <c r="E181" s="241"/>
      <c r="F181" s="241"/>
      <c r="G181" s="241"/>
      <c r="H181" s="242"/>
      <c r="I181" s="240"/>
      <c r="J181" s="243"/>
      <c r="K181" s="240"/>
      <c r="L181" s="242"/>
      <c r="M181" s="240"/>
      <c r="N181" s="240"/>
    </row>
    <row r="182" spans="1:14" x14ac:dyDescent="0.25">
      <c r="B182" s="310" t="s">
        <v>571</v>
      </c>
      <c r="C182" s="311"/>
    </row>
    <row r="183" spans="1:14" x14ac:dyDescent="0.25">
      <c r="B183" s="64" t="s">
        <v>572</v>
      </c>
      <c r="C183" s="65" t="s">
        <v>573</v>
      </c>
    </row>
    <row r="184" spans="1:14" ht="30" x14ac:dyDescent="0.25">
      <c r="B184" s="66" t="s">
        <v>34</v>
      </c>
      <c r="C184" s="68" t="s">
        <v>574</v>
      </c>
    </row>
    <row r="185" spans="1:14" x14ac:dyDescent="0.25">
      <c r="B185" s="66" t="s">
        <v>342</v>
      </c>
      <c r="C185" s="69" t="s">
        <v>575</v>
      </c>
    </row>
    <row r="186" spans="1:14" ht="30" x14ac:dyDescent="0.25">
      <c r="B186" s="66" t="s">
        <v>862</v>
      </c>
      <c r="C186" s="70" t="s">
        <v>576</v>
      </c>
    </row>
    <row r="187" spans="1:14" ht="15.75" thickBot="1" x14ac:dyDescent="0.3">
      <c r="B187" s="67" t="s">
        <v>334</v>
      </c>
      <c r="C187" s="95" t="s">
        <v>577</v>
      </c>
    </row>
  </sheetData>
  <sortState xmlns:xlrd2="http://schemas.microsoft.com/office/spreadsheetml/2017/richdata2" ref="A87:N93">
    <sortCondition ref="B87:B93"/>
  </sortState>
  <mergeCells count="1">
    <mergeCell ref="B182:C182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</vt:lpstr>
      <vt:lpstr>EXPORTACION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Comercio Exterior</dc:creator>
  <cp:keywords/>
  <dc:description/>
  <cp:lastModifiedBy>NELSON</cp:lastModifiedBy>
  <cp:revision/>
  <dcterms:created xsi:type="dcterms:W3CDTF">2014-02-13T20:29:05Z</dcterms:created>
  <dcterms:modified xsi:type="dcterms:W3CDTF">2021-08-11T22:29:20Z</dcterms:modified>
  <cp:category/>
  <cp:contentStatus/>
</cp:coreProperties>
</file>