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f\Documents\GitHub\Revision_datos_TFG\datos\"/>
    </mc:Choice>
  </mc:AlternateContent>
  <xr:revisionPtr revIDLastSave="0" documentId="13_ncr:1_{B5166A08-32FA-4721-BC30-D9526CDC0D2F}" xr6:coauthVersionLast="47" xr6:coauthVersionMax="47" xr10:uidLastSave="{00000000-0000-0000-0000-000000000000}"/>
  <bookViews>
    <workbookView xWindow="-110" yWindow="-110" windowWidth="19420" windowHeight="10300" firstSheet="2" activeTab="11" xr2:uid="{0F67B6F3-01C6-4ECE-AEF3-35A51D8EE7A6}"/>
  </bookViews>
  <sheets>
    <sheet name="SOD" sheetId="2" r:id="rId1"/>
    <sheet name="CAT" sheetId="1" r:id="rId2"/>
    <sheet name="exportable revisado" sheetId="13" r:id="rId3"/>
    <sheet name="GPx" sheetId="3" r:id="rId4"/>
    <sheet name="GR" sheetId="4" r:id="rId5"/>
    <sheet name="GST" sheetId="5" r:id="rId6"/>
    <sheet name="DTD" sheetId="6" r:id="rId7"/>
    <sheet name="G6PDH" sheetId="7" r:id="rId8"/>
    <sheet name="MDA" sheetId="9" r:id="rId9"/>
    <sheet name="TEAC" sheetId="10" r:id="rId10"/>
    <sheet name="GPx 2025" sheetId="14" r:id="rId11"/>
    <sheet name="Hoja2" sheetId="16" r:id="rId12"/>
    <sheet name="exportable" sheetId="8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6" l="1"/>
  <c r="D3" i="16"/>
  <c r="C3" i="16"/>
  <c r="E2" i="16"/>
  <c r="D2" i="16"/>
  <c r="C2" i="16"/>
  <c r="R61" i="14"/>
  <c r="R57" i="14"/>
  <c r="I63" i="14"/>
  <c r="H63" i="14"/>
  <c r="Q5" i="14"/>
  <c r="Q7" i="14"/>
  <c r="Q9" i="14"/>
  <c r="Q11" i="14"/>
  <c r="Q13" i="14"/>
  <c r="Q15" i="14"/>
  <c r="Q17" i="14"/>
  <c r="Q19" i="14"/>
  <c r="Q21" i="14"/>
  <c r="Q23" i="14"/>
  <c r="Q25" i="14"/>
  <c r="Q27" i="14"/>
  <c r="Q29" i="14"/>
  <c r="Q31" i="14"/>
  <c r="Q33" i="14"/>
  <c r="Q35" i="14"/>
  <c r="Q37" i="14"/>
  <c r="Q39" i="14"/>
  <c r="Q41" i="14"/>
  <c r="Q43" i="14"/>
  <c r="Q45" i="14"/>
  <c r="Q47" i="14"/>
  <c r="Q49" i="14"/>
  <c r="Q51" i="14"/>
  <c r="Q53" i="14"/>
  <c r="Q55" i="14"/>
  <c r="Q57" i="14"/>
  <c r="Q59" i="14"/>
  <c r="Q61" i="14"/>
  <c r="Q63" i="14"/>
  <c r="Q65" i="14"/>
  <c r="Q67" i="14"/>
  <c r="Q69" i="14"/>
  <c r="Q71" i="14"/>
  <c r="Q73" i="14"/>
  <c r="Q75" i="14"/>
  <c r="Q77" i="14"/>
  <c r="Q79" i="14"/>
  <c r="Q81" i="14"/>
  <c r="Q83" i="14"/>
  <c r="Q85" i="14"/>
  <c r="Q87" i="14"/>
  <c r="Q89" i="14"/>
  <c r="Q91" i="14"/>
  <c r="Q93" i="14"/>
  <c r="Q95" i="14"/>
  <c r="Q97" i="14"/>
  <c r="Q99" i="14"/>
  <c r="Q101" i="14"/>
  <c r="Q103" i="14"/>
  <c r="Q3" i="14"/>
  <c r="G5" i="14"/>
  <c r="G7" i="14"/>
  <c r="G9" i="14"/>
  <c r="G11" i="14"/>
  <c r="G13" i="14"/>
  <c r="G15" i="14"/>
  <c r="G17" i="14"/>
  <c r="G19" i="14"/>
  <c r="G21" i="14"/>
  <c r="G23" i="14"/>
  <c r="G25" i="14"/>
  <c r="G27" i="14"/>
  <c r="G29" i="14"/>
  <c r="G31" i="14"/>
  <c r="G33" i="14"/>
  <c r="G35" i="14"/>
  <c r="G37" i="14"/>
  <c r="G39" i="14"/>
  <c r="G41" i="14"/>
  <c r="G43" i="14"/>
  <c r="G45" i="14"/>
  <c r="G47" i="14"/>
  <c r="G49" i="14"/>
  <c r="G51" i="14"/>
  <c r="G53" i="14"/>
  <c r="G55" i="14"/>
  <c r="G57" i="14"/>
  <c r="G59" i="14"/>
  <c r="G61" i="14"/>
  <c r="G63" i="14"/>
  <c r="G65" i="14"/>
  <c r="G67" i="14"/>
  <c r="G69" i="14"/>
  <c r="G71" i="14"/>
  <c r="G73" i="14"/>
  <c r="G75" i="14"/>
  <c r="G77" i="14"/>
  <c r="G79" i="14"/>
  <c r="G81" i="14"/>
  <c r="G83" i="14"/>
  <c r="G85" i="14"/>
  <c r="G87" i="14"/>
  <c r="G89" i="14"/>
  <c r="G91" i="14"/>
  <c r="G93" i="14"/>
  <c r="G95" i="14"/>
  <c r="G97" i="14"/>
  <c r="G99" i="14"/>
  <c r="G101" i="14"/>
  <c r="G103" i="14"/>
  <c r="G3" i="14"/>
  <c r="S55" i="14" l="1"/>
  <c r="S73" i="14"/>
  <c r="S3" i="14"/>
  <c r="P5" i="14"/>
  <c r="P7" i="14"/>
  <c r="P9" i="14"/>
  <c r="P11" i="14"/>
  <c r="P13" i="14"/>
  <c r="P15" i="14"/>
  <c r="P17" i="14"/>
  <c r="P19" i="14"/>
  <c r="P21" i="14"/>
  <c r="P23" i="14"/>
  <c r="P25" i="14"/>
  <c r="P27" i="14"/>
  <c r="P29" i="14"/>
  <c r="P31" i="14"/>
  <c r="P33" i="14"/>
  <c r="P35" i="14"/>
  <c r="P37" i="14"/>
  <c r="P39" i="14"/>
  <c r="P41" i="14"/>
  <c r="P43" i="14"/>
  <c r="P45" i="14"/>
  <c r="P47" i="14"/>
  <c r="P49" i="14"/>
  <c r="P51" i="14"/>
  <c r="P53" i="14"/>
  <c r="P55" i="14"/>
  <c r="P57" i="14"/>
  <c r="P59" i="14"/>
  <c r="P61" i="14"/>
  <c r="P63" i="14"/>
  <c r="P65" i="14"/>
  <c r="P67" i="14"/>
  <c r="P69" i="14"/>
  <c r="P71" i="14"/>
  <c r="P73" i="14"/>
  <c r="P75" i="14"/>
  <c r="P77" i="14"/>
  <c r="P79" i="14"/>
  <c r="P81" i="14"/>
  <c r="P83" i="14"/>
  <c r="P85" i="14"/>
  <c r="P87" i="14"/>
  <c r="P89" i="14"/>
  <c r="P91" i="14"/>
  <c r="P93" i="14"/>
  <c r="P95" i="14"/>
  <c r="P97" i="14"/>
  <c r="P99" i="14"/>
  <c r="P101" i="14"/>
  <c r="P103" i="14"/>
  <c r="P3" i="14"/>
  <c r="F103" i="14"/>
  <c r="F5" i="14"/>
  <c r="F7" i="14"/>
  <c r="F9" i="14"/>
  <c r="F11" i="14"/>
  <c r="F13" i="14"/>
  <c r="F15" i="14"/>
  <c r="F17" i="14"/>
  <c r="F19" i="14"/>
  <c r="F21" i="14"/>
  <c r="F23" i="14"/>
  <c r="F25" i="14"/>
  <c r="F27" i="14"/>
  <c r="F29" i="14"/>
  <c r="F31" i="14"/>
  <c r="F33" i="14"/>
  <c r="F35" i="14"/>
  <c r="F39" i="14"/>
  <c r="F41" i="14"/>
  <c r="F43" i="14"/>
  <c r="F45" i="14"/>
  <c r="F47" i="14"/>
  <c r="F49" i="14"/>
  <c r="F53" i="14"/>
  <c r="F55" i="14"/>
  <c r="F57" i="14"/>
  <c r="F59" i="14"/>
  <c r="F61" i="14"/>
  <c r="F63" i="14"/>
  <c r="F65" i="14"/>
  <c r="F67" i="14"/>
  <c r="F69" i="14"/>
  <c r="F71" i="14"/>
  <c r="F73" i="14"/>
  <c r="F75" i="14"/>
  <c r="F77" i="14"/>
  <c r="F79" i="14"/>
  <c r="F81" i="14"/>
  <c r="F83" i="14"/>
  <c r="F85" i="14"/>
  <c r="F87" i="14"/>
  <c r="F89" i="14"/>
  <c r="F91" i="14"/>
  <c r="F93" i="14"/>
  <c r="F95" i="14"/>
  <c r="F97" i="14"/>
  <c r="F99" i="14"/>
  <c r="F101" i="14"/>
  <c r="F3" i="14"/>
  <c r="N4" i="14"/>
  <c r="N5" i="14"/>
  <c r="N6" i="14"/>
  <c r="N7" i="14"/>
  <c r="N8" i="14"/>
  <c r="N9" i="14"/>
  <c r="N10" i="14"/>
  <c r="N11" i="14"/>
  <c r="O11" i="14" s="1"/>
  <c r="R11" i="14" s="1"/>
  <c r="S11" i="14" s="1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O27" i="14" s="1"/>
  <c r="R27" i="14" s="1"/>
  <c r="S27" i="14" s="1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O73" i="14" s="1"/>
  <c r="R73" i="14" s="1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3" i="14"/>
  <c r="O3" i="14" s="1"/>
  <c r="R3" i="14" s="1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E41" i="14" s="1"/>
  <c r="H41" i="14" s="1"/>
  <c r="I41" i="14" s="1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E59" i="14" s="1"/>
  <c r="H59" i="14" s="1"/>
  <c r="I59" i="14" s="1"/>
  <c r="D60" i="14"/>
  <c r="D61" i="14"/>
  <c r="D62" i="14"/>
  <c r="D63" i="14"/>
  <c r="D64" i="14"/>
  <c r="D65" i="14"/>
  <c r="D66" i="14"/>
  <c r="E65" i="14" s="1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3" i="14"/>
  <c r="X22" i="14"/>
  <c r="X21" i="14"/>
  <c r="X20" i="14"/>
  <c r="X19" i="14"/>
  <c r="X18" i="14"/>
  <c r="X17" i="14"/>
  <c r="X16" i="14"/>
  <c r="X15" i="14"/>
  <c r="X14" i="14"/>
  <c r="O101" i="14"/>
  <c r="R101" i="14" s="1"/>
  <c r="S101" i="14" s="1"/>
  <c r="O95" i="14"/>
  <c r="R95" i="14" s="1"/>
  <c r="S95" i="14" s="1"/>
  <c r="O89" i="14"/>
  <c r="R89" i="14" s="1"/>
  <c r="S89" i="14" s="1"/>
  <c r="E69" i="14"/>
  <c r="H69" i="14" s="1"/>
  <c r="I69" i="14" s="1"/>
  <c r="E57" i="14"/>
  <c r="H57" i="14" s="1"/>
  <c r="I57" i="14" s="1"/>
  <c r="O55" i="14"/>
  <c r="R55" i="14" s="1"/>
  <c r="E53" i="14"/>
  <c r="H53" i="14" s="1"/>
  <c r="I53" i="14" s="1"/>
  <c r="J51" i="14" s="1"/>
  <c r="E45" i="14"/>
  <c r="O33" i="14"/>
  <c r="E29" i="14"/>
  <c r="O17" i="14"/>
  <c r="R17" i="14" s="1"/>
  <c r="S17" i="14" s="1"/>
  <c r="E15" i="14"/>
  <c r="H15" i="14" s="1"/>
  <c r="I15" i="14" s="1"/>
  <c r="O13" i="14"/>
  <c r="R13" i="14" s="1"/>
  <c r="S13" i="14" s="1"/>
  <c r="E5" i="14"/>
  <c r="H5" i="14" s="1"/>
  <c r="I5" i="14" s="1"/>
  <c r="E3" i="14"/>
  <c r="H3" i="14" s="1"/>
  <c r="I3" i="14" s="1"/>
  <c r="N7" i="1"/>
  <c r="N17" i="1"/>
  <c r="N19" i="1"/>
  <c r="N23" i="1"/>
  <c r="N33" i="1"/>
  <c r="N35" i="1"/>
  <c r="N39" i="1"/>
  <c r="N49" i="1"/>
  <c r="N51" i="1"/>
  <c r="N55" i="1"/>
  <c r="N67" i="1"/>
  <c r="N71" i="1"/>
  <c r="N83" i="1"/>
  <c r="N87" i="1"/>
  <c r="N99" i="1"/>
  <c r="N103" i="1"/>
  <c r="E5" i="1"/>
  <c r="E17" i="1"/>
  <c r="E19" i="1"/>
  <c r="E21" i="1"/>
  <c r="E33" i="1"/>
  <c r="E35" i="1"/>
  <c r="E37" i="1"/>
  <c r="E49" i="1"/>
  <c r="E51" i="1"/>
  <c r="E53" i="1"/>
  <c r="E65" i="1"/>
  <c r="E67" i="1"/>
  <c r="E69" i="1"/>
  <c r="E81" i="1"/>
  <c r="E83" i="1"/>
  <c r="E85" i="1"/>
  <c r="E97" i="1"/>
  <c r="E99" i="1"/>
  <c r="E101" i="1"/>
  <c r="M5" i="1"/>
  <c r="N5" i="1" s="1"/>
  <c r="M7" i="1"/>
  <c r="M9" i="1"/>
  <c r="N9" i="1" s="1"/>
  <c r="M11" i="1"/>
  <c r="N11" i="1" s="1"/>
  <c r="M13" i="1"/>
  <c r="N13" i="1" s="1"/>
  <c r="M15" i="1"/>
  <c r="N15" i="1" s="1"/>
  <c r="M17" i="1"/>
  <c r="M19" i="1"/>
  <c r="M21" i="1"/>
  <c r="N21" i="1" s="1"/>
  <c r="M23" i="1"/>
  <c r="M25" i="1"/>
  <c r="N25" i="1" s="1"/>
  <c r="M27" i="1"/>
  <c r="N27" i="1" s="1"/>
  <c r="M29" i="1"/>
  <c r="N29" i="1" s="1"/>
  <c r="M31" i="1"/>
  <c r="N31" i="1" s="1"/>
  <c r="M33" i="1"/>
  <c r="M35" i="1"/>
  <c r="M37" i="1"/>
  <c r="N37" i="1" s="1"/>
  <c r="M39" i="1"/>
  <c r="M41" i="1"/>
  <c r="N41" i="1" s="1"/>
  <c r="M43" i="1"/>
  <c r="N43" i="1" s="1"/>
  <c r="M45" i="1"/>
  <c r="N45" i="1" s="1"/>
  <c r="M47" i="1"/>
  <c r="N47" i="1" s="1"/>
  <c r="M49" i="1"/>
  <c r="M51" i="1"/>
  <c r="M53" i="1"/>
  <c r="N53" i="1" s="1"/>
  <c r="M55" i="1"/>
  <c r="M57" i="1"/>
  <c r="N57" i="1" s="1"/>
  <c r="M59" i="1"/>
  <c r="N59" i="1" s="1"/>
  <c r="M61" i="1"/>
  <c r="N61" i="1" s="1"/>
  <c r="M63" i="1"/>
  <c r="N63" i="1" s="1"/>
  <c r="M65" i="1"/>
  <c r="N65" i="1" s="1"/>
  <c r="M67" i="1"/>
  <c r="M69" i="1"/>
  <c r="N69" i="1" s="1"/>
  <c r="M71" i="1"/>
  <c r="M73" i="1"/>
  <c r="N73" i="1" s="1"/>
  <c r="M75" i="1"/>
  <c r="N75" i="1" s="1"/>
  <c r="M77" i="1"/>
  <c r="N77" i="1" s="1"/>
  <c r="M79" i="1"/>
  <c r="N79" i="1" s="1"/>
  <c r="M81" i="1"/>
  <c r="N81" i="1" s="1"/>
  <c r="M83" i="1"/>
  <c r="M85" i="1"/>
  <c r="N85" i="1" s="1"/>
  <c r="M87" i="1"/>
  <c r="M89" i="1"/>
  <c r="N89" i="1" s="1"/>
  <c r="M91" i="1"/>
  <c r="N91" i="1" s="1"/>
  <c r="M93" i="1"/>
  <c r="N93" i="1" s="1"/>
  <c r="M95" i="1"/>
  <c r="N95" i="1" s="1"/>
  <c r="M97" i="1"/>
  <c r="N97" i="1" s="1"/>
  <c r="M99" i="1"/>
  <c r="M101" i="1"/>
  <c r="N101" i="1" s="1"/>
  <c r="M103" i="1"/>
  <c r="D5" i="1"/>
  <c r="D7" i="1"/>
  <c r="E7" i="1" s="1"/>
  <c r="D9" i="1"/>
  <c r="E9" i="1" s="1"/>
  <c r="D11" i="1"/>
  <c r="E11" i="1" s="1"/>
  <c r="D13" i="1"/>
  <c r="E13" i="1" s="1"/>
  <c r="D15" i="1"/>
  <c r="E15" i="1" s="1"/>
  <c r="D17" i="1"/>
  <c r="D19" i="1"/>
  <c r="D21" i="1"/>
  <c r="D23" i="1"/>
  <c r="E23" i="1" s="1"/>
  <c r="D25" i="1"/>
  <c r="E25" i="1" s="1"/>
  <c r="D27" i="1"/>
  <c r="E27" i="1" s="1"/>
  <c r="D29" i="1"/>
  <c r="E29" i="1" s="1"/>
  <c r="D31" i="1"/>
  <c r="E31" i="1" s="1"/>
  <c r="D33" i="1"/>
  <c r="D35" i="1"/>
  <c r="D37" i="1"/>
  <c r="D39" i="1"/>
  <c r="E39" i="1" s="1"/>
  <c r="D41" i="1"/>
  <c r="E41" i="1" s="1"/>
  <c r="D43" i="1"/>
  <c r="E43" i="1" s="1"/>
  <c r="D45" i="1"/>
  <c r="E45" i="1" s="1"/>
  <c r="D47" i="1"/>
  <c r="E47" i="1" s="1"/>
  <c r="D49" i="1"/>
  <c r="D51" i="1"/>
  <c r="D53" i="1"/>
  <c r="D55" i="1"/>
  <c r="E55" i="1" s="1"/>
  <c r="D57" i="1"/>
  <c r="E57" i="1" s="1"/>
  <c r="D59" i="1"/>
  <c r="E59" i="1" s="1"/>
  <c r="D61" i="1"/>
  <c r="E61" i="1" s="1"/>
  <c r="D63" i="1"/>
  <c r="E63" i="1" s="1"/>
  <c r="D65" i="1"/>
  <c r="D67" i="1"/>
  <c r="D69" i="1"/>
  <c r="D71" i="1"/>
  <c r="E71" i="1" s="1"/>
  <c r="D73" i="1"/>
  <c r="E73" i="1" s="1"/>
  <c r="D75" i="1"/>
  <c r="E75" i="1" s="1"/>
  <c r="D77" i="1"/>
  <c r="E77" i="1" s="1"/>
  <c r="D79" i="1"/>
  <c r="E79" i="1" s="1"/>
  <c r="D81" i="1"/>
  <c r="D83" i="1"/>
  <c r="D85" i="1"/>
  <c r="D87" i="1"/>
  <c r="E87" i="1" s="1"/>
  <c r="D89" i="1"/>
  <c r="E89" i="1" s="1"/>
  <c r="D91" i="1"/>
  <c r="E91" i="1" s="1"/>
  <c r="D93" i="1"/>
  <c r="E93" i="1" s="1"/>
  <c r="D95" i="1"/>
  <c r="E95" i="1" s="1"/>
  <c r="D97" i="1"/>
  <c r="D99" i="1"/>
  <c r="D101" i="1"/>
  <c r="D103" i="1"/>
  <c r="E103" i="1" s="1"/>
  <c r="M5" i="2"/>
  <c r="N5" i="2" s="1"/>
  <c r="M7" i="2"/>
  <c r="N7" i="2" s="1"/>
  <c r="M9" i="2"/>
  <c r="M11" i="2"/>
  <c r="N11" i="2" s="1"/>
  <c r="M13" i="2"/>
  <c r="M15" i="2"/>
  <c r="M17" i="2"/>
  <c r="M19" i="2"/>
  <c r="N19" i="2" s="1"/>
  <c r="M21" i="2"/>
  <c r="M23" i="2"/>
  <c r="M25" i="2"/>
  <c r="M27" i="2"/>
  <c r="N27" i="2" s="1"/>
  <c r="M29" i="2"/>
  <c r="N29" i="2" s="1"/>
  <c r="M31" i="2"/>
  <c r="N31" i="2" s="1"/>
  <c r="M33" i="2"/>
  <c r="N33" i="2" s="1"/>
  <c r="M35" i="2"/>
  <c r="N35" i="2" s="1"/>
  <c r="M37" i="2"/>
  <c r="N37" i="2" s="1"/>
  <c r="M39" i="2"/>
  <c r="M41" i="2"/>
  <c r="M43" i="2"/>
  <c r="N43" i="2" s="1"/>
  <c r="M45" i="2"/>
  <c r="M47" i="2"/>
  <c r="N47" i="2" s="1"/>
  <c r="M49" i="2"/>
  <c r="N49" i="2" s="1"/>
  <c r="M51" i="2"/>
  <c r="N51" i="2" s="1"/>
  <c r="M53" i="2"/>
  <c r="N53" i="2" s="1"/>
  <c r="M55" i="2"/>
  <c r="N55" i="2" s="1"/>
  <c r="M57" i="2"/>
  <c r="M59" i="2"/>
  <c r="N59" i="2" s="1"/>
  <c r="M61" i="2"/>
  <c r="M63" i="2"/>
  <c r="M65" i="2"/>
  <c r="M67" i="2"/>
  <c r="N67" i="2" s="1"/>
  <c r="M69" i="2"/>
  <c r="N69" i="2" s="1"/>
  <c r="M71" i="2"/>
  <c r="N71" i="2" s="1"/>
  <c r="M73" i="2"/>
  <c r="M75" i="2"/>
  <c r="N75" i="2" s="1"/>
  <c r="M77" i="2"/>
  <c r="M79" i="2"/>
  <c r="M81" i="2"/>
  <c r="M83" i="2"/>
  <c r="N83" i="2" s="1"/>
  <c r="M85" i="2"/>
  <c r="M87" i="2"/>
  <c r="M89" i="2"/>
  <c r="M91" i="2"/>
  <c r="N91" i="2" s="1"/>
  <c r="M93" i="2"/>
  <c r="N93" i="2" s="1"/>
  <c r="M95" i="2"/>
  <c r="N95" i="2" s="1"/>
  <c r="M97" i="2"/>
  <c r="N97" i="2" s="1"/>
  <c r="M99" i="2"/>
  <c r="N99" i="2" s="1"/>
  <c r="M101" i="2"/>
  <c r="N101" i="2" s="1"/>
  <c r="M103" i="2"/>
  <c r="N9" i="2"/>
  <c r="N13" i="2"/>
  <c r="N15" i="2"/>
  <c r="N17" i="2"/>
  <c r="N21" i="2"/>
  <c r="N23" i="2"/>
  <c r="N25" i="2"/>
  <c r="N39" i="2"/>
  <c r="N41" i="2"/>
  <c r="N45" i="2"/>
  <c r="N57" i="2"/>
  <c r="N61" i="2"/>
  <c r="N63" i="2"/>
  <c r="N65" i="2"/>
  <c r="N73" i="2"/>
  <c r="N77" i="2"/>
  <c r="N79" i="2"/>
  <c r="N81" i="2"/>
  <c r="N85" i="2"/>
  <c r="N87" i="2"/>
  <c r="N89" i="2"/>
  <c r="N103" i="2"/>
  <c r="E9" i="2"/>
  <c r="E11" i="2"/>
  <c r="E13" i="2"/>
  <c r="E15" i="2"/>
  <c r="E25" i="2"/>
  <c r="E27" i="2"/>
  <c r="E29" i="2"/>
  <c r="E31" i="2"/>
  <c r="E41" i="2"/>
  <c r="E43" i="2"/>
  <c r="E45" i="2"/>
  <c r="E47" i="2"/>
  <c r="E57" i="2"/>
  <c r="E59" i="2"/>
  <c r="E61" i="2"/>
  <c r="E63" i="2"/>
  <c r="E73" i="2"/>
  <c r="E75" i="2"/>
  <c r="E77" i="2"/>
  <c r="E79" i="2"/>
  <c r="E89" i="2"/>
  <c r="E91" i="2"/>
  <c r="E93" i="2"/>
  <c r="E95" i="2"/>
  <c r="D3" i="2"/>
  <c r="E3" i="2" s="1"/>
  <c r="D5" i="2"/>
  <c r="E5" i="2" s="1"/>
  <c r="D7" i="2"/>
  <c r="E7" i="2" s="1"/>
  <c r="D9" i="2"/>
  <c r="D11" i="2"/>
  <c r="D13" i="2"/>
  <c r="D15" i="2"/>
  <c r="D17" i="2"/>
  <c r="E17" i="2" s="1"/>
  <c r="D19" i="2"/>
  <c r="E19" i="2" s="1"/>
  <c r="D21" i="2"/>
  <c r="E21" i="2" s="1"/>
  <c r="D23" i="2"/>
  <c r="E23" i="2" s="1"/>
  <c r="D25" i="2"/>
  <c r="D27" i="2"/>
  <c r="D29" i="2"/>
  <c r="D31" i="2"/>
  <c r="D33" i="2"/>
  <c r="E33" i="2" s="1"/>
  <c r="D35" i="2"/>
  <c r="E35" i="2" s="1"/>
  <c r="D37" i="2"/>
  <c r="E37" i="2" s="1"/>
  <c r="D39" i="2"/>
  <c r="E39" i="2" s="1"/>
  <c r="D41" i="2"/>
  <c r="D43" i="2"/>
  <c r="D45" i="2"/>
  <c r="D47" i="2"/>
  <c r="D49" i="2"/>
  <c r="E49" i="2" s="1"/>
  <c r="D51" i="2"/>
  <c r="E51" i="2" s="1"/>
  <c r="D53" i="2"/>
  <c r="E53" i="2" s="1"/>
  <c r="D55" i="2"/>
  <c r="E55" i="2" s="1"/>
  <c r="D57" i="2"/>
  <c r="D59" i="2"/>
  <c r="D61" i="2"/>
  <c r="D63" i="2"/>
  <c r="D65" i="2"/>
  <c r="E65" i="2" s="1"/>
  <c r="D67" i="2"/>
  <c r="E67" i="2" s="1"/>
  <c r="D69" i="2"/>
  <c r="E69" i="2" s="1"/>
  <c r="D71" i="2"/>
  <c r="E71" i="2" s="1"/>
  <c r="D73" i="2"/>
  <c r="D75" i="2"/>
  <c r="D77" i="2"/>
  <c r="D79" i="2"/>
  <c r="D81" i="2"/>
  <c r="E81" i="2" s="1"/>
  <c r="D83" i="2"/>
  <c r="E83" i="2" s="1"/>
  <c r="D85" i="2"/>
  <c r="E85" i="2" s="1"/>
  <c r="D87" i="2"/>
  <c r="E87" i="2" s="1"/>
  <c r="D89" i="2"/>
  <c r="D91" i="2"/>
  <c r="D93" i="2"/>
  <c r="D95" i="2"/>
  <c r="D97" i="2"/>
  <c r="E97" i="2" s="1"/>
  <c r="D99" i="2"/>
  <c r="E99" i="2" s="1"/>
  <c r="D101" i="2"/>
  <c r="E101" i="2" s="1"/>
  <c r="D103" i="2"/>
  <c r="E103" i="2" s="1"/>
  <c r="H29" i="14" l="1"/>
  <c r="I29" i="14" s="1"/>
  <c r="H45" i="14"/>
  <c r="I45" i="14" s="1"/>
  <c r="H65" i="14"/>
  <c r="I65" i="14" s="1"/>
  <c r="R33" i="14"/>
  <c r="S33" i="14" s="1"/>
  <c r="F37" i="14"/>
  <c r="O67" i="14"/>
  <c r="R67" i="14" s="1"/>
  <c r="S67" i="14" s="1"/>
  <c r="E19" i="14"/>
  <c r="H19" i="14" s="1"/>
  <c r="I19" i="14" s="1"/>
  <c r="O83" i="14"/>
  <c r="R83" i="14" s="1"/>
  <c r="S83" i="14" s="1"/>
  <c r="O51" i="14"/>
  <c r="R51" i="14" s="1"/>
  <c r="S51" i="14" s="1"/>
  <c r="E47" i="14"/>
  <c r="H47" i="14" s="1"/>
  <c r="I47" i="14" s="1"/>
  <c r="O61" i="14"/>
  <c r="S61" i="14" s="1"/>
  <c r="E73" i="14"/>
  <c r="H73" i="14" s="1"/>
  <c r="I73" i="14" s="1"/>
  <c r="O57" i="14"/>
  <c r="S57" i="14" s="1"/>
  <c r="E85" i="14"/>
  <c r="H85" i="14" s="1"/>
  <c r="I85" i="14" s="1"/>
  <c r="E13" i="14"/>
  <c r="H13" i="14" s="1"/>
  <c r="I13" i="14" s="1"/>
  <c r="E39" i="14"/>
  <c r="H39" i="14" s="1"/>
  <c r="I39" i="14" s="1"/>
  <c r="O63" i="14"/>
  <c r="R63" i="14" s="1"/>
  <c r="S63" i="14" s="1"/>
  <c r="O39" i="14"/>
  <c r="R39" i="14" s="1"/>
  <c r="S39" i="14" s="1"/>
  <c r="O23" i="14"/>
  <c r="R23" i="14" s="1"/>
  <c r="S23" i="14" s="1"/>
  <c r="O45" i="14"/>
  <c r="R45" i="14" s="1"/>
  <c r="S45" i="14" s="1"/>
  <c r="O103" i="14"/>
  <c r="R103" i="14" s="1"/>
  <c r="S103" i="14" s="1"/>
  <c r="E33" i="14"/>
  <c r="H33" i="14" s="1"/>
  <c r="I33" i="14" s="1"/>
  <c r="E35" i="14"/>
  <c r="H35" i="14" s="1"/>
  <c r="I35" i="14" s="1"/>
  <c r="E23" i="14"/>
  <c r="H23" i="14" s="1"/>
  <c r="I23" i="14" s="1"/>
  <c r="E25" i="14"/>
  <c r="H25" i="14" s="1"/>
  <c r="I25" i="14" s="1"/>
  <c r="E79" i="14"/>
  <c r="H79" i="14" s="1"/>
  <c r="I79" i="14" s="1"/>
  <c r="E9" i="14"/>
  <c r="H9" i="14" s="1"/>
  <c r="I9" i="14" s="1"/>
  <c r="E51" i="14"/>
  <c r="E63" i="14"/>
  <c r="O7" i="14"/>
  <c r="R7" i="14" s="1"/>
  <c r="S7" i="14" s="1"/>
  <c r="O21" i="14"/>
  <c r="R21" i="14" s="1"/>
  <c r="S21" i="14" s="1"/>
  <c r="O31" i="14"/>
  <c r="R31" i="14" s="1"/>
  <c r="S31" i="14" s="1"/>
  <c r="O37" i="14"/>
  <c r="R37" i="14" s="1"/>
  <c r="S37" i="14" s="1"/>
  <c r="O43" i="14"/>
  <c r="R43" i="14" s="1"/>
  <c r="S43" i="14" s="1"/>
  <c r="O49" i="14"/>
  <c r="R49" i="14" s="1"/>
  <c r="S49" i="14" s="1"/>
  <c r="O77" i="14"/>
  <c r="R77" i="14" s="1"/>
  <c r="S77" i="14" s="1"/>
  <c r="O87" i="14"/>
  <c r="R87" i="14" s="1"/>
  <c r="S87" i="14" s="1"/>
  <c r="E89" i="14"/>
  <c r="H89" i="14" s="1"/>
  <c r="I89" i="14" s="1"/>
  <c r="E93" i="14"/>
  <c r="H93" i="14" s="1"/>
  <c r="I93" i="14" s="1"/>
  <c r="O93" i="14"/>
  <c r="R93" i="14" s="1"/>
  <c r="S93" i="14" s="1"/>
  <c r="E95" i="14"/>
  <c r="H95" i="14" s="1"/>
  <c r="I95" i="14" s="1"/>
  <c r="E99" i="14"/>
  <c r="H99" i="14" s="1"/>
  <c r="I99" i="14" s="1"/>
  <c r="O99" i="14"/>
  <c r="R99" i="14" s="1"/>
  <c r="S99" i="14" s="1"/>
  <c r="E101" i="14"/>
  <c r="H101" i="14" s="1"/>
  <c r="I101" i="14" s="1"/>
  <c r="E55" i="14"/>
  <c r="H55" i="14" s="1"/>
  <c r="I55" i="14" s="1"/>
  <c r="E61" i="14"/>
  <c r="H61" i="14" s="1"/>
  <c r="I61" i="14" s="1"/>
  <c r="J57" i="14" s="1"/>
  <c r="E67" i="14"/>
  <c r="H67" i="14" s="1"/>
  <c r="I67" i="14" s="1"/>
  <c r="O71" i="14"/>
  <c r="R71" i="14" s="1"/>
  <c r="S71" i="14" s="1"/>
  <c r="O81" i="14"/>
  <c r="R81" i="14" s="1"/>
  <c r="S81" i="14" s="1"/>
  <c r="E83" i="14"/>
  <c r="H83" i="14" s="1"/>
  <c r="I83" i="14" s="1"/>
  <c r="E87" i="14"/>
  <c r="H87" i="14" s="1"/>
  <c r="I87" i="14" s="1"/>
  <c r="E7" i="14"/>
  <c r="H7" i="14" s="1"/>
  <c r="I7" i="14" s="1"/>
  <c r="E11" i="14"/>
  <c r="H11" i="14" s="1"/>
  <c r="I11" i="14" s="1"/>
  <c r="E17" i="14"/>
  <c r="H17" i="14" s="1"/>
  <c r="I17" i="14" s="1"/>
  <c r="E21" i="14"/>
  <c r="H21" i="14" s="1"/>
  <c r="I21" i="14" s="1"/>
  <c r="E27" i="14"/>
  <c r="H27" i="14" s="1"/>
  <c r="I27" i="14" s="1"/>
  <c r="E31" i="14"/>
  <c r="H31" i="14" s="1"/>
  <c r="I31" i="14" s="1"/>
  <c r="E37" i="14"/>
  <c r="H37" i="14" s="1"/>
  <c r="I37" i="14" s="1"/>
  <c r="E43" i="14"/>
  <c r="H43" i="14" s="1"/>
  <c r="I43" i="14" s="1"/>
  <c r="E49" i="14"/>
  <c r="H49" i="14" s="1"/>
  <c r="I49" i="14" s="1"/>
  <c r="O75" i="14"/>
  <c r="R75" i="14" s="1"/>
  <c r="S75" i="14" s="1"/>
  <c r="E77" i="14"/>
  <c r="H77" i="14" s="1"/>
  <c r="I77" i="14" s="1"/>
  <c r="E81" i="14"/>
  <c r="H81" i="14" s="1"/>
  <c r="I81" i="14" s="1"/>
  <c r="O91" i="14"/>
  <c r="R91" i="14" s="1"/>
  <c r="S91" i="14" s="1"/>
  <c r="O97" i="14"/>
  <c r="R97" i="14" s="1"/>
  <c r="S97" i="14" s="1"/>
  <c r="O53" i="14"/>
  <c r="R53" i="14" s="1"/>
  <c r="S53" i="14" s="1"/>
  <c r="O59" i="14"/>
  <c r="R59" i="14" s="1"/>
  <c r="S59" i="14" s="1"/>
  <c r="O65" i="14"/>
  <c r="R65" i="14" s="1"/>
  <c r="S65" i="14" s="1"/>
  <c r="E71" i="14"/>
  <c r="H71" i="14" s="1"/>
  <c r="I71" i="14" s="1"/>
  <c r="J69" i="14" s="1"/>
  <c r="E75" i="14"/>
  <c r="H75" i="14" s="1"/>
  <c r="I75" i="14" s="1"/>
  <c r="O85" i="14"/>
  <c r="R85" i="14" s="1"/>
  <c r="S85" i="14" s="1"/>
  <c r="O5" i="14"/>
  <c r="R5" i="14" s="1"/>
  <c r="S5" i="14" s="1"/>
  <c r="T3" i="14" s="1"/>
  <c r="U3" i="14" s="1"/>
  <c r="O9" i="14"/>
  <c r="R9" i="14" s="1"/>
  <c r="S9" i="14" s="1"/>
  <c r="O15" i="14"/>
  <c r="R15" i="14" s="1"/>
  <c r="S15" i="14" s="1"/>
  <c r="O19" i="14"/>
  <c r="R19" i="14" s="1"/>
  <c r="S19" i="14" s="1"/>
  <c r="O25" i="14"/>
  <c r="R25" i="14" s="1"/>
  <c r="S25" i="14" s="1"/>
  <c r="O29" i="14"/>
  <c r="R29" i="14" s="1"/>
  <c r="S29" i="14" s="1"/>
  <c r="O35" i="14"/>
  <c r="R35" i="14" s="1"/>
  <c r="S35" i="14" s="1"/>
  <c r="O41" i="14"/>
  <c r="R41" i="14" s="1"/>
  <c r="S41" i="14" s="1"/>
  <c r="O47" i="14"/>
  <c r="R47" i="14" s="1"/>
  <c r="S47" i="14" s="1"/>
  <c r="O69" i="14"/>
  <c r="R69" i="14" s="1"/>
  <c r="S69" i="14" s="1"/>
  <c r="O79" i="14"/>
  <c r="R79" i="14" s="1"/>
  <c r="S79" i="14" s="1"/>
  <c r="E91" i="14"/>
  <c r="H91" i="14" s="1"/>
  <c r="I91" i="14" s="1"/>
  <c r="E97" i="14"/>
  <c r="H97" i="14" s="1"/>
  <c r="I97" i="14" s="1"/>
  <c r="E103" i="14"/>
  <c r="H103" i="14" s="1"/>
  <c r="I103" i="14" s="1"/>
  <c r="N77" i="4"/>
  <c r="M77" i="4"/>
  <c r="N98" i="10"/>
  <c r="M98" i="10"/>
  <c r="M107" i="10"/>
  <c r="N107" i="10" s="1"/>
  <c r="M95" i="10"/>
  <c r="N95" i="10" s="1"/>
  <c r="M92" i="10"/>
  <c r="N92" i="10" s="1"/>
  <c r="N83" i="10"/>
  <c r="M83" i="10"/>
  <c r="M77" i="10"/>
  <c r="N77" i="10" s="1"/>
  <c r="M86" i="10"/>
  <c r="N86" i="10" s="1"/>
  <c r="P110" i="10"/>
  <c r="Q110" i="10" s="1"/>
  <c r="P107" i="10"/>
  <c r="Q107" i="10" s="1"/>
  <c r="Q104" i="10"/>
  <c r="P104" i="10"/>
  <c r="P101" i="10"/>
  <c r="Q101" i="10" s="1"/>
  <c r="P98" i="10"/>
  <c r="Q98" i="10" s="1"/>
  <c r="P95" i="10"/>
  <c r="Q95" i="10" s="1"/>
  <c r="P92" i="10"/>
  <c r="Q92" i="10" s="1"/>
  <c r="P89" i="10"/>
  <c r="Q89" i="10" s="1"/>
  <c r="P86" i="10"/>
  <c r="Q86" i="10" s="1"/>
  <c r="P83" i="10"/>
  <c r="Q83" i="10" s="1"/>
  <c r="P80" i="10"/>
  <c r="Q80" i="10" s="1"/>
  <c r="P77" i="10"/>
  <c r="Q77" i="10" s="1"/>
  <c r="P72" i="10"/>
  <c r="Q72" i="10" s="1"/>
  <c r="P67" i="10"/>
  <c r="Q67" i="10" s="1"/>
  <c r="P62" i="10"/>
  <c r="Q62" i="10" s="1"/>
  <c r="M80" i="10"/>
  <c r="N80" i="10" s="1"/>
  <c r="M89" i="10"/>
  <c r="N89" i="10"/>
  <c r="M101" i="10"/>
  <c r="N101" i="10"/>
  <c r="M104" i="10"/>
  <c r="N104" i="10" s="1"/>
  <c r="M110" i="10"/>
  <c r="N110" i="10" s="1"/>
  <c r="M67" i="10"/>
  <c r="N67" i="10" s="1"/>
  <c r="M72" i="10"/>
  <c r="N72" i="10" s="1"/>
  <c r="M62" i="10"/>
  <c r="N62" i="10" s="1"/>
  <c r="H163" i="10"/>
  <c r="I163" i="10" s="1"/>
  <c r="E163" i="10"/>
  <c r="F163" i="10" s="1"/>
  <c r="H162" i="10"/>
  <c r="I162" i="10" s="1"/>
  <c r="F162" i="10"/>
  <c r="C216" i="10" s="1"/>
  <c r="E162" i="10"/>
  <c r="H161" i="10"/>
  <c r="I161" i="10" s="1"/>
  <c r="E161" i="10"/>
  <c r="F161" i="10" s="1"/>
  <c r="H160" i="10"/>
  <c r="I160" i="10" s="1"/>
  <c r="E160" i="10"/>
  <c r="F160" i="10" s="1"/>
  <c r="C215" i="10" s="1"/>
  <c r="I159" i="10"/>
  <c r="H159" i="10"/>
  <c r="E159" i="10"/>
  <c r="F159" i="10" s="1"/>
  <c r="H158" i="10"/>
  <c r="I158" i="10" s="1"/>
  <c r="F214" i="10" s="1"/>
  <c r="E158" i="10"/>
  <c r="F158" i="10" s="1"/>
  <c r="H157" i="10"/>
  <c r="I157" i="10" s="1"/>
  <c r="E157" i="10"/>
  <c r="F157" i="10" s="1"/>
  <c r="H156" i="10"/>
  <c r="I156" i="10" s="1"/>
  <c r="E156" i="10"/>
  <c r="F156" i="10" s="1"/>
  <c r="C213" i="10" s="1"/>
  <c r="H155" i="10"/>
  <c r="I155" i="10" s="1"/>
  <c r="E155" i="10"/>
  <c r="F155" i="10" s="1"/>
  <c r="H154" i="10"/>
  <c r="I154" i="10" s="1"/>
  <c r="F154" i="10"/>
  <c r="C212" i="10" s="1"/>
  <c r="E154" i="10"/>
  <c r="H153" i="10"/>
  <c r="I153" i="10" s="1"/>
  <c r="E153" i="10"/>
  <c r="F153" i="10" s="1"/>
  <c r="H152" i="10"/>
  <c r="I152" i="10" s="1"/>
  <c r="E152" i="10"/>
  <c r="F152" i="10" s="1"/>
  <c r="C211" i="10" s="1"/>
  <c r="I151" i="10"/>
  <c r="H151" i="10"/>
  <c r="E151" i="10"/>
  <c r="F151" i="10" s="1"/>
  <c r="H150" i="10"/>
  <c r="I150" i="10" s="1"/>
  <c r="F210" i="10" s="1"/>
  <c r="E150" i="10"/>
  <c r="F150" i="10" s="1"/>
  <c r="H149" i="10"/>
  <c r="I149" i="10" s="1"/>
  <c r="E149" i="10"/>
  <c r="F149" i="10" s="1"/>
  <c r="H148" i="10"/>
  <c r="I148" i="10" s="1"/>
  <c r="E148" i="10"/>
  <c r="F148" i="10" s="1"/>
  <c r="C209" i="10" s="1"/>
  <c r="H147" i="10"/>
  <c r="I147" i="10" s="1"/>
  <c r="E147" i="10"/>
  <c r="F147" i="10" s="1"/>
  <c r="H146" i="10"/>
  <c r="I146" i="10" s="1"/>
  <c r="F146" i="10"/>
  <c r="C208" i="10" s="1"/>
  <c r="E146" i="10"/>
  <c r="H145" i="10"/>
  <c r="I145" i="10" s="1"/>
  <c r="E145" i="10"/>
  <c r="F145" i="10" s="1"/>
  <c r="H144" i="10"/>
  <c r="I144" i="10" s="1"/>
  <c r="E144" i="10"/>
  <c r="F144" i="10" s="1"/>
  <c r="C207" i="10" s="1"/>
  <c r="I143" i="10"/>
  <c r="H143" i="10"/>
  <c r="E143" i="10"/>
  <c r="F143" i="10" s="1"/>
  <c r="H142" i="10"/>
  <c r="I142" i="10" s="1"/>
  <c r="F206" i="10" s="1"/>
  <c r="E142" i="10"/>
  <c r="F142" i="10" s="1"/>
  <c r="H141" i="10"/>
  <c r="I141" i="10" s="1"/>
  <c r="E141" i="10"/>
  <c r="F141" i="10" s="1"/>
  <c r="H140" i="10"/>
  <c r="E140" i="10"/>
  <c r="F140" i="10" s="1"/>
  <c r="C205" i="10" s="1"/>
  <c r="H139" i="10"/>
  <c r="I139" i="10" s="1"/>
  <c r="E139" i="10"/>
  <c r="F139" i="10" s="1"/>
  <c r="H138" i="10"/>
  <c r="F138" i="10"/>
  <c r="C204" i="10" s="1"/>
  <c r="E138" i="10"/>
  <c r="H137" i="10"/>
  <c r="I137" i="10" s="1"/>
  <c r="E137" i="10"/>
  <c r="F137" i="10" s="1"/>
  <c r="H136" i="10"/>
  <c r="E136" i="10"/>
  <c r="F136" i="10" s="1"/>
  <c r="C203" i="10" s="1"/>
  <c r="H135" i="10"/>
  <c r="E135" i="10"/>
  <c r="F135" i="10" s="1"/>
  <c r="H134" i="10"/>
  <c r="E134" i="10"/>
  <c r="F134" i="10" s="1"/>
  <c r="H133" i="10"/>
  <c r="I133" i="10" s="1"/>
  <c r="E133" i="10"/>
  <c r="F133" i="10" s="1"/>
  <c r="H132" i="10"/>
  <c r="E132" i="10"/>
  <c r="F132" i="10" s="1"/>
  <c r="C201" i="10" s="1"/>
  <c r="H131" i="10"/>
  <c r="I131" i="10" s="1"/>
  <c r="E131" i="10"/>
  <c r="F131" i="10" s="1"/>
  <c r="H130" i="10"/>
  <c r="F130" i="10"/>
  <c r="C200" i="10" s="1"/>
  <c r="E130" i="10"/>
  <c r="H129" i="10"/>
  <c r="I129" i="10" s="1"/>
  <c r="E129" i="10"/>
  <c r="F129" i="10" s="1"/>
  <c r="H128" i="10"/>
  <c r="E128" i="10"/>
  <c r="F128" i="10" s="1"/>
  <c r="C199" i="10" s="1"/>
  <c r="H127" i="10"/>
  <c r="E127" i="10"/>
  <c r="F127" i="10" s="1"/>
  <c r="H126" i="10"/>
  <c r="E126" i="10"/>
  <c r="F126" i="10" s="1"/>
  <c r="H125" i="10"/>
  <c r="I125" i="10" s="1"/>
  <c r="E125" i="10"/>
  <c r="F125" i="10" s="1"/>
  <c r="H124" i="10"/>
  <c r="E124" i="10"/>
  <c r="F124" i="10" s="1"/>
  <c r="C197" i="10" s="1"/>
  <c r="H123" i="10"/>
  <c r="I123" i="10" s="1"/>
  <c r="E123" i="10"/>
  <c r="F123" i="10" s="1"/>
  <c r="H122" i="10"/>
  <c r="F122" i="10"/>
  <c r="C196" i="10" s="1"/>
  <c r="E122" i="10"/>
  <c r="H121" i="10"/>
  <c r="I121" i="10" s="1"/>
  <c r="E121" i="10"/>
  <c r="F121" i="10" s="1"/>
  <c r="H120" i="10"/>
  <c r="E120" i="10"/>
  <c r="F120" i="10" s="1"/>
  <c r="C195" i="10" s="1"/>
  <c r="H119" i="10"/>
  <c r="E119" i="10"/>
  <c r="F119" i="10" s="1"/>
  <c r="H118" i="10"/>
  <c r="E118" i="10"/>
  <c r="F118" i="10" s="1"/>
  <c r="H117" i="10"/>
  <c r="I117" i="10" s="1"/>
  <c r="E117" i="10"/>
  <c r="F117" i="10" s="1"/>
  <c r="H116" i="10"/>
  <c r="E116" i="10"/>
  <c r="F116" i="10" s="1"/>
  <c r="C193" i="10" s="1"/>
  <c r="H115" i="10"/>
  <c r="I115" i="10" s="1"/>
  <c r="E115" i="10"/>
  <c r="F115" i="10" s="1"/>
  <c r="H114" i="10"/>
  <c r="F114" i="10"/>
  <c r="C192" i="10" s="1"/>
  <c r="E114" i="10"/>
  <c r="H113" i="10"/>
  <c r="I113" i="10" s="1"/>
  <c r="E113" i="10"/>
  <c r="F113" i="10" s="1"/>
  <c r="H112" i="10"/>
  <c r="E112" i="10"/>
  <c r="F112" i="10" s="1"/>
  <c r="C191" i="10" s="1"/>
  <c r="H111" i="10"/>
  <c r="E111" i="10"/>
  <c r="F111" i="10" s="1"/>
  <c r="H110" i="10"/>
  <c r="E110" i="10"/>
  <c r="F110" i="10" s="1"/>
  <c r="H109" i="10"/>
  <c r="I109" i="10" s="1"/>
  <c r="E109" i="10"/>
  <c r="F109" i="10" s="1"/>
  <c r="H108" i="10"/>
  <c r="E108" i="10"/>
  <c r="F108" i="10" s="1"/>
  <c r="C189" i="10" s="1"/>
  <c r="H107" i="10"/>
  <c r="I107" i="10" s="1"/>
  <c r="E107" i="10"/>
  <c r="F107" i="10" s="1"/>
  <c r="H106" i="10"/>
  <c r="F106" i="10"/>
  <c r="C188" i="10" s="1"/>
  <c r="E106" i="10"/>
  <c r="H105" i="10"/>
  <c r="I105" i="10" s="1"/>
  <c r="E105" i="10"/>
  <c r="F105" i="10" s="1"/>
  <c r="H104" i="10"/>
  <c r="E104" i="10"/>
  <c r="F104" i="10" s="1"/>
  <c r="C187" i="10" s="1"/>
  <c r="H103" i="10"/>
  <c r="E103" i="10"/>
  <c r="F103" i="10" s="1"/>
  <c r="H102" i="10"/>
  <c r="E102" i="10"/>
  <c r="F102" i="10" s="1"/>
  <c r="H101" i="10"/>
  <c r="I101" i="10" s="1"/>
  <c r="E101" i="10"/>
  <c r="F101" i="10" s="1"/>
  <c r="H100" i="10"/>
  <c r="E100" i="10"/>
  <c r="F100" i="10" s="1"/>
  <c r="C185" i="10" s="1"/>
  <c r="H99" i="10"/>
  <c r="I99" i="10" s="1"/>
  <c r="E99" i="10"/>
  <c r="F99" i="10" s="1"/>
  <c r="H98" i="10"/>
  <c r="F98" i="10"/>
  <c r="C184" i="10" s="1"/>
  <c r="E98" i="10"/>
  <c r="H97" i="10"/>
  <c r="I97" i="10" s="1"/>
  <c r="E97" i="10"/>
  <c r="F97" i="10" s="1"/>
  <c r="H96" i="10"/>
  <c r="E96" i="10"/>
  <c r="F96" i="10" s="1"/>
  <c r="C183" i="10" s="1"/>
  <c r="H95" i="10"/>
  <c r="E95" i="10"/>
  <c r="F95" i="10" s="1"/>
  <c r="H94" i="10"/>
  <c r="E94" i="10"/>
  <c r="F94" i="10" s="1"/>
  <c r="H93" i="10"/>
  <c r="I93" i="10" s="1"/>
  <c r="E93" i="10"/>
  <c r="F93" i="10" s="1"/>
  <c r="H92" i="10"/>
  <c r="E92" i="10"/>
  <c r="F92" i="10" s="1"/>
  <c r="C181" i="10" s="1"/>
  <c r="H91" i="10"/>
  <c r="I91" i="10" s="1"/>
  <c r="E91" i="10"/>
  <c r="F91" i="10" s="1"/>
  <c r="H90" i="10"/>
  <c r="F90" i="10"/>
  <c r="C180" i="10" s="1"/>
  <c r="E90" i="10"/>
  <c r="H89" i="10"/>
  <c r="I89" i="10" s="1"/>
  <c r="E89" i="10"/>
  <c r="F89" i="10" s="1"/>
  <c r="H88" i="10"/>
  <c r="E88" i="10"/>
  <c r="F88" i="10" s="1"/>
  <c r="C179" i="10" s="1"/>
  <c r="H87" i="10"/>
  <c r="E87" i="10"/>
  <c r="F87" i="10" s="1"/>
  <c r="H86" i="10"/>
  <c r="E86" i="10"/>
  <c r="F86" i="10" s="1"/>
  <c r="H85" i="10"/>
  <c r="I85" i="10" s="1"/>
  <c r="E85" i="10"/>
  <c r="F85" i="10" s="1"/>
  <c r="H84" i="10"/>
  <c r="E84" i="10"/>
  <c r="F84" i="10" s="1"/>
  <c r="C177" i="10" s="1"/>
  <c r="H83" i="10"/>
  <c r="I83" i="10" s="1"/>
  <c r="E83" i="10"/>
  <c r="F83" i="10" s="1"/>
  <c r="H82" i="10"/>
  <c r="F82" i="10"/>
  <c r="C176" i="10" s="1"/>
  <c r="E82" i="10"/>
  <c r="H81" i="10"/>
  <c r="I81" i="10" s="1"/>
  <c r="E81" i="10"/>
  <c r="F81" i="10" s="1"/>
  <c r="H80" i="10"/>
  <c r="E80" i="10"/>
  <c r="F80" i="10" s="1"/>
  <c r="C175" i="10" s="1"/>
  <c r="H79" i="10"/>
  <c r="E79" i="10"/>
  <c r="F79" i="10" s="1"/>
  <c r="H78" i="10"/>
  <c r="E78" i="10"/>
  <c r="F78" i="10" s="1"/>
  <c r="H77" i="10"/>
  <c r="I77" i="10" s="1"/>
  <c r="E77" i="10"/>
  <c r="F77" i="10" s="1"/>
  <c r="H76" i="10"/>
  <c r="E76" i="10"/>
  <c r="F76" i="10" s="1"/>
  <c r="C173" i="10" s="1"/>
  <c r="H75" i="10"/>
  <c r="I75" i="10" s="1"/>
  <c r="E75" i="10"/>
  <c r="F75" i="10" s="1"/>
  <c r="H74" i="10"/>
  <c r="F74" i="10"/>
  <c r="C172" i="10" s="1"/>
  <c r="E74" i="10"/>
  <c r="H73" i="10"/>
  <c r="I73" i="10" s="1"/>
  <c r="E73" i="10"/>
  <c r="F73" i="10" s="1"/>
  <c r="H72" i="10"/>
  <c r="E72" i="10"/>
  <c r="F72" i="10" s="1"/>
  <c r="C171" i="10" s="1"/>
  <c r="H71" i="10"/>
  <c r="E71" i="10"/>
  <c r="F71" i="10" s="1"/>
  <c r="H70" i="10"/>
  <c r="E70" i="10"/>
  <c r="F70" i="10" s="1"/>
  <c r="H69" i="10"/>
  <c r="I69" i="10" s="1"/>
  <c r="E69" i="10"/>
  <c r="F69" i="10" s="1"/>
  <c r="H68" i="10"/>
  <c r="E68" i="10"/>
  <c r="F68" i="10" s="1"/>
  <c r="C169" i="10" s="1"/>
  <c r="H67" i="10"/>
  <c r="I67" i="10" s="1"/>
  <c r="E67" i="10"/>
  <c r="F67" i="10" s="1"/>
  <c r="H66" i="10"/>
  <c r="F66" i="10"/>
  <c r="C168" i="10" s="1"/>
  <c r="E66" i="10"/>
  <c r="H65" i="10"/>
  <c r="I65" i="10" s="1"/>
  <c r="E65" i="10"/>
  <c r="F65" i="10" s="1"/>
  <c r="H64" i="10"/>
  <c r="E64" i="10"/>
  <c r="F64" i="10" s="1"/>
  <c r="C167" i="10" s="1"/>
  <c r="H63" i="10"/>
  <c r="E63" i="10"/>
  <c r="F63" i="10" s="1"/>
  <c r="H62" i="10"/>
  <c r="I62" i="10" s="1"/>
  <c r="E62" i="10"/>
  <c r="F62" i="10" s="1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38" i="10"/>
  <c r="D37" i="10"/>
  <c r="D36" i="10"/>
  <c r="D35" i="10"/>
  <c r="D34" i="10"/>
  <c r="D32" i="10"/>
  <c r="D31" i="10"/>
  <c r="D30" i="10"/>
  <c r="D29" i="10"/>
  <c r="D28" i="10"/>
  <c r="D27" i="10"/>
  <c r="D26" i="10"/>
  <c r="D25" i="10"/>
  <c r="D24" i="10"/>
  <c r="D23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M4" i="10"/>
  <c r="I119" i="10" s="1"/>
  <c r="D4" i="10"/>
  <c r="D3" i="10"/>
  <c r="T13" i="14" l="1"/>
  <c r="U13" i="14" s="1"/>
  <c r="J33" i="14"/>
  <c r="K33" i="14" s="1"/>
  <c r="J99" i="14"/>
  <c r="K99" i="14" s="1"/>
  <c r="K69" i="14"/>
  <c r="J87" i="14"/>
  <c r="K87" i="14" s="1"/>
  <c r="J93" i="14"/>
  <c r="K93" i="14" s="1"/>
  <c r="J75" i="14"/>
  <c r="K75" i="14" s="1"/>
  <c r="J81" i="14"/>
  <c r="K81" i="14" s="1"/>
  <c r="K57" i="14"/>
  <c r="J45" i="14"/>
  <c r="K45" i="14" s="1"/>
  <c r="T63" i="14"/>
  <c r="U63" i="14" s="1"/>
  <c r="T93" i="14"/>
  <c r="U93" i="14" s="1"/>
  <c r="T69" i="14"/>
  <c r="U69" i="14" s="1"/>
  <c r="T81" i="14"/>
  <c r="U81" i="14" s="1"/>
  <c r="T51" i="14"/>
  <c r="U51" i="14"/>
  <c r="T75" i="14"/>
  <c r="U75" i="14" s="1"/>
  <c r="T87" i="14"/>
  <c r="U87" i="14" s="1"/>
  <c r="T57" i="14"/>
  <c r="U57" i="14" s="1"/>
  <c r="T45" i="14"/>
  <c r="U45" i="14" s="1"/>
  <c r="T99" i="14"/>
  <c r="U99" i="14"/>
  <c r="T23" i="14"/>
  <c r="U23" i="14" s="1"/>
  <c r="T39" i="14"/>
  <c r="U39" i="14"/>
  <c r="H51" i="14"/>
  <c r="I51" i="14" s="1"/>
  <c r="K51" i="14" s="1"/>
  <c r="F51" i="14"/>
  <c r="J63" i="14"/>
  <c r="K63" i="14" s="1"/>
  <c r="J39" i="14"/>
  <c r="K39" i="14" s="1"/>
  <c r="J13" i="14"/>
  <c r="K13" i="14" s="1"/>
  <c r="J3" i="14"/>
  <c r="K3" i="14" s="1"/>
  <c r="J23" i="14"/>
  <c r="K23" i="14" s="1"/>
  <c r="T33" i="14"/>
  <c r="U33" i="14" s="1"/>
  <c r="I78" i="10"/>
  <c r="I94" i="10"/>
  <c r="I118" i="10"/>
  <c r="F194" i="10" s="1"/>
  <c r="I134" i="10"/>
  <c r="I102" i="10"/>
  <c r="I110" i="10"/>
  <c r="I126" i="10"/>
  <c r="F198" i="10" s="1"/>
  <c r="I68" i="10"/>
  <c r="F169" i="10" s="1"/>
  <c r="I76" i="10"/>
  <c r="F173" i="10" s="1"/>
  <c r="I84" i="10"/>
  <c r="F177" i="10" s="1"/>
  <c r="I92" i="10"/>
  <c r="F181" i="10" s="1"/>
  <c r="I100" i="10"/>
  <c r="F185" i="10" s="1"/>
  <c r="I108" i="10"/>
  <c r="F189" i="10" s="1"/>
  <c r="I116" i="10"/>
  <c r="F193" i="10" s="1"/>
  <c r="I124" i="10"/>
  <c r="F197" i="10" s="1"/>
  <c r="I132" i="10"/>
  <c r="F201" i="10" s="1"/>
  <c r="I140" i="10"/>
  <c r="F205" i="10" s="1"/>
  <c r="F209" i="10"/>
  <c r="F213" i="10"/>
  <c r="I86" i="10"/>
  <c r="I87" i="10"/>
  <c r="I103" i="10"/>
  <c r="I111" i="10"/>
  <c r="I127" i="10"/>
  <c r="I135" i="10"/>
  <c r="I70" i="10"/>
  <c r="I98" i="10"/>
  <c r="F184" i="10" s="1"/>
  <c r="I106" i="10"/>
  <c r="F188" i="10" s="1"/>
  <c r="I122" i="10"/>
  <c r="F196" i="10" s="1"/>
  <c r="I130" i="10"/>
  <c r="F200" i="10" s="1"/>
  <c r="I138" i="10"/>
  <c r="F204" i="10" s="1"/>
  <c r="F208" i="10"/>
  <c r="F212" i="10"/>
  <c r="F216" i="10"/>
  <c r="I114" i="10"/>
  <c r="F192" i="10" s="1"/>
  <c r="I63" i="10"/>
  <c r="F166" i="10" s="1"/>
  <c r="I71" i="10"/>
  <c r="I66" i="10"/>
  <c r="F168" i="10" s="1"/>
  <c r="I82" i="10"/>
  <c r="F176" i="10" s="1"/>
  <c r="I90" i="10"/>
  <c r="F180" i="10" s="1"/>
  <c r="I64" i="10"/>
  <c r="F167" i="10" s="1"/>
  <c r="I72" i="10"/>
  <c r="F171" i="10" s="1"/>
  <c r="I80" i="10"/>
  <c r="F175" i="10" s="1"/>
  <c r="I88" i="10"/>
  <c r="F179" i="10" s="1"/>
  <c r="I96" i="10"/>
  <c r="F183" i="10" s="1"/>
  <c r="I104" i="10"/>
  <c r="F187" i="10" s="1"/>
  <c r="I112" i="10"/>
  <c r="F191" i="10" s="1"/>
  <c r="I120" i="10"/>
  <c r="F195" i="10" s="1"/>
  <c r="I128" i="10"/>
  <c r="F199" i="10" s="1"/>
  <c r="I136" i="10"/>
  <c r="F203" i="10" s="1"/>
  <c r="F207" i="10"/>
  <c r="F211" i="10"/>
  <c r="F215" i="10"/>
  <c r="I79" i="10"/>
  <c r="I95" i="10"/>
  <c r="I74" i="10"/>
  <c r="F172" i="10" s="1"/>
  <c r="C166" i="10"/>
  <c r="C170" i="10"/>
  <c r="C174" i="10"/>
  <c r="C178" i="10"/>
  <c r="C182" i="10"/>
  <c r="C186" i="10"/>
  <c r="C190" i="10"/>
  <c r="C194" i="10"/>
  <c r="C198" i="10"/>
  <c r="C202" i="10"/>
  <c r="C206" i="10"/>
  <c r="C210" i="10"/>
  <c r="C214" i="10"/>
  <c r="M59" i="9"/>
  <c r="N59" i="9" s="1"/>
  <c r="J50" i="9"/>
  <c r="K50" i="9" s="1"/>
  <c r="J44" i="9"/>
  <c r="K44" i="9" s="1"/>
  <c r="M20" i="9"/>
  <c r="N20" i="9" s="1"/>
  <c r="M68" i="9"/>
  <c r="N68" i="9" s="1"/>
  <c r="M65" i="9"/>
  <c r="N65" i="9" s="1"/>
  <c r="M62" i="9"/>
  <c r="N62" i="9" s="1"/>
  <c r="M56" i="9"/>
  <c r="N56" i="9" s="1"/>
  <c r="M53" i="9"/>
  <c r="N53" i="9" s="1"/>
  <c r="M50" i="9"/>
  <c r="N50" i="9" s="1"/>
  <c r="M47" i="9"/>
  <c r="N47" i="9" s="1"/>
  <c r="M44" i="9"/>
  <c r="N44" i="9" s="1"/>
  <c r="M41" i="9"/>
  <c r="N41" i="9" s="1"/>
  <c r="M38" i="9"/>
  <c r="N38" i="9" s="1"/>
  <c r="N35" i="9"/>
  <c r="M35" i="9"/>
  <c r="M30" i="9"/>
  <c r="N30" i="9" s="1"/>
  <c r="M25" i="9"/>
  <c r="N25" i="9" s="1"/>
  <c r="K38" i="9"/>
  <c r="K41" i="9"/>
  <c r="K47" i="9"/>
  <c r="K65" i="9"/>
  <c r="K68" i="9"/>
  <c r="K35" i="9"/>
  <c r="K25" i="9"/>
  <c r="J38" i="9"/>
  <c r="J41" i="9"/>
  <c r="J47" i="9"/>
  <c r="J53" i="9"/>
  <c r="K53" i="9" s="1"/>
  <c r="J56" i="9"/>
  <c r="K56" i="9" s="1"/>
  <c r="J59" i="9"/>
  <c r="K59" i="9" s="1"/>
  <c r="J62" i="9"/>
  <c r="K62" i="9" s="1"/>
  <c r="J65" i="9"/>
  <c r="J68" i="9"/>
  <c r="J35" i="9"/>
  <c r="J25" i="9"/>
  <c r="J30" i="9"/>
  <c r="K30" i="9" s="1"/>
  <c r="J20" i="9"/>
  <c r="K20" i="9" s="1"/>
  <c r="F122" i="9"/>
  <c r="D122" i="9"/>
  <c r="F121" i="9"/>
  <c r="D121" i="9"/>
  <c r="F120" i="9"/>
  <c r="D120" i="9"/>
  <c r="F119" i="9"/>
  <c r="D119" i="9"/>
  <c r="F118" i="9"/>
  <c r="D118" i="9"/>
  <c r="F117" i="9"/>
  <c r="D117" i="9"/>
  <c r="F116" i="9"/>
  <c r="D116" i="9"/>
  <c r="F115" i="9"/>
  <c r="D115" i="9"/>
  <c r="F114" i="9"/>
  <c r="D114" i="9"/>
  <c r="F113" i="9"/>
  <c r="D113" i="9"/>
  <c r="F112" i="9"/>
  <c r="D112" i="9"/>
  <c r="F111" i="9"/>
  <c r="D111" i="9"/>
  <c r="F110" i="9"/>
  <c r="D110" i="9"/>
  <c r="F109" i="9"/>
  <c r="D109" i="9"/>
  <c r="F108" i="9"/>
  <c r="D108" i="9"/>
  <c r="F107" i="9"/>
  <c r="D107" i="9"/>
  <c r="F106" i="9"/>
  <c r="D106" i="9"/>
  <c r="F105" i="9"/>
  <c r="D105" i="9"/>
  <c r="F104" i="9"/>
  <c r="D104" i="9"/>
  <c r="F103" i="9"/>
  <c r="D103" i="9"/>
  <c r="F102" i="9"/>
  <c r="D102" i="9"/>
  <c r="F101" i="9"/>
  <c r="D101" i="9"/>
  <c r="F100" i="9"/>
  <c r="D100" i="9"/>
  <c r="F99" i="9"/>
  <c r="D99" i="9"/>
  <c r="F98" i="9"/>
  <c r="F97" i="9"/>
  <c r="D97" i="9"/>
  <c r="F96" i="9"/>
  <c r="D96" i="9"/>
  <c r="F95" i="9"/>
  <c r="D95" i="9"/>
  <c r="F94" i="9"/>
  <c r="D94" i="9"/>
  <c r="F93" i="9"/>
  <c r="D93" i="9"/>
  <c r="F92" i="9"/>
  <c r="D92" i="9"/>
  <c r="F91" i="9"/>
  <c r="D91" i="9"/>
  <c r="F90" i="9"/>
  <c r="D90" i="9"/>
  <c r="F89" i="9"/>
  <c r="D89" i="9"/>
  <c r="F88" i="9"/>
  <c r="D88" i="9"/>
  <c r="F87" i="9"/>
  <c r="D87" i="9"/>
  <c r="F86" i="9"/>
  <c r="D86" i="9"/>
  <c r="F85" i="9"/>
  <c r="D85" i="9"/>
  <c r="F84" i="9"/>
  <c r="D84" i="9"/>
  <c r="F83" i="9"/>
  <c r="D83" i="9"/>
  <c r="F82" i="9"/>
  <c r="D82" i="9"/>
  <c r="F81" i="9"/>
  <c r="D81" i="9"/>
  <c r="F80" i="9"/>
  <c r="D80" i="9"/>
  <c r="F79" i="9"/>
  <c r="D79" i="9"/>
  <c r="F78" i="9"/>
  <c r="D78" i="9"/>
  <c r="F77" i="9"/>
  <c r="D77" i="9"/>
  <c r="F76" i="9"/>
  <c r="D76" i="9"/>
  <c r="F75" i="9"/>
  <c r="D75" i="9"/>
  <c r="F74" i="9"/>
  <c r="D74" i="9"/>
  <c r="F73" i="9"/>
  <c r="D73" i="9"/>
  <c r="F72" i="9"/>
  <c r="D72" i="9"/>
  <c r="F71" i="9"/>
  <c r="D71" i="9"/>
  <c r="F70" i="9"/>
  <c r="D70" i="9"/>
  <c r="F69" i="9"/>
  <c r="D69" i="9"/>
  <c r="F68" i="9"/>
  <c r="D68" i="9"/>
  <c r="F67" i="9"/>
  <c r="D67" i="9"/>
  <c r="F66" i="9"/>
  <c r="D66" i="9"/>
  <c r="F65" i="9"/>
  <c r="D65" i="9"/>
  <c r="F64" i="9"/>
  <c r="D64" i="9"/>
  <c r="F63" i="9"/>
  <c r="D63" i="9"/>
  <c r="F62" i="9"/>
  <c r="D62" i="9"/>
  <c r="F61" i="9"/>
  <c r="D61" i="9"/>
  <c r="F60" i="9"/>
  <c r="D60" i="9"/>
  <c r="F59" i="9"/>
  <c r="D59" i="9"/>
  <c r="F58" i="9"/>
  <c r="D58" i="9"/>
  <c r="F57" i="9"/>
  <c r="D57" i="9"/>
  <c r="F56" i="9"/>
  <c r="D56" i="9"/>
  <c r="F55" i="9"/>
  <c r="D55" i="9"/>
  <c r="F54" i="9"/>
  <c r="D54" i="9"/>
  <c r="F53" i="9"/>
  <c r="D53" i="9"/>
  <c r="F52" i="9"/>
  <c r="D52" i="9"/>
  <c r="F51" i="9"/>
  <c r="D51" i="9"/>
  <c r="F50" i="9"/>
  <c r="D50" i="9"/>
  <c r="F49" i="9"/>
  <c r="D49" i="9"/>
  <c r="F48" i="9"/>
  <c r="D48" i="9"/>
  <c r="F47" i="9"/>
  <c r="D47" i="9"/>
  <c r="F46" i="9"/>
  <c r="D46" i="9"/>
  <c r="F45" i="9"/>
  <c r="D45" i="9"/>
  <c r="F44" i="9"/>
  <c r="D44" i="9"/>
  <c r="F43" i="9"/>
  <c r="D43" i="9"/>
  <c r="F42" i="9"/>
  <c r="D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M79" i="4"/>
  <c r="M75" i="4"/>
  <c r="F190" i="10" l="1"/>
  <c r="F178" i="10"/>
  <c r="F186" i="10"/>
  <c r="F202" i="10"/>
  <c r="F170" i="10"/>
  <c r="F182" i="10"/>
  <c r="F174" i="10"/>
  <c r="N53" i="4"/>
  <c r="M53" i="4"/>
  <c r="O53" i="4" s="1"/>
  <c r="P53" i="4" s="1"/>
  <c r="N9" i="7"/>
  <c r="M9" i="7"/>
  <c r="O9" i="7" s="1"/>
  <c r="P9" i="7" s="1"/>
  <c r="Q9" i="7" s="1"/>
  <c r="N3" i="7"/>
  <c r="N103" i="7"/>
  <c r="M103" i="7"/>
  <c r="E103" i="7"/>
  <c r="D103" i="7"/>
  <c r="F103" i="7" s="1"/>
  <c r="N101" i="7"/>
  <c r="M101" i="7"/>
  <c r="E101" i="7"/>
  <c r="D101" i="7"/>
  <c r="F101" i="7" s="1"/>
  <c r="N99" i="7"/>
  <c r="M99" i="7"/>
  <c r="E99" i="7"/>
  <c r="D99" i="7"/>
  <c r="F99" i="7" s="1"/>
  <c r="N97" i="7"/>
  <c r="M97" i="7"/>
  <c r="O97" i="7" s="1"/>
  <c r="E97" i="7"/>
  <c r="D97" i="7"/>
  <c r="F97" i="7" s="1"/>
  <c r="N95" i="7"/>
  <c r="M95" i="7"/>
  <c r="E95" i="7"/>
  <c r="D95" i="7"/>
  <c r="F95" i="7" s="1"/>
  <c r="G95" i="7" s="1"/>
  <c r="H95" i="7" s="1"/>
  <c r="N93" i="7"/>
  <c r="M93" i="7"/>
  <c r="O93" i="7" s="1"/>
  <c r="E93" i="7"/>
  <c r="D93" i="7"/>
  <c r="F93" i="7" s="1"/>
  <c r="N91" i="7"/>
  <c r="M91" i="7"/>
  <c r="O91" i="7" s="1"/>
  <c r="E91" i="7"/>
  <c r="D91" i="7"/>
  <c r="F91" i="7" s="1"/>
  <c r="G91" i="7" s="1"/>
  <c r="H91" i="7" s="1"/>
  <c r="N89" i="7"/>
  <c r="M89" i="7"/>
  <c r="O89" i="7" s="1"/>
  <c r="E89" i="7"/>
  <c r="D89" i="7"/>
  <c r="N87" i="7"/>
  <c r="M87" i="7"/>
  <c r="O87" i="7" s="1"/>
  <c r="P87" i="7" s="1"/>
  <c r="Q87" i="7" s="1"/>
  <c r="E87" i="7"/>
  <c r="D87" i="7"/>
  <c r="N85" i="7"/>
  <c r="M85" i="7"/>
  <c r="E85" i="7"/>
  <c r="D85" i="7"/>
  <c r="F85" i="7" s="1"/>
  <c r="N83" i="7"/>
  <c r="M83" i="7"/>
  <c r="O83" i="7" s="1"/>
  <c r="E83" i="7"/>
  <c r="D83" i="7"/>
  <c r="F83" i="7" s="1"/>
  <c r="N81" i="7"/>
  <c r="M81" i="7"/>
  <c r="O81" i="7" s="1"/>
  <c r="E81" i="7"/>
  <c r="D81" i="7"/>
  <c r="F81" i="7" s="1"/>
  <c r="N79" i="7"/>
  <c r="M79" i="7"/>
  <c r="O79" i="7" s="1"/>
  <c r="E79" i="7"/>
  <c r="D79" i="7"/>
  <c r="N77" i="7"/>
  <c r="M77" i="7"/>
  <c r="E77" i="7"/>
  <c r="D77" i="7"/>
  <c r="F77" i="7" s="1"/>
  <c r="N75" i="7"/>
  <c r="M75" i="7"/>
  <c r="O75" i="7" s="1"/>
  <c r="E75" i="7"/>
  <c r="D75" i="7"/>
  <c r="F75" i="7" s="1"/>
  <c r="N73" i="7"/>
  <c r="M73" i="7"/>
  <c r="O73" i="7" s="1"/>
  <c r="P73" i="7" s="1"/>
  <c r="Q73" i="7" s="1"/>
  <c r="E73" i="7"/>
  <c r="D73" i="7"/>
  <c r="F73" i="7" s="1"/>
  <c r="N71" i="7"/>
  <c r="M71" i="7"/>
  <c r="E71" i="7"/>
  <c r="D71" i="7"/>
  <c r="F71" i="7" s="1"/>
  <c r="N69" i="7"/>
  <c r="M69" i="7"/>
  <c r="E69" i="7"/>
  <c r="D69" i="7"/>
  <c r="F69" i="7" s="1"/>
  <c r="N67" i="7"/>
  <c r="M67" i="7"/>
  <c r="O67" i="7" s="1"/>
  <c r="E67" i="7"/>
  <c r="D67" i="7"/>
  <c r="F67" i="7" s="1"/>
  <c r="G67" i="7" s="1"/>
  <c r="H67" i="7" s="1"/>
  <c r="N65" i="7"/>
  <c r="M65" i="7"/>
  <c r="E65" i="7"/>
  <c r="D65" i="7"/>
  <c r="F65" i="7" s="1"/>
  <c r="N63" i="7"/>
  <c r="M63" i="7"/>
  <c r="O63" i="7" s="1"/>
  <c r="P63" i="7" s="1"/>
  <c r="Q63" i="7" s="1"/>
  <c r="E63" i="7"/>
  <c r="D63" i="7"/>
  <c r="N61" i="7"/>
  <c r="M61" i="7"/>
  <c r="E61" i="7"/>
  <c r="D61" i="7"/>
  <c r="F61" i="7" s="1"/>
  <c r="N59" i="7"/>
  <c r="M59" i="7"/>
  <c r="O59" i="7" s="1"/>
  <c r="E59" i="7"/>
  <c r="D59" i="7"/>
  <c r="F59" i="7" s="1"/>
  <c r="N57" i="7"/>
  <c r="M57" i="7"/>
  <c r="O57" i="7" s="1"/>
  <c r="E57" i="7"/>
  <c r="D57" i="7"/>
  <c r="F57" i="7" s="1"/>
  <c r="N55" i="7"/>
  <c r="M55" i="7"/>
  <c r="O55" i="7" s="1"/>
  <c r="P55" i="7" s="1"/>
  <c r="Q55" i="7" s="1"/>
  <c r="E55" i="7"/>
  <c r="D55" i="7"/>
  <c r="N53" i="7"/>
  <c r="M53" i="7"/>
  <c r="O53" i="7" s="1"/>
  <c r="E53" i="7"/>
  <c r="D53" i="7"/>
  <c r="F53" i="7" s="1"/>
  <c r="N51" i="7"/>
  <c r="M51" i="7"/>
  <c r="E51" i="7"/>
  <c r="D51" i="7"/>
  <c r="F51" i="7" s="1"/>
  <c r="N49" i="7"/>
  <c r="M49" i="7"/>
  <c r="O49" i="7" s="1"/>
  <c r="E49" i="7"/>
  <c r="D49" i="7"/>
  <c r="F49" i="7" s="1"/>
  <c r="N47" i="7"/>
  <c r="M47" i="7"/>
  <c r="O47" i="7" s="1"/>
  <c r="E47" i="7"/>
  <c r="D47" i="7"/>
  <c r="N45" i="7"/>
  <c r="M45" i="7"/>
  <c r="O45" i="7" s="1"/>
  <c r="E45" i="7"/>
  <c r="D45" i="7"/>
  <c r="F45" i="7" s="1"/>
  <c r="N43" i="7"/>
  <c r="M43" i="7"/>
  <c r="O43" i="7" s="1"/>
  <c r="E43" i="7"/>
  <c r="D43" i="7"/>
  <c r="N41" i="7"/>
  <c r="M41" i="7"/>
  <c r="O41" i="7" s="1"/>
  <c r="E41" i="7"/>
  <c r="D41" i="7"/>
  <c r="F41" i="7" s="1"/>
  <c r="N39" i="7"/>
  <c r="M39" i="7"/>
  <c r="E39" i="7"/>
  <c r="D39" i="7"/>
  <c r="F39" i="7" s="1"/>
  <c r="G39" i="7" s="1"/>
  <c r="H39" i="7" s="1"/>
  <c r="N37" i="7"/>
  <c r="M37" i="7"/>
  <c r="O37" i="7" s="1"/>
  <c r="E37" i="7"/>
  <c r="D37" i="7"/>
  <c r="N35" i="7"/>
  <c r="M35" i="7"/>
  <c r="E35" i="7"/>
  <c r="D35" i="7"/>
  <c r="F35" i="7" s="1"/>
  <c r="N33" i="7"/>
  <c r="M33" i="7"/>
  <c r="O33" i="7" s="1"/>
  <c r="E33" i="7"/>
  <c r="D33" i="7"/>
  <c r="F33" i="7" s="1"/>
  <c r="N31" i="7"/>
  <c r="M31" i="7"/>
  <c r="O31" i="7" s="1"/>
  <c r="E31" i="7"/>
  <c r="D31" i="7"/>
  <c r="N29" i="7"/>
  <c r="M29" i="7"/>
  <c r="O29" i="7" s="1"/>
  <c r="E29" i="7"/>
  <c r="D29" i="7"/>
  <c r="F29" i="7" s="1"/>
  <c r="N27" i="7"/>
  <c r="M27" i="7"/>
  <c r="O27" i="7" s="1"/>
  <c r="E27" i="7"/>
  <c r="D27" i="7"/>
  <c r="N25" i="7"/>
  <c r="M25" i="7"/>
  <c r="O25" i="7" s="1"/>
  <c r="E25" i="7"/>
  <c r="D25" i="7"/>
  <c r="F25" i="7" s="1"/>
  <c r="N23" i="7"/>
  <c r="M23" i="7"/>
  <c r="O23" i="7" s="1"/>
  <c r="E23" i="7"/>
  <c r="D23" i="7"/>
  <c r="F23" i="7" s="1"/>
  <c r="N21" i="7"/>
  <c r="M21" i="7"/>
  <c r="O21" i="7" s="1"/>
  <c r="E21" i="7"/>
  <c r="D21" i="7"/>
  <c r="N19" i="7"/>
  <c r="M19" i="7"/>
  <c r="E19" i="7"/>
  <c r="D19" i="7"/>
  <c r="F19" i="7" s="1"/>
  <c r="N17" i="7"/>
  <c r="M17" i="7"/>
  <c r="O17" i="7" s="1"/>
  <c r="E17" i="7"/>
  <c r="D17" i="7"/>
  <c r="F17" i="7" s="1"/>
  <c r="N15" i="7"/>
  <c r="M15" i="7"/>
  <c r="E15" i="7"/>
  <c r="D15" i="7"/>
  <c r="N13" i="7"/>
  <c r="M13" i="7"/>
  <c r="O13" i="7" s="1"/>
  <c r="E13" i="7"/>
  <c r="D13" i="7"/>
  <c r="F13" i="7" s="1"/>
  <c r="N11" i="7"/>
  <c r="M11" i="7"/>
  <c r="O11" i="7" s="1"/>
  <c r="E11" i="7"/>
  <c r="D11" i="7"/>
  <c r="F11" i="7" s="1"/>
  <c r="G11" i="7" s="1"/>
  <c r="H11" i="7" s="1"/>
  <c r="E9" i="7"/>
  <c r="D9" i="7"/>
  <c r="F9" i="7" s="1"/>
  <c r="N7" i="7"/>
  <c r="M7" i="7"/>
  <c r="E7" i="7"/>
  <c r="D7" i="7"/>
  <c r="F7" i="7" s="1"/>
  <c r="N5" i="7"/>
  <c r="M5" i="7"/>
  <c r="O5" i="7" s="1"/>
  <c r="E5" i="7"/>
  <c r="D5" i="7"/>
  <c r="F5" i="7" s="1"/>
  <c r="M3" i="7"/>
  <c r="E3" i="7"/>
  <c r="D3" i="7"/>
  <c r="F3" i="7" s="1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Q87" i="6" s="1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3" i="6"/>
  <c r="Q31" i="6"/>
  <c r="O103" i="5"/>
  <c r="N103" i="5"/>
  <c r="E103" i="5"/>
  <c r="D103" i="5"/>
  <c r="O101" i="5"/>
  <c r="N101" i="5"/>
  <c r="E101" i="5"/>
  <c r="D101" i="5"/>
  <c r="O99" i="5"/>
  <c r="N99" i="5"/>
  <c r="E99" i="5"/>
  <c r="D99" i="5"/>
  <c r="O97" i="5"/>
  <c r="N97" i="5"/>
  <c r="P97" i="5" s="1"/>
  <c r="Q97" i="5" s="1"/>
  <c r="E97" i="5"/>
  <c r="D97" i="5"/>
  <c r="O95" i="5"/>
  <c r="N95" i="5"/>
  <c r="E95" i="5"/>
  <c r="D95" i="5"/>
  <c r="O93" i="5"/>
  <c r="N93" i="5"/>
  <c r="E93" i="5"/>
  <c r="D93" i="5"/>
  <c r="O91" i="5"/>
  <c r="N91" i="5"/>
  <c r="E91" i="5"/>
  <c r="D91" i="5"/>
  <c r="O89" i="5"/>
  <c r="N89" i="5"/>
  <c r="E89" i="5"/>
  <c r="D89" i="5"/>
  <c r="O87" i="5"/>
  <c r="N87" i="5"/>
  <c r="E87" i="5"/>
  <c r="D87" i="5"/>
  <c r="O85" i="5"/>
  <c r="N85" i="5"/>
  <c r="E85" i="5"/>
  <c r="D85" i="5"/>
  <c r="O83" i="5"/>
  <c r="N83" i="5"/>
  <c r="E83" i="5"/>
  <c r="D83" i="5"/>
  <c r="F83" i="5" s="1"/>
  <c r="G83" i="5" s="1"/>
  <c r="O81" i="5"/>
  <c r="N81" i="5"/>
  <c r="E81" i="5"/>
  <c r="D81" i="5"/>
  <c r="O79" i="5"/>
  <c r="N79" i="5"/>
  <c r="E79" i="5"/>
  <c r="D79" i="5"/>
  <c r="O77" i="5"/>
  <c r="N77" i="5"/>
  <c r="E77" i="5"/>
  <c r="D77" i="5"/>
  <c r="O75" i="5"/>
  <c r="N75" i="5"/>
  <c r="E75" i="5"/>
  <c r="D75" i="5"/>
  <c r="F75" i="5" s="1"/>
  <c r="G75" i="5" s="1"/>
  <c r="O73" i="5"/>
  <c r="N73" i="5"/>
  <c r="E73" i="5"/>
  <c r="D73" i="5"/>
  <c r="O71" i="5"/>
  <c r="N71" i="5"/>
  <c r="E71" i="5"/>
  <c r="D71" i="5"/>
  <c r="F71" i="5" s="1"/>
  <c r="G71" i="5" s="1"/>
  <c r="O69" i="5"/>
  <c r="N69" i="5"/>
  <c r="E69" i="5"/>
  <c r="D69" i="5"/>
  <c r="F69" i="5" s="1"/>
  <c r="G69" i="5" s="1"/>
  <c r="O67" i="5"/>
  <c r="N67" i="5"/>
  <c r="E67" i="5"/>
  <c r="D67" i="5"/>
  <c r="O65" i="5"/>
  <c r="N65" i="5"/>
  <c r="E65" i="5"/>
  <c r="D65" i="5"/>
  <c r="O63" i="5"/>
  <c r="N63" i="5"/>
  <c r="E63" i="5"/>
  <c r="D63" i="5"/>
  <c r="O61" i="5"/>
  <c r="N61" i="5"/>
  <c r="E61" i="5"/>
  <c r="D61" i="5"/>
  <c r="O59" i="5"/>
  <c r="N59" i="5"/>
  <c r="E59" i="5"/>
  <c r="D59" i="5"/>
  <c r="F59" i="5" s="1"/>
  <c r="G59" i="5" s="1"/>
  <c r="O57" i="5"/>
  <c r="N57" i="5"/>
  <c r="E57" i="5"/>
  <c r="D57" i="5"/>
  <c r="O55" i="5"/>
  <c r="N55" i="5"/>
  <c r="E55" i="5"/>
  <c r="D55" i="5"/>
  <c r="O53" i="5"/>
  <c r="N53" i="5"/>
  <c r="E53" i="5"/>
  <c r="D53" i="5"/>
  <c r="F53" i="5" s="1"/>
  <c r="G53" i="5" s="1"/>
  <c r="O51" i="5"/>
  <c r="N51" i="5"/>
  <c r="E51" i="5"/>
  <c r="D51" i="5"/>
  <c r="O49" i="5"/>
  <c r="N49" i="5"/>
  <c r="E49" i="5"/>
  <c r="D49" i="5"/>
  <c r="O47" i="5"/>
  <c r="N47" i="5"/>
  <c r="E47" i="5"/>
  <c r="D47" i="5"/>
  <c r="O45" i="5"/>
  <c r="N45" i="5"/>
  <c r="E45" i="5"/>
  <c r="D45" i="5"/>
  <c r="O43" i="5"/>
  <c r="N43" i="5"/>
  <c r="E43" i="5"/>
  <c r="D43" i="5"/>
  <c r="O41" i="5"/>
  <c r="N41" i="5"/>
  <c r="P41" i="5" s="1"/>
  <c r="Q41" i="5" s="1"/>
  <c r="R41" i="5" s="1"/>
  <c r="S41" i="5" s="1"/>
  <c r="E41" i="5"/>
  <c r="D41" i="5"/>
  <c r="O39" i="5"/>
  <c r="N39" i="5"/>
  <c r="E39" i="5"/>
  <c r="D39" i="5"/>
  <c r="O37" i="5"/>
  <c r="N37" i="5"/>
  <c r="E37" i="5"/>
  <c r="D37" i="5"/>
  <c r="O35" i="5"/>
  <c r="N35" i="5"/>
  <c r="E35" i="5"/>
  <c r="D35" i="5"/>
  <c r="F35" i="5" s="1"/>
  <c r="G35" i="5" s="1"/>
  <c r="H35" i="5" s="1"/>
  <c r="I35" i="5" s="1"/>
  <c r="O33" i="5"/>
  <c r="N33" i="5"/>
  <c r="E33" i="5"/>
  <c r="D33" i="5"/>
  <c r="O31" i="5"/>
  <c r="N31" i="5"/>
  <c r="E31" i="5"/>
  <c r="D31" i="5"/>
  <c r="O29" i="5"/>
  <c r="N29" i="5"/>
  <c r="E29" i="5"/>
  <c r="D29" i="5"/>
  <c r="F29" i="5" s="1"/>
  <c r="G29" i="5" s="1"/>
  <c r="O27" i="5"/>
  <c r="N27" i="5"/>
  <c r="E27" i="5"/>
  <c r="D27" i="5"/>
  <c r="F27" i="5" s="1"/>
  <c r="G27" i="5" s="1"/>
  <c r="O25" i="5"/>
  <c r="N25" i="5"/>
  <c r="E25" i="5"/>
  <c r="D25" i="5"/>
  <c r="O23" i="5"/>
  <c r="N23" i="5"/>
  <c r="E23" i="5"/>
  <c r="D23" i="5"/>
  <c r="O21" i="5"/>
  <c r="N21" i="5"/>
  <c r="E21" i="5"/>
  <c r="D21" i="5"/>
  <c r="F21" i="5" s="1"/>
  <c r="G21" i="5" s="1"/>
  <c r="O19" i="5"/>
  <c r="N19" i="5"/>
  <c r="E19" i="5"/>
  <c r="D19" i="5"/>
  <c r="O17" i="5"/>
  <c r="N17" i="5"/>
  <c r="P17" i="5" s="1"/>
  <c r="Q17" i="5" s="1"/>
  <c r="E17" i="5"/>
  <c r="D17" i="5"/>
  <c r="O15" i="5"/>
  <c r="N15" i="5"/>
  <c r="P15" i="5" s="1"/>
  <c r="Q15" i="5" s="1"/>
  <c r="E15" i="5"/>
  <c r="D15" i="5"/>
  <c r="O13" i="5"/>
  <c r="N13" i="5"/>
  <c r="E13" i="5"/>
  <c r="D13" i="5"/>
  <c r="F13" i="5" s="1"/>
  <c r="G13" i="5" s="1"/>
  <c r="H13" i="5" s="1"/>
  <c r="I13" i="5" s="1"/>
  <c r="O11" i="5"/>
  <c r="N11" i="5"/>
  <c r="E11" i="5"/>
  <c r="D11" i="5"/>
  <c r="O9" i="5"/>
  <c r="N9" i="5"/>
  <c r="E9" i="5"/>
  <c r="D9" i="5"/>
  <c r="O7" i="5"/>
  <c r="N7" i="5"/>
  <c r="E7" i="5"/>
  <c r="D7" i="5"/>
  <c r="O5" i="5"/>
  <c r="N5" i="5"/>
  <c r="E5" i="5"/>
  <c r="D5" i="5"/>
  <c r="F5" i="5" s="1"/>
  <c r="G5" i="5" s="1"/>
  <c r="O3" i="5"/>
  <c r="N3" i="5"/>
  <c r="E3" i="5"/>
  <c r="D3" i="5"/>
  <c r="F3" i="5" s="1"/>
  <c r="G3" i="5" s="1"/>
  <c r="N65" i="4"/>
  <c r="E55" i="4"/>
  <c r="N103" i="4"/>
  <c r="M103" i="4"/>
  <c r="O103" i="4" s="1"/>
  <c r="E103" i="4"/>
  <c r="D103" i="4"/>
  <c r="F103" i="4" s="1"/>
  <c r="N101" i="4"/>
  <c r="M101" i="4"/>
  <c r="O101" i="4" s="1"/>
  <c r="E101" i="4"/>
  <c r="D101" i="4"/>
  <c r="N99" i="4"/>
  <c r="M99" i="4"/>
  <c r="O99" i="4" s="1"/>
  <c r="P99" i="4" s="1"/>
  <c r="Q99" i="4" s="1"/>
  <c r="E99" i="4"/>
  <c r="D99" i="4"/>
  <c r="F99" i="4" s="1"/>
  <c r="N97" i="4"/>
  <c r="M97" i="4"/>
  <c r="E97" i="4"/>
  <c r="D97" i="4"/>
  <c r="F97" i="4" s="1"/>
  <c r="N95" i="4"/>
  <c r="M95" i="4"/>
  <c r="O95" i="4" s="1"/>
  <c r="E95" i="4"/>
  <c r="D95" i="4"/>
  <c r="F95" i="4" s="1"/>
  <c r="N93" i="4"/>
  <c r="M93" i="4"/>
  <c r="E93" i="4"/>
  <c r="D93" i="4"/>
  <c r="N91" i="4"/>
  <c r="M91" i="4"/>
  <c r="O91" i="4" s="1"/>
  <c r="E91" i="4"/>
  <c r="D91" i="4"/>
  <c r="F91" i="4" s="1"/>
  <c r="N89" i="4"/>
  <c r="M89" i="4"/>
  <c r="E89" i="4"/>
  <c r="D89" i="4"/>
  <c r="N87" i="4"/>
  <c r="M87" i="4"/>
  <c r="E87" i="4"/>
  <c r="D87" i="4"/>
  <c r="F87" i="4" s="1"/>
  <c r="N85" i="4"/>
  <c r="M85" i="4"/>
  <c r="O85" i="4" s="1"/>
  <c r="E85" i="4"/>
  <c r="D85" i="4"/>
  <c r="N83" i="4"/>
  <c r="M83" i="4"/>
  <c r="O83" i="4" s="1"/>
  <c r="P83" i="4" s="1"/>
  <c r="Q83" i="4" s="1"/>
  <c r="E83" i="4"/>
  <c r="D83" i="4"/>
  <c r="F83" i="4" s="1"/>
  <c r="G83" i="4" s="1"/>
  <c r="H83" i="4" s="1"/>
  <c r="N81" i="4"/>
  <c r="M81" i="4"/>
  <c r="E81" i="4"/>
  <c r="D81" i="4"/>
  <c r="F81" i="4" s="1"/>
  <c r="N79" i="4"/>
  <c r="O79" i="4"/>
  <c r="E79" i="4"/>
  <c r="D79" i="4"/>
  <c r="F79" i="4" s="1"/>
  <c r="G79" i="4" s="1"/>
  <c r="H79" i="4" s="1"/>
  <c r="E77" i="4"/>
  <c r="D77" i="4"/>
  <c r="N75" i="4"/>
  <c r="O75" i="4"/>
  <c r="E75" i="4"/>
  <c r="D75" i="4"/>
  <c r="F75" i="4" s="1"/>
  <c r="N73" i="4"/>
  <c r="M73" i="4"/>
  <c r="E73" i="4"/>
  <c r="D73" i="4"/>
  <c r="N71" i="4"/>
  <c r="M71" i="4"/>
  <c r="E71" i="4"/>
  <c r="D71" i="4"/>
  <c r="N69" i="4"/>
  <c r="M69" i="4"/>
  <c r="O69" i="4" s="1"/>
  <c r="E69" i="4"/>
  <c r="D69" i="4"/>
  <c r="N67" i="4"/>
  <c r="M67" i="4"/>
  <c r="O67" i="4" s="1"/>
  <c r="P67" i="4" s="1"/>
  <c r="Q67" i="4" s="1"/>
  <c r="E67" i="4"/>
  <c r="D67" i="4"/>
  <c r="F67" i="4" s="1"/>
  <c r="G67" i="4" s="1"/>
  <c r="H67" i="4" s="1"/>
  <c r="M65" i="4"/>
  <c r="O65" i="4" s="1"/>
  <c r="E65" i="4"/>
  <c r="D65" i="4"/>
  <c r="F65" i="4" s="1"/>
  <c r="N63" i="4"/>
  <c r="M63" i="4"/>
  <c r="O63" i="4" s="1"/>
  <c r="E63" i="4"/>
  <c r="D63" i="4"/>
  <c r="F63" i="4" s="1"/>
  <c r="G63" i="4" s="1"/>
  <c r="H63" i="4" s="1"/>
  <c r="N61" i="4"/>
  <c r="M61" i="4"/>
  <c r="E61" i="4"/>
  <c r="D61" i="4"/>
  <c r="N59" i="4"/>
  <c r="M59" i="4"/>
  <c r="O59" i="4" s="1"/>
  <c r="E59" i="4"/>
  <c r="D59" i="4"/>
  <c r="F59" i="4" s="1"/>
  <c r="N57" i="4"/>
  <c r="M57" i="4"/>
  <c r="E57" i="4"/>
  <c r="D57" i="4"/>
  <c r="N55" i="4"/>
  <c r="M55" i="4"/>
  <c r="D55" i="4"/>
  <c r="F55" i="4" s="1"/>
  <c r="G55" i="4" s="1"/>
  <c r="H55" i="4" s="1"/>
  <c r="E53" i="4"/>
  <c r="D53" i="4"/>
  <c r="N51" i="4"/>
  <c r="M51" i="4"/>
  <c r="O51" i="4" s="1"/>
  <c r="E51" i="4"/>
  <c r="D51" i="4"/>
  <c r="F51" i="4" s="1"/>
  <c r="G51" i="4" s="1"/>
  <c r="H51" i="4" s="1"/>
  <c r="N49" i="4"/>
  <c r="M49" i="4"/>
  <c r="O49" i="4" s="1"/>
  <c r="E49" i="4"/>
  <c r="D49" i="4"/>
  <c r="F49" i="4" s="1"/>
  <c r="N47" i="4"/>
  <c r="M47" i="4"/>
  <c r="E47" i="4"/>
  <c r="D47" i="4"/>
  <c r="F47" i="4" s="1"/>
  <c r="N45" i="4"/>
  <c r="M45" i="4"/>
  <c r="O45" i="4" s="1"/>
  <c r="E45" i="4"/>
  <c r="D45" i="4"/>
  <c r="F45" i="4" s="1"/>
  <c r="N43" i="4"/>
  <c r="M43" i="4"/>
  <c r="E43" i="4"/>
  <c r="D43" i="4"/>
  <c r="F43" i="4" s="1"/>
  <c r="G43" i="4" s="1"/>
  <c r="H43" i="4" s="1"/>
  <c r="N41" i="4"/>
  <c r="M41" i="4"/>
  <c r="O41" i="4" s="1"/>
  <c r="E41" i="4"/>
  <c r="D41" i="4"/>
  <c r="N39" i="4"/>
  <c r="M39" i="4"/>
  <c r="E39" i="4"/>
  <c r="D39" i="4"/>
  <c r="F39" i="4" s="1"/>
  <c r="G39" i="4" s="1"/>
  <c r="H39" i="4" s="1"/>
  <c r="N37" i="4"/>
  <c r="M37" i="4"/>
  <c r="E37" i="4"/>
  <c r="D37" i="4"/>
  <c r="F37" i="4" s="1"/>
  <c r="N35" i="4"/>
  <c r="M35" i="4"/>
  <c r="O35" i="4" s="1"/>
  <c r="E35" i="4"/>
  <c r="D35" i="4"/>
  <c r="F35" i="4" s="1"/>
  <c r="N33" i="4"/>
  <c r="M33" i="4"/>
  <c r="O33" i="4" s="1"/>
  <c r="E33" i="4"/>
  <c r="D33" i="4"/>
  <c r="F33" i="4" s="1"/>
  <c r="N31" i="4"/>
  <c r="M31" i="4"/>
  <c r="E31" i="4"/>
  <c r="D31" i="4"/>
  <c r="N29" i="4"/>
  <c r="M29" i="4"/>
  <c r="O29" i="4" s="1"/>
  <c r="E29" i="4"/>
  <c r="D29" i="4"/>
  <c r="F29" i="4" s="1"/>
  <c r="N27" i="4"/>
  <c r="M27" i="4"/>
  <c r="E27" i="4"/>
  <c r="D27" i="4"/>
  <c r="F27" i="4" s="1"/>
  <c r="G27" i="4" s="1"/>
  <c r="H27" i="4" s="1"/>
  <c r="N25" i="4"/>
  <c r="M25" i="4"/>
  <c r="O25" i="4" s="1"/>
  <c r="E25" i="4"/>
  <c r="D25" i="4"/>
  <c r="N23" i="4"/>
  <c r="M23" i="4"/>
  <c r="E23" i="4"/>
  <c r="D23" i="4"/>
  <c r="N21" i="4"/>
  <c r="M21" i="4"/>
  <c r="E21" i="4"/>
  <c r="D21" i="4"/>
  <c r="F21" i="4" s="1"/>
  <c r="N19" i="4"/>
  <c r="M19" i="4"/>
  <c r="O19" i="4" s="1"/>
  <c r="E19" i="4"/>
  <c r="D19" i="4"/>
  <c r="F19" i="4" s="1"/>
  <c r="N17" i="4"/>
  <c r="M17" i="4"/>
  <c r="O17" i="4" s="1"/>
  <c r="E17" i="4"/>
  <c r="D17" i="4"/>
  <c r="F17" i="4" s="1"/>
  <c r="N15" i="4"/>
  <c r="M15" i="4"/>
  <c r="E15" i="4"/>
  <c r="D15" i="4"/>
  <c r="F15" i="4" s="1"/>
  <c r="G15" i="4" s="1"/>
  <c r="H15" i="4" s="1"/>
  <c r="N13" i="4"/>
  <c r="M13" i="4"/>
  <c r="O13" i="4" s="1"/>
  <c r="E13" i="4"/>
  <c r="D13" i="4"/>
  <c r="F13" i="4" s="1"/>
  <c r="N11" i="4"/>
  <c r="M11" i="4"/>
  <c r="O11" i="4" s="1"/>
  <c r="E11" i="4"/>
  <c r="D11" i="4"/>
  <c r="F11" i="4" s="1"/>
  <c r="N9" i="4"/>
  <c r="M9" i="4"/>
  <c r="O9" i="4" s="1"/>
  <c r="E9" i="4"/>
  <c r="D9" i="4"/>
  <c r="N7" i="4"/>
  <c r="M7" i="4"/>
  <c r="E7" i="4"/>
  <c r="D7" i="4"/>
  <c r="N5" i="4"/>
  <c r="M5" i="4"/>
  <c r="E5" i="4"/>
  <c r="D5" i="4"/>
  <c r="N3" i="4"/>
  <c r="M3" i="4"/>
  <c r="O3" i="4" s="1"/>
  <c r="E3" i="4"/>
  <c r="D3" i="4"/>
  <c r="F3" i="4" s="1"/>
  <c r="G3" i="4" s="1"/>
  <c r="H3" i="4" s="1"/>
  <c r="N103" i="3"/>
  <c r="P103" i="3" s="1"/>
  <c r="N101" i="3"/>
  <c r="O101" i="3" s="1"/>
  <c r="Q101" i="3" s="1"/>
  <c r="R101" i="3" s="1"/>
  <c r="S101" i="3" s="1"/>
  <c r="N99" i="3"/>
  <c r="O99" i="3" s="1"/>
  <c r="Q99" i="3" s="1"/>
  <c r="R99" i="3" s="1"/>
  <c r="S99" i="3" s="1"/>
  <c r="N97" i="3"/>
  <c r="P97" i="3" s="1"/>
  <c r="N95" i="3"/>
  <c r="P95" i="3" s="1"/>
  <c r="N93" i="3"/>
  <c r="P93" i="3" s="1"/>
  <c r="N91" i="3"/>
  <c r="O91" i="3" s="1"/>
  <c r="Q91" i="3" s="1"/>
  <c r="R91" i="3" s="1"/>
  <c r="S91" i="3" s="1"/>
  <c r="N89" i="3"/>
  <c r="O89" i="3" s="1"/>
  <c r="Q89" i="3" s="1"/>
  <c r="R89" i="3" s="1"/>
  <c r="S89" i="3" s="1"/>
  <c r="S87" i="3" s="1"/>
  <c r="T87" i="3" s="1"/>
  <c r="U87" i="3" s="1"/>
  <c r="N87" i="3"/>
  <c r="P87" i="3" s="1"/>
  <c r="N85" i="3"/>
  <c r="O85" i="3" s="1"/>
  <c r="Q85" i="3" s="1"/>
  <c r="R85" i="3" s="1"/>
  <c r="S85" i="3" s="1"/>
  <c r="N83" i="3"/>
  <c r="O83" i="3" s="1"/>
  <c r="Q83" i="3" s="1"/>
  <c r="R83" i="3" s="1"/>
  <c r="S83" i="3" s="1"/>
  <c r="N81" i="3"/>
  <c r="O81" i="3" s="1"/>
  <c r="Q81" i="3" s="1"/>
  <c r="R81" i="3" s="1"/>
  <c r="S81" i="3" s="1"/>
  <c r="N79" i="3"/>
  <c r="P79" i="3" s="1"/>
  <c r="N77" i="3"/>
  <c r="P77" i="3" s="1"/>
  <c r="N75" i="3"/>
  <c r="O75" i="3" s="1"/>
  <c r="Q75" i="3" s="1"/>
  <c r="R75" i="3" s="1"/>
  <c r="S75" i="3" s="1"/>
  <c r="N73" i="3"/>
  <c r="O73" i="3" s="1"/>
  <c r="Q73" i="3" s="1"/>
  <c r="R73" i="3" s="1"/>
  <c r="S73" i="3" s="1"/>
  <c r="N71" i="3"/>
  <c r="P71" i="3" s="1"/>
  <c r="N69" i="3"/>
  <c r="O69" i="3" s="1"/>
  <c r="Q69" i="3" s="1"/>
  <c r="R69" i="3" s="1"/>
  <c r="S69" i="3" s="1"/>
  <c r="N67" i="3"/>
  <c r="O67" i="3" s="1"/>
  <c r="Q67" i="3" s="1"/>
  <c r="R67" i="3" s="1"/>
  <c r="S67" i="3" s="1"/>
  <c r="N65" i="3"/>
  <c r="P65" i="3" s="1"/>
  <c r="N63" i="3"/>
  <c r="P63" i="3" s="1"/>
  <c r="N61" i="3"/>
  <c r="P61" i="3" s="1"/>
  <c r="N59" i="3"/>
  <c r="O59" i="3" s="1"/>
  <c r="Q59" i="3" s="1"/>
  <c r="R59" i="3" s="1"/>
  <c r="S59" i="3" s="1"/>
  <c r="N57" i="3"/>
  <c r="O57" i="3" s="1"/>
  <c r="Q57" i="3" s="1"/>
  <c r="R57" i="3" s="1"/>
  <c r="N55" i="3"/>
  <c r="P55" i="3" s="1"/>
  <c r="N53" i="3"/>
  <c r="O53" i="3" s="1"/>
  <c r="Q53" i="3" s="1"/>
  <c r="R53" i="3" s="1"/>
  <c r="S53" i="3" s="1"/>
  <c r="N51" i="3"/>
  <c r="O51" i="3" s="1"/>
  <c r="Q51" i="3" s="1"/>
  <c r="R51" i="3" s="1"/>
  <c r="S51" i="3" s="1"/>
  <c r="N49" i="3"/>
  <c r="P49" i="3" s="1"/>
  <c r="N47" i="3"/>
  <c r="P47" i="3" s="1"/>
  <c r="N45" i="3"/>
  <c r="P45" i="3" s="1"/>
  <c r="N43" i="3"/>
  <c r="O43" i="3" s="1"/>
  <c r="Q43" i="3" s="1"/>
  <c r="R43" i="3" s="1"/>
  <c r="S43" i="3" s="1"/>
  <c r="N41" i="3"/>
  <c r="O41" i="3" s="1"/>
  <c r="Q41" i="3" s="1"/>
  <c r="R41" i="3" s="1"/>
  <c r="S41" i="3" s="1"/>
  <c r="N39" i="3"/>
  <c r="P39" i="3" s="1"/>
  <c r="N37" i="3"/>
  <c r="O37" i="3" s="1"/>
  <c r="Q37" i="3" s="1"/>
  <c r="R37" i="3" s="1"/>
  <c r="N35" i="3"/>
  <c r="O35" i="3" s="1"/>
  <c r="Q35" i="3" s="1"/>
  <c r="R35" i="3" s="1"/>
  <c r="S35" i="3" s="1"/>
  <c r="N33" i="3"/>
  <c r="P33" i="3" s="1"/>
  <c r="N31" i="3"/>
  <c r="P31" i="3" s="1"/>
  <c r="N29" i="3"/>
  <c r="P29" i="3" s="1"/>
  <c r="N27" i="3"/>
  <c r="O27" i="3" s="1"/>
  <c r="Q27" i="3" s="1"/>
  <c r="R27" i="3" s="1"/>
  <c r="S27" i="3" s="1"/>
  <c r="N25" i="3"/>
  <c r="O25" i="3" s="1"/>
  <c r="Q25" i="3" s="1"/>
  <c r="R25" i="3" s="1"/>
  <c r="N23" i="3"/>
  <c r="P23" i="3" s="1"/>
  <c r="N21" i="3"/>
  <c r="O21" i="3" s="1"/>
  <c r="Q21" i="3" s="1"/>
  <c r="R21" i="3" s="1"/>
  <c r="S21" i="3" s="1"/>
  <c r="N19" i="3"/>
  <c r="O19" i="3" s="1"/>
  <c r="Q19" i="3" s="1"/>
  <c r="R19" i="3" s="1"/>
  <c r="S19" i="3" s="1"/>
  <c r="N17" i="3"/>
  <c r="P17" i="3" s="1"/>
  <c r="N15" i="3"/>
  <c r="P15" i="3" s="1"/>
  <c r="N13" i="3"/>
  <c r="P13" i="3" s="1"/>
  <c r="N11" i="3"/>
  <c r="O11" i="3" s="1"/>
  <c r="Q11" i="3" s="1"/>
  <c r="R11" i="3" s="1"/>
  <c r="S11" i="3" s="1"/>
  <c r="N9" i="3"/>
  <c r="O9" i="3" s="1"/>
  <c r="Q9" i="3" s="1"/>
  <c r="R9" i="3" s="1"/>
  <c r="S9" i="3" s="1"/>
  <c r="N7" i="3"/>
  <c r="P7" i="3" s="1"/>
  <c r="N5" i="3"/>
  <c r="O5" i="3" s="1"/>
  <c r="Q5" i="3" s="1"/>
  <c r="R5" i="3" s="1"/>
  <c r="S5" i="3" s="1"/>
  <c r="T3" i="3" s="1"/>
  <c r="U3" i="3" s="1"/>
  <c r="N3" i="3"/>
  <c r="O3" i="3" s="1"/>
  <c r="Q3" i="3" s="1"/>
  <c r="R3" i="3" s="1"/>
  <c r="S3" i="3" s="1"/>
  <c r="D5" i="3"/>
  <c r="F5" i="3" s="1"/>
  <c r="D7" i="3"/>
  <c r="F7" i="3" s="1"/>
  <c r="D9" i="3"/>
  <c r="F9" i="3" s="1"/>
  <c r="D11" i="3"/>
  <c r="E11" i="3" s="1"/>
  <c r="G11" i="3" s="1"/>
  <c r="D13" i="3"/>
  <c r="E13" i="3" s="1"/>
  <c r="G13" i="3" s="1"/>
  <c r="D15" i="3"/>
  <c r="F15" i="3" s="1"/>
  <c r="D17" i="3"/>
  <c r="E17" i="3" s="1"/>
  <c r="G17" i="3" s="1"/>
  <c r="D19" i="3"/>
  <c r="E19" i="3" s="1"/>
  <c r="G19" i="3" s="1"/>
  <c r="D21" i="3"/>
  <c r="E21" i="3" s="1"/>
  <c r="G21" i="3" s="1"/>
  <c r="D23" i="3"/>
  <c r="F23" i="3" s="1"/>
  <c r="D25" i="3"/>
  <c r="F25" i="3" s="1"/>
  <c r="D27" i="3"/>
  <c r="E27" i="3" s="1"/>
  <c r="G27" i="3" s="1"/>
  <c r="D29" i="3"/>
  <c r="E29" i="3" s="1"/>
  <c r="G29" i="3" s="1"/>
  <c r="D31" i="3"/>
  <c r="F31" i="3" s="1"/>
  <c r="D33" i="3"/>
  <c r="E33" i="3" s="1"/>
  <c r="G33" i="3" s="1"/>
  <c r="D35" i="3"/>
  <c r="E35" i="3" s="1"/>
  <c r="G35" i="3" s="1"/>
  <c r="D37" i="3"/>
  <c r="F37" i="3" s="1"/>
  <c r="D39" i="3"/>
  <c r="F39" i="3" s="1"/>
  <c r="D41" i="3"/>
  <c r="F41" i="3" s="1"/>
  <c r="D43" i="3"/>
  <c r="E43" i="3" s="1"/>
  <c r="G43" i="3" s="1"/>
  <c r="D45" i="3"/>
  <c r="E45" i="3" s="1"/>
  <c r="G45" i="3" s="1"/>
  <c r="D47" i="3"/>
  <c r="F47" i="3" s="1"/>
  <c r="D49" i="3"/>
  <c r="E49" i="3" s="1"/>
  <c r="G49" i="3" s="1"/>
  <c r="D51" i="3"/>
  <c r="E51" i="3" s="1"/>
  <c r="G51" i="3" s="1"/>
  <c r="D53" i="3"/>
  <c r="E53" i="3" s="1"/>
  <c r="G53" i="3" s="1"/>
  <c r="D55" i="3"/>
  <c r="F55" i="3" s="1"/>
  <c r="D57" i="3"/>
  <c r="F57" i="3" s="1"/>
  <c r="D59" i="3"/>
  <c r="E59" i="3" s="1"/>
  <c r="G59" i="3" s="1"/>
  <c r="D61" i="3"/>
  <c r="E61" i="3" s="1"/>
  <c r="G61" i="3" s="1"/>
  <c r="D63" i="3"/>
  <c r="F63" i="3" s="1"/>
  <c r="D65" i="3"/>
  <c r="E65" i="3" s="1"/>
  <c r="G65" i="3" s="1"/>
  <c r="D67" i="3"/>
  <c r="E67" i="3" s="1"/>
  <c r="G67" i="3" s="1"/>
  <c r="D69" i="3"/>
  <c r="E69" i="3" s="1"/>
  <c r="G69" i="3" s="1"/>
  <c r="D71" i="3"/>
  <c r="F71" i="3" s="1"/>
  <c r="D73" i="3"/>
  <c r="F73" i="3" s="1"/>
  <c r="D75" i="3"/>
  <c r="E75" i="3" s="1"/>
  <c r="G75" i="3" s="1"/>
  <c r="D77" i="3"/>
  <c r="E77" i="3" s="1"/>
  <c r="G77" i="3" s="1"/>
  <c r="D79" i="3"/>
  <c r="F79" i="3" s="1"/>
  <c r="D81" i="3"/>
  <c r="E81" i="3" s="1"/>
  <c r="G81" i="3" s="1"/>
  <c r="D83" i="3"/>
  <c r="E83" i="3" s="1"/>
  <c r="G83" i="3" s="1"/>
  <c r="H83" i="3" s="1"/>
  <c r="I83" i="3" s="1"/>
  <c r="D85" i="3"/>
  <c r="F85" i="3" s="1"/>
  <c r="D87" i="3"/>
  <c r="F87" i="3" s="1"/>
  <c r="D89" i="3"/>
  <c r="F89" i="3" s="1"/>
  <c r="D91" i="3"/>
  <c r="E91" i="3" s="1"/>
  <c r="G91" i="3" s="1"/>
  <c r="D93" i="3"/>
  <c r="E93" i="3" s="1"/>
  <c r="D95" i="3"/>
  <c r="F95" i="3" s="1"/>
  <c r="D97" i="3"/>
  <c r="E97" i="3" s="1"/>
  <c r="G97" i="3" s="1"/>
  <c r="D99" i="3"/>
  <c r="E99" i="3" s="1"/>
  <c r="G99" i="3" s="1"/>
  <c r="D101" i="3"/>
  <c r="F101" i="3" s="1"/>
  <c r="D103" i="3"/>
  <c r="F103" i="3" s="1"/>
  <c r="D3" i="3"/>
  <c r="F3" i="3" s="1"/>
  <c r="F103" i="6" l="1"/>
  <c r="F95" i="6"/>
  <c r="F87" i="6"/>
  <c r="F79" i="6"/>
  <c r="F71" i="6"/>
  <c r="F63" i="6"/>
  <c r="F55" i="6"/>
  <c r="F47" i="6"/>
  <c r="F39" i="6"/>
  <c r="F31" i="6"/>
  <c r="F23" i="6"/>
  <c r="F15" i="6"/>
  <c r="F7" i="6"/>
  <c r="Q83" i="6"/>
  <c r="T81" i="3"/>
  <c r="U81" i="3" s="1"/>
  <c r="T13" i="3"/>
  <c r="U13" i="3" s="1"/>
  <c r="S103" i="3"/>
  <c r="T99" i="3" s="1"/>
  <c r="U99" i="3" s="1"/>
  <c r="Q5" i="6"/>
  <c r="Q13" i="6"/>
  <c r="Q21" i="6"/>
  <c r="P29" i="6"/>
  <c r="Q37" i="6"/>
  <c r="P45" i="6"/>
  <c r="P53" i="6"/>
  <c r="R53" i="6" s="1"/>
  <c r="S53" i="6" s="1"/>
  <c r="T53" i="6" s="1"/>
  <c r="U53" i="6" s="1"/>
  <c r="Q61" i="6"/>
  <c r="P69" i="6"/>
  <c r="P77" i="6"/>
  <c r="P85" i="6"/>
  <c r="P93" i="6"/>
  <c r="P101" i="6"/>
  <c r="O77" i="7"/>
  <c r="P77" i="7" s="1"/>
  <c r="Q77" i="7" s="1"/>
  <c r="O95" i="7"/>
  <c r="P95" i="7" s="1"/>
  <c r="Q95" i="7" s="1"/>
  <c r="P47" i="7"/>
  <c r="Q47" i="7" s="1"/>
  <c r="G75" i="7"/>
  <c r="H75" i="7" s="1"/>
  <c r="P93" i="7"/>
  <c r="Q93" i="7" s="1"/>
  <c r="F87" i="7"/>
  <c r="G87" i="7" s="1"/>
  <c r="H87" i="7" s="1"/>
  <c r="F55" i="7"/>
  <c r="G55" i="7" s="1"/>
  <c r="H55" i="7" s="1"/>
  <c r="O65" i="7"/>
  <c r="P65" i="7" s="1"/>
  <c r="Q65" i="7" s="1"/>
  <c r="R63" i="7" s="1"/>
  <c r="S63" i="7" s="1"/>
  <c r="P81" i="7"/>
  <c r="Q81" i="7" s="1"/>
  <c r="G93" i="7"/>
  <c r="H93" i="7" s="1"/>
  <c r="I93" i="7" s="1"/>
  <c r="J93" i="7" s="1"/>
  <c r="F43" i="7"/>
  <c r="G43" i="7" s="1"/>
  <c r="H43" i="7" s="1"/>
  <c r="I39" i="7" s="1"/>
  <c r="J39" i="7" s="1"/>
  <c r="O61" i="7"/>
  <c r="P61" i="7" s="1"/>
  <c r="Q61" i="7" s="1"/>
  <c r="P31" i="7"/>
  <c r="Q31" i="7" s="1"/>
  <c r="F89" i="7"/>
  <c r="G89" i="7" s="1"/>
  <c r="H89" i="7" s="1"/>
  <c r="I87" i="7" s="1"/>
  <c r="J87" i="7" s="1"/>
  <c r="O15" i="7"/>
  <c r="P15" i="7" s="1"/>
  <c r="Q15" i="7" s="1"/>
  <c r="G13" i="7"/>
  <c r="H13" i="7" s="1"/>
  <c r="G25" i="7"/>
  <c r="H25" i="7" s="1"/>
  <c r="G29" i="7"/>
  <c r="H29" i="7" s="1"/>
  <c r="P97" i="7"/>
  <c r="Q97" i="7" s="1"/>
  <c r="F37" i="7"/>
  <c r="G37" i="7" s="1"/>
  <c r="H37" i="7" s="1"/>
  <c r="F21" i="7"/>
  <c r="G21" i="7" s="1"/>
  <c r="H21" i="7" s="1"/>
  <c r="O19" i="7"/>
  <c r="P19" i="7" s="1"/>
  <c r="Q19" i="7" s="1"/>
  <c r="O35" i="7"/>
  <c r="P35" i="7" s="1"/>
  <c r="Q35" i="7" s="1"/>
  <c r="O51" i="7"/>
  <c r="P51" i="7" s="1"/>
  <c r="Q51" i="7" s="1"/>
  <c r="O99" i="7"/>
  <c r="P99" i="7" s="1"/>
  <c r="Q99" i="7" s="1"/>
  <c r="G23" i="7"/>
  <c r="H23" i="7" s="1"/>
  <c r="F27" i="7"/>
  <c r="G27" i="7" s="1"/>
  <c r="H27" i="7" s="1"/>
  <c r="P11" i="7"/>
  <c r="Q11" i="7" s="1"/>
  <c r="P27" i="7"/>
  <c r="Q27" i="7" s="1"/>
  <c r="G5" i="7"/>
  <c r="H5" i="7" s="1"/>
  <c r="G9" i="7"/>
  <c r="H9" i="7" s="1"/>
  <c r="G41" i="7"/>
  <c r="H41" i="7" s="1"/>
  <c r="G45" i="7"/>
  <c r="H45" i="7" s="1"/>
  <c r="G53" i="7"/>
  <c r="H53" i="7" s="1"/>
  <c r="P67" i="7"/>
  <c r="Q67" i="7" s="1"/>
  <c r="P79" i="7"/>
  <c r="Q79" i="7" s="1"/>
  <c r="P83" i="7"/>
  <c r="Q83" i="7" s="1"/>
  <c r="O3" i="7"/>
  <c r="P3" i="7" s="1"/>
  <c r="Q3" i="7" s="1"/>
  <c r="O69" i="7"/>
  <c r="P69" i="7" s="1"/>
  <c r="Q69" i="7" s="1"/>
  <c r="O85" i="7"/>
  <c r="P85" i="7" s="1"/>
  <c r="Q85" i="7" s="1"/>
  <c r="O101" i="7"/>
  <c r="P101" i="7" s="1"/>
  <c r="Q101" i="7" s="1"/>
  <c r="G3" i="7"/>
  <c r="H3" i="7" s="1"/>
  <c r="P13" i="7"/>
  <c r="Q13" i="7" s="1"/>
  <c r="P17" i="7"/>
  <c r="Q17" i="7" s="1"/>
  <c r="P21" i="7"/>
  <c r="Q21" i="7" s="1"/>
  <c r="P29" i="7"/>
  <c r="Q29" i="7" s="1"/>
  <c r="P33" i="7"/>
  <c r="Q33" i="7" s="1"/>
  <c r="P37" i="7"/>
  <c r="Q37" i="7" s="1"/>
  <c r="G57" i="7"/>
  <c r="H57" i="7" s="1"/>
  <c r="G61" i="7"/>
  <c r="H61" i="7" s="1"/>
  <c r="G103" i="7"/>
  <c r="H103" i="7" s="1"/>
  <c r="O39" i="7"/>
  <c r="P39" i="7" s="1"/>
  <c r="Q39" i="7" s="1"/>
  <c r="O71" i="7"/>
  <c r="P71" i="7" s="1"/>
  <c r="Q71" i="7" s="1"/>
  <c r="O103" i="7"/>
  <c r="P103" i="7" s="1"/>
  <c r="Q103" i="7" s="1"/>
  <c r="R99" i="7" s="1"/>
  <c r="S99" i="7" s="1"/>
  <c r="G7" i="7"/>
  <c r="H7" i="7" s="1"/>
  <c r="P23" i="7"/>
  <c r="Q23" i="7" s="1"/>
  <c r="G59" i="7"/>
  <c r="H59" i="7" s="1"/>
  <c r="P5" i="7"/>
  <c r="Q5" i="7" s="1"/>
  <c r="P45" i="7"/>
  <c r="Q45" i="7" s="1"/>
  <c r="R45" i="7" s="1"/>
  <c r="S45" i="7" s="1"/>
  <c r="P49" i="7"/>
  <c r="Q49" i="7" s="1"/>
  <c r="P53" i="7"/>
  <c r="Q53" i="7" s="1"/>
  <c r="G65" i="7"/>
  <c r="H65" i="7" s="1"/>
  <c r="G69" i="7"/>
  <c r="H69" i="7" s="1"/>
  <c r="G73" i="7"/>
  <c r="H73" i="7" s="1"/>
  <c r="G77" i="7"/>
  <c r="H77" i="7" s="1"/>
  <c r="G85" i="7"/>
  <c r="H85" i="7" s="1"/>
  <c r="F79" i="7"/>
  <c r="G79" i="7" s="1"/>
  <c r="H79" i="7" s="1"/>
  <c r="F63" i="7"/>
  <c r="G63" i="7" s="1"/>
  <c r="H63" i="7" s="1"/>
  <c r="I63" i="7" s="1"/>
  <c r="J63" i="7" s="1"/>
  <c r="F47" i="7"/>
  <c r="G47" i="7" s="1"/>
  <c r="H47" i="7" s="1"/>
  <c r="F31" i="7"/>
  <c r="G31" i="7" s="1"/>
  <c r="H31" i="7" s="1"/>
  <c r="F15" i="7"/>
  <c r="G15" i="7" s="1"/>
  <c r="H15" i="7" s="1"/>
  <c r="O7" i="7"/>
  <c r="P7" i="7" s="1"/>
  <c r="Q7" i="7" s="1"/>
  <c r="Q7" i="6"/>
  <c r="Q15" i="6"/>
  <c r="Q23" i="6"/>
  <c r="Q39" i="6"/>
  <c r="Q47" i="6"/>
  <c r="Q55" i="6"/>
  <c r="Q63" i="6"/>
  <c r="Q71" i="6"/>
  <c r="Q79" i="6"/>
  <c r="Q95" i="6"/>
  <c r="Q103" i="6"/>
  <c r="Q9" i="6"/>
  <c r="P17" i="6"/>
  <c r="P25" i="6"/>
  <c r="Q33" i="6"/>
  <c r="P41" i="6"/>
  <c r="R41" i="6" s="1"/>
  <c r="S41" i="6" s="1"/>
  <c r="T41" i="6" s="1"/>
  <c r="U41" i="6" s="1"/>
  <c r="Q49" i="6"/>
  <c r="Q57" i="6"/>
  <c r="P65" i="6"/>
  <c r="Q73" i="6"/>
  <c r="P81" i="6"/>
  <c r="P89" i="6"/>
  <c r="Q97" i="6"/>
  <c r="F99" i="6"/>
  <c r="F83" i="6"/>
  <c r="F67" i="6"/>
  <c r="F43" i="6"/>
  <c r="Q3" i="6"/>
  <c r="Q11" i="6"/>
  <c r="Q19" i="6"/>
  <c r="Q27" i="6"/>
  <c r="Q35" i="6"/>
  <c r="Q43" i="6"/>
  <c r="Q51" i="6"/>
  <c r="Q59" i="6"/>
  <c r="Q67" i="6"/>
  <c r="Q75" i="6"/>
  <c r="Q91" i="6"/>
  <c r="Q99" i="6"/>
  <c r="F91" i="6"/>
  <c r="F75" i="6"/>
  <c r="F51" i="6"/>
  <c r="F3" i="6"/>
  <c r="F59" i="6"/>
  <c r="E29" i="6"/>
  <c r="F21" i="6"/>
  <c r="F5" i="6"/>
  <c r="R25" i="6"/>
  <c r="S25" i="6" s="1"/>
  <c r="T25" i="6" s="1"/>
  <c r="U25" i="6" s="1"/>
  <c r="R89" i="6"/>
  <c r="S89" i="6" s="1"/>
  <c r="T89" i="6" s="1"/>
  <c r="U89" i="6" s="1"/>
  <c r="P33" i="5"/>
  <c r="Q33" i="5" s="1"/>
  <c r="R33" i="5" s="1"/>
  <c r="S33" i="5" s="1"/>
  <c r="P95" i="5"/>
  <c r="Q95" i="5" s="1"/>
  <c r="R95" i="5" s="1"/>
  <c r="S95" i="5" s="1"/>
  <c r="P49" i="5"/>
  <c r="Q49" i="5" s="1"/>
  <c r="R49" i="5" s="1"/>
  <c r="S49" i="5" s="1"/>
  <c r="P65" i="5"/>
  <c r="Q65" i="5" s="1"/>
  <c r="R65" i="5" s="1"/>
  <c r="S65" i="5" s="1"/>
  <c r="P79" i="5"/>
  <c r="Q79" i="5" s="1"/>
  <c r="R79" i="5" s="1"/>
  <c r="S79" i="5" s="1"/>
  <c r="R15" i="5"/>
  <c r="S15" i="5" s="1"/>
  <c r="P81" i="5"/>
  <c r="Q81" i="5" s="1"/>
  <c r="R81" i="5" s="1"/>
  <c r="S81" i="5" s="1"/>
  <c r="P19" i="4"/>
  <c r="Q19" i="4" s="1"/>
  <c r="P35" i="4"/>
  <c r="Q35" i="4" s="1"/>
  <c r="P51" i="4"/>
  <c r="Q51" i="4" s="1"/>
  <c r="P69" i="4"/>
  <c r="Q69" i="4" s="1"/>
  <c r="P85" i="4"/>
  <c r="Q85" i="4" s="1"/>
  <c r="P101" i="4"/>
  <c r="Q101" i="4" s="1"/>
  <c r="O97" i="4"/>
  <c r="P97" i="4" s="1"/>
  <c r="Q97" i="4" s="1"/>
  <c r="O81" i="4"/>
  <c r="P81" i="4" s="1"/>
  <c r="Q81" i="4" s="1"/>
  <c r="R81" i="4" s="1"/>
  <c r="S81" i="4" s="1"/>
  <c r="O47" i="4"/>
  <c r="P47" i="4" s="1"/>
  <c r="Q47" i="4" s="1"/>
  <c r="O31" i="4"/>
  <c r="P31" i="4" s="1"/>
  <c r="Q31" i="4" s="1"/>
  <c r="O15" i="4"/>
  <c r="P15" i="4" s="1"/>
  <c r="Q15" i="4" s="1"/>
  <c r="P65" i="4"/>
  <c r="Q65" i="4" s="1"/>
  <c r="R63" i="4" s="1"/>
  <c r="S63" i="4" s="1"/>
  <c r="O93" i="4"/>
  <c r="P93" i="4" s="1"/>
  <c r="Q93" i="4" s="1"/>
  <c r="O77" i="4"/>
  <c r="P77" i="4" s="1"/>
  <c r="Q77" i="4" s="1"/>
  <c r="O61" i="4"/>
  <c r="P61" i="4" s="1"/>
  <c r="Q61" i="4" s="1"/>
  <c r="O43" i="4"/>
  <c r="P43" i="4" s="1"/>
  <c r="Q43" i="4" s="1"/>
  <c r="O27" i="4"/>
  <c r="P27" i="4" s="1"/>
  <c r="Q27" i="4" s="1"/>
  <c r="P9" i="4"/>
  <c r="Q9" i="4" s="1"/>
  <c r="P13" i="4"/>
  <c r="Q13" i="4" s="1"/>
  <c r="P17" i="4"/>
  <c r="Q17" i="4" s="1"/>
  <c r="P25" i="4"/>
  <c r="Q25" i="4" s="1"/>
  <c r="P29" i="4"/>
  <c r="Q29" i="4" s="1"/>
  <c r="P33" i="4"/>
  <c r="Q33" i="4" s="1"/>
  <c r="P41" i="4"/>
  <c r="Q41" i="4" s="1"/>
  <c r="P45" i="4"/>
  <c r="Q45" i="4" s="1"/>
  <c r="P49" i="4"/>
  <c r="Q49" i="4" s="1"/>
  <c r="P79" i="4"/>
  <c r="Q79" i="4" s="1"/>
  <c r="P95" i="4"/>
  <c r="Q95" i="4" s="1"/>
  <c r="O89" i="4"/>
  <c r="P89" i="4" s="1"/>
  <c r="Q89" i="4" s="1"/>
  <c r="O73" i="4"/>
  <c r="P73" i="4" s="1"/>
  <c r="Q73" i="4" s="1"/>
  <c r="O57" i="4"/>
  <c r="P57" i="4" s="1"/>
  <c r="Q57" i="4" s="1"/>
  <c r="O39" i="4"/>
  <c r="P39" i="4" s="1"/>
  <c r="Q39" i="4" s="1"/>
  <c r="R39" i="4" s="1"/>
  <c r="S39" i="4" s="1"/>
  <c r="O23" i="4"/>
  <c r="P23" i="4" s="1"/>
  <c r="Q23" i="4" s="1"/>
  <c r="O7" i="4"/>
  <c r="P7" i="4" s="1"/>
  <c r="Q7" i="4" s="1"/>
  <c r="P63" i="4"/>
  <c r="Q63" i="4" s="1"/>
  <c r="O87" i="4"/>
  <c r="P87" i="4" s="1"/>
  <c r="Q87" i="4" s="1"/>
  <c r="O71" i="4"/>
  <c r="P71" i="4" s="1"/>
  <c r="Q71" i="4" s="1"/>
  <c r="O55" i="4"/>
  <c r="P55" i="4" s="1"/>
  <c r="Q55" i="4" s="1"/>
  <c r="O37" i="4"/>
  <c r="P37" i="4" s="1"/>
  <c r="Q37" i="4" s="1"/>
  <c r="O21" i="4"/>
  <c r="P21" i="4" s="1"/>
  <c r="Q21" i="4" s="1"/>
  <c r="O5" i="4"/>
  <c r="P5" i="4" s="1"/>
  <c r="Q5" i="4" s="1"/>
  <c r="F65" i="3"/>
  <c r="E5" i="3"/>
  <c r="G5" i="3" s="1"/>
  <c r="F69" i="3"/>
  <c r="O7" i="3"/>
  <c r="Q7" i="3" s="1"/>
  <c r="R7" i="3" s="1"/>
  <c r="S7" i="3" s="1"/>
  <c r="E101" i="3"/>
  <c r="O33" i="3"/>
  <c r="Q33" i="3" s="1"/>
  <c r="R33" i="3" s="1"/>
  <c r="S33" i="3" s="1"/>
  <c r="S37" i="3" s="1"/>
  <c r="T33" i="3" s="1"/>
  <c r="U33" i="3" s="1"/>
  <c r="F27" i="3"/>
  <c r="E95" i="3"/>
  <c r="G95" i="3" s="1"/>
  <c r="H95" i="3" s="1"/>
  <c r="I95" i="3" s="1"/>
  <c r="O39" i="3"/>
  <c r="Q39" i="3" s="1"/>
  <c r="R39" i="3" s="1"/>
  <c r="S39" i="3" s="1"/>
  <c r="T39" i="3" s="1"/>
  <c r="U39" i="3" s="1"/>
  <c r="F21" i="3"/>
  <c r="O65" i="3"/>
  <c r="Q65" i="3" s="1"/>
  <c r="R65" i="3" s="1"/>
  <c r="S65" i="3" s="1"/>
  <c r="P21" i="3"/>
  <c r="E63" i="3"/>
  <c r="G63" i="3" s="1"/>
  <c r="H63" i="3" s="1"/>
  <c r="I63" i="3" s="1"/>
  <c r="O71" i="3"/>
  <c r="Q71" i="3" s="1"/>
  <c r="R71" i="3" s="1"/>
  <c r="S71" i="3" s="1"/>
  <c r="U69" i="3" s="1"/>
  <c r="P27" i="3"/>
  <c r="E37" i="3"/>
  <c r="G37" i="3" s="1"/>
  <c r="O97" i="3"/>
  <c r="Q97" i="3" s="1"/>
  <c r="R97" i="3" s="1"/>
  <c r="S97" i="3" s="1"/>
  <c r="E31" i="3"/>
  <c r="G31" i="3" s="1"/>
  <c r="O103" i="3"/>
  <c r="Q103" i="3" s="1"/>
  <c r="R103" i="3" s="1"/>
  <c r="P69" i="3"/>
  <c r="E89" i="3"/>
  <c r="G89" i="3" s="1"/>
  <c r="E57" i="3"/>
  <c r="G57" i="3" s="1"/>
  <c r="E25" i="3"/>
  <c r="G25" i="3" s="1"/>
  <c r="O13" i="3"/>
  <c r="Q13" i="3" s="1"/>
  <c r="R13" i="3" s="1"/>
  <c r="S13" i="3" s="1"/>
  <c r="O45" i="3"/>
  <c r="Q45" i="3" s="1"/>
  <c r="R45" i="3" s="1"/>
  <c r="S45" i="3" s="1"/>
  <c r="T45" i="3" s="1"/>
  <c r="U45" i="3" s="1"/>
  <c r="O77" i="3"/>
  <c r="Q77" i="3" s="1"/>
  <c r="R77" i="3" s="1"/>
  <c r="S77" i="3" s="1"/>
  <c r="T75" i="3" s="1"/>
  <c r="U75" i="3" s="1"/>
  <c r="F59" i="3"/>
  <c r="F17" i="3"/>
  <c r="P75" i="3"/>
  <c r="E87" i="3"/>
  <c r="E55" i="3"/>
  <c r="G55" i="3" s="1"/>
  <c r="E23" i="3"/>
  <c r="G23" i="3" s="1"/>
  <c r="H23" i="3" s="1"/>
  <c r="I23" i="3" s="1"/>
  <c r="O15" i="3"/>
  <c r="Q15" i="3" s="1"/>
  <c r="R15" i="3" s="1"/>
  <c r="S15" i="3" s="1"/>
  <c r="O47" i="3"/>
  <c r="Q47" i="3" s="1"/>
  <c r="R47" i="3" s="1"/>
  <c r="S47" i="3" s="1"/>
  <c r="O79" i="3"/>
  <c r="Q79" i="3" s="1"/>
  <c r="R79" i="3" s="1"/>
  <c r="S79" i="3" s="1"/>
  <c r="F97" i="3"/>
  <c r="F53" i="3"/>
  <c r="F11" i="3"/>
  <c r="P37" i="3"/>
  <c r="P81" i="3"/>
  <c r="E85" i="3"/>
  <c r="G85" i="3" s="1"/>
  <c r="H85" i="3" s="1"/>
  <c r="I85" i="3" s="1"/>
  <c r="O17" i="3"/>
  <c r="Q17" i="3" s="1"/>
  <c r="R17" i="3" s="1"/>
  <c r="S17" i="3" s="1"/>
  <c r="O49" i="3"/>
  <c r="Q49" i="3" s="1"/>
  <c r="R49" i="3" s="1"/>
  <c r="S49" i="3" s="1"/>
  <c r="F91" i="3"/>
  <c r="F49" i="3"/>
  <c r="P43" i="3"/>
  <c r="P85" i="3"/>
  <c r="E79" i="3"/>
  <c r="G79" i="3" s="1"/>
  <c r="H79" i="3" s="1"/>
  <c r="I79" i="3" s="1"/>
  <c r="E47" i="3"/>
  <c r="G47" i="3" s="1"/>
  <c r="H47" i="3" s="1"/>
  <c r="I47" i="3" s="1"/>
  <c r="J45" i="3" s="1"/>
  <c r="K45" i="3" s="1"/>
  <c r="E15" i="3"/>
  <c r="G15" i="3" s="1"/>
  <c r="O23" i="3"/>
  <c r="Q23" i="3" s="1"/>
  <c r="R23" i="3" s="1"/>
  <c r="S23" i="3" s="1"/>
  <c r="O55" i="3"/>
  <c r="Q55" i="3" s="1"/>
  <c r="R55" i="3" s="1"/>
  <c r="S55" i="3" s="1"/>
  <c r="U51" i="3" s="1"/>
  <c r="O87" i="3"/>
  <c r="Q87" i="3" s="1"/>
  <c r="R87" i="3" s="1"/>
  <c r="F43" i="3"/>
  <c r="P5" i="3"/>
  <c r="P91" i="3"/>
  <c r="E3" i="3"/>
  <c r="G3" i="3" s="1"/>
  <c r="H3" i="3" s="1"/>
  <c r="I3" i="3" s="1"/>
  <c r="E73" i="3"/>
  <c r="G73" i="3" s="1"/>
  <c r="E41" i="3"/>
  <c r="G41" i="3" s="1"/>
  <c r="H41" i="3" s="1"/>
  <c r="I41" i="3" s="1"/>
  <c r="E9" i="3"/>
  <c r="G9" i="3" s="1"/>
  <c r="H9" i="3" s="1"/>
  <c r="I9" i="3" s="1"/>
  <c r="O29" i="3"/>
  <c r="Q29" i="3" s="1"/>
  <c r="R29" i="3" s="1"/>
  <c r="S29" i="3" s="1"/>
  <c r="O61" i="3"/>
  <c r="Q61" i="3" s="1"/>
  <c r="R61" i="3" s="1"/>
  <c r="S61" i="3" s="1"/>
  <c r="S57" i="3" s="1"/>
  <c r="T57" i="3" s="1"/>
  <c r="U57" i="3" s="1"/>
  <c r="O93" i="3"/>
  <c r="Q93" i="3" s="1"/>
  <c r="R93" i="3" s="1"/>
  <c r="S93" i="3" s="1"/>
  <c r="F81" i="3"/>
  <c r="P11" i="3"/>
  <c r="P53" i="3"/>
  <c r="E103" i="3"/>
  <c r="G103" i="3" s="1"/>
  <c r="H103" i="3" s="1"/>
  <c r="I103" i="3" s="1"/>
  <c r="E71" i="3"/>
  <c r="G71" i="3" s="1"/>
  <c r="H71" i="3" s="1"/>
  <c r="I71" i="3" s="1"/>
  <c r="E39" i="3"/>
  <c r="G39" i="3" s="1"/>
  <c r="H39" i="3" s="1"/>
  <c r="I39" i="3" s="1"/>
  <c r="E7" i="3"/>
  <c r="G7" i="3" s="1"/>
  <c r="O31" i="3"/>
  <c r="Q31" i="3" s="1"/>
  <c r="R31" i="3" s="1"/>
  <c r="S31" i="3" s="1"/>
  <c r="O63" i="3"/>
  <c r="Q63" i="3" s="1"/>
  <c r="R63" i="3" s="1"/>
  <c r="S63" i="3" s="1"/>
  <c r="T63" i="3" s="1"/>
  <c r="U63" i="3" s="1"/>
  <c r="O95" i="3"/>
  <c r="Q95" i="3" s="1"/>
  <c r="R95" i="3" s="1"/>
  <c r="S95" i="3" s="1"/>
  <c r="F75" i="3"/>
  <c r="F33" i="3"/>
  <c r="P59" i="3"/>
  <c r="P101" i="3"/>
  <c r="F93" i="3"/>
  <c r="F77" i="3"/>
  <c r="F61" i="3"/>
  <c r="F45" i="3"/>
  <c r="F29" i="3"/>
  <c r="F13" i="3"/>
  <c r="P9" i="3"/>
  <c r="P25" i="3"/>
  <c r="P41" i="3"/>
  <c r="P57" i="3"/>
  <c r="P73" i="3"/>
  <c r="P89" i="3"/>
  <c r="F99" i="3"/>
  <c r="F83" i="3"/>
  <c r="F67" i="3"/>
  <c r="F51" i="3"/>
  <c r="F35" i="3"/>
  <c r="F19" i="3"/>
  <c r="P3" i="3"/>
  <c r="P19" i="3"/>
  <c r="P35" i="3"/>
  <c r="P51" i="3"/>
  <c r="P67" i="3"/>
  <c r="P83" i="3"/>
  <c r="P99" i="3"/>
  <c r="P103" i="4"/>
  <c r="Q103" i="4" s="1"/>
  <c r="P43" i="7"/>
  <c r="Q43" i="7" s="1"/>
  <c r="P89" i="7"/>
  <c r="Q89" i="7" s="1"/>
  <c r="R87" i="7" s="1"/>
  <c r="S87" i="7" s="1"/>
  <c r="P59" i="7"/>
  <c r="Q59" i="7" s="1"/>
  <c r="P25" i="7"/>
  <c r="Q25" i="7" s="1"/>
  <c r="P75" i="7"/>
  <c r="Q75" i="7" s="1"/>
  <c r="R75" i="7" s="1"/>
  <c r="S75" i="7" s="1"/>
  <c r="P41" i="7"/>
  <c r="Q41" i="7" s="1"/>
  <c r="P57" i="7"/>
  <c r="Q57" i="7" s="1"/>
  <c r="P91" i="7"/>
  <c r="Q91" i="7" s="1"/>
  <c r="G19" i="7"/>
  <c r="H19" i="7" s="1"/>
  <c r="G35" i="7"/>
  <c r="H35" i="7" s="1"/>
  <c r="G99" i="7"/>
  <c r="H99" i="7" s="1"/>
  <c r="G51" i="7"/>
  <c r="H51" i="7" s="1"/>
  <c r="G81" i="7"/>
  <c r="H81" i="7" s="1"/>
  <c r="G17" i="7"/>
  <c r="H17" i="7" s="1"/>
  <c r="G33" i="7"/>
  <c r="H33" i="7" s="1"/>
  <c r="G71" i="7"/>
  <c r="H71" i="7" s="1"/>
  <c r="G97" i="7"/>
  <c r="H97" i="7" s="1"/>
  <c r="G101" i="7"/>
  <c r="H101" i="7" s="1"/>
  <c r="G49" i="7"/>
  <c r="H49" i="7" s="1"/>
  <c r="G83" i="7"/>
  <c r="H83" i="7" s="1"/>
  <c r="F33" i="6"/>
  <c r="R29" i="6"/>
  <c r="S29" i="6" s="1"/>
  <c r="T29" i="6" s="1"/>
  <c r="U29" i="6" s="1"/>
  <c r="R45" i="6"/>
  <c r="S45" i="6" s="1"/>
  <c r="T45" i="6" s="1"/>
  <c r="U45" i="6" s="1"/>
  <c r="R77" i="6"/>
  <c r="S77" i="6" s="1"/>
  <c r="T77" i="6" s="1"/>
  <c r="U77" i="6" s="1"/>
  <c r="R93" i="6"/>
  <c r="S93" i="6" s="1"/>
  <c r="T93" i="6" s="1"/>
  <c r="U93" i="6" s="1"/>
  <c r="F57" i="6"/>
  <c r="P49" i="6"/>
  <c r="F41" i="6"/>
  <c r="E9" i="6"/>
  <c r="G9" i="6" s="1"/>
  <c r="H9" i="6" s="1"/>
  <c r="I9" i="6" s="1"/>
  <c r="J9" i="6" s="1"/>
  <c r="R17" i="6"/>
  <c r="S17" i="6" s="1"/>
  <c r="T17" i="6" s="1"/>
  <c r="U17" i="6" s="1"/>
  <c r="R65" i="6"/>
  <c r="S65" i="6" s="1"/>
  <c r="T65" i="6" s="1"/>
  <c r="U65" i="6" s="1"/>
  <c r="R81" i="6"/>
  <c r="S81" i="6" s="1"/>
  <c r="T81" i="6" s="1"/>
  <c r="U81" i="6" s="1"/>
  <c r="V81" i="6" s="1"/>
  <c r="W81" i="6" s="1"/>
  <c r="F65" i="6"/>
  <c r="E17" i="6"/>
  <c r="G17" i="6" s="1"/>
  <c r="H17" i="6" s="1"/>
  <c r="I17" i="6" s="1"/>
  <c r="J17" i="6" s="1"/>
  <c r="E49" i="6"/>
  <c r="G49" i="6" s="1"/>
  <c r="H49" i="6" s="1"/>
  <c r="R69" i="6"/>
  <c r="S69" i="6" s="1"/>
  <c r="T69" i="6" s="1"/>
  <c r="U69" i="6" s="1"/>
  <c r="R85" i="6"/>
  <c r="S85" i="6" s="1"/>
  <c r="T85" i="6" s="1"/>
  <c r="U85" i="6" s="1"/>
  <c r="R101" i="6"/>
  <c r="S101" i="6" s="1"/>
  <c r="T101" i="6" s="1"/>
  <c r="U101" i="6" s="1"/>
  <c r="F25" i="6"/>
  <c r="Q77" i="6"/>
  <c r="P9" i="6"/>
  <c r="Q29" i="6"/>
  <c r="Q53" i="6"/>
  <c r="P21" i="6"/>
  <c r="Q65" i="6"/>
  <c r="P57" i="6"/>
  <c r="P13" i="6"/>
  <c r="P5" i="6"/>
  <c r="P37" i="6"/>
  <c r="P61" i="6"/>
  <c r="F35" i="6"/>
  <c r="F27" i="6"/>
  <c r="F19" i="6"/>
  <c r="F11" i="6"/>
  <c r="P33" i="6"/>
  <c r="P73" i="6"/>
  <c r="P97" i="6"/>
  <c r="F9" i="6"/>
  <c r="F49" i="6"/>
  <c r="F17" i="6"/>
  <c r="G29" i="6"/>
  <c r="H29" i="6" s="1"/>
  <c r="I29" i="6" s="1"/>
  <c r="J29" i="6" s="1"/>
  <c r="E61" i="6"/>
  <c r="F53" i="6"/>
  <c r="E45" i="6"/>
  <c r="F37" i="6"/>
  <c r="F29" i="6"/>
  <c r="F13" i="6"/>
  <c r="I49" i="6"/>
  <c r="J49" i="6" s="1"/>
  <c r="F61" i="6"/>
  <c r="F45" i="6"/>
  <c r="Q17" i="6"/>
  <c r="Q85" i="6"/>
  <c r="Q45" i="6"/>
  <c r="Q93" i="6"/>
  <c r="Q41" i="6"/>
  <c r="Q81" i="6"/>
  <c r="Q25" i="6"/>
  <c r="Q69" i="6"/>
  <c r="Q101" i="6"/>
  <c r="Q89" i="6"/>
  <c r="E25" i="6"/>
  <c r="E41" i="6"/>
  <c r="E57" i="6"/>
  <c r="E13" i="6"/>
  <c r="E5" i="6"/>
  <c r="E37" i="6"/>
  <c r="F85" i="6"/>
  <c r="E85" i="6"/>
  <c r="E101" i="6"/>
  <c r="F101" i="6"/>
  <c r="E89" i="6"/>
  <c r="F89" i="6"/>
  <c r="E65" i="6"/>
  <c r="E81" i="6"/>
  <c r="F81" i="6"/>
  <c r="F69" i="6"/>
  <c r="E69" i="6"/>
  <c r="E97" i="6"/>
  <c r="F97" i="6"/>
  <c r="F77" i="6"/>
  <c r="E77" i="6"/>
  <c r="E33" i="6"/>
  <c r="E21" i="6"/>
  <c r="E53" i="6"/>
  <c r="E93" i="6"/>
  <c r="F93" i="6"/>
  <c r="E73" i="6"/>
  <c r="F73" i="6"/>
  <c r="P3" i="6"/>
  <c r="P7" i="6"/>
  <c r="P11" i="6"/>
  <c r="P15" i="6"/>
  <c r="P19" i="6"/>
  <c r="P23" i="6"/>
  <c r="P27" i="6"/>
  <c r="P31" i="6"/>
  <c r="P35" i="6"/>
  <c r="P39" i="6"/>
  <c r="P43" i="6"/>
  <c r="P47" i="6"/>
  <c r="P51" i="6"/>
  <c r="P55" i="6"/>
  <c r="P59" i="6"/>
  <c r="P63" i="6"/>
  <c r="P67" i="6"/>
  <c r="P71" i="6"/>
  <c r="P75" i="6"/>
  <c r="P79" i="6"/>
  <c r="P83" i="6"/>
  <c r="P87" i="6"/>
  <c r="P91" i="6"/>
  <c r="P95" i="6"/>
  <c r="P99" i="6"/>
  <c r="P103" i="6"/>
  <c r="E3" i="6"/>
  <c r="E7" i="6"/>
  <c r="E11" i="6"/>
  <c r="E15" i="6"/>
  <c r="E19" i="6"/>
  <c r="E23" i="6"/>
  <c r="E27" i="6"/>
  <c r="E31" i="6"/>
  <c r="E35" i="6"/>
  <c r="E39" i="6"/>
  <c r="E43" i="6"/>
  <c r="E47" i="6"/>
  <c r="E51" i="6"/>
  <c r="E55" i="6"/>
  <c r="E59" i="6"/>
  <c r="E63" i="6"/>
  <c r="E67" i="6"/>
  <c r="E71" i="6"/>
  <c r="E75" i="6"/>
  <c r="E79" i="6"/>
  <c r="E83" i="6"/>
  <c r="E87" i="6"/>
  <c r="E91" i="6"/>
  <c r="E95" i="6"/>
  <c r="E99" i="6"/>
  <c r="E103" i="6"/>
  <c r="P75" i="4"/>
  <c r="Q75" i="4" s="1"/>
  <c r="R75" i="4" s="1"/>
  <c r="S75" i="4" s="1"/>
  <c r="P91" i="4"/>
  <c r="Q91" i="4" s="1"/>
  <c r="P59" i="4"/>
  <c r="Q59" i="4" s="1"/>
  <c r="P11" i="4"/>
  <c r="Q11" i="4" s="1"/>
  <c r="R97" i="5"/>
  <c r="S97" i="5" s="1"/>
  <c r="P103" i="5"/>
  <c r="Q103" i="5" s="1"/>
  <c r="R103" i="5" s="1"/>
  <c r="S103" i="5" s="1"/>
  <c r="P101" i="5"/>
  <c r="Q101" i="5" s="1"/>
  <c r="R101" i="5" s="1"/>
  <c r="S101" i="5" s="1"/>
  <c r="P83" i="5"/>
  <c r="Q83" i="5" s="1"/>
  <c r="R83" i="5" s="1"/>
  <c r="S83" i="5" s="1"/>
  <c r="P99" i="5"/>
  <c r="Q99" i="5" s="1"/>
  <c r="R99" i="5" s="1"/>
  <c r="S99" i="5" s="1"/>
  <c r="T99" i="5" s="1"/>
  <c r="U99" i="5" s="1"/>
  <c r="P85" i="5"/>
  <c r="Q85" i="5" s="1"/>
  <c r="R85" i="5" s="1"/>
  <c r="S85" i="5" s="1"/>
  <c r="P87" i="5"/>
  <c r="Q87" i="5" s="1"/>
  <c r="R87" i="5" s="1"/>
  <c r="S87" i="5" s="1"/>
  <c r="P89" i="5"/>
  <c r="Q89" i="5" s="1"/>
  <c r="R89" i="5" s="1"/>
  <c r="S89" i="5" s="1"/>
  <c r="P91" i="5"/>
  <c r="Q91" i="5" s="1"/>
  <c r="R91" i="5" s="1"/>
  <c r="S91" i="5" s="1"/>
  <c r="P93" i="5"/>
  <c r="Q93" i="5" s="1"/>
  <c r="R93" i="5" s="1"/>
  <c r="S93" i="5" s="1"/>
  <c r="P31" i="5"/>
  <c r="Q31" i="5" s="1"/>
  <c r="R31" i="5" s="1"/>
  <c r="S31" i="5" s="1"/>
  <c r="P47" i="5"/>
  <c r="Q47" i="5" s="1"/>
  <c r="R47" i="5" s="1"/>
  <c r="S47" i="5" s="1"/>
  <c r="P63" i="5"/>
  <c r="Q63" i="5" s="1"/>
  <c r="R63" i="5" s="1"/>
  <c r="S63" i="5" s="1"/>
  <c r="T63" i="5" s="1"/>
  <c r="U63" i="5" s="1"/>
  <c r="P3" i="5"/>
  <c r="Q3" i="5" s="1"/>
  <c r="R3" i="5" s="1"/>
  <c r="S3" i="5" s="1"/>
  <c r="P19" i="5"/>
  <c r="Q19" i="5" s="1"/>
  <c r="R19" i="5" s="1"/>
  <c r="S19" i="5" s="1"/>
  <c r="P35" i="5"/>
  <c r="Q35" i="5" s="1"/>
  <c r="R35" i="5" s="1"/>
  <c r="S35" i="5" s="1"/>
  <c r="P51" i="5"/>
  <c r="Q51" i="5" s="1"/>
  <c r="R51" i="5" s="1"/>
  <c r="S51" i="5" s="1"/>
  <c r="P67" i="5"/>
  <c r="Q67" i="5" s="1"/>
  <c r="R67" i="5" s="1"/>
  <c r="S67" i="5" s="1"/>
  <c r="R17" i="5"/>
  <c r="S17" i="5" s="1"/>
  <c r="P5" i="5"/>
  <c r="Q5" i="5" s="1"/>
  <c r="R5" i="5" s="1"/>
  <c r="S5" i="5" s="1"/>
  <c r="P21" i="5"/>
  <c r="Q21" i="5" s="1"/>
  <c r="R21" i="5" s="1"/>
  <c r="S21" i="5" s="1"/>
  <c r="P37" i="5"/>
  <c r="Q37" i="5" s="1"/>
  <c r="R37" i="5" s="1"/>
  <c r="S37" i="5" s="1"/>
  <c r="P53" i="5"/>
  <c r="Q53" i="5" s="1"/>
  <c r="R53" i="5" s="1"/>
  <c r="S53" i="5" s="1"/>
  <c r="P69" i="5"/>
  <c r="Q69" i="5" s="1"/>
  <c r="R69" i="5" s="1"/>
  <c r="S69" i="5" s="1"/>
  <c r="P7" i="5"/>
  <c r="Q7" i="5" s="1"/>
  <c r="R7" i="5" s="1"/>
  <c r="S7" i="5" s="1"/>
  <c r="P23" i="5"/>
  <c r="Q23" i="5" s="1"/>
  <c r="R23" i="5" s="1"/>
  <c r="S23" i="5" s="1"/>
  <c r="P39" i="5"/>
  <c r="Q39" i="5" s="1"/>
  <c r="R39" i="5" s="1"/>
  <c r="S39" i="5" s="1"/>
  <c r="T39" i="5" s="1"/>
  <c r="U39" i="5" s="1"/>
  <c r="P55" i="5"/>
  <c r="Q55" i="5" s="1"/>
  <c r="R55" i="5" s="1"/>
  <c r="S55" i="5" s="1"/>
  <c r="P71" i="5"/>
  <c r="Q71" i="5" s="1"/>
  <c r="R71" i="5" s="1"/>
  <c r="S71" i="5" s="1"/>
  <c r="P9" i="5"/>
  <c r="Q9" i="5" s="1"/>
  <c r="R9" i="5" s="1"/>
  <c r="S9" i="5" s="1"/>
  <c r="P25" i="5"/>
  <c r="Q25" i="5" s="1"/>
  <c r="R25" i="5" s="1"/>
  <c r="S25" i="5" s="1"/>
  <c r="P57" i="5"/>
  <c r="Q57" i="5" s="1"/>
  <c r="R57" i="5" s="1"/>
  <c r="S57" i="5" s="1"/>
  <c r="P73" i="5"/>
  <c r="Q73" i="5" s="1"/>
  <c r="R73" i="5" s="1"/>
  <c r="S73" i="5" s="1"/>
  <c r="P11" i="5"/>
  <c r="Q11" i="5" s="1"/>
  <c r="R11" i="5" s="1"/>
  <c r="S11" i="5" s="1"/>
  <c r="P27" i="5"/>
  <c r="Q27" i="5" s="1"/>
  <c r="R27" i="5" s="1"/>
  <c r="S27" i="5" s="1"/>
  <c r="P43" i="5"/>
  <c r="Q43" i="5" s="1"/>
  <c r="R43" i="5" s="1"/>
  <c r="S43" i="5" s="1"/>
  <c r="P59" i="5"/>
  <c r="Q59" i="5" s="1"/>
  <c r="R59" i="5" s="1"/>
  <c r="S59" i="5" s="1"/>
  <c r="P75" i="5"/>
  <c r="Q75" i="5" s="1"/>
  <c r="R75" i="5" s="1"/>
  <c r="S75" i="5" s="1"/>
  <c r="P13" i="5"/>
  <c r="Q13" i="5" s="1"/>
  <c r="R13" i="5" s="1"/>
  <c r="S13" i="5" s="1"/>
  <c r="P29" i="5"/>
  <c r="Q29" i="5" s="1"/>
  <c r="R29" i="5" s="1"/>
  <c r="S29" i="5" s="1"/>
  <c r="P45" i="5"/>
  <c r="Q45" i="5" s="1"/>
  <c r="R45" i="5" s="1"/>
  <c r="S45" i="5" s="1"/>
  <c r="T45" i="5" s="1"/>
  <c r="U45" i="5" s="1"/>
  <c r="P61" i="5"/>
  <c r="Q61" i="5" s="1"/>
  <c r="R61" i="5" s="1"/>
  <c r="S61" i="5" s="1"/>
  <c r="P77" i="5"/>
  <c r="Q77" i="5" s="1"/>
  <c r="R77" i="5" s="1"/>
  <c r="S77" i="5" s="1"/>
  <c r="F97" i="5"/>
  <c r="G97" i="5" s="1"/>
  <c r="H97" i="5" s="1"/>
  <c r="I97" i="5" s="1"/>
  <c r="H27" i="5"/>
  <c r="I27" i="5" s="1"/>
  <c r="H3" i="5"/>
  <c r="I3" i="5" s="1"/>
  <c r="H59" i="5"/>
  <c r="I59" i="5" s="1"/>
  <c r="F81" i="5"/>
  <c r="G81" i="5" s="1"/>
  <c r="H81" i="5" s="1"/>
  <c r="I81" i="5" s="1"/>
  <c r="H71" i="5"/>
  <c r="I71" i="5" s="1"/>
  <c r="F65" i="5"/>
  <c r="G65" i="5" s="1"/>
  <c r="H65" i="5" s="1"/>
  <c r="I65" i="5" s="1"/>
  <c r="H83" i="5"/>
  <c r="I83" i="5" s="1"/>
  <c r="F49" i="5"/>
  <c r="G49" i="5" s="1"/>
  <c r="H49" i="5" s="1"/>
  <c r="I49" i="5" s="1"/>
  <c r="F33" i="5"/>
  <c r="G33" i="5" s="1"/>
  <c r="H33" i="5" s="1"/>
  <c r="I33" i="5" s="1"/>
  <c r="F17" i="5"/>
  <c r="G17" i="5" s="1"/>
  <c r="H17" i="5" s="1"/>
  <c r="I17" i="5" s="1"/>
  <c r="F99" i="5"/>
  <c r="G99" i="5" s="1"/>
  <c r="H99" i="5" s="1"/>
  <c r="I99" i="5" s="1"/>
  <c r="F67" i="5"/>
  <c r="G67" i="5" s="1"/>
  <c r="H67" i="5" s="1"/>
  <c r="I67" i="5" s="1"/>
  <c r="F51" i="5"/>
  <c r="G51" i="5" s="1"/>
  <c r="H51" i="5" s="1"/>
  <c r="I51" i="5" s="1"/>
  <c r="F19" i="5"/>
  <c r="G19" i="5" s="1"/>
  <c r="H19" i="5" s="1"/>
  <c r="I19" i="5" s="1"/>
  <c r="H5" i="5"/>
  <c r="I5" i="5" s="1"/>
  <c r="H29" i="5"/>
  <c r="I29" i="5" s="1"/>
  <c r="H75" i="5"/>
  <c r="I75" i="5" s="1"/>
  <c r="F95" i="5"/>
  <c r="G95" i="5" s="1"/>
  <c r="H95" i="5" s="1"/>
  <c r="I95" i="5" s="1"/>
  <c r="F79" i="5"/>
  <c r="G79" i="5" s="1"/>
  <c r="H79" i="5" s="1"/>
  <c r="I79" i="5" s="1"/>
  <c r="F63" i="5"/>
  <c r="G63" i="5" s="1"/>
  <c r="H63" i="5" s="1"/>
  <c r="I63" i="5" s="1"/>
  <c r="F47" i="5"/>
  <c r="G47" i="5" s="1"/>
  <c r="H47" i="5" s="1"/>
  <c r="I47" i="5" s="1"/>
  <c r="F31" i="5"/>
  <c r="G31" i="5" s="1"/>
  <c r="H31" i="5" s="1"/>
  <c r="I31" i="5" s="1"/>
  <c r="F15" i="5"/>
  <c r="G15" i="5" s="1"/>
  <c r="H15" i="5" s="1"/>
  <c r="I15" i="5" s="1"/>
  <c r="J13" i="5" s="1"/>
  <c r="K13" i="5" s="1"/>
  <c r="H69" i="5"/>
  <c r="I69" i="5" s="1"/>
  <c r="F93" i="5"/>
  <c r="G93" i="5" s="1"/>
  <c r="H93" i="5" s="1"/>
  <c r="I93" i="5" s="1"/>
  <c r="F77" i="5"/>
  <c r="G77" i="5" s="1"/>
  <c r="H77" i="5" s="1"/>
  <c r="I77" i="5" s="1"/>
  <c r="F61" i="5"/>
  <c r="G61" i="5" s="1"/>
  <c r="H61" i="5" s="1"/>
  <c r="I61" i="5" s="1"/>
  <c r="F45" i="5"/>
  <c r="G45" i="5" s="1"/>
  <c r="H45" i="5" s="1"/>
  <c r="I45" i="5" s="1"/>
  <c r="F91" i="5"/>
  <c r="G91" i="5" s="1"/>
  <c r="H91" i="5" s="1"/>
  <c r="I91" i="5" s="1"/>
  <c r="F43" i="5"/>
  <c r="G43" i="5" s="1"/>
  <c r="H43" i="5" s="1"/>
  <c r="I43" i="5" s="1"/>
  <c r="F11" i="5"/>
  <c r="G11" i="5" s="1"/>
  <c r="H11" i="5" s="1"/>
  <c r="I11" i="5" s="1"/>
  <c r="F89" i="5"/>
  <c r="G89" i="5" s="1"/>
  <c r="H89" i="5" s="1"/>
  <c r="I89" i="5" s="1"/>
  <c r="F73" i="5"/>
  <c r="G73" i="5" s="1"/>
  <c r="H73" i="5" s="1"/>
  <c r="I73" i="5" s="1"/>
  <c r="F57" i="5"/>
  <c r="G57" i="5" s="1"/>
  <c r="H57" i="5" s="1"/>
  <c r="I57" i="5" s="1"/>
  <c r="F41" i="5"/>
  <c r="G41" i="5" s="1"/>
  <c r="H41" i="5" s="1"/>
  <c r="I41" i="5" s="1"/>
  <c r="F25" i="5"/>
  <c r="G25" i="5" s="1"/>
  <c r="H25" i="5" s="1"/>
  <c r="I25" i="5" s="1"/>
  <c r="F9" i="5"/>
  <c r="G9" i="5" s="1"/>
  <c r="H9" i="5" s="1"/>
  <c r="I9" i="5" s="1"/>
  <c r="F103" i="5"/>
  <c r="G103" i="5" s="1"/>
  <c r="H103" i="5" s="1"/>
  <c r="I103" i="5" s="1"/>
  <c r="F87" i="5"/>
  <c r="G87" i="5" s="1"/>
  <c r="H87" i="5" s="1"/>
  <c r="I87" i="5" s="1"/>
  <c r="F55" i="5"/>
  <c r="G55" i="5" s="1"/>
  <c r="H55" i="5" s="1"/>
  <c r="I55" i="5" s="1"/>
  <c r="F39" i="5"/>
  <c r="G39" i="5" s="1"/>
  <c r="H39" i="5" s="1"/>
  <c r="I39" i="5" s="1"/>
  <c r="F23" i="5"/>
  <c r="G23" i="5" s="1"/>
  <c r="H23" i="5" s="1"/>
  <c r="I23" i="5" s="1"/>
  <c r="F7" i="5"/>
  <c r="G7" i="5" s="1"/>
  <c r="H7" i="5" s="1"/>
  <c r="I7" i="5" s="1"/>
  <c r="H21" i="5"/>
  <c r="I21" i="5" s="1"/>
  <c r="H53" i="5"/>
  <c r="I53" i="5" s="1"/>
  <c r="F101" i="5"/>
  <c r="G101" i="5" s="1"/>
  <c r="H101" i="5" s="1"/>
  <c r="I101" i="5" s="1"/>
  <c r="F85" i="5"/>
  <c r="G85" i="5" s="1"/>
  <c r="H85" i="5" s="1"/>
  <c r="I85" i="5" s="1"/>
  <c r="F37" i="5"/>
  <c r="G37" i="5" s="1"/>
  <c r="H37" i="5" s="1"/>
  <c r="I37" i="5" s="1"/>
  <c r="P3" i="4"/>
  <c r="Q3" i="4" s="1"/>
  <c r="R3" i="4" s="1"/>
  <c r="S3" i="4" s="1"/>
  <c r="F31" i="4"/>
  <c r="G31" i="4" s="1"/>
  <c r="H31" i="4" s="1"/>
  <c r="G65" i="4"/>
  <c r="H65" i="4" s="1"/>
  <c r="I63" i="4" s="1"/>
  <c r="J63" i="4" s="1"/>
  <c r="F93" i="4"/>
  <c r="G93" i="4" s="1"/>
  <c r="H93" i="4" s="1"/>
  <c r="F77" i="4"/>
  <c r="G77" i="4" s="1"/>
  <c r="H77" i="4" s="1"/>
  <c r="F61" i="4"/>
  <c r="G61" i="4" s="1"/>
  <c r="H61" i="4" s="1"/>
  <c r="G13" i="4"/>
  <c r="H13" i="4" s="1"/>
  <c r="G47" i="4"/>
  <c r="H47" i="4" s="1"/>
  <c r="G59" i="4"/>
  <c r="H59" i="4" s="1"/>
  <c r="F89" i="4"/>
  <c r="G89" i="4" s="1"/>
  <c r="H89" i="4" s="1"/>
  <c r="F73" i="4"/>
  <c r="G73" i="4" s="1"/>
  <c r="H73" i="4" s="1"/>
  <c r="F57" i="4"/>
  <c r="G57" i="4" s="1"/>
  <c r="H57" i="4" s="1"/>
  <c r="F41" i="4"/>
  <c r="G41" i="4" s="1"/>
  <c r="H41" i="4" s="1"/>
  <c r="I39" i="4" s="1"/>
  <c r="J39" i="4" s="1"/>
  <c r="F25" i="4"/>
  <c r="G25" i="4" s="1"/>
  <c r="H25" i="4" s="1"/>
  <c r="F9" i="4"/>
  <c r="G9" i="4" s="1"/>
  <c r="H9" i="4" s="1"/>
  <c r="G11" i="4"/>
  <c r="H11" i="4" s="1"/>
  <c r="G29" i="4"/>
  <c r="H29" i="4" s="1"/>
  <c r="G75" i="4"/>
  <c r="H75" i="4" s="1"/>
  <c r="F71" i="4"/>
  <c r="G71" i="4" s="1"/>
  <c r="H71" i="4" s="1"/>
  <c r="F23" i="4"/>
  <c r="G23" i="4" s="1"/>
  <c r="H23" i="4" s="1"/>
  <c r="F7" i="4"/>
  <c r="G7" i="4" s="1"/>
  <c r="H7" i="4" s="1"/>
  <c r="G87" i="4"/>
  <c r="H87" i="4" s="1"/>
  <c r="G91" i="4"/>
  <c r="H91" i="4" s="1"/>
  <c r="G95" i="4"/>
  <c r="H95" i="4" s="1"/>
  <c r="G103" i="4"/>
  <c r="H103" i="4" s="1"/>
  <c r="F101" i="4"/>
  <c r="G101" i="4" s="1"/>
  <c r="H101" i="4" s="1"/>
  <c r="F85" i="4"/>
  <c r="G85" i="4" s="1"/>
  <c r="H85" i="4" s="1"/>
  <c r="F69" i="4"/>
  <c r="G69" i="4" s="1"/>
  <c r="H69" i="4" s="1"/>
  <c r="I69" i="4" s="1"/>
  <c r="J69" i="4" s="1"/>
  <c r="F53" i="4"/>
  <c r="G53" i="4" s="1"/>
  <c r="H53" i="4" s="1"/>
  <c r="I51" i="4" s="1"/>
  <c r="J51" i="4" s="1"/>
  <c r="F5" i="4"/>
  <c r="G5" i="4" s="1"/>
  <c r="H5" i="4" s="1"/>
  <c r="G17" i="4"/>
  <c r="H17" i="4" s="1"/>
  <c r="G21" i="4"/>
  <c r="H21" i="4" s="1"/>
  <c r="G81" i="4"/>
  <c r="H81" i="4" s="1"/>
  <c r="G33" i="4"/>
  <c r="H33" i="4" s="1"/>
  <c r="G37" i="4"/>
  <c r="H37" i="4" s="1"/>
  <c r="G35" i="4"/>
  <c r="H35" i="4" s="1"/>
  <c r="G97" i="4"/>
  <c r="H97" i="4" s="1"/>
  <c r="G19" i="4"/>
  <c r="H19" i="4" s="1"/>
  <c r="G45" i="4"/>
  <c r="H45" i="4" s="1"/>
  <c r="G49" i="4"/>
  <c r="H49" i="4" s="1"/>
  <c r="G99" i="4"/>
  <c r="H99" i="4" s="1"/>
  <c r="G93" i="3"/>
  <c r="H93" i="3" s="1"/>
  <c r="I93" i="3" s="1"/>
  <c r="H91" i="3"/>
  <c r="I91" i="3" s="1"/>
  <c r="G87" i="3"/>
  <c r="H87" i="3" s="1"/>
  <c r="I87" i="3" s="1"/>
  <c r="G101" i="3"/>
  <c r="H101" i="3" s="1"/>
  <c r="I101" i="3" s="1"/>
  <c r="H31" i="3"/>
  <c r="I31" i="3" s="1"/>
  <c r="H43" i="3"/>
  <c r="I43" i="3" s="1"/>
  <c r="H13" i="3"/>
  <c r="I13" i="3" s="1"/>
  <c r="H25" i="3"/>
  <c r="I25" i="3" s="1"/>
  <c r="H57" i="3"/>
  <c r="I57" i="3" s="1"/>
  <c r="H7" i="3"/>
  <c r="I7" i="3" s="1"/>
  <c r="H53" i="3"/>
  <c r="I53" i="3" s="1"/>
  <c r="J51" i="3" s="1"/>
  <c r="K51" i="3" s="1"/>
  <c r="H21" i="3"/>
  <c r="I21" i="3" s="1"/>
  <c r="H5" i="3"/>
  <c r="I5" i="3" s="1"/>
  <c r="H77" i="3"/>
  <c r="I77" i="3" s="1"/>
  <c r="H27" i="3"/>
  <c r="I27" i="3" s="1"/>
  <c r="H59" i="3"/>
  <c r="I59" i="3" s="1"/>
  <c r="H29" i="3"/>
  <c r="I29" i="3" s="1"/>
  <c r="H61" i="3"/>
  <c r="I61" i="3" s="1"/>
  <c r="H75" i="3"/>
  <c r="I75" i="3" s="1"/>
  <c r="H11" i="3"/>
  <c r="I11" i="3" s="1"/>
  <c r="H15" i="3"/>
  <c r="I15" i="3" s="1"/>
  <c r="H37" i="3"/>
  <c r="I37" i="3" s="1"/>
  <c r="H65" i="3"/>
  <c r="I65" i="3" s="1"/>
  <c r="H51" i="3"/>
  <c r="I51" i="3" s="1"/>
  <c r="H55" i="3"/>
  <c r="I55" i="3" s="1"/>
  <c r="H45" i="3"/>
  <c r="I45" i="3" s="1"/>
  <c r="H69" i="3"/>
  <c r="I69" i="3" s="1"/>
  <c r="H73" i="3"/>
  <c r="I73" i="3" s="1"/>
  <c r="H99" i="3"/>
  <c r="I99" i="3" s="1"/>
  <c r="H17" i="3"/>
  <c r="I17" i="3" s="1"/>
  <c r="H81" i="3"/>
  <c r="I81" i="3" s="1"/>
  <c r="H35" i="3"/>
  <c r="I35" i="3" s="1"/>
  <c r="H49" i="3"/>
  <c r="I49" i="3" s="1"/>
  <c r="H89" i="3"/>
  <c r="I89" i="3" s="1"/>
  <c r="H19" i="3"/>
  <c r="I19" i="3" s="1"/>
  <c r="H67" i="3"/>
  <c r="I67" i="3" s="1"/>
  <c r="H97" i="3"/>
  <c r="I97" i="3" s="1"/>
  <c r="H33" i="3"/>
  <c r="I33" i="3" s="1"/>
  <c r="O99" i="2"/>
  <c r="P99" i="2" s="1"/>
  <c r="O103" i="2"/>
  <c r="P103" i="2" s="1"/>
  <c r="Q103" i="2" s="1"/>
  <c r="F103" i="2"/>
  <c r="G103" i="2" s="1"/>
  <c r="H103" i="2" s="1"/>
  <c r="O101" i="2"/>
  <c r="P101" i="2" s="1"/>
  <c r="Q101" i="2" s="1"/>
  <c r="F101" i="2"/>
  <c r="G101" i="2" s="1"/>
  <c r="H101" i="2" s="1"/>
  <c r="F99" i="2"/>
  <c r="G99" i="2" s="1"/>
  <c r="H99" i="2" s="1"/>
  <c r="O97" i="2"/>
  <c r="P97" i="2" s="1"/>
  <c r="Q97" i="2" s="1"/>
  <c r="F97" i="2"/>
  <c r="G97" i="2" s="1"/>
  <c r="H97" i="2" s="1"/>
  <c r="O95" i="2"/>
  <c r="P95" i="2" s="1"/>
  <c r="Q95" i="2" s="1"/>
  <c r="F95" i="2"/>
  <c r="G95" i="2" s="1"/>
  <c r="H95" i="2" s="1"/>
  <c r="O93" i="2"/>
  <c r="P93" i="2" s="1"/>
  <c r="Q93" i="2" s="1"/>
  <c r="F93" i="2"/>
  <c r="G93" i="2" s="1"/>
  <c r="H93" i="2" s="1"/>
  <c r="O91" i="2"/>
  <c r="P91" i="2" s="1"/>
  <c r="Q91" i="2" s="1"/>
  <c r="F91" i="2"/>
  <c r="G91" i="2" s="1"/>
  <c r="H91" i="2" s="1"/>
  <c r="O89" i="2"/>
  <c r="P89" i="2" s="1"/>
  <c r="Q89" i="2" s="1"/>
  <c r="F89" i="2"/>
  <c r="G89" i="2" s="1"/>
  <c r="H89" i="2" s="1"/>
  <c r="O87" i="2"/>
  <c r="P87" i="2" s="1"/>
  <c r="F87" i="2"/>
  <c r="G87" i="2" s="1"/>
  <c r="H87" i="2" s="1"/>
  <c r="O85" i="2"/>
  <c r="P85" i="2" s="1"/>
  <c r="Q85" i="2" s="1"/>
  <c r="F85" i="2"/>
  <c r="G85" i="2" s="1"/>
  <c r="H85" i="2" s="1"/>
  <c r="O83" i="2"/>
  <c r="P83" i="2" s="1"/>
  <c r="Q83" i="2" s="1"/>
  <c r="F83" i="2"/>
  <c r="G83" i="2" s="1"/>
  <c r="H83" i="2" s="1"/>
  <c r="O81" i="2"/>
  <c r="P81" i="2" s="1"/>
  <c r="Q81" i="2" s="1"/>
  <c r="F81" i="2"/>
  <c r="G81" i="2" s="1"/>
  <c r="H81" i="2" s="1"/>
  <c r="O79" i="2"/>
  <c r="P79" i="2" s="1"/>
  <c r="Q79" i="2" s="1"/>
  <c r="F79" i="2"/>
  <c r="G79" i="2" s="1"/>
  <c r="H79" i="2" s="1"/>
  <c r="O77" i="2"/>
  <c r="P77" i="2" s="1"/>
  <c r="Q77" i="2" s="1"/>
  <c r="F77" i="2"/>
  <c r="G77" i="2" s="1"/>
  <c r="H77" i="2" s="1"/>
  <c r="O75" i="2"/>
  <c r="P75" i="2" s="1"/>
  <c r="F75" i="2"/>
  <c r="G75" i="2" s="1"/>
  <c r="H75" i="2" s="1"/>
  <c r="O73" i="2"/>
  <c r="P73" i="2" s="1"/>
  <c r="Q73" i="2" s="1"/>
  <c r="F73" i="2"/>
  <c r="G73" i="2" s="1"/>
  <c r="H73" i="2" s="1"/>
  <c r="O71" i="2"/>
  <c r="P71" i="2" s="1"/>
  <c r="Q71" i="2" s="1"/>
  <c r="F71" i="2"/>
  <c r="G71" i="2" s="1"/>
  <c r="H71" i="2" s="1"/>
  <c r="O69" i="2"/>
  <c r="P69" i="2" s="1"/>
  <c r="Q69" i="2" s="1"/>
  <c r="F69" i="2"/>
  <c r="G69" i="2" s="1"/>
  <c r="H69" i="2" s="1"/>
  <c r="O67" i="2"/>
  <c r="P67" i="2" s="1"/>
  <c r="Q67" i="2" s="1"/>
  <c r="F67" i="2"/>
  <c r="G67" i="2" s="1"/>
  <c r="H67" i="2" s="1"/>
  <c r="O65" i="2"/>
  <c r="P65" i="2" s="1"/>
  <c r="Q65" i="2" s="1"/>
  <c r="F65" i="2"/>
  <c r="G65" i="2" s="1"/>
  <c r="O63" i="2"/>
  <c r="P63" i="2" s="1"/>
  <c r="F63" i="2"/>
  <c r="G63" i="2" s="1"/>
  <c r="H63" i="2" s="1"/>
  <c r="O61" i="2"/>
  <c r="P61" i="2" s="1"/>
  <c r="Q61" i="2" s="1"/>
  <c r="F61" i="2"/>
  <c r="G61" i="2" s="1"/>
  <c r="H61" i="2" s="1"/>
  <c r="O59" i="2"/>
  <c r="P59" i="2" s="1"/>
  <c r="Q59" i="2" s="1"/>
  <c r="F59" i="2"/>
  <c r="G59" i="2" s="1"/>
  <c r="H59" i="2" s="1"/>
  <c r="O57" i="2"/>
  <c r="P57" i="2" s="1"/>
  <c r="Q57" i="2" s="1"/>
  <c r="F57" i="2"/>
  <c r="G57" i="2" s="1"/>
  <c r="H57" i="2" s="1"/>
  <c r="O55" i="2"/>
  <c r="P55" i="2" s="1"/>
  <c r="Q55" i="2" s="1"/>
  <c r="F55" i="2"/>
  <c r="G55" i="2" s="1"/>
  <c r="H55" i="2" s="1"/>
  <c r="O53" i="2"/>
  <c r="P53" i="2" s="1"/>
  <c r="Q53" i="2" s="1"/>
  <c r="F53" i="2"/>
  <c r="G53" i="2" s="1"/>
  <c r="H53" i="2" s="1"/>
  <c r="O51" i="2"/>
  <c r="P51" i="2" s="1"/>
  <c r="F51" i="2"/>
  <c r="G51" i="2" s="1"/>
  <c r="H51" i="2" s="1"/>
  <c r="O49" i="2"/>
  <c r="P49" i="2" s="1"/>
  <c r="Q49" i="2" s="1"/>
  <c r="F49" i="2"/>
  <c r="G49" i="2" s="1"/>
  <c r="H49" i="2" s="1"/>
  <c r="O47" i="2"/>
  <c r="P47" i="2" s="1"/>
  <c r="Q47" i="2" s="1"/>
  <c r="F47" i="2"/>
  <c r="G47" i="2" s="1"/>
  <c r="H47" i="2" s="1"/>
  <c r="O45" i="2"/>
  <c r="P45" i="2" s="1"/>
  <c r="Q45" i="2" s="1"/>
  <c r="F45" i="2"/>
  <c r="G45" i="2" s="1"/>
  <c r="H45" i="2" s="1"/>
  <c r="O43" i="2"/>
  <c r="P43" i="2" s="1"/>
  <c r="Q43" i="2" s="1"/>
  <c r="F43" i="2"/>
  <c r="G43" i="2" s="1"/>
  <c r="H43" i="2" s="1"/>
  <c r="O41" i="2"/>
  <c r="P41" i="2" s="1"/>
  <c r="Q41" i="2" s="1"/>
  <c r="F41" i="2"/>
  <c r="G41" i="2" s="1"/>
  <c r="H41" i="2" s="1"/>
  <c r="O39" i="2"/>
  <c r="P39" i="2" s="1"/>
  <c r="F39" i="2"/>
  <c r="G39" i="2" s="1"/>
  <c r="H39" i="2" s="1"/>
  <c r="O37" i="2"/>
  <c r="P37" i="2" s="1"/>
  <c r="Q37" i="2" s="1"/>
  <c r="F37" i="2"/>
  <c r="G37" i="2" s="1"/>
  <c r="H37" i="2" s="1"/>
  <c r="O35" i="2"/>
  <c r="P35" i="2" s="1"/>
  <c r="Q35" i="2" s="1"/>
  <c r="F35" i="2"/>
  <c r="G35" i="2" s="1"/>
  <c r="H35" i="2" s="1"/>
  <c r="O33" i="2"/>
  <c r="P33" i="2" s="1"/>
  <c r="Q33" i="2" s="1"/>
  <c r="F33" i="2"/>
  <c r="G33" i="2" s="1"/>
  <c r="H33" i="2" s="1"/>
  <c r="O31" i="2"/>
  <c r="P31" i="2" s="1"/>
  <c r="Q31" i="2" s="1"/>
  <c r="F31" i="2"/>
  <c r="G31" i="2" s="1"/>
  <c r="H31" i="2" s="1"/>
  <c r="O29" i="2"/>
  <c r="P29" i="2" s="1"/>
  <c r="Q29" i="2" s="1"/>
  <c r="F29" i="2"/>
  <c r="G29" i="2" s="1"/>
  <c r="H29" i="2" s="1"/>
  <c r="O27" i="2"/>
  <c r="P27" i="2" s="1"/>
  <c r="Q27" i="2" s="1"/>
  <c r="F27" i="2"/>
  <c r="G27" i="2" s="1"/>
  <c r="H27" i="2" s="1"/>
  <c r="O25" i="2"/>
  <c r="P25" i="2" s="1"/>
  <c r="Q25" i="2" s="1"/>
  <c r="F25" i="2"/>
  <c r="G25" i="2" s="1"/>
  <c r="H25" i="2" s="1"/>
  <c r="O23" i="2"/>
  <c r="P23" i="2" s="1"/>
  <c r="F23" i="2"/>
  <c r="G23" i="2" s="1"/>
  <c r="H23" i="2" s="1"/>
  <c r="O21" i="2"/>
  <c r="P21" i="2" s="1"/>
  <c r="Q21" i="2" s="1"/>
  <c r="F21" i="2"/>
  <c r="G21" i="2" s="1"/>
  <c r="H21" i="2" s="1"/>
  <c r="O19" i="2"/>
  <c r="P19" i="2" s="1"/>
  <c r="Q19" i="2" s="1"/>
  <c r="F19" i="2"/>
  <c r="G19" i="2" s="1"/>
  <c r="H19" i="2" s="1"/>
  <c r="O17" i="2"/>
  <c r="P17" i="2" s="1"/>
  <c r="Q17" i="2" s="1"/>
  <c r="F17" i="2"/>
  <c r="G17" i="2" s="1"/>
  <c r="H17" i="2" s="1"/>
  <c r="O15" i="2"/>
  <c r="P15" i="2" s="1"/>
  <c r="Q15" i="2" s="1"/>
  <c r="F15" i="2"/>
  <c r="G15" i="2" s="1"/>
  <c r="H15" i="2" s="1"/>
  <c r="O13" i="2"/>
  <c r="P13" i="2" s="1"/>
  <c r="Q13" i="2" s="1"/>
  <c r="F13" i="2"/>
  <c r="G13" i="2" s="1"/>
  <c r="H13" i="2" s="1"/>
  <c r="O11" i="2"/>
  <c r="P11" i="2" s="1"/>
  <c r="Q11" i="2" s="1"/>
  <c r="F11" i="2"/>
  <c r="G11" i="2" s="1"/>
  <c r="H11" i="2" s="1"/>
  <c r="O9" i="2"/>
  <c r="P9" i="2" s="1"/>
  <c r="Q9" i="2" s="1"/>
  <c r="F9" i="2"/>
  <c r="G9" i="2" s="1"/>
  <c r="H9" i="2" s="1"/>
  <c r="O7" i="2"/>
  <c r="P7" i="2" s="1"/>
  <c r="Q7" i="2" s="1"/>
  <c r="F7" i="2"/>
  <c r="G7" i="2" s="1"/>
  <c r="H7" i="2" s="1"/>
  <c r="O5" i="2"/>
  <c r="P5" i="2" s="1"/>
  <c r="Q5" i="2" s="1"/>
  <c r="F5" i="2"/>
  <c r="G5" i="2" s="1"/>
  <c r="H5" i="2" s="1"/>
  <c r="M3" i="2"/>
  <c r="F3" i="2"/>
  <c r="G3" i="2" s="1"/>
  <c r="H3" i="2" s="1"/>
  <c r="O103" i="1"/>
  <c r="P103" i="1" s="1"/>
  <c r="Q103" i="1" s="1"/>
  <c r="F103" i="1"/>
  <c r="G103" i="1" s="1"/>
  <c r="H103" i="1" s="1"/>
  <c r="O101" i="1"/>
  <c r="P101" i="1" s="1"/>
  <c r="Q101" i="1" s="1"/>
  <c r="F101" i="1"/>
  <c r="G101" i="1" s="1"/>
  <c r="H101" i="1" s="1"/>
  <c r="O99" i="1"/>
  <c r="P99" i="1" s="1"/>
  <c r="Q99" i="1" s="1"/>
  <c r="F99" i="1"/>
  <c r="G99" i="1" s="1"/>
  <c r="H99" i="1" s="1"/>
  <c r="O97" i="1"/>
  <c r="P97" i="1" s="1"/>
  <c r="Q97" i="1" s="1"/>
  <c r="F97" i="1"/>
  <c r="G97" i="1" s="1"/>
  <c r="H97" i="1" s="1"/>
  <c r="O95" i="1"/>
  <c r="P95" i="1" s="1"/>
  <c r="Q95" i="1" s="1"/>
  <c r="F95" i="1"/>
  <c r="G95" i="1" s="1"/>
  <c r="H95" i="1" s="1"/>
  <c r="O93" i="1"/>
  <c r="P93" i="1" s="1"/>
  <c r="F93" i="1"/>
  <c r="G93" i="1" s="1"/>
  <c r="H93" i="1" s="1"/>
  <c r="O91" i="1"/>
  <c r="P91" i="1" s="1"/>
  <c r="Q91" i="1" s="1"/>
  <c r="F91" i="1"/>
  <c r="G91" i="1" s="1"/>
  <c r="H91" i="1" s="1"/>
  <c r="O89" i="1"/>
  <c r="P89" i="1" s="1"/>
  <c r="Q89" i="1" s="1"/>
  <c r="F89" i="1"/>
  <c r="G89" i="1" s="1"/>
  <c r="H89" i="1" s="1"/>
  <c r="O87" i="1"/>
  <c r="P87" i="1" s="1"/>
  <c r="Q87" i="1" s="1"/>
  <c r="F87" i="1"/>
  <c r="G87" i="1" s="1"/>
  <c r="H87" i="1" s="1"/>
  <c r="O85" i="1"/>
  <c r="P85" i="1" s="1"/>
  <c r="Q85" i="1" s="1"/>
  <c r="F85" i="1"/>
  <c r="G85" i="1" s="1"/>
  <c r="H85" i="1" s="1"/>
  <c r="O83" i="1"/>
  <c r="P83" i="1" s="1"/>
  <c r="Q83" i="1" s="1"/>
  <c r="F83" i="1"/>
  <c r="G83" i="1" s="1"/>
  <c r="H83" i="1" s="1"/>
  <c r="O81" i="1"/>
  <c r="P81" i="1" s="1"/>
  <c r="F81" i="1"/>
  <c r="G81" i="1" s="1"/>
  <c r="H81" i="1" s="1"/>
  <c r="O79" i="1"/>
  <c r="P79" i="1" s="1"/>
  <c r="Q79" i="1" s="1"/>
  <c r="F79" i="1"/>
  <c r="G79" i="1" s="1"/>
  <c r="H79" i="1" s="1"/>
  <c r="O77" i="1"/>
  <c r="P77" i="1" s="1"/>
  <c r="Q77" i="1" s="1"/>
  <c r="F77" i="1"/>
  <c r="G77" i="1" s="1"/>
  <c r="H77" i="1" s="1"/>
  <c r="O75" i="1"/>
  <c r="P75" i="1" s="1"/>
  <c r="Q75" i="1" s="1"/>
  <c r="F75" i="1"/>
  <c r="G75" i="1" s="1"/>
  <c r="H75" i="1" s="1"/>
  <c r="O73" i="1"/>
  <c r="P73" i="1" s="1"/>
  <c r="Q73" i="1" s="1"/>
  <c r="F73" i="1"/>
  <c r="G73" i="1" s="1"/>
  <c r="H73" i="1" s="1"/>
  <c r="O71" i="1"/>
  <c r="P71" i="1" s="1"/>
  <c r="Q71" i="1" s="1"/>
  <c r="F71" i="1"/>
  <c r="G71" i="1" s="1"/>
  <c r="H71" i="1" s="1"/>
  <c r="O69" i="1"/>
  <c r="P69" i="1" s="1"/>
  <c r="F69" i="1"/>
  <c r="G69" i="1" s="1"/>
  <c r="H69" i="1" s="1"/>
  <c r="O67" i="1"/>
  <c r="P67" i="1" s="1"/>
  <c r="Q67" i="1" s="1"/>
  <c r="F67" i="1"/>
  <c r="G67" i="1" s="1"/>
  <c r="H67" i="1" s="1"/>
  <c r="O65" i="1"/>
  <c r="P65" i="1" s="1"/>
  <c r="Q65" i="1" s="1"/>
  <c r="F65" i="1"/>
  <c r="G65" i="1" s="1"/>
  <c r="H65" i="1" s="1"/>
  <c r="O63" i="1"/>
  <c r="P63" i="1" s="1"/>
  <c r="Q63" i="1" s="1"/>
  <c r="F63" i="1"/>
  <c r="G63" i="1" s="1"/>
  <c r="H63" i="1" s="1"/>
  <c r="O61" i="1"/>
  <c r="P61" i="1" s="1"/>
  <c r="Q61" i="1" s="1"/>
  <c r="F61" i="1"/>
  <c r="G61" i="1" s="1"/>
  <c r="H61" i="1" s="1"/>
  <c r="O59" i="1"/>
  <c r="P59" i="1" s="1"/>
  <c r="Q59" i="1" s="1"/>
  <c r="F59" i="1"/>
  <c r="G59" i="1" s="1"/>
  <c r="H59" i="1" s="1"/>
  <c r="O57" i="1"/>
  <c r="P57" i="1" s="1"/>
  <c r="F57" i="1"/>
  <c r="G57" i="1" s="1"/>
  <c r="H57" i="1" s="1"/>
  <c r="O55" i="1"/>
  <c r="P55" i="1" s="1"/>
  <c r="Q55" i="1" s="1"/>
  <c r="F55" i="1"/>
  <c r="G55" i="1" s="1"/>
  <c r="H55" i="1" s="1"/>
  <c r="O53" i="1"/>
  <c r="P53" i="1" s="1"/>
  <c r="Q53" i="1" s="1"/>
  <c r="F53" i="1"/>
  <c r="G53" i="1" s="1"/>
  <c r="H53" i="1" s="1"/>
  <c r="O51" i="1"/>
  <c r="P51" i="1" s="1"/>
  <c r="Q51" i="1" s="1"/>
  <c r="F51" i="1"/>
  <c r="G51" i="1" s="1"/>
  <c r="H51" i="1" s="1"/>
  <c r="O49" i="1"/>
  <c r="P49" i="1" s="1"/>
  <c r="Q49" i="1" s="1"/>
  <c r="F49" i="1"/>
  <c r="G49" i="1" s="1"/>
  <c r="H49" i="1" s="1"/>
  <c r="O47" i="1"/>
  <c r="P47" i="1" s="1"/>
  <c r="Q47" i="1" s="1"/>
  <c r="F47" i="1"/>
  <c r="G47" i="1" s="1"/>
  <c r="H47" i="1" s="1"/>
  <c r="O45" i="1"/>
  <c r="P45" i="1" s="1"/>
  <c r="F45" i="1"/>
  <c r="G45" i="1" s="1"/>
  <c r="H45" i="1" s="1"/>
  <c r="O43" i="1"/>
  <c r="P43" i="1" s="1"/>
  <c r="Q43" i="1" s="1"/>
  <c r="F43" i="1"/>
  <c r="G43" i="1" s="1"/>
  <c r="H43" i="1" s="1"/>
  <c r="O41" i="1"/>
  <c r="P41" i="1" s="1"/>
  <c r="Q41" i="1" s="1"/>
  <c r="F41" i="1"/>
  <c r="G41" i="1" s="1"/>
  <c r="H41" i="1" s="1"/>
  <c r="O39" i="1"/>
  <c r="P39" i="1" s="1"/>
  <c r="Q39" i="1" s="1"/>
  <c r="F39" i="1"/>
  <c r="G39" i="1" s="1"/>
  <c r="H39" i="1" s="1"/>
  <c r="O37" i="1"/>
  <c r="P37" i="1" s="1"/>
  <c r="Q37" i="1" s="1"/>
  <c r="F37" i="1"/>
  <c r="G37" i="1" s="1"/>
  <c r="H37" i="1" s="1"/>
  <c r="O35" i="1"/>
  <c r="P35" i="1" s="1"/>
  <c r="Q35" i="1" s="1"/>
  <c r="F35" i="1"/>
  <c r="G35" i="1" s="1"/>
  <c r="H35" i="1" s="1"/>
  <c r="O33" i="1"/>
  <c r="P33" i="1" s="1"/>
  <c r="F33" i="1"/>
  <c r="G33" i="1" s="1"/>
  <c r="H33" i="1" s="1"/>
  <c r="O31" i="1"/>
  <c r="P31" i="1" s="1"/>
  <c r="Q31" i="1" s="1"/>
  <c r="F31" i="1"/>
  <c r="G31" i="1" s="1"/>
  <c r="H31" i="1" s="1"/>
  <c r="O29" i="1"/>
  <c r="P29" i="1" s="1"/>
  <c r="Q29" i="1" s="1"/>
  <c r="F29" i="1"/>
  <c r="G29" i="1" s="1"/>
  <c r="H29" i="1" s="1"/>
  <c r="O27" i="1"/>
  <c r="P27" i="1" s="1"/>
  <c r="Q27" i="1" s="1"/>
  <c r="F27" i="1"/>
  <c r="G27" i="1" s="1"/>
  <c r="H27" i="1" s="1"/>
  <c r="O25" i="1"/>
  <c r="P25" i="1" s="1"/>
  <c r="Q25" i="1" s="1"/>
  <c r="F25" i="1"/>
  <c r="G25" i="1" s="1"/>
  <c r="H25" i="1" s="1"/>
  <c r="O23" i="1"/>
  <c r="P23" i="1" s="1"/>
  <c r="Q23" i="1" s="1"/>
  <c r="F23" i="1"/>
  <c r="G23" i="1" s="1"/>
  <c r="H23" i="1" s="1"/>
  <c r="O21" i="1"/>
  <c r="P21" i="1" s="1"/>
  <c r="Q21" i="1" s="1"/>
  <c r="F21" i="1"/>
  <c r="G21" i="1" s="1"/>
  <c r="H21" i="1" s="1"/>
  <c r="O19" i="1"/>
  <c r="P19" i="1" s="1"/>
  <c r="Q19" i="1" s="1"/>
  <c r="F19" i="1"/>
  <c r="G19" i="1" s="1"/>
  <c r="H19" i="1" s="1"/>
  <c r="O17" i="1"/>
  <c r="P17" i="1" s="1"/>
  <c r="Q17" i="1" s="1"/>
  <c r="F17" i="1"/>
  <c r="G17" i="1" s="1"/>
  <c r="H17" i="1" s="1"/>
  <c r="O15" i="1"/>
  <c r="P15" i="1" s="1"/>
  <c r="Q15" i="1" s="1"/>
  <c r="F15" i="1"/>
  <c r="G15" i="1" s="1"/>
  <c r="H15" i="1" s="1"/>
  <c r="O13" i="1"/>
  <c r="P13" i="1" s="1"/>
  <c r="F13" i="1"/>
  <c r="G13" i="1" s="1"/>
  <c r="H13" i="1" s="1"/>
  <c r="O11" i="1"/>
  <c r="P11" i="1" s="1"/>
  <c r="Q11" i="1" s="1"/>
  <c r="F11" i="1"/>
  <c r="G11" i="1" s="1"/>
  <c r="H11" i="1" s="1"/>
  <c r="O9" i="1"/>
  <c r="P9" i="1" s="1"/>
  <c r="Q9" i="1" s="1"/>
  <c r="F9" i="1"/>
  <c r="G9" i="1" s="1"/>
  <c r="H9" i="1" s="1"/>
  <c r="O7" i="1"/>
  <c r="P7" i="1" s="1"/>
  <c r="Q7" i="1" s="1"/>
  <c r="F7" i="1"/>
  <c r="G7" i="1" s="1"/>
  <c r="H7" i="1" s="1"/>
  <c r="O5" i="1"/>
  <c r="P5" i="1" s="1"/>
  <c r="F5" i="1"/>
  <c r="G5" i="1" s="1"/>
  <c r="H5" i="1" s="1"/>
  <c r="M3" i="1"/>
  <c r="D3" i="1"/>
  <c r="J3" i="3" l="1"/>
  <c r="K3" i="3" s="1"/>
  <c r="J23" i="3"/>
  <c r="K23" i="3" s="1"/>
  <c r="R23" i="4"/>
  <c r="S23" i="4" s="1"/>
  <c r="R45" i="4"/>
  <c r="S45" i="4" s="1"/>
  <c r="R81" i="7"/>
  <c r="S81" i="7" s="1"/>
  <c r="T93" i="3"/>
  <c r="U93" i="3" s="1"/>
  <c r="T81" i="5"/>
  <c r="U81" i="5" s="1"/>
  <c r="R23" i="7"/>
  <c r="S23" i="7" s="1"/>
  <c r="R51" i="7"/>
  <c r="S51" i="7" s="1"/>
  <c r="Q33" i="1"/>
  <c r="R33" i="1" s="1"/>
  <c r="S33" i="1" s="1"/>
  <c r="Q57" i="1"/>
  <c r="R57" i="1" s="1"/>
  <c r="S57" i="1" s="1"/>
  <c r="Q81" i="1"/>
  <c r="R81" i="1" s="1"/>
  <c r="S81" i="1" s="1"/>
  <c r="O3" i="2"/>
  <c r="P3" i="2" s="1"/>
  <c r="Q3" i="2" s="1"/>
  <c r="N3" i="2"/>
  <c r="Q51" i="2"/>
  <c r="R51" i="2" s="1"/>
  <c r="S51" i="2" s="1"/>
  <c r="Q75" i="2"/>
  <c r="R75" i="2" s="1"/>
  <c r="S75" i="2" s="1"/>
  <c r="J63" i="5"/>
  <c r="K63" i="5" s="1"/>
  <c r="V45" i="6"/>
  <c r="W45" i="6" s="1"/>
  <c r="R57" i="7"/>
  <c r="S57" i="7" s="1"/>
  <c r="R57" i="4"/>
  <c r="S57" i="4" s="1"/>
  <c r="R33" i="4"/>
  <c r="S33" i="4" s="1"/>
  <c r="R33" i="7"/>
  <c r="S33" i="7" s="1"/>
  <c r="R69" i="7"/>
  <c r="S69" i="7" s="1"/>
  <c r="F3" i="1"/>
  <c r="G3" i="1" s="1"/>
  <c r="H3" i="1" s="1"/>
  <c r="I3" i="1" s="1"/>
  <c r="J3" i="1" s="1"/>
  <c r="E3" i="1"/>
  <c r="J39" i="3"/>
  <c r="K39" i="3" s="1"/>
  <c r="R99" i="4"/>
  <c r="S99" i="4" s="1"/>
  <c r="R3" i="7"/>
  <c r="S3" i="7" s="1"/>
  <c r="H65" i="2"/>
  <c r="I63" i="2" s="1"/>
  <c r="J63" i="2" s="1"/>
  <c r="O3" i="1"/>
  <c r="P3" i="1" s="1"/>
  <c r="Q3" i="1" s="1"/>
  <c r="R3" i="1" s="1"/>
  <c r="S3" i="1" s="1"/>
  <c r="N3" i="1"/>
  <c r="I23" i="4"/>
  <c r="J23" i="4" s="1"/>
  <c r="T57" i="5"/>
  <c r="U57" i="5" s="1"/>
  <c r="T69" i="5"/>
  <c r="U69" i="5" s="1"/>
  <c r="T33" i="5"/>
  <c r="U33" i="5" s="1"/>
  <c r="I81" i="7"/>
  <c r="J81" i="7" s="1"/>
  <c r="R93" i="4"/>
  <c r="S93" i="4" s="1"/>
  <c r="R93" i="7"/>
  <c r="S93" i="7" s="1"/>
  <c r="T13" i="5"/>
  <c r="U13" i="5" s="1"/>
  <c r="T23" i="5"/>
  <c r="U23" i="5" s="1"/>
  <c r="T51" i="5"/>
  <c r="U51" i="5" s="1"/>
  <c r="T87" i="5"/>
  <c r="U87" i="5" s="1"/>
  <c r="I51" i="7"/>
  <c r="J51" i="7" s="1"/>
  <c r="S25" i="3"/>
  <c r="T23" i="3" s="1"/>
  <c r="U23" i="3" s="1"/>
  <c r="R87" i="4"/>
  <c r="S87" i="4" s="1"/>
  <c r="R69" i="4"/>
  <c r="S69" i="4" s="1"/>
  <c r="R39" i="7"/>
  <c r="S39" i="7" s="1"/>
  <c r="I75" i="7"/>
  <c r="J75" i="7" s="1"/>
  <c r="Q5" i="1"/>
  <c r="Q13" i="1"/>
  <c r="R13" i="1" s="1"/>
  <c r="S13" i="1" s="1"/>
  <c r="Q45" i="1"/>
  <c r="R45" i="1" s="1"/>
  <c r="S45" i="1" s="1"/>
  <c r="Q69" i="1"/>
  <c r="R69" i="1" s="1"/>
  <c r="S69" i="1" s="1"/>
  <c r="R93" i="1"/>
  <c r="S93" i="1" s="1"/>
  <c r="Q93" i="1"/>
  <c r="Q23" i="2"/>
  <c r="R23" i="2" s="1"/>
  <c r="S23" i="2" s="1"/>
  <c r="Q39" i="2"/>
  <c r="R39" i="2" s="1"/>
  <c r="S39" i="2" s="1"/>
  <c r="Q63" i="2"/>
  <c r="R63" i="2" s="1"/>
  <c r="S63" i="2" s="1"/>
  <c r="R87" i="2"/>
  <c r="S87" i="2" s="1"/>
  <c r="Q87" i="2"/>
  <c r="Q99" i="2"/>
  <c r="R99" i="2" s="1"/>
  <c r="S99" i="2" s="1"/>
  <c r="J13" i="3"/>
  <c r="K13" i="3" s="1"/>
  <c r="J23" i="5"/>
  <c r="K23" i="5" s="1"/>
  <c r="T75" i="5"/>
  <c r="U75" i="5" s="1"/>
  <c r="T3" i="5"/>
  <c r="U3" i="5" s="1"/>
  <c r="R13" i="4"/>
  <c r="S13" i="4" s="1"/>
  <c r="R51" i="4"/>
  <c r="S51" i="4" s="1"/>
  <c r="Q53" i="4"/>
  <c r="T93" i="5"/>
  <c r="U93" i="5" s="1"/>
  <c r="R13" i="7"/>
  <c r="S13" i="7" s="1"/>
  <c r="R51" i="1"/>
  <c r="S51" i="1" s="1"/>
  <c r="R75" i="1"/>
  <c r="S75" i="1" s="1"/>
  <c r="R87" i="1"/>
  <c r="S87" i="1" s="1"/>
  <c r="R23" i="1"/>
  <c r="S23" i="1" s="1"/>
  <c r="R39" i="1"/>
  <c r="S39" i="1" s="1"/>
  <c r="R63" i="1"/>
  <c r="S63" i="1" s="1"/>
  <c r="R99" i="1"/>
  <c r="S99" i="1" s="1"/>
  <c r="I33" i="1"/>
  <c r="J33" i="1" s="1"/>
  <c r="R13" i="2"/>
  <c r="S13" i="2" s="1"/>
  <c r="R45" i="2"/>
  <c r="S45" i="2" s="1"/>
  <c r="R3" i="2"/>
  <c r="S3" i="2" s="1"/>
  <c r="R33" i="2"/>
  <c r="S33" i="2" s="1"/>
  <c r="R57" i="2"/>
  <c r="S57" i="2" s="1"/>
  <c r="R69" i="2"/>
  <c r="S69" i="2" s="1"/>
  <c r="R81" i="2"/>
  <c r="S81" i="2" s="1"/>
  <c r="R93" i="2"/>
  <c r="S93" i="2" s="1"/>
  <c r="I99" i="7"/>
  <c r="J99" i="7" s="1"/>
  <c r="I3" i="7"/>
  <c r="J3" i="7" s="1"/>
  <c r="I23" i="7"/>
  <c r="J23" i="7" s="1"/>
  <c r="I57" i="7"/>
  <c r="J57" i="7" s="1"/>
  <c r="I45" i="7"/>
  <c r="J45" i="7" s="1"/>
  <c r="I13" i="7"/>
  <c r="J13" i="7" s="1"/>
  <c r="I33" i="7"/>
  <c r="J33" i="7" s="1"/>
  <c r="I69" i="7"/>
  <c r="J69" i="7" s="1"/>
  <c r="J45" i="5"/>
  <c r="K45" i="5" s="1"/>
  <c r="J39" i="5"/>
  <c r="K39" i="5" s="1"/>
  <c r="J93" i="5"/>
  <c r="K93" i="5" s="1"/>
  <c r="J75" i="5"/>
  <c r="K75" i="5" s="1"/>
  <c r="J33" i="5"/>
  <c r="K33" i="5" s="1"/>
  <c r="J3" i="5"/>
  <c r="K3" i="5" s="1"/>
  <c r="J69" i="5"/>
  <c r="K69" i="5" s="1"/>
  <c r="J99" i="5"/>
  <c r="K99" i="5" s="1"/>
  <c r="J87" i="5"/>
  <c r="K87" i="5" s="1"/>
  <c r="J57" i="5"/>
  <c r="K57" i="5" s="1"/>
  <c r="J51" i="5"/>
  <c r="K51" i="5" s="1"/>
  <c r="J81" i="5"/>
  <c r="K81" i="5" s="1"/>
  <c r="I45" i="4"/>
  <c r="J45" i="4" s="1"/>
  <c r="I3" i="4"/>
  <c r="J3" i="4" s="1"/>
  <c r="I57" i="4"/>
  <c r="J57" i="4" s="1"/>
  <c r="I75" i="4"/>
  <c r="J75" i="4" s="1"/>
  <c r="I99" i="4"/>
  <c r="J99" i="4" s="1"/>
  <c r="I81" i="4"/>
  <c r="J81" i="4" s="1"/>
  <c r="I33" i="4"/>
  <c r="J33" i="4" s="1"/>
  <c r="I13" i="4"/>
  <c r="J13" i="4" s="1"/>
  <c r="I93" i="4"/>
  <c r="J93" i="4" s="1"/>
  <c r="I87" i="4"/>
  <c r="J87" i="4" s="1"/>
  <c r="J93" i="3"/>
  <c r="K93" i="3" s="1"/>
  <c r="K69" i="3"/>
  <c r="K87" i="3"/>
  <c r="K75" i="3"/>
  <c r="K81" i="3"/>
  <c r="J63" i="3"/>
  <c r="K63" i="3" s="1"/>
  <c r="J33" i="3"/>
  <c r="K33" i="3" s="1"/>
  <c r="J99" i="3"/>
  <c r="K99" i="3" s="1"/>
  <c r="J57" i="3"/>
  <c r="K57" i="3" s="1"/>
  <c r="I13" i="1"/>
  <c r="J13" i="1" s="1"/>
  <c r="I69" i="1"/>
  <c r="J69" i="1" s="1"/>
  <c r="I93" i="1"/>
  <c r="J93" i="1" s="1"/>
  <c r="I23" i="1"/>
  <c r="J23" i="1" s="1"/>
  <c r="I39" i="1"/>
  <c r="J39" i="1" s="1"/>
  <c r="I45" i="1"/>
  <c r="J45" i="1" s="1"/>
  <c r="I63" i="1"/>
  <c r="J63" i="1" s="1"/>
  <c r="I87" i="1"/>
  <c r="J87" i="1" s="1"/>
  <c r="I57" i="1"/>
  <c r="J57" i="1" s="1"/>
  <c r="I81" i="1"/>
  <c r="J81" i="1" s="1"/>
  <c r="I51" i="1"/>
  <c r="J51" i="1" s="1"/>
  <c r="I75" i="1"/>
  <c r="J75" i="1" s="1"/>
  <c r="I99" i="1"/>
  <c r="J99" i="1" s="1"/>
  <c r="I75" i="2"/>
  <c r="J75" i="2" s="1"/>
  <c r="I39" i="2"/>
  <c r="J39" i="2" s="1"/>
  <c r="I3" i="2"/>
  <c r="J3" i="2" s="1"/>
  <c r="I23" i="2"/>
  <c r="J23" i="2" s="1"/>
  <c r="I57" i="2"/>
  <c r="J57" i="2" s="1"/>
  <c r="I69" i="2"/>
  <c r="J69" i="2" s="1"/>
  <c r="I81" i="2"/>
  <c r="J81" i="2" s="1"/>
  <c r="I93" i="2"/>
  <c r="J93" i="2" s="1"/>
  <c r="I33" i="2"/>
  <c r="J33" i="2" s="1"/>
  <c r="I45" i="2"/>
  <c r="J45" i="2" s="1"/>
  <c r="I87" i="2"/>
  <c r="J87" i="2" s="1"/>
  <c r="I99" i="2"/>
  <c r="J99" i="2" s="1"/>
  <c r="I51" i="2"/>
  <c r="J51" i="2" s="1"/>
  <c r="I13" i="2"/>
  <c r="J13" i="2" s="1"/>
  <c r="R79" i="6"/>
  <c r="S79" i="6" s="1"/>
  <c r="T79" i="6" s="1"/>
  <c r="U79" i="6" s="1"/>
  <c r="R47" i="6"/>
  <c r="S47" i="6" s="1"/>
  <c r="T47" i="6" s="1"/>
  <c r="U47" i="6" s="1"/>
  <c r="R15" i="6"/>
  <c r="S15" i="6" s="1"/>
  <c r="T15" i="6" s="1"/>
  <c r="U15" i="6" s="1"/>
  <c r="R75" i="6"/>
  <c r="S75" i="6" s="1"/>
  <c r="T75" i="6" s="1"/>
  <c r="U75" i="6" s="1"/>
  <c r="R43" i="6"/>
  <c r="S43" i="6" s="1"/>
  <c r="T43" i="6" s="1"/>
  <c r="U43" i="6" s="1"/>
  <c r="R11" i="6"/>
  <c r="S11" i="6" s="1"/>
  <c r="T11" i="6" s="1"/>
  <c r="U11" i="6" s="1"/>
  <c r="R61" i="6"/>
  <c r="S61" i="6" s="1"/>
  <c r="T61" i="6" s="1"/>
  <c r="U61" i="6" s="1"/>
  <c r="R49" i="6"/>
  <c r="S49" i="6" s="1"/>
  <c r="T49" i="6" s="1"/>
  <c r="U49" i="6" s="1"/>
  <c r="R103" i="6"/>
  <c r="S103" i="6" s="1"/>
  <c r="T103" i="6" s="1"/>
  <c r="U103" i="6" s="1"/>
  <c r="R71" i="6"/>
  <c r="S71" i="6" s="1"/>
  <c r="T71" i="6" s="1"/>
  <c r="U71" i="6" s="1"/>
  <c r="V69" i="6" s="1"/>
  <c r="W69" i="6" s="1"/>
  <c r="R39" i="6"/>
  <c r="S39" i="6" s="1"/>
  <c r="T39" i="6" s="1"/>
  <c r="U39" i="6" s="1"/>
  <c r="V39" i="6" s="1"/>
  <c r="W39" i="6" s="1"/>
  <c r="R7" i="6"/>
  <c r="S7" i="6" s="1"/>
  <c r="T7" i="6" s="1"/>
  <c r="U7" i="6" s="1"/>
  <c r="R97" i="6"/>
  <c r="S97" i="6" s="1"/>
  <c r="T97" i="6" s="1"/>
  <c r="U97" i="6" s="1"/>
  <c r="R37" i="6"/>
  <c r="S37" i="6" s="1"/>
  <c r="T37" i="6" s="1"/>
  <c r="U37" i="6" s="1"/>
  <c r="R9" i="6"/>
  <c r="S9" i="6" s="1"/>
  <c r="T9" i="6" s="1"/>
  <c r="U9" i="6" s="1"/>
  <c r="R91" i="6"/>
  <c r="S91" i="6" s="1"/>
  <c r="T91" i="6" s="1"/>
  <c r="U91" i="6" s="1"/>
  <c r="R59" i="6"/>
  <c r="S59" i="6" s="1"/>
  <c r="T59" i="6" s="1"/>
  <c r="U59" i="6" s="1"/>
  <c r="R27" i="6"/>
  <c r="S27" i="6" s="1"/>
  <c r="T27" i="6" s="1"/>
  <c r="U27" i="6" s="1"/>
  <c r="R57" i="6"/>
  <c r="S57" i="6" s="1"/>
  <c r="T57" i="6" s="1"/>
  <c r="U57" i="6" s="1"/>
  <c r="V57" i="6" s="1"/>
  <c r="W57" i="6" s="1"/>
  <c r="R95" i="6"/>
  <c r="S95" i="6" s="1"/>
  <c r="T95" i="6" s="1"/>
  <c r="U95" i="6" s="1"/>
  <c r="V93" i="6" s="1"/>
  <c r="W93" i="6" s="1"/>
  <c r="R63" i="6"/>
  <c r="S63" i="6" s="1"/>
  <c r="T63" i="6" s="1"/>
  <c r="U63" i="6" s="1"/>
  <c r="R31" i="6"/>
  <c r="S31" i="6" s="1"/>
  <c r="T31" i="6" s="1"/>
  <c r="U31" i="6" s="1"/>
  <c r="R33" i="6"/>
  <c r="S33" i="6" s="1"/>
  <c r="T33" i="6" s="1"/>
  <c r="U33" i="6" s="1"/>
  <c r="R13" i="6"/>
  <c r="S13" i="6" s="1"/>
  <c r="T13" i="6" s="1"/>
  <c r="U13" i="6" s="1"/>
  <c r="R87" i="6"/>
  <c r="S87" i="6" s="1"/>
  <c r="T87" i="6" s="1"/>
  <c r="U87" i="6" s="1"/>
  <c r="V87" i="6" s="1"/>
  <c r="W87" i="6" s="1"/>
  <c r="R55" i="6"/>
  <c r="S55" i="6" s="1"/>
  <c r="T55" i="6" s="1"/>
  <c r="U55" i="6" s="1"/>
  <c r="R23" i="6"/>
  <c r="S23" i="6" s="1"/>
  <c r="T23" i="6" s="1"/>
  <c r="U23" i="6" s="1"/>
  <c r="V23" i="6" s="1"/>
  <c r="W23" i="6" s="1"/>
  <c r="R99" i="6"/>
  <c r="S99" i="6" s="1"/>
  <c r="T99" i="6" s="1"/>
  <c r="U99" i="6" s="1"/>
  <c r="V99" i="6" s="1"/>
  <c r="W99" i="6" s="1"/>
  <c r="R67" i="6"/>
  <c r="S67" i="6" s="1"/>
  <c r="T67" i="6" s="1"/>
  <c r="U67" i="6" s="1"/>
  <c r="R35" i="6"/>
  <c r="S35" i="6" s="1"/>
  <c r="T35" i="6" s="1"/>
  <c r="U35" i="6" s="1"/>
  <c r="R3" i="6"/>
  <c r="S3" i="6" s="1"/>
  <c r="T3" i="6" s="1"/>
  <c r="U3" i="6" s="1"/>
  <c r="R73" i="6"/>
  <c r="S73" i="6" s="1"/>
  <c r="T73" i="6" s="1"/>
  <c r="U73" i="6" s="1"/>
  <c r="R5" i="6"/>
  <c r="S5" i="6" s="1"/>
  <c r="T5" i="6" s="1"/>
  <c r="U5" i="6" s="1"/>
  <c r="R83" i="6"/>
  <c r="S83" i="6" s="1"/>
  <c r="T83" i="6" s="1"/>
  <c r="U83" i="6" s="1"/>
  <c r="R51" i="6"/>
  <c r="S51" i="6" s="1"/>
  <c r="T51" i="6" s="1"/>
  <c r="U51" i="6" s="1"/>
  <c r="V51" i="6" s="1"/>
  <c r="W51" i="6" s="1"/>
  <c r="R19" i="6"/>
  <c r="S19" i="6" s="1"/>
  <c r="T19" i="6" s="1"/>
  <c r="U19" i="6" s="1"/>
  <c r="R21" i="6"/>
  <c r="S21" i="6" s="1"/>
  <c r="T21" i="6" s="1"/>
  <c r="U21" i="6" s="1"/>
  <c r="G91" i="6"/>
  <c r="H91" i="6" s="1"/>
  <c r="I91" i="6" s="1"/>
  <c r="J91" i="6" s="1"/>
  <c r="G27" i="6"/>
  <c r="H27" i="6" s="1"/>
  <c r="I27" i="6" s="1"/>
  <c r="J27" i="6" s="1"/>
  <c r="G65" i="6"/>
  <c r="H65" i="6" s="1"/>
  <c r="I65" i="6" s="1"/>
  <c r="J65" i="6" s="1"/>
  <c r="G61" i="6"/>
  <c r="H61" i="6" s="1"/>
  <c r="I61" i="6" s="1"/>
  <c r="J61" i="6" s="1"/>
  <c r="G87" i="6"/>
  <c r="H87" i="6" s="1"/>
  <c r="I87" i="6" s="1"/>
  <c r="J87" i="6" s="1"/>
  <c r="G55" i="6"/>
  <c r="H55" i="6" s="1"/>
  <c r="I55" i="6" s="1"/>
  <c r="J55" i="6" s="1"/>
  <c r="G23" i="6"/>
  <c r="H23" i="6" s="1"/>
  <c r="I23" i="6" s="1"/>
  <c r="J23" i="6" s="1"/>
  <c r="G13" i="6"/>
  <c r="H13" i="6" s="1"/>
  <c r="I13" i="6" s="1"/>
  <c r="J13" i="6" s="1"/>
  <c r="G59" i="6"/>
  <c r="H59" i="6" s="1"/>
  <c r="I59" i="6" s="1"/>
  <c r="J59" i="6" s="1"/>
  <c r="G77" i="6"/>
  <c r="H77" i="6" s="1"/>
  <c r="I77" i="6" s="1"/>
  <c r="J77" i="6" s="1"/>
  <c r="G5" i="6"/>
  <c r="H5" i="6" s="1"/>
  <c r="I5" i="6" s="1"/>
  <c r="J5" i="6" s="1"/>
  <c r="G83" i="6"/>
  <c r="H83" i="6" s="1"/>
  <c r="I83" i="6" s="1"/>
  <c r="J83" i="6" s="1"/>
  <c r="G51" i="6"/>
  <c r="H51" i="6" s="1"/>
  <c r="I51" i="6" s="1"/>
  <c r="J51" i="6" s="1"/>
  <c r="G19" i="6"/>
  <c r="H19" i="6" s="1"/>
  <c r="I19" i="6" s="1"/>
  <c r="J19" i="6" s="1"/>
  <c r="G73" i="6"/>
  <c r="H73" i="6" s="1"/>
  <c r="I73" i="6" s="1"/>
  <c r="J73" i="6" s="1"/>
  <c r="G89" i="6"/>
  <c r="H89" i="6" s="1"/>
  <c r="I89" i="6" s="1"/>
  <c r="J89" i="6" s="1"/>
  <c r="G57" i="6"/>
  <c r="H57" i="6" s="1"/>
  <c r="I57" i="6" s="1"/>
  <c r="J57" i="6" s="1"/>
  <c r="G47" i="6"/>
  <c r="H47" i="6" s="1"/>
  <c r="I47" i="6" s="1"/>
  <c r="J47" i="6" s="1"/>
  <c r="G15" i="6"/>
  <c r="H15" i="6" s="1"/>
  <c r="I15" i="6" s="1"/>
  <c r="J15" i="6" s="1"/>
  <c r="G75" i="6"/>
  <c r="H75" i="6" s="1"/>
  <c r="I75" i="6" s="1"/>
  <c r="J75" i="6" s="1"/>
  <c r="G43" i="6"/>
  <c r="H43" i="6" s="1"/>
  <c r="I43" i="6" s="1"/>
  <c r="J43" i="6" s="1"/>
  <c r="G11" i="6"/>
  <c r="H11" i="6" s="1"/>
  <c r="I11" i="6" s="1"/>
  <c r="J11" i="6" s="1"/>
  <c r="G93" i="6"/>
  <c r="H93" i="6" s="1"/>
  <c r="I93" i="6" s="1"/>
  <c r="J93" i="6" s="1"/>
  <c r="G69" i="6"/>
  <c r="H69" i="6" s="1"/>
  <c r="I69" i="6" s="1"/>
  <c r="J69" i="6" s="1"/>
  <c r="G101" i="6"/>
  <c r="H101" i="6" s="1"/>
  <c r="I101" i="6" s="1"/>
  <c r="J101" i="6" s="1"/>
  <c r="G25" i="6"/>
  <c r="H25" i="6" s="1"/>
  <c r="I25" i="6" s="1"/>
  <c r="J25" i="6" s="1"/>
  <c r="G103" i="6"/>
  <c r="H103" i="6" s="1"/>
  <c r="I103" i="6" s="1"/>
  <c r="J103" i="6" s="1"/>
  <c r="G71" i="6"/>
  <c r="H71" i="6" s="1"/>
  <c r="I71" i="6" s="1"/>
  <c r="J71" i="6" s="1"/>
  <c r="G39" i="6"/>
  <c r="H39" i="6" s="1"/>
  <c r="I39" i="6" s="1"/>
  <c r="J39" i="6" s="1"/>
  <c r="G7" i="6"/>
  <c r="H7" i="6" s="1"/>
  <c r="I7" i="6" s="1"/>
  <c r="J7" i="6" s="1"/>
  <c r="G53" i="6"/>
  <c r="H53" i="6" s="1"/>
  <c r="I53" i="6" s="1"/>
  <c r="J53" i="6" s="1"/>
  <c r="G85" i="6"/>
  <c r="H85" i="6" s="1"/>
  <c r="I85" i="6" s="1"/>
  <c r="J85" i="6" s="1"/>
  <c r="G41" i="6"/>
  <c r="H41" i="6" s="1"/>
  <c r="I41" i="6" s="1"/>
  <c r="J41" i="6" s="1"/>
  <c r="G99" i="6"/>
  <c r="H99" i="6" s="1"/>
  <c r="I99" i="6" s="1"/>
  <c r="J99" i="6" s="1"/>
  <c r="G67" i="6"/>
  <c r="H67" i="6" s="1"/>
  <c r="I67" i="6" s="1"/>
  <c r="J67" i="6" s="1"/>
  <c r="G35" i="6"/>
  <c r="H35" i="6" s="1"/>
  <c r="I35" i="6" s="1"/>
  <c r="J35" i="6" s="1"/>
  <c r="G3" i="6"/>
  <c r="G21" i="6"/>
  <c r="H21" i="6" s="1"/>
  <c r="I21" i="6" s="1"/>
  <c r="J21" i="6" s="1"/>
  <c r="G45" i="6"/>
  <c r="H45" i="6" s="1"/>
  <c r="I45" i="6" s="1"/>
  <c r="J45" i="6" s="1"/>
  <c r="G79" i="6"/>
  <c r="H79" i="6" s="1"/>
  <c r="I79" i="6" s="1"/>
  <c r="J79" i="6" s="1"/>
  <c r="G97" i="6"/>
  <c r="H97" i="6" s="1"/>
  <c r="I97" i="6" s="1"/>
  <c r="J97" i="6" s="1"/>
  <c r="G95" i="6"/>
  <c r="H95" i="6" s="1"/>
  <c r="I95" i="6" s="1"/>
  <c r="J95" i="6" s="1"/>
  <c r="G63" i="6"/>
  <c r="H63" i="6" s="1"/>
  <c r="I63" i="6" s="1"/>
  <c r="J63" i="6" s="1"/>
  <c r="G31" i="6"/>
  <c r="H31" i="6" s="1"/>
  <c r="I31" i="6" s="1"/>
  <c r="J31" i="6" s="1"/>
  <c r="G33" i="6"/>
  <c r="H33" i="6" s="1"/>
  <c r="I33" i="6" s="1"/>
  <c r="J33" i="6" s="1"/>
  <c r="G81" i="6"/>
  <c r="H81" i="6" s="1"/>
  <c r="I81" i="6" s="1"/>
  <c r="J81" i="6" s="1"/>
  <c r="K81" i="6" s="1"/>
  <c r="L81" i="6" s="1"/>
  <c r="G37" i="6"/>
  <c r="H37" i="6" s="1"/>
  <c r="I37" i="6" s="1"/>
  <c r="J37" i="6" s="1"/>
  <c r="V75" i="6" l="1"/>
  <c r="W75" i="6" s="1"/>
  <c r="K51" i="6"/>
  <c r="L51" i="6" s="1"/>
  <c r="V13" i="6"/>
  <c r="W13" i="6" s="1"/>
  <c r="V3" i="6"/>
  <c r="W3" i="6" s="1"/>
  <c r="V33" i="6"/>
  <c r="W33" i="6" s="1"/>
  <c r="K63" i="6"/>
  <c r="L63" i="6" s="1"/>
  <c r="K57" i="6"/>
  <c r="L57" i="6" s="1"/>
  <c r="K69" i="6"/>
  <c r="L69" i="6" s="1"/>
  <c r="V63" i="6"/>
  <c r="W63" i="6" s="1"/>
  <c r="K39" i="6"/>
  <c r="L39" i="6" s="1"/>
  <c r="K87" i="6"/>
  <c r="L87" i="6" s="1"/>
  <c r="K33" i="6"/>
  <c r="L33" i="6" s="1"/>
  <c r="K75" i="6"/>
  <c r="L75" i="6" s="1"/>
  <c r="K99" i="6"/>
  <c r="L99" i="6"/>
  <c r="K13" i="6"/>
  <c r="L13" i="6" s="1"/>
  <c r="K45" i="6"/>
  <c r="L45" i="6" s="1"/>
  <c r="K93" i="6"/>
  <c r="L93" i="6" s="1"/>
  <c r="K23" i="6"/>
  <c r="L23" i="6" s="1"/>
  <c r="H3" i="6"/>
  <c r="I3" i="6" s="1"/>
  <c r="J3" i="6" s="1"/>
  <c r="K3" i="6" s="1"/>
  <c r="L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H19" authorId="0" shapeId="0" xr:uid="{8B8A6838-D636-4A82-94A8-F3BD2DC1229B}">
      <text>
        <r>
          <rPr>
            <sz val="9"/>
            <color indexed="81"/>
            <rFont val="Tahoma"/>
            <family val="2"/>
          </rPr>
          <t>Salía un valor desorbitado por la proteína, he dividio entre otra del mismo grupo para igualar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S25" authorId="0" shapeId="0" xr:uid="{E1CFB14A-DDC6-4962-9BF7-5DC6E758D7D5}">
      <text>
        <r>
          <rPr>
            <sz val="9"/>
            <color indexed="81"/>
            <rFont val="Tahoma"/>
            <family val="2"/>
          </rPr>
          <t>Es la media (en verde)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collfernandezalberto@gmail.com</author>
  </authors>
  <commentList>
    <comment ref="H63" authorId="0" shapeId="0" xr:uid="{467E1DC1-F5B1-47FD-8C46-928A1F257D40}">
      <text>
        <r>
          <rPr>
            <b/>
            <sz val="9"/>
            <color indexed="81"/>
            <rFont val="Tahoma"/>
            <family val="2"/>
          </rPr>
          <t>Dividido entre media de las tres proteinas por valor extremadamente bajo de proteina</t>
        </r>
      </text>
    </comment>
  </commentList>
</comments>
</file>

<file path=xl/sharedStrings.xml><?xml version="1.0" encoding="utf-8"?>
<sst xmlns="http://schemas.openxmlformats.org/spreadsheetml/2006/main" count="1319" uniqueCount="109">
  <si>
    <t>n</t>
  </si>
  <si>
    <t>NA</t>
  </si>
  <si>
    <t>Media</t>
  </si>
  <si>
    <t>Tentáculo</t>
  </si>
  <si>
    <t>Pie</t>
  </si>
  <si>
    <t>SE</t>
  </si>
  <si>
    <r>
      <rPr>
        <sz val="11"/>
        <color theme="1"/>
        <rFont val="Calibri"/>
        <family val="2"/>
      </rPr>
      <t xml:space="preserve">Δ </t>
    </r>
    <r>
      <rPr>
        <sz val="11"/>
        <color theme="1"/>
        <rFont val="Calibri"/>
        <family val="2"/>
        <scheme val="minor"/>
      </rPr>
      <t>DO / min</t>
    </r>
  </si>
  <si>
    <r>
      <rPr>
        <sz val="11"/>
        <color theme="1"/>
        <rFont val="Calibri"/>
        <family val="2"/>
      </rPr>
      <t>Δ m</t>
    </r>
    <r>
      <rPr>
        <sz val="11"/>
        <color theme="1"/>
        <rFont val="Calibri"/>
        <family val="2"/>
        <scheme val="minor"/>
      </rPr>
      <t>DO / min</t>
    </r>
  </si>
  <si>
    <t>proteina mg/ml</t>
  </si>
  <si>
    <t>U / ml</t>
  </si>
  <si>
    <t>U / mg proteina</t>
  </si>
  <si>
    <t>% Inhibición</t>
  </si>
  <si>
    <t xml:space="preserve">Actividad control = </t>
  </si>
  <si>
    <t>Factor de dilución =</t>
  </si>
  <si>
    <t>Ve =</t>
  </si>
  <si>
    <t>C. extinción =</t>
  </si>
  <si>
    <t>Vt =</t>
  </si>
  <si>
    <t>mU / mg proteina</t>
  </si>
  <si>
    <t>-control</t>
  </si>
  <si>
    <t>TENT</t>
  </si>
  <si>
    <t>PIE</t>
  </si>
  <si>
    <t>mU /mg proteina</t>
  </si>
  <si>
    <t>Actividad control =</t>
  </si>
  <si>
    <t>individuo</t>
  </si>
  <si>
    <t>playa</t>
  </si>
  <si>
    <t>corte</t>
  </si>
  <si>
    <t>madurez</t>
  </si>
  <si>
    <t>cultivo</t>
  </si>
  <si>
    <t>tejido</t>
  </si>
  <si>
    <t>Calahonda</t>
  </si>
  <si>
    <t>Tentaculo</t>
  </si>
  <si>
    <t>Almuñecar</t>
  </si>
  <si>
    <t>Salobreña</t>
  </si>
  <si>
    <t>No</t>
  </si>
  <si>
    <t>Si</t>
  </si>
  <si>
    <t>meter media</t>
  </si>
  <si>
    <t>Media por grupo</t>
  </si>
  <si>
    <t>% SEM</t>
  </si>
  <si>
    <t>Abs</t>
  </si>
  <si>
    <t>Conc</t>
  </si>
  <si>
    <t>y=a*x+b</t>
  </si>
  <si>
    <t>a=</t>
  </si>
  <si>
    <t>b=</t>
  </si>
  <si>
    <t>x = (y-b)/a</t>
  </si>
  <si>
    <t>Abs tent</t>
  </si>
  <si>
    <t>Conc tent</t>
  </si>
  <si>
    <t>Abs_pie</t>
  </si>
  <si>
    <t>Conc pie</t>
  </si>
  <si>
    <t>media tent</t>
  </si>
  <si>
    <t>media por grupos</t>
  </si>
  <si>
    <t>media pie</t>
  </si>
  <si>
    <t>Patron Pie 1-40</t>
  </si>
  <si>
    <t>Concentracion (umol/L)</t>
  </si>
  <si>
    <t>Absorbancia</t>
  </si>
  <si>
    <t>Corregida</t>
  </si>
  <si>
    <t>y = a*x + b</t>
  </si>
  <si>
    <t>a =</t>
  </si>
  <si>
    <t>Patron Tentaculo 1-40</t>
  </si>
  <si>
    <t>Patron Mixto 41-51</t>
  </si>
  <si>
    <t>muestra</t>
  </si>
  <si>
    <t>replica</t>
  </si>
  <si>
    <t>abs tent</t>
  </si>
  <si>
    <t>corregida</t>
  </si>
  <si>
    <t>trolox eq uM</t>
  </si>
  <si>
    <t>abs pie</t>
  </si>
  <si>
    <t>n_muestra</t>
  </si>
  <si>
    <t>TEAC_tent</t>
  </si>
  <si>
    <t>TEAC_pie</t>
  </si>
  <si>
    <t>SOD (U/mg proteina)</t>
  </si>
  <si>
    <t>CAT (U/mg proteina)</t>
  </si>
  <si>
    <t>GPx (U/mg proteina)</t>
  </si>
  <si>
    <t>GR (U/mg proteina)</t>
  </si>
  <si>
    <t>GST (U/mg proteina)</t>
  </si>
  <si>
    <t>DTD (U/mg proteina)</t>
  </si>
  <si>
    <t>G6PDH (U/mg proteina)</t>
  </si>
  <si>
    <t>proteina (mg/ml)</t>
  </si>
  <si>
    <t>MDA (uM)</t>
  </si>
  <si>
    <t>TEAC (uM eq)</t>
  </si>
  <si>
    <t>SOD_t</t>
  </si>
  <si>
    <t>CAT_t</t>
  </si>
  <si>
    <t>GPx_t</t>
  </si>
  <si>
    <t>SOD_p</t>
  </si>
  <si>
    <t>CAT_p</t>
  </si>
  <si>
    <t>GPx_p</t>
  </si>
  <si>
    <t>GR_p</t>
  </si>
  <si>
    <t>GR_t</t>
  </si>
  <si>
    <t>GST_p</t>
  </si>
  <si>
    <t>GST_t</t>
  </si>
  <si>
    <t>DTD_p</t>
  </si>
  <si>
    <t>DTD_t</t>
  </si>
  <si>
    <t>G6PDH_p</t>
  </si>
  <si>
    <t>G6PDH_t</t>
  </si>
  <si>
    <t>proteina_t</t>
  </si>
  <si>
    <t>TEAC_p</t>
  </si>
  <si>
    <t>TEAC_t</t>
  </si>
  <si>
    <t>MDA_t</t>
  </si>
  <si>
    <t>MDA_p</t>
  </si>
  <si>
    <t>tiempo</t>
  </si>
  <si>
    <t>MEDIA =</t>
  </si>
  <si>
    <t>Factor de dilución (f) =</t>
  </si>
  <si>
    <t>Volumen en pozillo (Vt) =</t>
  </si>
  <si>
    <t>C. extinción (epsilon) =</t>
  </si>
  <si>
    <t>M^-1 * cm^-1</t>
  </si>
  <si>
    <t>Paso optico (d) =</t>
  </si>
  <si>
    <t>desvest</t>
  </si>
  <si>
    <t>sem</t>
  </si>
  <si>
    <t>media</t>
  </si>
  <si>
    <t>con ese 7</t>
  </si>
  <si>
    <t>sin ese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</si>
</sst>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0.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2" borderId="0" xfId="0" quotePrefix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9" fillId="0" borderId="0" xfId="0" applyNumberFormat="1" applyFont="1" applyAlignment="1">
      <alignment vertical="center"/>
    </xf>
    <xf numFmtId="0" fontId="1" fillId="0" borderId="0" xfId="0" applyFont="1"/>
    <xf numFmtId="2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" fontId="0" fillId="0" borderId="0" xfId="0" applyNumberFormat="1"/>
    <xf numFmtId="9" fontId="0" fillId="2" borderId="0" xfId="1" applyFont="1" applyFill="1" applyAlignment="1">
      <alignment horizontal="center"/>
    </xf>
    <xf numFmtId="9" fontId="0" fillId="0" borderId="0" xfId="1" applyFont="1"/>
    <xf numFmtId="166" fontId="0" fillId="2" borderId="0" xfId="0" applyNumberFormat="1" applyFill="1" applyAlignment="1">
      <alignment horizont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0" fontId="0" fillId="0" borderId="0" xfId="0" quotePrefix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0" fillId="0" borderId="0" xfId="1" applyNumberFormat="1" applyFont="1"/>
  </cellXfs>
  <cellStyles count="2">
    <cellStyle name="Normal" xfId="0" builtinId="0"/>
    <cellStyle name="Porcentaje" xfId="1" builtinId="5"/>
  </cellStyles>
  <dxfs count="9"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 val="0"/>
        <i/>
        <color theme="2" tint="-0.24994659260841701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 val="0"/>
        <i/>
        <color theme="2" tint="-0.24994659260841701"/>
      </font>
    </dxf>
  </dxfs>
  <tableStyles count="0" defaultTableStyle="TableStyleMedium2" defaultPivotStyle="PivotStyleLight16"/>
  <colors>
    <mruColors>
      <color rgb="FF99FF99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Recta patrón MDA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865266841644793E-2"/>
                  <c:y val="-0.17573745990084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MDA!$C$3:$C$11</c:f>
              <c:numCache>
                <c:formatCode>General</c:formatCode>
                <c:ptCount val="9"/>
                <c:pt idx="0">
                  <c:v>4.7389999999999999</c:v>
                </c:pt>
                <c:pt idx="1">
                  <c:v>4.9800000000000004</c:v>
                </c:pt>
                <c:pt idx="2">
                  <c:v>10.034000000000001</c:v>
                </c:pt>
                <c:pt idx="3">
                  <c:v>8.9510000000000005</c:v>
                </c:pt>
                <c:pt idx="4">
                  <c:v>15.631</c:v>
                </c:pt>
                <c:pt idx="5">
                  <c:v>19</c:v>
                </c:pt>
                <c:pt idx="6">
                  <c:v>19.059999999999999</c:v>
                </c:pt>
                <c:pt idx="7">
                  <c:v>26.882999999999999</c:v>
                </c:pt>
                <c:pt idx="8">
                  <c:v>34.103999999999999</c:v>
                </c:pt>
              </c:numCache>
            </c:numRef>
          </c:xVal>
          <c:yVal>
            <c:numRef>
              <c:f>MDA!$B$3:$B$11</c:f>
              <c:numCache>
                <c:formatCode>General</c:formatCode>
                <c:ptCount val="9"/>
                <c:pt idx="0">
                  <c:v>0.11600000000000001</c:v>
                </c:pt>
                <c:pt idx="1">
                  <c:v>0.12</c:v>
                </c:pt>
                <c:pt idx="2">
                  <c:v>0.20399999999999999</c:v>
                </c:pt>
                <c:pt idx="3">
                  <c:v>0.186</c:v>
                </c:pt>
                <c:pt idx="4">
                  <c:v>0.29699999999999999</c:v>
                </c:pt>
                <c:pt idx="5">
                  <c:v>0.35299999999999998</c:v>
                </c:pt>
                <c:pt idx="6">
                  <c:v>0.35399999999999998</c:v>
                </c:pt>
                <c:pt idx="7">
                  <c:v>0.48399999999999999</c:v>
                </c:pt>
                <c:pt idx="8">
                  <c:v>0.60399999999999998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72-4069-B121-C080A6F22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697120"/>
        <c:axId val="656699200"/>
      </c:scatterChart>
      <c:valAx>
        <c:axId val="6566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699200"/>
        <c:crosses val="autoZero"/>
        <c:crossBetween val="midCat"/>
      </c:valAx>
      <c:valAx>
        <c:axId val="65669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5669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Pie 1-40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9771216097987758E-2"/>
                  <c:y val="-0.73639399241761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TEAC!$B$3:$B$18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TEAC!$D$3:$D$18</c:f>
              <c:numCache>
                <c:formatCode>General</c:formatCode>
                <c:ptCount val="16"/>
                <c:pt idx="0">
                  <c:v>0.64400000000000002</c:v>
                </c:pt>
                <c:pt idx="1">
                  <c:v>0.60399999999999998</c:v>
                </c:pt>
                <c:pt idx="2">
                  <c:v>0.57699999999999996</c:v>
                </c:pt>
                <c:pt idx="3">
                  <c:v>0.61</c:v>
                </c:pt>
                <c:pt idx="4">
                  <c:v>0.51600000000000001</c:v>
                </c:pt>
                <c:pt idx="5">
                  <c:v>0.52200000000000002</c:v>
                </c:pt>
                <c:pt idx="6">
                  <c:v>0.47</c:v>
                </c:pt>
                <c:pt idx="7">
                  <c:v>0.45999999999999996</c:v>
                </c:pt>
                <c:pt idx="8">
                  <c:v>0.40899999999999997</c:v>
                </c:pt>
                <c:pt idx="9">
                  <c:v>0.40099999999999997</c:v>
                </c:pt>
                <c:pt idx="10">
                  <c:v>0.32499999999999996</c:v>
                </c:pt>
                <c:pt idx="11">
                  <c:v>0.315</c:v>
                </c:pt>
                <c:pt idx="12">
                  <c:v>0.17400000000000002</c:v>
                </c:pt>
                <c:pt idx="13">
                  <c:v>0.21000000000000002</c:v>
                </c:pt>
                <c:pt idx="14">
                  <c:v>7.5000000000000011E-2</c:v>
                </c:pt>
                <c:pt idx="15">
                  <c:v>5.800000000000001E-2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1-4829-9620-3942C3609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Tent. 1-40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54899387576552"/>
                  <c:y val="-0.705148731408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TEAC!$B$23:$B$38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TEAC!$D$23:$D$38</c:f>
              <c:numCache>
                <c:formatCode>General</c:formatCode>
                <c:ptCount val="16"/>
                <c:pt idx="0">
                  <c:v>0.51100000000000001</c:v>
                </c:pt>
                <c:pt idx="1">
                  <c:v>0.55899999999999994</c:v>
                </c:pt>
                <c:pt idx="2">
                  <c:v>0.51900000000000002</c:v>
                </c:pt>
                <c:pt idx="3">
                  <c:v>0.48599999999999999</c:v>
                </c:pt>
                <c:pt idx="4">
                  <c:v>0.44899999999999995</c:v>
                </c:pt>
                <c:pt idx="5">
                  <c:v>0.46499999999999997</c:v>
                </c:pt>
                <c:pt idx="6">
                  <c:v>0.39700000000000002</c:v>
                </c:pt>
                <c:pt idx="7">
                  <c:v>0.44099999999999995</c:v>
                </c:pt>
                <c:pt idx="8">
                  <c:v>0.32599999999999996</c:v>
                </c:pt>
                <c:pt idx="9">
                  <c:v>0.373</c:v>
                </c:pt>
                <c:pt idx="11">
                  <c:v>0.30600000000000005</c:v>
                </c:pt>
                <c:pt idx="12">
                  <c:v>0.185</c:v>
                </c:pt>
                <c:pt idx="13">
                  <c:v>0.17500000000000002</c:v>
                </c:pt>
                <c:pt idx="14">
                  <c:v>0.11300000000000002</c:v>
                </c:pt>
                <c:pt idx="15">
                  <c:v>8.8000000000000009E-2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26-4E56-8AB3-892B5E825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Patrón Mixto 41-51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54899387576552"/>
                  <c:y val="-0.705148731408573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TEAC!$B$43:$B$58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125</c:v>
                </c:pt>
                <c:pt idx="6">
                  <c:v>250</c:v>
                </c:pt>
                <c:pt idx="7">
                  <c:v>250</c:v>
                </c:pt>
                <c:pt idx="8">
                  <c:v>375</c:v>
                </c:pt>
                <c:pt idx="9">
                  <c:v>375</c:v>
                </c:pt>
                <c:pt idx="10">
                  <c:v>500</c:v>
                </c:pt>
                <c:pt idx="11">
                  <c:v>500</c:v>
                </c:pt>
                <c:pt idx="12">
                  <c:v>750</c:v>
                </c:pt>
                <c:pt idx="13">
                  <c:v>750</c:v>
                </c:pt>
                <c:pt idx="14">
                  <c:v>1000</c:v>
                </c:pt>
                <c:pt idx="15">
                  <c:v>1000</c:v>
                </c:pt>
              </c:numCache>
            </c:numRef>
          </c:xVal>
          <c:yVal>
            <c:numRef>
              <c:f>TEAC!$D$43:$D$58</c:f>
              <c:numCache>
                <c:formatCode>General</c:formatCode>
                <c:ptCount val="16"/>
                <c:pt idx="0">
                  <c:v>0.52600000000000002</c:v>
                </c:pt>
                <c:pt idx="1">
                  <c:v>0.58199999999999996</c:v>
                </c:pt>
                <c:pt idx="2">
                  <c:v>0.55999999999999994</c:v>
                </c:pt>
                <c:pt idx="3">
                  <c:v>0.55599999999999994</c:v>
                </c:pt>
                <c:pt idx="4">
                  <c:v>0.45799999999999996</c:v>
                </c:pt>
                <c:pt idx="5">
                  <c:v>0.48399999999999999</c:v>
                </c:pt>
                <c:pt idx="6">
                  <c:v>0.42300000000000004</c:v>
                </c:pt>
                <c:pt idx="7">
                  <c:v>0.44999999999999996</c:v>
                </c:pt>
                <c:pt idx="8">
                  <c:v>0.34899999999999998</c:v>
                </c:pt>
                <c:pt idx="9">
                  <c:v>0.35</c:v>
                </c:pt>
                <c:pt idx="10">
                  <c:v>0.28899999999999998</c:v>
                </c:pt>
                <c:pt idx="11">
                  <c:v>0.27799999999999997</c:v>
                </c:pt>
                <c:pt idx="12">
                  <c:v>0.215</c:v>
                </c:pt>
                <c:pt idx="13">
                  <c:v>0.192</c:v>
                </c:pt>
                <c:pt idx="14">
                  <c:v>0.16</c:v>
                </c:pt>
                <c:pt idx="15">
                  <c:v>0.14200000000000002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0-4062-B18A-FA5D885D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65952"/>
        <c:axId val="1348025936"/>
      </c:scatterChart>
      <c:valAx>
        <c:axId val="1176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8025936"/>
        <c:crosses val="autoZero"/>
        <c:crossBetween val="midCat"/>
      </c:valAx>
      <c:valAx>
        <c:axId val="13480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6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72571</xdr:colOff>
      <xdr:row>1</xdr:row>
      <xdr:rowOff>83803</xdr:rowOff>
    </xdr:from>
    <xdr:to>
      <xdr:col>24</xdr:col>
      <xdr:colOff>551382</xdr:colOff>
      <xdr:row>4</xdr:row>
      <xdr:rowOff>131736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D32FBA-65CD-A96B-58DA-A19681C02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265232"/>
          <a:ext cx="4288811" cy="59221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242094</xdr:colOff>
      <xdr:row>0</xdr:row>
      <xdr:rowOff>146844</xdr:rowOff>
    </xdr:from>
    <xdr:to>
      <xdr:col>27</xdr:col>
      <xdr:colOff>84761</xdr:colOff>
      <xdr:row>6</xdr:row>
      <xdr:rowOff>39366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655488-8843-479C-845F-BC3DE0EF0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45063" y="146844"/>
          <a:ext cx="4414667" cy="9878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190499</xdr:colOff>
      <xdr:row>0</xdr:row>
      <xdr:rowOff>153896</xdr:rowOff>
    </xdr:from>
    <xdr:to>
      <xdr:col>24</xdr:col>
      <xdr:colOff>504880</xdr:colOff>
      <xdr:row>5</xdr:row>
      <xdr:rowOff>169691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438C78-B5B0-0986-E4D0-E582E31F18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1356" y="153896"/>
          <a:ext cx="4124381" cy="922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117927</xdr:colOff>
      <xdr:row>0</xdr:row>
      <xdr:rowOff>117928</xdr:rowOff>
    </xdr:from>
    <xdr:to>
      <xdr:col>26</xdr:col>
      <xdr:colOff>722594</xdr:colOff>
      <xdr:row>6</xdr:row>
      <xdr:rowOff>17254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99607B5-8278-4184-A061-442561011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7856" y="117928"/>
          <a:ext cx="4414667" cy="9878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190500</xdr:colOff>
      <xdr:row>1</xdr:row>
      <xdr:rowOff>27215</xdr:rowOff>
    </xdr:from>
    <xdr:to>
      <xdr:col>23</xdr:col>
      <xdr:colOff>142025</xdr:colOff>
      <xdr:row>5</xdr:row>
      <xdr:rowOff>70161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972DF0D-7B71-48D2-8233-2E327022E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53786" y="208644"/>
          <a:ext cx="3434953" cy="7686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263072</xdr:colOff>
      <xdr:row>0</xdr:row>
      <xdr:rowOff>163287</xdr:rowOff>
    </xdr:from>
    <xdr:to>
      <xdr:col>25</xdr:col>
      <xdr:colOff>695382</xdr:colOff>
      <xdr:row>5</xdr:row>
      <xdr:rowOff>34954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1AB9E1-31BA-40C3-B53E-E3612B629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62643" y="163287"/>
          <a:ext cx="3480310" cy="7788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9071</xdr:colOff>
      <xdr:row>1</xdr:row>
      <xdr:rowOff>3869</xdr:rowOff>
    </xdr:from>
    <xdr:to>
      <xdr:col>27</xdr:col>
      <xdr:colOff>659094</xdr:colOff>
      <xdr:row>4</xdr:row>
      <xdr:rowOff>116596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B7A7E3-CA52-4DDD-8546-627B67420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25071" y="185298"/>
          <a:ext cx="2936023" cy="65701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326572</xdr:colOff>
      <xdr:row>1</xdr:row>
      <xdr:rowOff>99785</xdr:rowOff>
    </xdr:from>
    <xdr:to>
      <xdr:col>23</xdr:col>
      <xdr:colOff>214595</xdr:colOff>
      <xdr:row>5</xdr:row>
      <xdr:rowOff>31083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52552C-90C2-42FB-ACC4-3A7C708D0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9858" y="281214"/>
          <a:ext cx="2936023" cy="65701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1</xdr:row>
      <xdr:rowOff>136525</xdr:rowOff>
    </xdr:from>
    <xdr:to>
      <xdr:col>11</xdr:col>
      <xdr:colOff>66675</xdr:colOff>
      <xdr:row>16</xdr:row>
      <xdr:rowOff>117475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B500F4-C447-4874-946E-39565A4E1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</xdr:colOff>
      <xdr:row>1</xdr:row>
      <xdr:rowOff>3175</xdr:rowOff>
    </xdr:from>
    <xdr:to>
      <xdr:col>11</xdr:col>
      <xdr:colOff>15875</xdr:colOff>
      <xdr:row>15</xdr:row>
      <xdr:rowOff>168275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BC3EE7-1D5C-40E6-8FE6-F67829401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21</xdr:row>
      <xdr:rowOff>6350</xdr:rowOff>
    </xdr:from>
    <xdr:to>
      <xdr:col>11</xdr:col>
      <xdr:colOff>0</xdr:colOff>
      <xdr:row>35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34AB9D-86CC-493F-ACFA-7335B86D3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41</xdr:row>
      <xdr:rowOff>0</xdr:rowOff>
    </xdr:from>
    <xdr:to>
      <xdr:col>11</xdr:col>
      <xdr:colOff>0</xdr:colOff>
      <xdr:row>55</xdr:row>
      <xdr:rowOff>165100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4CC4CFA-BAB5-4FB5-9906-6AD85DD1E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2873-37B2-4B40-A1F7-41B2F51E74A0}">
  <dimension ref="A1:V104"/>
  <sheetViews>
    <sheetView zoomScale="70" zoomScaleNormal="70" workbookViewId="0">
      <selection activeCell="G31" sqref="G31:G32"/>
    </sheetView>
  </sheetViews>
  <sheetFormatPr baseColWidth="10" defaultRowHeight="14.5" x14ac:dyDescent="0.35"/>
  <cols>
    <col min="2" max="2" width="13.81640625" bestFit="1" customWidth="1"/>
    <col min="3" max="3" width="11.54296875" bestFit="1" customWidth="1"/>
    <col min="8" max="8" width="18.7265625" bestFit="1" customWidth="1"/>
    <col min="9" max="10" width="14" customWidth="1"/>
    <col min="11" max="11" width="13.81640625" bestFit="1" customWidth="1"/>
    <col min="17" max="17" width="14" bestFit="1" customWidth="1"/>
    <col min="18" max="19" width="14" customWidth="1"/>
  </cols>
  <sheetData>
    <row r="1" spans="1:22" x14ac:dyDescent="0.35">
      <c r="B1" s="31" t="s">
        <v>3</v>
      </c>
      <c r="C1" s="31"/>
      <c r="D1" s="31"/>
      <c r="E1" s="31"/>
      <c r="F1" s="31"/>
      <c r="G1" s="31"/>
      <c r="H1" s="31"/>
      <c r="I1" s="31"/>
      <c r="J1" s="31"/>
      <c r="K1" s="32" t="s">
        <v>4</v>
      </c>
      <c r="L1" s="32"/>
      <c r="M1" s="32"/>
      <c r="N1" s="32"/>
      <c r="O1" s="32"/>
      <c r="P1" s="32"/>
      <c r="Q1" s="32"/>
      <c r="R1" s="32"/>
      <c r="S1" s="32"/>
    </row>
    <row r="2" spans="1:22" x14ac:dyDescent="0.35">
      <c r="A2" s="1" t="s">
        <v>0</v>
      </c>
      <c r="B2" s="4" t="s">
        <v>8</v>
      </c>
      <c r="C2" s="3" t="s">
        <v>6</v>
      </c>
      <c r="D2" s="3" t="s">
        <v>2</v>
      </c>
      <c r="E2" s="3" t="s">
        <v>5</v>
      </c>
      <c r="F2" s="7" t="s">
        <v>11</v>
      </c>
      <c r="G2" s="3" t="s">
        <v>9</v>
      </c>
      <c r="H2" s="6" t="s">
        <v>10</v>
      </c>
      <c r="I2" s="6" t="s">
        <v>36</v>
      </c>
      <c r="J2" s="6" t="s">
        <v>37</v>
      </c>
      <c r="K2" s="3" t="s">
        <v>8</v>
      </c>
      <c r="L2" s="3" t="s">
        <v>6</v>
      </c>
      <c r="M2" s="3" t="s">
        <v>2</v>
      </c>
      <c r="N2" s="3" t="s">
        <v>5</v>
      </c>
      <c r="O2" s="7" t="s">
        <v>11</v>
      </c>
      <c r="P2" s="3" t="s">
        <v>9</v>
      </c>
      <c r="Q2" s="6" t="s">
        <v>10</v>
      </c>
      <c r="R2" s="6" t="s">
        <v>36</v>
      </c>
      <c r="S2" s="6" t="s">
        <v>37</v>
      </c>
    </row>
    <row r="3" spans="1:22" x14ac:dyDescent="0.35">
      <c r="A3" s="37">
        <v>1</v>
      </c>
      <c r="B3" s="38">
        <v>8.2649999999999988</v>
      </c>
      <c r="C3" s="5">
        <v>6.5873999999999997</v>
      </c>
      <c r="D3" s="36">
        <f>AVERAGE(C3:C4)</f>
        <v>7.2313000000000001</v>
      </c>
      <c r="E3" s="35">
        <f>(_xlfn.STDEV.S(C3:C4)/SQRT(2))/D3</f>
        <v>8.9043463830846492E-2</v>
      </c>
      <c r="F3" s="36">
        <f>(19.06875-D3)/19.06875</f>
        <v>0.62077745001638807</v>
      </c>
      <c r="G3" s="36">
        <f>(F3/0.5)*(4/0.01)</f>
        <v>496.62196001311042</v>
      </c>
      <c r="H3" s="33">
        <f>G3/B3</f>
        <v>60.08735148373993</v>
      </c>
      <c r="I3" s="33">
        <f>AVERAGE(H3:H12)</f>
        <v>76.987588873185842</v>
      </c>
      <c r="J3" s="34">
        <f>(_xlfn.STDEV.S(H3:H12)/SQRT(5))/I3</f>
        <v>7.1313721851364059E-2</v>
      </c>
      <c r="K3" s="36">
        <v>6.0449999999999999</v>
      </c>
      <c r="L3" s="5">
        <v>8.4238999999999997</v>
      </c>
      <c r="M3" s="36">
        <f>AVERAGE(L3:L4)</f>
        <v>7.42875</v>
      </c>
      <c r="N3" s="35">
        <f>(_xlfn.STDEV.S(L3:L4)/SQRT(2))/M3</f>
        <v>0.13395927982500414</v>
      </c>
      <c r="O3" s="36">
        <f>(19.06875-M3)/19.06875</f>
        <v>0.61042281219272365</v>
      </c>
      <c r="P3" s="36">
        <f>(O3/0.5)*(4/0.01)</f>
        <v>488.33824975417895</v>
      </c>
      <c r="Q3" s="33">
        <f>P3/K3</f>
        <v>80.783829570583777</v>
      </c>
      <c r="R3" s="33">
        <f>AVERAGE(Q3:Q12)</f>
        <v>57.925957169815071</v>
      </c>
      <c r="S3" s="34">
        <f>(_xlfn.STDEV.S(Q3:Q12)/SQRT(5))/R3</f>
        <v>0.11863521294500443</v>
      </c>
    </row>
    <row r="4" spans="1:22" x14ac:dyDescent="0.35">
      <c r="A4" s="37"/>
      <c r="B4" s="38"/>
      <c r="C4" s="5">
        <v>7.8752000000000004</v>
      </c>
      <c r="D4" s="36"/>
      <c r="E4" s="35"/>
      <c r="F4" s="36"/>
      <c r="G4" s="36"/>
      <c r="H4" s="33"/>
      <c r="I4" s="33"/>
      <c r="J4" s="34"/>
      <c r="K4" s="36"/>
      <c r="L4" s="5">
        <v>6.4336000000000002</v>
      </c>
      <c r="M4" s="36"/>
      <c r="N4" s="35"/>
      <c r="O4" s="36"/>
      <c r="P4" s="36"/>
      <c r="Q4" s="33"/>
      <c r="R4" s="33"/>
      <c r="S4" s="34"/>
    </row>
    <row r="5" spans="1:22" x14ac:dyDescent="0.35">
      <c r="A5" s="37">
        <v>2</v>
      </c>
      <c r="B5" s="38">
        <v>5.7149999999999999</v>
      </c>
      <c r="C5" s="5">
        <v>7.7622</v>
      </c>
      <c r="D5" s="36">
        <f t="shared" ref="D5" si="0">AVERAGE(C5:C6)</f>
        <v>7.9558499999999999</v>
      </c>
      <c r="E5" s="35">
        <f t="shared" ref="E5" si="1">(_xlfn.STDEV.S(C5:C6)/SQRT(2))/D5</f>
        <v>2.4340579573521353E-2</v>
      </c>
      <c r="F5" s="36">
        <f t="shared" ref="F5" si="2">(19.06875-D5)/19.06875</f>
        <v>0.58278072763028521</v>
      </c>
      <c r="G5" s="36">
        <f t="shared" ref="G5" si="3">(F5/0.5)*(4/0.01)</f>
        <v>466.22458210422815</v>
      </c>
      <c r="H5" s="33">
        <f t="shared" ref="H5" si="4">G5/B5</f>
        <v>81.579104480179907</v>
      </c>
      <c r="I5" s="33"/>
      <c r="J5" s="34"/>
      <c r="K5" s="36">
        <v>10.425000000000001</v>
      </c>
      <c r="L5" s="5">
        <v>7.1006</v>
      </c>
      <c r="M5" s="36">
        <f t="shared" ref="M5" si="5">AVERAGE(L5:L6)</f>
        <v>7.4959500000000006</v>
      </c>
      <c r="N5" s="35">
        <f t="shared" ref="N5" si="6">(_xlfn.STDEV.S(L5:L6)/SQRT(2))/M5</f>
        <v>5.2741813912846269E-2</v>
      </c>
      <c r="O5" s="36">
        <f t="shared" ref="O5" si="7">(19.06875-M5)/19.06875</f>
        <v>0.60689872173058013</v>
      </c>
      <c r="P5" s="36">
        <f t="shared" ref="P5" si="8">(O5/0.5)*(4/0.01)</f>
        <v>485.51897738446411</v>
      </c>
      <c r="Q5" s="33">
        <f t="shared" ref="Q5" si="9">P5/K5</f>
        <v>46.572563777886245</v>
      </c>
      <c r="R5" s="33"/>
      <c r="S5" s="34"/>
    </row>
    <row r="6" spans="1:22" x14ac:dyDescent="0.35">
      <c r="A6" s="37"/>
      <c r="B6" s="38"/>
      <c r="C6" s="5">
        <v>8.1494999999999997</v>
      </c>
      <c r="D6" s="36"/>
      <c r="E6" s="35"/>
      <c r="F6" s="36"/>
      <c r="G6" s="36"/>
      <c r="H6" s="33"/>
      <c r="I6" s="33"/>
      <c r="J6" s="34"/>
      <c r="K6" s="36"/>
      <c r="L6" s="5">
        <v>7.8913000000000002</v>
      </c>
      <c r="M6" s="36"/>
      <c r="N6" s="35"/>
      <c r="O6" s="36"/>
      <c r="P6" s="36"/>
      <c r="Q6" s="33"/>
      <c r="R6" s="33"/>
      <c r="S6" s="34"/>
    </row>
    <row r="7" spans="1:22" x14ac:dyDescent="0.35">
      <c r="A7" s="37">
        <v>3</v>
      </c>
      <c r="B7" s="38">
        <v>6.4050000000000011</v>
      </c>
      <c r="C7" s="5">
        <v>7.5823999999999998</v>
      </c>
      <c r="D7" s="36">
        <f t="shared" ref="D7" si="10">AVERAGE(C7:C8)</f>
        <v>8.4469500000000011</v>
      </c>
      <c r="E7" s="35">
        <f t="shared" ref="E7" si="11">(_xlfn.STDEV.S(C7:C8)/SQRT(2))/D7</f>
        <v>0.1023505525663099</v>
      </c>
      <c r="F7" s="36">
        <f t="shared" ref="F7" si="12">(19.06875-D7)/19.06875</f>
        <v>0.5570265486725664</v>
      </c>
      <c r="G7" s="36">
        <f t="shared" ref="G7" si="13">(F7/0.5)*(4/0.01)</f>
        <v>445.62123893805312</v>
      </c>
      <c r="H7" s="33">
        <f t="shared" ref="H7" si="14">G7/B7</f>
        <v>69.57396392475458</v>
      </c>
      <c r="I7" s="33"/>
      <c r="J7" s="34"/>
      <c r="K7" s="36">
        <v>10.319999999999999</v>
      </c>
      <c r="L7" s="5">
        <v>8.7235999999999994</v>
      </c>
      <c r="M7" s="36">
        <f t="shared" ref="M7" si="15">AVERAGE(L7:L8)</f>
        <v>8.9126499999999993</v>
      </c>
      <c r="N7" s="35">
        <f t="shared" ref="N7" si="16">(_xlfn.STDEV.S(L7:L8)/SQRT(2))/M7</f>
        <v>2.1211424211654218E-2</v>
      </c>
      <c r="O7" s="36">
        <f t="shared" ref="O7" si="17">(19.06875-M7)/19.06875</f>
        <v>0.53260439200262222</v>
      </c>
      <c r="P7" s="36">
        <f t="shared" ref="P7" si="18">(O7/0.5)*(4/0.01)</f>
        <v>426.08351360209775</v>
      </c>
      <c r="Q7" s="33">
        <f t="shared" ref="Q7" si="19">P7/K7</f>
        <v>41.287162170745916</v>
      </c>
      <c r="R7" s="33"/>
      <c r="S7" s="34"/>
    </row>
    <row r="8" spans="1:22" x14ac:dyDescent="0.35">
      <c r="A8" s="37"/>
      <c r="B8" s="38"/>
      <c r="C8" s="5">
        <v>9.3115000000000006</v>
      </c>
      <c r="D8" s="36"/>
      <c r="E8" s="35"/>
      <c r="F8" s="36"/>
      <c r="G8" s="36"/>
      <c r="H8" s="33"/>
      <c r="I8" s="33"/>
      <c r="J8" s="34"/>
      <c r="K8" s="36"/>
      <c r="L8" s="5">
        <v>9.1016999999999992</v>
      </c>
      <c r="M8" s="36"/>
      <c r="N8" s="35"/>
      <c r="O8" s="36"/>
      <c r="P8" s="36"/>
      <c r="Q8" s="33"/>
      <c r="R8" s="33"/>
      <c r="S8" s="34"/>
      <c r="U8" s="8" t="s">
        <v>12</v>
      </c>
      <c r="V8">
        <v>19.068750000000001</v>
      </c>
    </row>
    <row r="9" spans="1:22" x14ac:dyDescent="0.35">
      <c r="A9" s="37">
        <v>4</v>
      </c>
      <c r="B9" s="38">
        <v>5.625</v>
      </c>
      <c r="C9" s="5">
        <v>7.8268000000000004</v>
      </c>
      <c r="D9" s="36">
        <f t="shared" ref="D9" si="20">AVERAGE(C9:C10)</f>
        <v>8.0723000000000003</v>
      </c>
      <c r="E9" s="35">
        <f t="shared" ref="E9" si="21">(_xlfn.STDEV.S(C9:C10)/SQRT(2))/D9</f>
        <v>3.0412645714356479E-2</v>
      </c>
      <c r="F9" s="36">
        <f t="shared" ref="F9" si="22">(19.06875-D9)/19.06875</f>
        <v>0.5766738774172403</v>
      </c>
      <c r="G9" s="36">
        <f t="shared" ref="G9" si="23">(F9/0.5)*(4/0.01)</f>
        <v>461.33910193379222</v>
      </c>
      <c r="H9" s="33">
        <f t="shared" ref="H9" si="24">G9/B9</f>
        <v>82.015840343785285</v>
      </c>
      <c r="I9" s="33"/>
      <c r="J9" s="34"/>
      <c r="K9" s="36">
        <v>8.7000000000000011</v>
      </c>
      <c r="L9" s="5">
        <v>6.6745999999999999</v>
      </c>
      <c r="M9" s="36">
        <f t="shared" ref="M9" si="25">AVERAGE(L9:L10)</f>
        <v>6.2662999999999993</v>
      </c>
      <c r="N9" s="35">
        <f t="shared" ref="N9" si="26">(_xlfn.STDEV.S(L9:L10)/SQRT(2))/M9</f>
        <v>6.5158067759283803E-2</v>
      </c>
      <c r="O9" s="36">
        <f t="shared" ref="O9" si="27">(19.06875-M9)/19.06875</f>
        <v>0.67138380858734847</v>
      </c>
      <c r="P9" s="36">
        <f t="shared" ref="P9" si="28">(O9/0.5)*(4/0.01)</f>
        <v>537.10704686987879</v>
      </c>
      <c r="Q9" s="33">
        <f t="shared" ref="Q9" si="29">P9/K9</f>
        <v>61.736442168951577</v>
      </c>
      <c r="R9" s="33"/>
      <c r="S9" s="34"/>
    </row>
    <row r="10" spans="1:22" x14ac:dyDescent="0.35">
      <c r="A10" s="37"/>
      <c r="B10" s="38"/>
      <c r="C10" s="5">
        <v>8.3178000000000001</v>
      </c>
      <c r="D10" s="36"/>
      <c r="E10" s="35"/>
      <c r="F10" s="36"/>
      <c r="G10" s="36"/>
      <c r="H10" s="33"/>
      <c r="I10" s="33"/>
      <c r="J10" s="34"/>
      <c r="K10" s="36"/>
      <c r="L10" s="5">
        <v>5.8579999999999997</v>
      </c>
      <c r="M10" s="36"/>
      <c r="N10" s="35"/>
      <c r="O10" s="36"/>
      <c r="P10" s="36"/>
      <c r="Q10" s="33"/>
      <c r="R10" s="33"/>
      <c r="S10" s="34"/>
    </row>
    <row r="11" spans="1:22" x14ac:dyDescent="0.35">
      <c r="A11" s="37">
        <v>5</v>
      </c>
      <c r="B11" s="38">
        <v>4.1550000000000002</v>
      </c>
      <c r="C11" s="5">
        <v>9.4824999999999999</v>
      </c>
      <c r="D11" s="36">
        <f t="shared" ref="D11" si="30">AVERAGE(C11:C12)</f>
        <v>9.9887499999999996</v>
      </c>
      <c r="E11" s="35">
        <f t="shared" ref="E11" si="31">(_xlfn.STDEV.S(C11:C12)/SQRT(2))/D11</f>
        <v>5.0682017269428073E-2</v>
      </c>
      <c r="F11" s="36">
        <f t="shared" ref="F11" si="32">(19.06875-D11)/19.06875</f>
        <v>0.47617174696820719</v>
      </c>
      <c r="G11" s="36">
        <f t="shared" ref="G11" si="33">(F11/0.5)*(4/0.01)</f>
        <v>380.93739757456575</v>
      </c>
      <c r="H11" s="33">
        <f t="shared" ref="H11" si="34">G11/B11</f>
        <v>91.681684133469489</v>
      </c>
      <c r="I11" s="33"/>
      <c r="J11" s="34"/>
      <c r="K11" s="36">
        <v>8.9699999999999989</v>
      </c>
      <c r="L11" s="5">
        <v>6.3398000000000003</v>
      </c>
      <c r="M11" s="36">
        <f t="shared" ref="M11" si="35">AVERAGE(L11:L12)</f>
        <v>6.4006500000000006</v>
      </c>
      <c r="N11" s="35">
        <f t="shared" ref="N11" si="36">(_xlfn.STDEV.S(L11:L12)/SQRT(2))/M11</f>
        <v>9.5068469608555143E-3</v>
      </c>
      <c r="O11" s="36">
        <f t="shared" ref="O11" si="37">(19.06875-M11)/19.06875</f>
        <v>0.66433824975417899</v>
      </c>
      <c r="P11" s="36">
        <f t="shared" ref="P11" si="38">(O11/0.5)*(4/0.01)</f>
        <v>531.47059980334325</v>
      </c>
      <c r="Q11" s="33">
        <f t="shared" ref="Q11" si="39">P11/K11</f>
        <v>59.249788160907841</v>
      </c>
      <c r="R11" s="33"/>
      <c r="S11" s="34"/>
    </row>
    <row r="12" spans="1:22" x14ac:dyDescent="0.35">
      <c r="A12" s="37"/>
      <c r="B12" s="38"/>
      <c r="C12" s="5">
        <v>10.494999999999999</v>
      </c>
      <c r="D12" s="36"/>
      <c r="E12" s="35"/>
      <c r="F12" s="36"/>
      <c r="G12" s="36"/>
      <c r="H12" s="33"/>
      <c r="I12" s="33"/>
      <c r="J12" s="34"/>
      <c r="K12" s="36"/>
      <c r="L12" s="5">
        <v>6.4615</v>
      </c>
      <c r="M12" s="36"/>
      <c r="N12" s="35"/>
      <c r="O12" s="36"/>
      <c r="P12" s="36"/>
      <c r="Q12" s="33"/>
      <c r="R12" s="33"/>
      <c r="S12" s="34"/>
    </row>
    <row r="13" spans="1:22" x14ac:dyDescent="0.35">
      <c r="A13" s="37">
        <v>6</v>
      </c>
      <c r="B13" s="38">
        <v>5.61</v>
      </c>
      <c r="C13" s="5">
        <v>8.1656999999999993</v>
      </c>
      <c r="D13" s="36">
        <f t="shared" ref="D13" si="40">AVERAGE(C13:C14)</f>
        <v>8.5308500000000009</v>
      </c>
      <c r="E13" s="35">
        <f t="shared" ref="E13" si="41">(_xlfn.STDEV.S(C13:C14)/SQRT(2))/D13</f>
        <v>4.2803472104186648E-2</v>
      </c>
      <c r="F13" s="36">
        <f t="shared" ref="F13" si="42">(19.06875-D13)/19.06875</f>
        <v>0.55262667977712221</v>
      </c>
      <c r="G13" s="36">
        <f t="shared" ref="G13" si="43">(F13/0.5)*(4/0.01)</f>
        <v>442.10134382169775</v>
      </c>
      <c r="H13" s="33">
        <f t="shared" ref="H13" si="44">G13/B13</f>
        <v>78.80594364023132</v>
      </c>
      <c r="I13" s="33">
        <f>AVERAGE(H13:H22)</f>
        <v>80.276628104604825</v>
      </c>
      <c r="J13" s="34">
        <f t="shared" ref="J13" si="45">(_xlfn.STDEV.S(H13:H22)/SQRT(5))/I13</f>
        <v>0.1556484209090947</v>
      </c>
      <c r="K13" s="36">
        <v>9.4350000000000005</v>
      </c>
      <c r="L13" s="5">
        <v>6.9484000000000004</v>
      </c>
      <c r="M13" s="36">
        <f t="shared" ref="M13" si="46">AVERAGE(L13:L14)</f>
        <v>6.4361499999999996</v>
      </c>
      <c r="N13" s="35">
        <f t="shared" ref="N13" si="47">(_xlfn.STDEV.S(L13:L14)/SQRT(2))/M13</f>
        <v>7.9589506148862343E-2</v>
      </c>
      <c r="O13" s="36">
        <f t="shared" ref="O13" si="48">(19.06875-M13)/19.06875</f>
        <v>0.6624765650606359</v>
      </c>
      <c r="P13" s="36">
        <f t="shared" ref="P13" si="49">(O13/0.5)*(4/0.01)</f>
        <v>529.98125204850874</v>
      </c>
      <c r="Q13" s="33">
        <f t="shared" ref="Q13" si="50">P13/K13</f>
        <v>56.171833815422225</v>
      </c>
      <c r="R13" s="33">
        <f>AVERAGE(Q13:Q22)</f>
        <v>50.603491661786506</v>
      </c>
      <c r="S13" s="34">
        <f t="shared" ref="S13" si="51">(_xlfn.STDEV.S(Q13:Q22)/SQRT(5))/R13</f>
        <v>6.4291130289938103E-2</v>
      </c>
    </row>
    <row r="14" spans="1:22" x14ac:dyDescent="0.35">
      <c r="A14" s="37"/>
      <c r="B14" s="38"/>
      <c r="C14" s="5">
        <v>8.8960000000000008</v>
      </c>
      <c r="D14" s="36"/>
      <c r="E14" s="35"/>
      <c r="F14" s="36"/>
      <c r="G14" s="36"/>
      <c r="H14" s="33"/>
      <c r="I14" s="33"/>
      <c r="J14" s="34"/>
      <c r="K14" s="36"/>
      <c r="L14" s="5">
        <v>5.9238999999999997</v>
      </c>
      <c r="M14" s="36"/>
      <c r="N14" s="35"/>
      <c r="O14" s="36"/>
      <c r="P14" s="36"/>
      <c r="Q14" s="33"/>
      <c r="R14" s="33"/>
      <c r="S14" s="34"/>
    </row>
    <row r="15" spans="1:22" x14ac:dyDescent="0.35">
      <c r="A15" s="37">
        <v>7</v>
      </c>
      <c r="B15" s="38">
        <v>6.51</v>
      </c>
      <c r="C15" s="5">
        <v>7.8268000000000004</v>
      </c>
      <c r="D15" s="36">
        <f t="shared" ref="D15" si="52">AVERAGE(C15:C16)</f>
        <v>8.0462500000000006</v>
      </c>
      <c r="E15" s="35">
        <f t="shared" ref="E15" si="53">(_xlfn.STDEV.S(C15:C16)/SQRT(2))/D15</f>
        <v>2.7273574646574508E-2</v>
      </c>
      <c r="F15" s="36">
        <f t="shared" ref="F15" si="54">(19.06875-D15)/19.06875</f>
        <v>0.57803998688954439</v>
      </c>
      <c r="G15" s="36">
        <f t="shared" ref="G15" si="55">(F15/0.5)*(4/0.01)</f>
        <v>462.43198951163549</v>
      </c>
      <c r="H15" s="33">
        <f t="shared" ref="H15" si="56">G15/B15</f>
        <v>71.034099771372581</v>
      </c>
      <c r="I15" s="33"/>
      <c r="J15" s="34"/>
      <c r="K15" s="36">
        <v>8.4449999999999985</v>
      </c>
      <c r="L15" s="5">
        <v>6.5021000000000004</v>
      </c>
      <c r="M15" s="36">
        <f t="shared" ref="M15" si="57">AVERAGE(L15:L16)</f>
        <v>6.8901000000000003</v>
      </c>
      <c r="N15" s="35">
        <f t="shared" ref="N15" si="58">(_xlfn.STDEV.S(L15:L16)/SQRT(2))/M15</f>
        <v>5.6312680512619527E-2</v>
      </c>
      <c r="O15" s="36">
        <f t="shared" ref="O15" si="59">(19.06875-M15)/19.06875</f>
        <v>0.63867059980334318</v>
      </c>
      <c r="P15" s="36">
        <f t="shared" ref="P15" si="60">(O15/0.5)*(4/0.01)</f>
        <v>510.93647984267454</v>
      </c>
      <c r="Q15" s="33">
        <f t="shared" ref="Q15" si="61">P15/K15</f>
        <v>60.501655398777338</v>
      </c>
      <c r="R15" s="33"/>
      <c r="S15" s="34"/>
    </row>
    <row r="16" spans="1:22" x14ac:dyDescent="0.35">
      <c r="A16" s="37"/>
      <c r="B16" s="38"/>
      <c r="C16" s="5">
        <v>8.2657000000000007</v>
      </c>
      <c r="D16" s="36"/>
      <c r="E16" s="35"/>
      <c r="F16" s="36"/>
      <c r="G16" s="36"/>
      <c r="H16" s="33"/>
      <c r="I16" s="33"/>
      <c r="J16" s="34"/>
      <c r="K16" s="36"/>
      <c r="L16" s="5">
        <v>7.2781000000000002</v>
      </c>
      <c r="M16" s="36"/>
      <c r="N16" s="35"/>
      <c r="O16" s="36"/>
      <c r="P16" s="36"/>
      <c r="Q16" s="33"/>
      <c r="R16" s="33"/>
      <c r="S16" s="34"/>
    </row>
    <row r="17" spans="1:19" x14ac:dyDescent="0.35">
      <c r="A17" s="37">
        <v>8</v>
      </c>
      <c r="B17" s="38">
        <v>7.6950000000000003</v>
      </c>
      <c r="C17" s="5">
        <v>7.7138</v>
      </c>
      <c r="D17" s="36">
        <f t="shared" ref="D17" si="62">AVERAGE(C17:C18)</f>
        <v>8.1576000000000004</v>
      </c>
      <c r="E17" s="35">
        <f t="shared" ref="E17" si="63">(_xlfn.STDEV.S(C17:C18)/SQRT(2))/D17</f>
        <v>5.4403255859566527E-2</v>
      </c>
      <c r="F17" s="36">
        <f t="shared" ref="F17" si="64">(19.06875-D17)/19.06875</f>
        <v>0.57220058997050149</v>
      </c>
      <c r="G17" s="36">
        <f t="shared" ref="G17" si="65">(F17/0.5)*(4/0.01)</f>
        <v>457.76047197640122</v>
      </c>
      <c r="H17" s="33">
        <f t="shared" ref="H17" si="66">G17/B17</f>
        <v>59.488040542742198</v>
      </c>
      <c r="I17" s="33"/>
      <c r="J17" s="34"/>
      <c r="K17" s="36">
        <v>9.7800000000000011</v>
      </c>
      <c r="L17" s="5">
        <v>6.4108000000000001</v>
      </c>
      <c r="M17" s="36">
        <f t="shared" ref="M17" si="67">AVERAGE(L17:L18)</f>
        <v>8.5624000000000002</v>
      </c>
      <c r="N17" s="35">
        <f t="shared" ref="N17" si="68">(_xlfn.STDEV.S(L17:L18)/SQRT(2))/M17</f>
        <v>0.25128468653648539</v>
      </c>
      <c r="O17" s="36">
        <f t="shared" ref="O17" si="69">(19.06875-M17)/19.06875</f>
        <v>0.5509721402818748</v>
      </c>
      <c r="P17" s="36">
        <f t="shared" ref="P17" si="70">(O17/0.5)*(4/0.01)</f>
        <v>440.77771222549984</v>
      </c>
      <c r="Q17" s="33">
        <f t="shared" ref="Q17" si="71">P17/K17</f>
        <v>45.069295728578709</v>
      </c>
      <c r="R17" s="33"/>
      <c r="S17" s="34"/>
    </row>
    <row r="18" spans="1:19" x14ac:dyDescent="0.35">
      <c r="A18" s="37"/>
      <c r="B18" s="38"/>
      <c r="C18" s="5">
        <v>8.6013999999999999</v>
      </c>
      <c r="D18" s="36"/>
      <c r="E18" s="35"/>
      <c r="F18" s="36"/>
      <c r="G18" s="36"/>
      <c r="H18" s="33"/>
      <c r="I18" s="33"/>
      <c r="J18" s="34"/>
      <c r="K18" s="36"/>
      <c r="L18" s="5">
        <v>10.714</v>
      </c>
      <c r="M18" s="36"/>
      <c r="N18" s="35"/>
      <c r="O18" s="36"/>
      <c r="P18" s="36"/>
      <c r="Q18" s="33"/>
      <c r="R18" s="33"/>
      <c r="S18" s="34"/>
    </row>
    <row r="19" spans="1:19" x14ac:dyDescent="0.35">
      <c r="A19" s="37">
        <v>9</v>
      </c>
      <c r="B19" s="38">
        <v>3.57</v>
      </c>
      <c r="C19" s="5">
        <v>8.4445999999999994</v>
      </c>
      <c r="D19" s="36">
        <f t="shared" ref="D19" si="72">AVERAGE(C19:C20)</f>
        <v>8.1356999999999999</v>
      </c>
      <c r="E19" s="35">
        <f t="shared" ref="E19" si="73">(_xlfn.STDEV.S(C19:C20)/SQRT(2))/D19</f>
        <v>3.7968459997295811E-2</v>
      </c>
      <c r="F19" s="36">
        <f t="shared" ref="F19" si="74">(19.06875-D19)/19.06875</f>
        <v>0.57334906588003942</v>
      </c>
      <c r="G19" s="36">
        <f t="shared" ref="G19" si="75">(F19/0.5)*(4/0.01)</f>
        <v>458.67925270403151</v>
      </c>
      <c r="H19" s="33">
        <f t="shared" ref="H19" si="76">G19/B19</f>
        <v>128.48158339048501</v>
      </c>
      <c r="I19" s="33"/>
      <c r="J19" s="34"/>
      <c r="K19" s="36">
        <v>10.29</v>
      </c>
      <c r="L19" s="5">
        <v>8.0838999999999999</v>
      </c>
      <c r="M19" s="36">
        <f t="shared" ref="M19" si="77">AVERAGE(L19:L20)</f>
        <v>7.5874000000000006</v>
      </c>
      <c r="N19" s="35">
        <f t="shared" ref="N19" si="78">(_xlfn.STDEV.S(L19:L20)/SQRT(2))/M19</f>
        <v>6.5437435748741279E-2</v>
      </c>
      <c r="O19" s="36">
        <f t="shared" ref="O19" si="79">(19.06875-M19)/19.06875</f>
        <v>0.60210291707636843</v>
      </c>
      <c r="P19" s="36">
        <f t="shared" ref="P19" si="80">(O19/0.5)*(4/0.01)</f>
        <v>481.68233366109473</v>
      </c>
      <c r="Q19" s="33">
        <f t="shared" ref="Q19" si="81">P19/K19</f>
        <v>46.810722416044193</v>
      </c>
      <c r="R19" s="33"/>
      <c r="S19" s="34"/>
    </row>
    <row r="20" spans="1:19" x14ac:dyDescent="0.35">
      <c r="A20" s="37"/>
      <c r="B20" s="38"/>
      <c r="C20" s="5">
        <v>7.8268000000000004</v>
      </c>
      <c r="D20" s="36"/>
      <c r="E20" s="35"/>
      <c r="F20" s="36"/>
      <c r="G20" s="36"/>
      <c r="H20" s="33"/>
      <c r="I20" s="33"/>
      <c r="J20" s="34"/>
      <c r="K20" s="36"/>
      <c r="L20" s="5">
        <v>7.0909000000000004</v>
      </c>
      <c r="M20" s="36"/>
      <c r="N20" s="35"/>
      <c r="O20" s="36"/>
      <c r="P20" s="36"/>
      <c r="Q20" s="33"/>
      <c r="R20" s="33"/>
      <c r="S20" s="34"/>
    </row>
    <row r="21" spans="1:19" x14ac:dyDescent="0.35">
      <c r="A21" s="37">
        <v>10</v>
      </c>
      <c r="B21" s="38">
        <v>6.7499999999999991</v>
      </c>
      <c r="C21" s="5">
        <v>9.2814999999999994</v>
      </c>
      <c r="D21" s="36">
        <f t="shared" ref="D21" si="82">AVERAGE(C21:C22)</f>
        <v>8.8402499999999993</v>
      </c>
      <c r="E21" s="35">
        <f t="shared" ref="E21" si="83">(_xlfn.STDEV.S(C21:C22)/SQRT(2))/D21</f>
        <v>4.9913746783179225E-2</v>
      </c>
      <c r="F21" s="36">
        <f t="shared" ref="F21" si="84">(19.06875-D21)/19.06875</f>
        <v>0.536401179941003</v>
      </c>
      <c r="G21" s="36">
        <f t="shared" ref="G21" si="85">(F21/0.5)*(4/0.01)</f>
        <v>429.12094395280241</v>
      </c>
      <c r="H21" s="33">
        <f t="shared" ref="H21" si="86">G21/B21</f>
        <v>63.573473178192955</v>
      </c>
      <c r="I21" s="33"/>
      <c r="J21" s="34"/>
      <c r="K21" s="36">
        <v>9.06</v>
      </c>
      <c r="L21" s="5">
        <v>8.8352000000000004</v>
      </c>
      <c r="M21" s="36">
        <f t="shared" ref="M21" si="87">AVERAGE(L21:L22)</f>
        <v>9.4665999999999997</v>
      </c>
      <c r="N21" s="35">
        <f t="shared" ref="N21" si="88">(_xlfn.STDEV.S(L21:L22)/SQRT(2))/M21</f>
        <v>6.6697652800371848E-2</v>
      </c>
      <c r="O21" s="36">
        <f t="shared" ref="O21" si="89">(19.06875-M21)/19.06875</f>
        <v>0.50355424450999675</v>
      </c>
      <c r="P21" s="36">
        <f t="shared" ref="P21" si="90">(O21/0.5)*(4/0.01)</f>
        <v>402.84339560799742</v>
      </c>
      <c r="Q21" s="33">
        <f t="shared" ref="Q21" si="91">P21/K21</f>
        <v>44.463950950110089</v>
      </c>
      <c r="R21" s="33"/>
      <c r="S21" s="34"/>
    </row>
    <row r="22" spans="1:19" x14ac:dyDescent="0.35">
      <c r="A22" s="37"/>
      <c r="B22" s="38"/>
      <c r="C22" s="5">
        <v>8.3989999999999991</v>
      </c>
      <c r="D22" s="36"/>
      <c r="E22" s="35"/>
      <c r="F22" s="36"/>
      <c r="G22" s="36"/>
      <c r="H22" s="33"/>
      <c r="I22" s="33"/>
      <c r="J22" s="34"/>
      <c r="K22" s="36"/>
      <c r="L22" s="5">
        <v>10.098000000000001</v>
      </c>
      <c r="M22" s="36"/>
      <c r="N22" s="35"/>
      <c r="O22" s="36"/>
      <c r="P22" s="36"/>
      <c r="Q22" s="33"/>
      <c r="R22" s="33"/>
      <c r="S22" s="34"/>
    </row>
    <row r="23" spans="1:19" x14ac:dyDescent="0.35">
      <c r="A23" s="37">
        <v>11</v>
      </c>
      <c r="B23" s="38">
        <v>4.6349999999999998</v>
      </c>
      <c r="C23" s="5">
        <v>8.4700000000000006</v>
      </c>
      <c r="D23" s="36">
        <f t="shared" ref="D23" si="92">AVERAGE(C23:C24)</f>
        <v>8.546050000000001</v>
      </c>
      <c r="E23" s="35">
        <f t="shared" ref="E23" si="93">(_xlfn.STDEV.S(C23:C24)/SQRT(2))/D23</f>
        <v>8.8988480058037923E-3</v>
      </c>
      <c r="F23" s="36">
        <f t="shared" ref="F23" si="94">(19.06875-D23)/19.06875</f>
        <v>0.55182956407735162</v>
      </c>
      <c r="G23" s="36">
        <f t="shared" ref="G23" si="95">(F23/0.5)*(4/0.01)</f>
        <v>441.4636512618813</v>
      </c>
      <c r="H23" s="33">
        <f t="shared" ref="H23" si="96">G23/B23</f>
        <v>95.245663702671266</v>
      </c>
      <c r="I23" s="33">
        <f>AVERAGE(H23:H32)</f>
        <v>93.016778354184353</v>
      </c>
      <c r="J23" s="34">
        <f t="shared" ref="J23" si="97">(_xlfn.STDEV.S(H23:H32)/SQRT(5))/I23</f>
        <v>6.2944341171106519E-2</v>
      </c>
      <c r="K23" s="36">
        <v>8.7600000000000016</v>
      </c>
      <c r="L23" s="5">
        <v>6.6136999999999997</v>
      </c>
      <c r="M23" s="36">
        <f t="shared" ref="M23" si="98">AVERAGE(L23:L24)</f>
        <v>6.8317999999999994</v>
      </c>
      <c r="N23" s="35">
        <f t="shared" ref="N23" si="99">(_xlfn.STDEV.S(L23:L24)/SQRT(2))/M23</f>
        <v>3.1924236657981823E-2</v>
      </c>
      <c r="O23" s="36">
        <f t="shared" ref="O23" si="100">(19.06875-M23)/19.06875</f>
        <v>0.64172795804654215</v>
      </c>
      <c r="P23" s="36">
        <f t="shared" ref="P23" si="101">(O23/0.5)*(4/0.01)</f>
        <v>513.38236643723371</v>
      </c>
      <c r="Q23" s="33">
        <f t="shared" ref="Q23" si="102">P23/K23</f>
        <v>58.605292972286946</v>
      </c>
      <c r="R23" s="33">
        <f>AVERAGE(Q23:Q32)</f>
        <v>49.058107105835333</v>
      </c>
      <c r="S23" s="34">
        <f t="shared" ref="S23" si="103">(_xlfn.STDEV.S(Q23:Q32)/SQRT(5))/R23</f>
        <v>5.3248139454512448E-2</v>
      </c>
    </row>
    <row r="24" spans="1:19" x14ac:dyDescent="0.35">
      <c r="A24" s="37"/>
      <c r="B24" s="38"/>
      <c r="C24" s="5">
        <v>8.6220999999999997</v>
      </c>
      <c r="D24" s="36"/>
      <c r="E24" s="35"/>
      <c r="F24" s="36"/>
      <c r="G24" s="36"/>
      <c r="H24" s="33"/>
      <c r="I24" s="33"/>
      <c r="J24" s="34"/>
      <c r="K24" s="36"/>
      <c r="L24" s="5">
        <v>7.0499000000000001</v>
      </c>
      <c r="M24" s="36"/>
      <c r="N24" s="35"/>
      <c r="O24" s="36"/>
      <c r="P24" s="36"/>
      <c r="Q24" s="33"/>
      <c r="R24" s="33"/>
      <c r="S24" s="34"/>
    </row>
    <row r="25" spans="1:19" x14ac:dyDescent="0.35">
      <c r="A25" s="37">
        <v>12</v>
      </c>
      <c r="B25" s="38">
        <v>3.9750000000000001</v>
      </c>
      <c r="C25" s="5">
        <v>8.7272999999999996</v>
      </c>
      <c r="D25" s="36">
        <f t="shared" ref="D25" si="104">AVERAGE(C25:C26)</f>
        <v>9.1403999999999996</v>
      </c>
      <c r="E25" s="35">
        <f t="shared" ref="E25" si="105">(_xlfn.STDEV.S(C25:C26)/SQRT(2))/D25</f>
        <v>4.5194958645135876E-2</v>
      </c>
      <c r="F25" s="36">
        <f t="shared" ref="F25" si="106">(19.06875-D25)/19.06875</f>
        <v>0.52066076696165198</v>
      </c>
      <c r="G25" s="36">
        <f t="shared" ref="G25" si="107">(F25/0.5)*(4/0.01)</f>
        <v>416.52861356932158</v>
      </c>
      <c r="H25" s="33">
        <f t="shared" ref="H25:H85" si="108">G25/B25</f>
        <v>104.78707259605574</v>
      </c>
      <c r="I25" s="33"/>
      <c r="J25" s="34"/>
      <c r="K25" s="36">
        <v>11.295</v>
      </c>
      <c r="L25" s="5">
        <v>6.6440999999999999</v>
      </c>
      <c r="M25" s="36">
        <f t="shared" ref="M25" si="109">AVERAGE(L25:L26)</f>
        <v>6.82395</v>
      </c>
      <c r="N25" s="35">
        <f t="shared" ref="N25" si="110">(_xlfn.STDEV.S(L25:L26)/SQRT(2))/M25</f>
        <v>2.6355703075198387E-2</v>
      </c>
      <c r="O25" s="36">
        <f t="shared" ref="O25" si="111">(19.06875-M25)/19.06875</f>
        <v>0.64213962635201571</v>
      </c>
      <c r="P25" s="36">
        <f t="shared" ref="P25" si="112">(O25/0.5)*(4/0.01)</f>
        <v>513.71170108161255</v>
      </c>
      <c r="Q25" s="33">
        <f t="shared" ref="Q25" si="113">P25/K25</f>
        <v>45.481336970483625</v>
      </c>
      <c r="R25" s="33"/>
      <c r="S25" s="34"/>
    </row>
    <row r="26" spans="1:19" x14ac:dyDescent="0.35">
      <c r="A26" s="37"/>
      <c r="B26" s="38"/>
      <c r="C26" s="5">
        <v>9.5534999999999997</v>
      </c>
      <c r="D26" s="36"/>
      <c r="E26" s="35"/>
      <c r="F26" s="36"/>
      <c r="G26" s="36"/>
      <c r="H26" s="33"/>
      <c r="I26" s="33"/>
      <c r="J26" s="34"/>
      <c r="K26" s="36"/>
      <c r="L26" s="5">
        <v>7.0038</v>
      </c>
      <c r="M26" s="36"/>
      <c r="N26" s="35"/>
      <c r="O26" s="36"/>
      <c r="P26" s="36"/>
      <c r="Q26" s="33"/>
      <c r="R26" s="33"/>
      <c r="S26" s="34"/>
    </row>
    <row r="27" spans="1:19" x14ac:dyDescent="0.35">
      <c r="A27" s="37">
        <v>13</v>
      </c>
      <c r="B27" s="38">
        <v>5.3849999999999998</v>
      </c>
      <c r="C27" s="5">
        <v>8.7143999999999995</v>
      </c>
      <c r="D27" s="36">
        <f t="shared" ref="D27" si="114">AVERAGE(C27:C28)</f>
        <v>8.577</v>
      </c>
      <c r="E27" s="35">
        <f t="shared" ref="E27" si="115">(_xlfn.STDEV.S(C27:C28)/SQRT(2))/D27</f>
        <v>1.6019587268275567E-2</v>
      </c>
      <c r="F27" s="36">
        <f t="shared" ref="F27" si="116">(19.06875-D27)/19.06875</f>
        <v>0.55020648967551622</v>
      </c>
      <c r="G27" s="36">
        <f t="shared" ref="G27" si="117">(F27/0.5)*(4/0.01)</f>
        <v>440.16519174041298</v>
      </c>
      <c r="H27" s="33">
        <f t="shared" ref="H27:H87" si="118">G27/B27</f>
        <v>81.739125671385892</v>
      </c>
      <c r="I27" s="33"/>
      <c r="J27" s="34"/>
      <c r="K27" s="36">
        <v>10.545000000000002</v>
      </c>
      <c r="L27" s="5">
        <v>7.2222999999999997</v>
      </c>
      <c r="M27" s="36">
        <f t="shared" ref="M27" si="119">AVERAGE(L27:L28)</f>
        <v>7.2577999999999996</v>
      </c>
      <c r="N27" s="35">
        <f t="shared" ref="N27" si="120">(_xlfn.STDEV.S(L27:L28)/SQRT(2))/M27</f>
        <v>4.8912893714349124E-3</v>
      </c>
      <c r="O27" s="36">
        <f t="shared" ref="O27" si="121">(19.06875-M27)/19.06875</f>
        <v>0.619387741724025</v>
      </c>
      <c r="P27" s="36">
        <f t="shared" ref="P27" si="122">(O27/0.5)*(4/0.01)</f>
        <v>495.51019337922003</v>
      </c>
      <c r="Q27" s="33">
        <f t="shared" ref="Q27" si="123">P27/K27</f>
        <v>46.990061012728304</v>
      </c>
      <c r="R27" s="33"/>
      <c r="S27" s="34"/>
    </row>
    <row r="28" spans="1:19" x14ac:dyDescent="0.35">
      <c r="A28" s="37"/>
      <c r="B28" s="38"/>
      <c r="C28" s="5">
        <v>8.4396000000000004</v>
      </c>
      <c r="D28" s="36"/>
      <c r="E28" s="35"/>
      <c r="F28" s="36"/>
      <c r="G28" s="36"/>
      <c r="H28" s="33"/>
      <c r="I28" s="33"/>
      <c r="J28" s="34"/>
      <c r="K28" s="36"/>
      <c r="L28" s="5">
        <v>7.2933000000000003</v>
      </c>
      <c r="M28" s="36"/>
      <c r="N28" s="35"/>
      <c r="O28" s="36"/>
      <c r="P28" s="36"/>
      <c r="Q28" s="33"/>
      <c r="R28" s="33"/>
      <c r="S28" s="34"/>
    </row>
    <row r="29" spans="1:19" x14ac:dyDescent="0.35">
      <c r="A29" s="37">
        <v>14</v>
      </c>
      <c r="B29" s="38">
        <v>3.54</v>
      </c>
      <c r="C29" s="5">
        <v>10.406000000000001</v>
      </c>
      <c r="D29" s="36">
        <f t="shared" ref="D29" si="124">AVERAGE(C29:C30)</f>
        <v>10.125</v>
      </c>
      <c r="E29" s="35">
        <f t="shared" ref="E29" si="125">(_xlfn.STDEV.S(C29:C30)/SQRT(2))/D29</f>
        <v>2.7753086419753145E-2</v>
      </c>
      <c r="F29" s="36">
        <f t="shared" ref="F29" si="126">(19.06875-D29)/19.06875</f>
        <v>0.46902654867256643</v>
      </c>
      <c r="G29" s="36">
        <f t="shared" ref="G29" si="127">(F29/0.5)*(4/0.01)</f>
        <v>375.22123893805315</v>
      </c>
      <c r="H29" s="33">
        <f t="shared" ref="H29:H89" si="128">G29/B29</f>
        <v>105.99470026498676</v>
      </c>
      <c r="I29" s="33"/>
      <c r="J29" s="34"/>
      <c r="K29" s="36">
        <v>9.7050000000000001</v>
      </c>
      <c r="L29" s="5">
        <v>7.1106999999999996</v>
      </c>
      <c r="M29" s="36">
        <f t="shared" ref="M29" si="129">AVERAGE(L29:L30)</f>
        <v>7.4283999999999999</v>
      </c>
      <c r="N29" s="35">
        <f t="shared" ref="N29" si="130">(_xlfn.STDEV.S(L29:L30)/SQRT(2))/M29</f>
        <v>4.2768294652953572E-2</v>
      </c>
      <c r="O29" s="36">
        <f t="shared" ref="O29" si="131">(19.06875-M29)/19.06875</f>
        <v>0.61044116683054739</v>
      </c>
      <c r="P29" s="36">
        <f t="shared" ref="P29" si="132">(O29/0.5)*(4/0.01)</f>
        <v>488.35293346443791</v>
      </c>
      <c r="Q29" s="33">
        <f t="shared" ref="Q29" si="133">P29/K29</f>
        <v>50.319725241054911</v>
      </c>
      <c r="R29" s="33"/>
      <c r="S29" s="34"/>
    </row>
    <row r="30" spans="1:19" x14ac:dyDescent="0.35">
      <c r="A30" s="37"/>
      <c r="B30" s="38"/>
      <c r="C30" s="5">
        <v>9.8439999999999994</v>
      </c>
      <c r="D30" s="36"/>
      <c r="E30" s="35"/>
      <c r="F30" s="36"/>
      <c r="G30" s="36"/>
      <c r="H30" s="33"/>
      <c r="I30" s="33"/>
      <c r="J30" s="34"/>
      <c r="K30" s="36"/>
      <c r="L30" s="5">
        <v>7.7461000000000002</v>
      </c>
      <c r="M30" s="36"/>
      <c r="N30" s="35"/>
      <c r="O30" s="36"/>
      <c r="P30" s="36"/>
      <c r="Q30" s="33"/>
      <c r="R30" s="33"/>
      <c r="S30" s="34"/>
    </row>
    <row r="31" spans="1:19" x14ac:dyDescent="0.35">
      <c r="A31" s="37">
        <v>15</v>
      </c>
      <c r="B31" s="38">
        <v>5.22</v>
      </c>
      <c r="C31" s="5">
        <v>9.6664999999999992</v>
      </c>
      <c r="D31" s="36">
        <f t="shared" ref="D31" si="134">AVERAGE(C31:C32)</f>
        <v>9.4486500000000007</v>
      </c>
      <c r="E31" s="35">
        <f t="shared" ref="E31" si="135">(_xlfn.STDEV.S(C31:C32)/SQRT(2))/D31</f>
        <v>2.3056203796309464E-2</v>
      </c>
      <c r="F31" s="36">
        <f t="shared" ref="F31" si="136">(19.06875-D31)/19.06875</f>
        <v>0.50449557522123889</v>
      </c>
      <c r="G31" s="36">
        <f t="shared" ref="G31" si="137">(F31/0.5)*(4/0.01)</f>
        <v>403.59646017699112</v>
      </c>
      <c r="H31" s="33">
        <f t="shared" ref="H31:H91" si="138">G31/B31</f>
        <v>77.317329535822054</v>
      </c>
      <c r="I31" s="33"/>
      <c r="J31" s="34"/>
      <c r="K31" s="36">
        <v>10.020000000000001</v>
      </c>
      <c r="L31" s="5">
        <v>8.1494999999999997</v>
      </c>
      <c r="M31" s="36">
        <f t="shared" ref="M31" si="139">AVERAGE(L31:L32)</f>
        <v>8.5852500000000003</v>
      </c>
      <c r="N31" s="35">
        <f t="shared" ref="N31" si="140">(_xlfn.STDEV.S(L31:L32)/SQRT(2))/M31</f>
        <v>5.0755656503887539E-2</v>
      </c>
      <c r="O31" s="36">
        <f t="shared" ref="O31" si="141">(19.06875-M31)/19.06875</f>
        <v>0.54977384464110135</v>
      </c>
      <c r="P31" s="36">
        <f t="shared" ref="P31" si="142">(O31/0.5)*(4/0.01)</f>
        <v>439.8190757128811</v>
      </c>
      <c r="Q31" s="33">
        <f t="shared" ref="Q31" si="143">P31/K31</f>
        <v>43.894119332622857</v>
      </c>
      <c r="R31" s="33"/>
      <c r="S31" s="34"/>
    </row>
    <row r="32" spans="1:19" x14ac:dyDescent="0.35">
      <c r="A32" s="37"/>
      <c r="B32" s="38"/>
      <c r="C32" s="5">
        <v>9.2308000000000003</v>
      </c>
      <c r="D32" s="36"/>
      <c r="E32" s="35"/>
      <c r="F32" s="36"/>
      <c r="G32" s="36"/>
      <c r="H32" s="33"/>
      <c r="I32" s="33"/>
      <c r="J32" s="34"/>
      <c r="K32" s="36"/>
      <c r="L32" s="5">
        <v>9.0210000000000008</v>
      </c>
      <c r="M32" s="36"/>
      <c r="N32" s="35"/>
      <c r="O32" s="36"/>
      <c r="P32" s="36"/>
      <c r="Q32" s="33"/>
      <c r="R32" s="33"/>
      <c r="S32" s="34"/>
    </row>
    <row r="33" spans="1:19" x14ac:dyDescent="0.35">
      <c r="A33" s="37">
        <v>16</v>
      </c>
      <c r="B33" s="38">
        <v>6.9149999999999991</v>
      </c>
      <c r="C33" s="5">
        <v>8.0744000000000007</v>
      </c>
      <c r="D33" s="36">
        <f t="shared" ref="D33" si="144">AVERAGE(C33:C34)</f>
        <v>8.2417499999999997</v>
      </c>
      <c r="E33" s="35">
        <f t="shared" ref="E33" si="145">(_xlfn.STDEV.S(C33:C34)/SQRT(2))/D33</f>
        <v>2.0305153638486961E-2</v>
      </c>
      <c r="F33" s="36">
        <f t="shared" ref="F33" si="146">(19.06875-D33)/19.06875</f>
        <v>0.56778761061946903</v>
      </c>
      <c r="G33" s="36">
        <f t="shared" ref="G33" si="147">(F33/0.5)*(4/0.01)</f>
        <v>454.23008849557522</v>
      </c>
      <c r="H33" s="33">
        <f t="shared" ref="H33:H93" si="148">G33/B33</f>
        <v>65.687648372462078</v>
      </c>
      <c r="I33" s="33">
        <f>AVERAGE(H33:H38)</f>
        <v>73.235466401790745</v>
      </c>
      <c r="J33" s="34">
        <f>(_xlfn.STDEV.S(H33:H38)/SQRT(3))/I33</f>
        <v>0.10636744299305922</v>
      </c>
      <c r="K33" s="36">
        <v>12.6</v>
      </c>
      <c r="L33" s="5">
        <v>5.9161000000000001</v>
      </c>
      <c r="M33" s="36">
        <f t="shared" ref="M33" si="149">AVERAGE(L33:L34)</f>
        <v>6.2420499999999999</v>
      </c>
      <c r="N33" s="35">
        <f t="shared" ref="N33" si="150">(_xlfn.STDEV.S(L33:L34)/SQRT(2))/M33</f>
        <v>5.2218421832570992E-2</v>
      </c>
      <c r="O33" s="36">
        <f t="shared" ref="O33" si="151">(19.06875-M33)/19.06875</f>
        <v>0.67265552277941665</v>
      </c>
      <c r="P33" s="36">
        <f t="shared" ref="P33" si="152">(O33/0.5)*(4/0.01)</f>
        <v>538.12441822353333</v>
      </c>
      <c r="Q33" s="33">
        <f t="shared" ref="Q33" si="153">P33/K33</f>
        <v>42.708287160597884</v>
      </c>
      <c r="R33" s="33">
        <f>AVERAGE(Q33:Q38)</f>
        <v>49.224871304727039</v>
      </c>
      <c r="S33" s="34">
        <f>(_xlfn.STDEV.S(Q33:Q38)/SQRT(3))/R33</f>
        <v>7.1409143108349435E-2</v>
      </c>
    </row>
    <row r="34" spans="1:19" x14ac:dyDescent="0.35">
      <c r="A34" s="37"/>
      <c r="B34" s="38"/>
      <c r="C34" s="5">
        <v>8.4091000000000005</v>
      </c>
      <c r="D34" s="36"/>
      <c r="E34" s="35"/>
      <c r="F34" s="36"/>
      <c r="G34" s="36"/>
      <c r="H34" s="33"/>
      <c r="I34" s="33"/>
      <c r="J34" s="34"/>
      <c r="K34" s="36"/>
      <c r="L34" s="5">
        <v>6.5679999999999996</v>
      </c>
      <c r="M34" s="36"/>
      <c r="N34" s="35"/>
      <c r="O34" s="36"/>
      <c r="P34" s="36"/>
      <c r="Q34" s="33"/>
      <c r="R34" s="33"/>
      <c r="S34" s="34"/>
    </row>
    <row r="35" spans="1:19" x14ac:dyDescent="0.35">
      <c r="A35" s="37">
        <v>17</v>
      </c>
      <c r="B35" s="38">
        <v>6.2399999999999993</v>
      </c>
      <c r="C35" s="5">
        <v>9.5097000000000005</v>
      </c>
      <c r="D35" s="36">
        <f t="shared" ref="D35" si="154">AVERAGE(C35:C36)</f>
        <v>9.3702500000000004</v>
      </c>
      <c r="E35" s="35">
        <f t="shared" ref="E35" si="155">(_xlfn.STDEV.S(C35:C36)/SQRT(2))/D35</f>
        <v>1.488220698487234E-2</v>
      </c>
      <c r="F35" s="36">
        <f t="shared" ref="F35" si="156">(19.06875-D35)/19.06875</f>
        <v>0.50860701409373976</v>
      </c>
      <c r="G35" s="36">
        <f t="shared" ref="G35" si="157">(F35/0.5)*(4/0.01)</f>
        <v>406.88561127499179</v>
      </c>
      <c r="H35" s="33">
        <f t="shared" ref="H35:H95" si="158">G35/B35</f>
        <v>65.206027447915361</v>
      </c>
      <c r="I35" s="33"/>
      <c r="J35" s="34"/>
      <c r="K35" s="36">
        <v>10.485000000000001</v>
      </c>
      <c r="L35" s="5">
        <v>5.5282999999999998</v>
      </c>
      <c r="M35" s="36">
        <f t="shared" ref="M35" si="159">AVERAGE(L35:L36)</f>
        <v>5.3812499999999996</v>
      </c>
      <c r="N35" s="35">
        <f t="shared" ref="N35" si="160">(_xlfn.STDEV.S(L35:L36)/SQRT(2))/M35</f>
        <v>2.7326364692218288E-2</v>
      </c>
      <c r="O35" s="36">
        <f t="shared" ref="O35" si="161">(19.06875-M35)/19.06875</f>
        <v>0.71779744346116037</v>
      </c>
      <c r="P35" s="36">
        <f t="shared" ref="P35" si="162">(O35/0.5)*(4/0.01)</f>
        <v>574.23795476892826</v>
      </c>
      <c r="Q35" s="33">
        <f t="shared" ref="Q35" si="163">P35/K35</f>
        <v>54.767568409053716</v>
      </c>
      <c r="R35" s="33"/>
      <c r="S35" s="34"/>
    </row>
    <row r="36" spans="1:19" x14ac:dyDescent="0.35">
      <c r="A36" s="37"/>
      <c r="B36" s="38"/>
      <c r="C36" s="5">
        <v>9.2308000000000003</v>
      </c>
      <c r="D36" s="36"/>
      <c r="E36" s="35"/>
      <c r="F36" s="36"/>
      <c r="G36" s="36"/>
      <c r="H36" s="33"/>
      <c r="I36" s="33"/>
      <c r="J36" s="34"/>
      <c r="K36" s="36"/>
      <c r="L36" s="5">
        <v>5.2342000000000004</v>
      </c>
      <c r="M36" s="36"/>
      <c r="N36" s="35"/>
      <c r="O36" s="36"/>
      <c r="P36" s="36"/>
      <c r="Q36" s="33"/>
      <c r="R36" s="33"/>
      <c r="S36" s="34"/>
    </row>
    <row r="37" spans="1:19" x14ac:dyDescent="0.35">
      <c r="A37" s="37">
        <v>18</v>
      </c>
      <c r="B37" s="38">
        <v>5.04</v>
      </c>
      <c r="C37" s="5">
        <v>9.1818000000000008</v>
      </c>
      <c r="D37" s="36">
        <f t="shared" ref="D37" si="164">AVERAGE(C37:C38)</f>
        <v>8.3994</v>
      </c>
      <c r="E37" s="35">
        <f t="shared" ref="E37" si="165">(_xlfn.STDEV.S(C37:C38)/SQRT(2))/D37</f>
        <v>9.3149510679334274E-2</v>
      </c>
      <c r="F37" s="36">
        <f t="shared" ref="F37" si="166">(19.06875-D37)/19.06875</f>
        <v>0.55952015732546712</v>
      </c>
      <c r="G37" s="36">
        <f t="shared" ref="G37" si="167">(F37/0.5)*(4/0.01)</f>
        <v>447.6161258603737</v>
      </c>
      <c r="H37" s="33">
        <f t="shared" ref="H37:H97" si="168">G37/B37</f>
        <v>88.812723384994783</v>
      </c>
      <c r="I37" s="33"/>
      <c r="J37" s="34"/>
      <c r="K37" s="36">
        <v>10.59</v>
      </c>
      <c r="L37" s="5">
        <v>6.3398000000000003</v>
      </c>
      <c r="M37" s="36">
        <f t="shared" ref="M37" si="169">AVERAGE(L37:L38)</f>
        <v>6.3974500000000001</v>
      </c>
      <c r="N37" s="35">
        <f t="shared" ref="N37" si="170">(_xlfn.STDEV.S(L37:L38)/SQRT(2))/M37</f>
        <v>9.0114029808751536E-3</v>
      </c>
      <c r="O37" s="36">
        <f t="shared" ref="O37" si="171">(19.06875-M37)/19.06875</f>
        <v>0.66450606358570963</v>
      </c>
      <c r="P37" s="36">
        <f t="shared" ref="P37" si="172">(O37/0.5)*(4/0.01)</f>
        <v>531.60485086856772</v>
      </c>
      <c r="Q37" s="33">
        <f t="shared" ref="Q37" si="173">P37/K37</f>
        <v>50.19875834452953</v>
      </c>
      <c r="R37" s="33"/>
      <c r="S37" s="34"/>
    </row>
    <row r="38" spans="1:19" x14ac:dyDescent="0.35">
      <c r="A38" s="37"/>
      <c r="B38" s="38"/>
      <c r="C38" s="5">
        <v>7.617</v>
      </c>
      <c r="D38" s="36"/>
      <c r="E38" s="35"/>
      <c r="F38" s="36"/>
      <c r="G38" s="36"/>
      <c r="H38" s="33"/>
      <c r="I38" s="33"/>
      <c r="J38" s="34"/>
      <c r="K38" s="36"/>
      <c r="L38" s="5">
        <v>6.4550999999999998</v>
      </c>
      <c r="M38" s="36"/>
      <c r="N38" s="35"/>
      <c r="O38" s="36"/>
      <c r="P38" s="36"/>
      <c r="Q38" s="33"/>
      <c r="R38" s="33"/>
      <c r="S38" s="34"/>
    </row>
    <row r="39" spans="1:19" x14ac:dyDescent="0.35">
      <c r="A39" s="37">
        <v>19</v>
      </c>
      <c r="B39" s="38">
        <v>7.5449999999999999</v>
      </c>
      <c r="C39" s="5">
        <v>7.4252000000000002</v>
      </c>
      <c r="D39" s="36">
        <f t="shared" ref="D39" si="174">AVERAGE(C39:C40)</f>
        <v>7.5098000000000003</v>
      </c>
      <c r="E39" s="35">
        <f t="shared" ref="E39" si="175">(_xlfn.STDEV.S(C39:C40)/SQRT(2))/D39</f>
        <v>1.1265280034088792E-2</v>
      </c>
      <c r="F39" s="36">
        <f t="shared" ref="F39" si="176">(19.06875-D39)/19.06875</f>
        <v>0.60617240249098658</v>
      </c>
      <c r="G39" s="36">
        <f t="shared" ref="G39" si="177">(F39/0.5)*(4/0.01)</f>
        <v>484.93792199278926</v>
      </c>
      <c r="H39" s="33">
        <f t="shared" ref="H39:H99" si="178">G39/B39</f>
        <v>64.272753080555233</v>
      </c>
      <c r="I39" s="33">
        <f t="shared" ref="I39" si="179">AVERAGE(H39:H44)</f>
        <v>68.999289673411596</v>
      </c>
      <c r="J39" s="34">
        <f t="shared" ref="J39" si="180">(_xlfn.STDEV.S(H39:H44)/SQRT(3))/I39</f>
        <v>3.6706259277166337E-2</v>
      </c>
      <c r="K39" s="36">
        <v>10.74</v>
      </c>
      <c r="L39" s="5">
        <v>6.8369</v>
      </c>
      <c r="M39" s="36">
        <f t="shared" ref="M39" si="181">AVERAGE(L39:L40)</f>
        <v>6.9737999999999998</v>
      </c>
      <c r="N39" s="35">
        <f t="shared" ref="N39" si="182">(_xlfn.STDEV.S(L39:L40)/SQRT(2))/M39</f>
        <v>1.9630617453898852E-2</v>
      </c>
      <c r="O39" s="36">
        <f t="shared" ref="O39" si="183">(19.06875-M39)/19.06875</f>
        <v>0.63428121927236969</v>
      </c>
      <c r="P39" s="36">
        <f t="shared" ref="P39" si="184">(O39/0.5)*(4/0.01)</f>
        <v>507.42497541789578</v>
      </c>
      <c r="Q39" s="33">
        <f t="shared" ref="Q39" si="185">P39/K39</f>
        <v>47.246273316377632</v>
      </c>
      <c r="R39" s="33">
        <f t="shared" ref="R39" si="186">AVERAGE(Q39:Q44)</f>
        <v>51.658581848214602</v>
      </c>
      <c r="S39" s="34">
        <f t="shared" ref="S39" si="187">(_xlfn.STDEV.S(Q39:Q44)/SQRT(3))/R39</f>
        <v>0.12317300711593065</v>
      </c>
    </row>
    <row r="40" spans="1:19" x14ac:dyDescent="0.35">
      <c r="A40" s="37"/>
      <c r="B40" s="38"/>
      <c r="C40" s="5">
        <v>7.5944000000000003</v>
      </c>
      <c r="D40" s="36"/>
      <c r="E40" s="35"/>
      <c r="F40" s="36"/>
      <c r="G40" s="36"/>
      <c r="H40" s="33"/>
      <c r="I40" s="33"/>
      <c r="J40" s="34"/>
      <c r="K40" s="36"/>
      <c r="L40" s="5">
        <v>7.1106999999999996</v>
      </c>
      <c r="M40" s="36"/>
      <c r="N40" s="35"/>
      <c r="O40" s="36"/>
      <c r="P40" s="36"/>
      <c r="Q40" s="33"/>
      <c r="R40" s="33"/>
      <c r="S40" s="34"/>
    </row>
    <row r="41" spans="1:19" x14ac:dyDescent="0.35">
      <c r="A41" s="37">
        <v>20</v>
      </c>
      <c r="B41" s="38">
        <v>5.52</v>
      </c>
      <c r="C41" s="5">
        <v>9.6112000000000002</v>
      </c>
      <c r="D41" s="36">
        <f t="shared" ref="D41" si="188">AVERAGE(C41:C42)</f>
        <v>9.4717000000000002</v>
      </c>
      <c r="E41" s="35">
        <f t="shared" ref="E41" si="189">(_xlfn.STDEV.S(C41:C42)/SQRT(2))/D41</f>
        <v>1.4728084715520968E-2</v>
      </c>
      <c r="F41" s="36">
        <f t="shared" ref="F41" si="190">(19.06875-D41)/19.06875</f>
        <v>0.50328679121599473</v>
      </c>
      <c r="G41" s="36">
        <f t="shared" ref="G41" si="191">(F41/0.5)*(4/0.01)</f>
        <v>402.62943297279577</v>
      </c>
      <c r="H41" s="33">
        <f t="shared" ref="H41:H101" si="192">G41/B41</f>
        <v>72.940114668984748</v>
      </c>
      <c r="I41" s="33"/>
      <c r="J41" s="34"/>
      <c r="K41" s="36">
        <v>8.6999999999999993</v>
      </c>
      <c r="L41" s="5">
        <v>10.154</v>
      </c>
      <c r="M41" s="36">
        <f t="shared" ref="M41" si="193">AVERAGE(L41:L42)</f>
        <v>10.042349999999999</v>
      </c>
      <c r="N41" s="35">
        <f t="shared" ref="N41" si="194">(_xlfn.STDEV.S(L41:L42)/SQRT(2))/M41</f>
        <v>1.1117915627318309E-2</v>
      </c>
      <c r="O41" s="36">
        <f t="shared" ref="O41" si="195">(19.06875-M41)/19.06875</f>
        <v>0.47336086529006893</v>
      </c>
      <c r="P41" s="36">
        <f t="shared" ref="P41" si="196">(O41/0.5)*(4/0.01)</f>
        <v>378.68869223205513</v>
      </c>
      <c r="Q41" s="33">
        <f t="shared" ref="Q41" si="197">P41/K41</f>
        <v>43.527435888741969</v>
      </c>
      <c r="R41" s="33"/>
      <c r="S41" s="34"/>
    </row>
    <row r="42" spans="1:19" x14ac:dyDescent="0.35">
      <c r="A42" s="37"/>
      <c r="B42" s="38"/>
      <c r="C42" s="5">
        <v>9.3322000000000003</v>
      </c>
      <c r="D42" s="36"/>
      <c r="E42" s="35"/>
      <c r="F42" s="36"/>
      <c r="G42" s="36"/>
      <c r="H42" s="33"/>
      <c r="I42" s="33"/>
      <c r="J42" s="34"/>
      <c r="K42" s="36"/>
      <c r="L42" s="5">
        <v>9.9306999999999999</v>
      </c>
      <c r="M42" s="36"/>
      <c r="N42" s="35"/>
      <c r="O42" s="36"/>
      <c r="P42" s="36"/>
      <c r="Q42" s="33"/>
      <c r="R42" s="33"/>
      <c r="S42" s="34"/>
    </row>
    <row r="43" spans="1:19" x14ac:dyDescent="0.35">
      <c r="A43" s="37">
        <v>21</v>
      </c>
      <c r="B43" s="38">
        <v>6.9449999999999994</v>
      </c>
      <c r="C43" s="5">
        <v>7.4759000000000002</v>
      </c>
      <c r="D43" s="36">
        <f t="shared" ref="D43" si="198">AVERAGE(C43:C44)</f>
        <v>7.5165000000000006</v>
      </c>
      <c r="E43" s="35">
        <f t="shared" ref="E43" si="199">(_xlfn.STDEV.S(C43:C44)/SQRT(2))/D43</f>
        <v>5.4014501430186875E-3</v>
      </c>
      <c r="F43" s="36">
        <f t="shared" ref="F43" si="200">(19.06875-D43)/19.06875</f>
        <v>0.60582104228121925</v>
      </c>
      <c r="G43" s="36">
        <f t="shared" ref="G43" si="201">(F43/0.5)*(4/0.01)</f>
        <v>484.65683382497542</v>
      </c>
      <c r="H43" s="33">
        <f t="shared" ref="H43" si="202">G43/B43</f>
        <v>69.785001270694806</v>
      </c>
      <c r="I43" s="33"/>
      <c r="J43" s="34"/>
      <c r="K43" s="36">
        <v>8.2349999999999994</v>
      </c>
      <c r="L43" s="5">
        <v>6.5427</v>
      </c>
      <c r="M43" s="36">
        <f t="shared" ref="M43" si="203">AVERAGE(L43:L44)</f>
        <v>6.4665999999999997</v>
      </c>
      <c r="N43" s="35">
        <f t="shared" ref="N43" si="204">(_xlfn.STDEV.S(L43:L44)/SQRT(2))/M43</f>
        <v>1.1768162558376866E-2</v>
      </c>
      <c r="O43" s="36">
        <f t="shared" ref="O43" si="205">(19.06875-M43)/19.06875</f>
        <v>0.66087971156997705</v>
      </c>
      <c r="P43" s="36">
        <f t="shared" ref="P43" si="206">(O43/0.5)*(4/0.01)</f>
        <v>528.70376925598168</v>
      </c>
      <c r="Q43" s="33">
        <f t="shared" ref="Q43" si="207">P43/K43</f>
        <v>64.202036339524199</v>
      </c>
      <c r="R43" s="33"/>
      <c r="S43" s="34"/>
    </row>
    <row r="44" spans="1:19" x14ac:dyDescent="0.35">
      <c r="A44" s="37"/>
      <c r="B44" s="38"/>
      <c r="C44" s="5">
        <v>7.5571000000000002</v>
      </c>
      <c r="D44" s="36"/>
      <c r="E44" s="35"/>
      <c r="F44" s="36"/>
      <c r="G44" s="36"/>
      <c r="H44" s="33"/>
      <c r="I44" s="33"/>
      <c r="J44" s="34"/>
      <c r="K44" s="36"/>
      <c r="L44" s="5">
        <v>6.3905000000000003</v>
      </c>
      <c r="M44" s="36"/>
      <c r="N44" s="35"/>
      <c r="O44" s="36"/>
      <c r="P44" s="36"/>
      <c r="Q44" s="33"/>
      <c r="R44" s="33"/>
      <c r="S44" s="34"/>
    </row>
    <row r="45" spans="1:19" x14ac:dyDescent="0.35">
      <c r="A45" s="37">
        <v>22</v>
      </c>
      <c r="B45" s="38">
        <v>3.9750000000000001</v>
      </c>
      <c r="C45" s="22">
        <v>10.098000000000001</v>
      </c>
      <c r="D45" s="36">
        <f t="shared" ref="D45" si="208">AVERAGE(C45:C46)</f>
        <v>9.6321000000000012</v>
      </c>
      <c r="E45" s="35">
        <f t="shared" ref="E45" si="209">(_xlfn.STDEV.S(C45:C46)/SQRT(2))/D45</f>
        <v>4.8369514436104308E-2</v>
      </c>
      <c r="F45" s="36">
        <f t="shared" ref="F45" si="210">(19.06875-D45)/19.06875</f>
        <v>0.4948751229105211</v>
      </c>
      <c r="G45" s="36">
        <f t="shared" ref="G45" si="211">(F45/0.5)*(4/0.01)</f>
        <v>395.9000983284169</v>
      </c>
      <c r="H45" s="33">
        <f t="shared" si="108"/>
        <v>99.597509013438213</v>
      </c>
      <c r="I45" s="33">
        <f t="shared" ref="I45" si="212">AVERAGE(H45:H50)</f>
        <v>75.566595084123847</v>
      </c>
      <c r="J45" s="34">
        <f t="shared" ref="J45" si="213">(_xlfn.STDEV.S(H45:H50)/SQRT(3))/I45</f>
        <v>0.1724639849566017</v>
      </c>
      <c r="K45" s="36">
        <v>10.86</v>
      </c>
      <c r="L45" s="5">
        <v>7.0751999999999997</v>
      </c>
      <c r="M45" s="36">
        <f t="shared" ref="M45" si="214">AVERAGE(L45:L46)</f>
        <v>6.8452999999999999</v>
      </c>
      <c r="N45" s="35">
        <f t="shared" ref="N45" si="215">(_xlfn.STDEV.S(L45:L46)/SQRT(2))/M45</f>
        <v>3.3585087578338391E-2</v>
      </c>
      <c r="O45" s="36">
        <f t="shared" ref="O45" si="216">(19.06875-M45)/19.06875</f>
        <v>0.64101999344477223</v>
      </c>
      <c r="P45" s="36">
        <f t="shared" ref="P45" si="217">(O45/0.5)*(4/0.01)</f>
        <v>512.81599475581777</v>
      </c>
      <c r="Q45" s="33">
        <f t="shared" ref="Q45" si="218">P45/K45</f>
        <v>47.220625668123184</v>
      </c>
      <c r="R45" s="33">
        <f t="shared" ref="R45" si="219">AVERAGE(Q45:Q50)</f>
        <v>45.535185742429952</v>
      </c>
      <c r="S45" s="34">
        <f t="shared" ref="S45" si="220">(_xlfn.STDEV.S(Q45:Q50)/SQRT(3))/R45</f>
        <v>4.3598581836847491E-2</v>
      </c>
    </row>
    <row r="46" spans="1:19" x14ac:dyDescent="0.35">
      <c r="A46" s="37"/>
      <c r="B46" s="38"/>
      <c r="C46" s="22">
        <v>9.1661999999999999</v>
      </c>
      <c r="D46" s="36"/>
      <c r="E46" s="35"/>
      <c r="F46" s="36"/>
      <c r="G46" s="36"/>
      <c r="H46" s="33"/>
      <c r="I46" s="33"/>
      <c r="J46" s="34"/>
      <c r="K46" s="36"/>
      <c r="L46" s="5">
        <v>6.6154000000000002</v>
      </c>
      <c r="M46" s="36"/>
      <c r="N46" s="35"/>
      <c r="O46" s="36"/>
      <c r="P46" s="36"/>
      <c r="Q46" s="33"/>
      <c r="R46" s="33"/>
      <c r="S46" s="34"/>
    </row>
    <row r="47" spans="1:19" x14ac:dyDescent="0.35">
      <c r="A47" s="37">
        <v>23</v>
      </c>
      <c r="B47" s="38">
        <v>6.81</v>
      </c>
      <c r="C47" s="22">
        <v>7.2729999999999997</v>
      </c>
      <c r="D47" s="36">
        <f t="shared" ref="D47" si="221">AVERAGE(C47:C48)</f>
        <v>7.3338999999999999</v>
      </c>
      <c r="E47" s="35">
        <f t="shared" ref="E47" si="222">(_xlfn.STDEV.S(C47:C48)/SQRT(2))/D47</f>
        <v>8.3039037892526733E-3</v>
      </c>
      <c r="F47" s="36">
        <f t="shared" ref="F47" si="223">(19.06875-D47)/19.06875</f>
        <v>0.61539691904293681</v>
      </c>
      <c r="G47" s="36">
        <f t="shared" ref="G47" si="224">(F47/0.5)*(4/0.01)</f>
        <v>492.31753523434946</v>
      </c>
      <c r="H47" s="33">
        <f t="shared" si="118"/>
        <v>72.293323822958811</v>
      </c>
      <c r="I47" s="33"/>
      <c r="J47" s="34"/>
      <c r="K47" s="36">
        <v>12.690000000000001</v>
      </c>
      <c r="L47" s="5">
        <v>6.5122999999999998</v>
      </c>
      <c r="M47" s="36">
        <f t="shared" ref="M47" si="225">AVERAGE(L47:L48)</f>
        <v>6.492</v>
      </c>
      <c r="N47" s="35">
        <f t="shared" ref="N47" si="226">(_xlfn.STDEV.S(L47:L48)/SQRT(2))/M47</f>
        <v>3.1269254467035986E-3</v>
      </c>
      <c r="O47" s="36">
        <f t="shared" ref="O47" si="227">(19.06875-M47)/19.06875</f>
        <v>0.65954768928220253</v>
      </c>
      <c r="P47" s="36">
        <f t="shared" ref="P47" si="228">(O47/0.5)*(4/0.01)</f>
        <v>527.63815142576198</v>
      </c>
      <c r="Q47" s="33">
        <f t="shared" ref="Q47" si="229">P47/K47</f>
        <v>41.57905054576532</v>
      </c>
      <c r="R47" s="33"/>
      <c r="S47" s="34"/>
    </row>
    <row r="48" spans="1:19" x14ac:dyDescent="0.35">
      <c r="A48" s="37"/>
      <c r="B48" s="38"/>
      <c r="C48" s="22">
        <v>7.3948</v>
      </c>
      <c r="D48" s="36"/>
      <c r="E48" s="35"/>
      <c r="F48" s="36"/>
      <c r="G48" s="36"/>
      <c r="H48" s="33"/>
      <c r="I48" s="33"/>
      <c r="J48" s="34"/>
      <c r="K48" s="36"/>
      <c r="L48" s="5">
        <v>6.4717000000000002</v>
      </c>
      <c r="M48" s="36"/>
      <c r="N48" s="35"/>
      <c r="O48" s="36"/>
      <c r="P48" s="36"/>
      <c r="Q48" s="33"/>
      <c r="R48" s="33"/>
      <c r="S48" s="34"/>
    </row>
    <row r="49" spans="1:19" x14ac:dyDescent="0.35">
      <c r="A49" s="37">
        <v>24</v>
      </c>
      <c r="B49" s="38">
        <v>7.38</v>
      </c>
      <c r="C49" s="22">
        <v>7.8106999999999998</v>
      </c>
      <c r="D49" s="36">
        <f t="shared" ref="D49" si="230">AVERAGE(C49:C50)</f>
        <v>9.4273500000000006</v>
      </c>
      <c r="E49" s="35">
        <f t="shared" ref="E49" si="231">(_xlfn.STDEV.S(C49:C50)/SQRT(2))/D49</f>
        <v>0.17148509390231539</v>
      </c>
      <c r="F49" s="36">
        <f t="shared" ref="F49" si="232">(19.06875-D49)/19.06875</f>
        <v>0.50561258603736481</v>
      </c>
      <c r="G49" s="36">
        <f t="shared" ref="G49" si="233">(F49/0.5)*(4/0.01)</f>
        <v>404.49006882989187</v>
      </c>
      <c r="H49" s="33">
        <f t="shared" si="128"/>
        <v>54.80895241597451</v>
      </c>
      <c r="I49" s="33"/>
      <c r="J49" s="34"/>
      <c r="K49" s="36">
        <v>9.9599999999999991</v>
      </c>
      <c r="L49" s="5">
        <v>8.2164000000000001</v>
      </c>
      <c r="M49" s="36">
        <f t="shared" ref="M49" si="234">AVERAGE(L49:L50)</f>
        <v>7.7193500000000004</v>
      </c>
      <c r="N49" s="35">
        <f t="shared" ref="N49" si="235">(_xlfn.STDEV.S(L49:L50)/SQRT(2))/M49</f>
        <v>6.4390136475221377E-2</v>
      </c>
      <c r="O49" s="36">
        <f t="shared" ref="O49" si="236">(19.06875-M49)/19.06875</f>
        <v>0.59518321861684698</v>
      </c>
      <c r="P49" s="36">
        <f t="shared" ref="P49" si="237">(O49/0.5)*(4/0.01)</f>
        <v>476.14657489347758</v>
      </c>
      <c r="Q49" s="33">
        <f t="shared" ref="Q49" si="238">P49/K49</f>
        <v>47.805881013401368</v>
      </c>
      <c r="R49" s="33"/>
      <c r="S49" s="34"/>
    </row>
    <row r="50" spans="1:19" x14ac:dyDescent="0.35">
      <c r="A50" s="37"/>
      <c r="B50" s="38"/>
      <c r="C50" s="22">
        <v>11.044</v>
      </c>
      <c r="D50" s="36"/>
      <c r="E50" s="35"/>
      <c r="F50" s="36"/>
      <c r="G50" s="36"/>
      <c r="H50" s="33"/>
      <c r="I50" s="33"/>
      <c r="J50" s="34"/>
      <c r="K50" s="36"/>
      <c r="L50" s="5">
        <v>7.2222999999999997</v>
      </c>
      <c r="M50" s="36"/>
      <c r="N50" s="35"/>
      <c r="O50" s="36"/>
      <c r="P50" s="36"/>
      <c r="Q50" s="33"/>
      <c r="R50" s="33"/>
      <c r="S50" s="34"/>
    </row>
    <row r="51" spans="1:19" x14ac:dyDescent="0.35">
      <c r="A51" s="37">
        <v>25</v>
      </c>
      <c r="B51" s="38">
        <v>6.54</v>
      </c>
      <c r="C51" s="22">
        <v>7.5063000000000004</v>
      </c>
      <c r="D51" s="36">
        <f t="shared" ref="D51" si="239">AVERAGE(C51:C52)</f>
        <v>7.6133000000000006</v>
      </c>
      <c r="E51" s="35">
        <f t="shared" ref="E51" si="240">(_xlfn.STDEV.S(C51:C52)/SQRT(2))/D51</f>
        <v>1.4054352251980054E-2</v>
      </c>
      <c r="F51" s="36">
        <f t="shared" ref="F51" si="241">(19.06875-D51)/19.06875</f>
        <v>0.60074467387741726</v>
      </c>
      <c r="G51" s="36">
        <f t="shared" ref="G51" si="242">(F51/0.5)*(4/0.01)</f>
        <v>480.59573910193382</v>
      </c>
      <c r="H51" s="33">
        <f t="shared" si="138"/>
        <v>73.48558701864431</v>
      </c>
      <c r="I51" s="33">
        <f t="shared" ref="I51" si="243">AVERAGE(H51:H56)</f>
        <v>76.836091917231059</v>
      </c>
      <c r="J51" s="34">
        <f t="shared" ref="J51" si="244">(_xlfn.STDEV.S(H51:H56)/SQRT(3))/I51</f>
        <v>8.8696284666351502E-2</v>
      </c>
      <c r="K51" s="36">
        <v>12</v>
      </c>
      <c r="L51" s="5">
        <v>5.9036</v>
      </c>
      <c r="M51" s="36">
        <f t="shared" ref="M51" si="245">AVERAGE(L51:L52)</f>
        <v>5.5536500000000002</v>
      </c>
      <c r="N51" s="35">
        <f t="shared" ref="N51" si="246">(_xlfn.STDEV.S(L51:L52)/SQRT(2))/M51</f>
        <v>6.3012613326370884E-2</v>
      </c>
      <c r="O51" s="36">
        <f t="shared" ref="O51" si="247">(19.06875-M51)/19.06875</f>
        <v>0.70875647328744673</v>
      </c>
      <c r="P51" s="36">
        <f t="shared" ref="P51" si="248">(O51/0.5)*(4/0.01)</f>
        <v>567.00517862995741</v>
      </c>
      <c r="Q51" s="33">
        <f t="shared" ref="Q51" si="249">P51/K51</f>
        <v>47.250431552496451</v>
      </c>
      <c r="R51" s="33">
        <f t="shared" ref="R51" si="250">AVERAGE(Q51:Q56)</f>
        <v>48.507372758076308</v>
      </c>
      <c r="S51" s="34">
        <f t="shared" ref="S51" si="251">(_xlfn.STDEV.S(Q51:Q56)/SQRT(3))/R51</f>
        <v>3.073960803091777E-2</v>
      </c>
    </row>
    <row r="52" spans="1:19" x14ac:dyDescent="0.35">
      <c r="A52" s="37"/>
      <c r="B52" s="38"/>
      <c r="C52" s="22">
        <v>7.7202999999999999</v>
      </c>
      <c r="D52" s="36"/>
      <c r="E52" s="35"/>
      <c r="F52" s="36"/>
      <c r="G52" s="36"/>
      <c r="H52" s="33"/>
      <c r="I52" s="33"/>
      <c r="J52" s="34"/>
      <c r="K52" s="36"/>
      <c r="L52" s="5">
        <v>5.2037000000000004</v>
      </c>
      <c r="M52" s="36"/>
      <c r="N52" s="35"/>
      <c r="O52" s="36"/>
      <c r="P52" s="36"/>
      <c r="Q52" s="33"/>
      <c r="R52" s="33"/>
      <c r="S52" s="34"/>
    </row>
    <row r="53" spans="1:19" x14ac:dyDescent="0.35">
      <c r="A53" s="37">
        <v>26</v>
      </c>
      <c r="B53" s="38">
        <v>7.0349999999999993</v>
      </c>
      <c r="C53" s="22">
        <v>7.2526999999999999</v>
      </c>
      <c r="D53" s="36">
        <f t="shared" ref="D53" si="252">AVERAGE(C53:C54)</f>
        <v>7.8221500000000006</v>
      </c>
      <c r="E53" s="35">
        <f t="shared" ref="E53" si="253">(_xlfn.STDEV.S(C53:C54)/SQRT(2))/D53</f>
        <v>7.279967783793459E-2</v>
      </c>
      <c r="F53" s="36">
        <f t="shared" ref="F53" si="254">(19.06875-D53)/19.06875</f>
        <v>0.5897921992789249</v>
      </c>
      <c r="G53" s="36">
        <f t="shared" ref="G53" si="255">(F53/0.5)*(4/0.01)</f>
        <v>471.8337594231399</v>
      </c>
      <c r="H53" s="33">
        <f t="shared" si="148"/>
        <v>67.069475397745549</v>
      </c>
      <c r="I53" s="33"/>
      <c r="J53" s="34"/>
      <c r="K53" s="36">
        <v>10.079999999999998</v>
      </c>
      <c r="L53" s="5">
        <v>6.2516999999999996</v>
      </c>
      <c r="M53" s="36">
        <f t="shared" ref="M53" si="256">AVERAGE(L53:L54)</f>
        <v>6.7003500000000003</v>
      </c>
      <c r="N53" s="35">
        <f t="shared" ref="N53" si="257">(_xlfn.STDEV.S(L53:L54)/SQRT(2))/M53</f>
        <v>6.6959188699097824E-2</v>
      </c>
      <c r="O53" s="36">
        <f t="shared" ref="O53" si="258">(19.06875-M53)/19.06875</f>
        <v>0.64862143559488694</v>
      </c>
      <c r="P53" s="36">
        <f t="shared" ref="P53" si="259">(O53/0.5)*(4/0.01)</f>
        <v>518.8971484759096</v>
      </c>
      <c r="Q53" s="33">
        <f t="shared" ref="Q53" si="260">P53/K53</f>
        <v>51.477891713879927</v>
      </c>
      <c r="R53" s="33"/>
      <c r="S53" s="34"/>
    </row>
    <row r="54" spans="1:19" x14ac:dyDescent="0.35">
      <c r="A54" s="37"/>
      <c r="B54" s="38"/>
      <c r="C54" s="22">
        <v>8.3916000000000004</v>
      </c>
      <c r="D54" s="36"/>
      <c r="E54" s="35"/>
      <c r="F54" s="36"/>
      <c r="G54" s="36"/>
      <c r="H54" s="33"/>
      <c r="I54" s="33"/>
      <c r="J54" s="34"/>
      <c r="K54" s="36"/>
      <c r="L54" s="5">
        <v>7.149</v>
      </c>
      <c r="M54" s="36"/>
      <c r="N54" s="35"/>
      <c r="O54" s="36"/>
      <c r="P54" s="36"/>
      <c r="Q54" s="33"/>
      <c r="R54" s="33"/>
      <c r="S54" s="34"/>
    </row>
    <row r="55" spans="1:19" x14ac:dyDescent="0.35">
      <c r="A55" s="37">
        <v>27</v>
      </c>
      <c r="B55" s="38">
        <v>5.79</v>
      </c>
      <c r="C55" s="5">
        <v>6.4717000000000002</v>
      </c>
      <c r="D55" s="36">
        <f t="shared" ref="D55" si="261">AVERAGE(C55:C56)</f>
        <v>6.6543000000000001</v>
      </c>
      <c r="E55" s="35">
        <f t="shared" ref="E55" si="262">(_xlfn.STDEV.S(C55:C56)/SQRT(2))/D55</f>
        <v>2.7440902874832793E-2</v>
      </c>
      <c r="F55" s="36">
        <f t="shared" ref="F55" si="263">(19.06875-D55)/19.06875</f>
        <v>0.65103638151425769</v>
      </c>
      <c r="G55" s="36">
        <f t="shared" ref="G55" si="264">(F55/0.5)*(4/0.01)</f>
        <v>520.82910521140616</v>
      </c>
      <c r="H55" s="33">
        <f t="shared" si="158"/>
        <v>89.953213335303303</v>
      </c>
      <c r="I55" s="33"/>
      <c r="J55" s="34"/>
      <c r="K55" s="36">
        <v>11.565</v>
      </c>
      <c r="L55" s="5">
        <v>6.2130000000000001</v>
      </c>
      <c r="M55" s="36">
        <f t="shared" ref="M55" si="265">AVERAGE(L55:L56)</f>
        <v>6.1694499999999994</v>
      </c>
      <c r="N55" s="35">
        <f t="shared" ref="N55" si="266">(_xlfn.STDEV.S(L55:L56)/SQRT(2))/M55</f>
        <v>7.0589760837676289E-3</v>
      </c>
      <c r="O55" s="36">
        <f t="shared" ref="O55" si="267">(19.06875-M55)/19.06875</f>
        <v>0.67646279908226814</v>
      </c>
      <c r="P55" s="36">
        <f t="shared" ref="P55" si="268">(O55/0.5)*(4/0.01)</f>
        <v>541.17023926581453</v>
      </c>
      <c r="Q55" s="33">
        <f t="shared" ref="Q55" si="269">P55/K55</f>
        <v>46.79379500785253</v>
      </c>
      <c r="R55" s="33"/>
      <c r="S55" s="34"/>
    </row>
    <row r="56" spans="1:19" x14ac:dyDescent="0.35">
      <c r="A56" s="37"/>
      <c r="B56" s="38"/>
      <c r="C56" s="5">
        <v>6.8369</v>
      </c>
      <c r="D56" s="36"/>
      <c r="E56" s="35"/>
      <c r="F56" s="36"/>
      <c r="G56" s="36"/>
      <c r="H56" s="33"/>
      <c r="I56" s="33"/>
      <c r="J56" s="34"/>
      <c r="K56" s="36"/>
      <c r="L56" s="5">
        <v>6.1258999999999997</v>
      </c>
      <c r="M56" s="36"/>
      <c r="N56" s="35"/>
      <c r="O56" s="36"/>
      <c r="P56" s="36"/>
      <c r="Q56" s="33"/>
      <c r="R56" s="33"/>
      <c r="S56" s="34"/>
    </row>
    <row r="57" spans="1:19" x14ac:dyDescent="0.35">
      <c r="A57" s="37">
        <v>28</v>
      </c>
      <c r="B57" s="38">
        <v>6.3750000000000009</v>
      </c>
      <c r="C57" s="5">
        <v>7.6839000000000004</v>
      </c>
      <c r="D57" s="36">
        <f t="shared" ref="D57" si="270">AVERAGE(C57:C58)</f>
        <v>7.6839000000000004</v>
      </c>
      <c r="E57" s="35">
        <f t="shared" ref="E57" si="271">(_xlfn.STDEV.S(C57:C58)/SQRT(2))/D57</f>
        <v>0</v>
      </c>
      <c r="F57" s="36">
        <f t="shared" ref="F57" si="272">(19.06875-D57)/19.06875</f>
        <v>0.59704228121927239</v>
      </c>
      <c r="G57" s="36">
        <f t="shared" ref="G57" si="273">(F57/0.5)*(4/0.01)</f>
        <v>477.63382497541789</v>
      </c>
      <c r="H57" s="33">
        <f t="shared" si="168"/>
        <v>74.922952937320446</v>
      </c>
      <c r="I57" s="33">
        <f t="shared" ref="I57" si="274">AVERAGE(H57:H62)</f>
        <v>77.354661905064532</v>
      </c>
      <c r="J57" s="34">
        <f t="shared" ref="J57" si="275">(_xlfn.STDEV.S(H57:H62)/SQRT(3))/I57</f>
        <v>5.0273883197145486E-2</v>
      </c>
      <c r="K57" s="36">
        <v>11.58</v>
      </c>
      <c r="L57" s="5">
        <v>4.2350000000000003</v>
      </c>
      <c r="M57" s="36">
        <f t="shared" ref="M57" si="276">AVERAGE(L57:L58)</f>
        <v>4.2350000000000003</v>
      </c>
      <c r="N57" s="35">
        <f t="shared" ref="N57" si="277">(_xlfn.STDEV.S(L57:L58)/SQRT(2))/M57</f>
        <v>0</v>
      </c>
      <c r="O57" s="36">
        <f t="shared" ref="O57" si="278">(19.06875-M57)/19.06875</f>
        <v>0.77790888233366118</v>
      </c>
      <c r="P57" s="36">
        <f t="shared" ref="P57" si="279">(O57/0.5)*(4/0.01)</f>
        <v>622.32710586692895</v>
      </c>
      <c r="Q57" s="33">
        <f t="shared" ref="Q57" si="280">P57/K57</f>
        <v>53.74154627520975</v>
      </c>
      <c r="R57" s="33">
        <f t="shared" ref="R57" si="281">AVERAGE(Q57:Q62)</f>
        <v>53.701474767729565</v>
      </c>
      <c r="S57" s="34">
        <f t="shared" ref="S57" si="282">(_xlfn.STDEV.S(Q57:Q62)/SQRT(3))/R57</f>
        <v>5.2879606009787347E-2</v>
      </c>
    </row>
    <row r="58" spans="1:19" x14ac:dyDescent="0.35">
      <c r="A58" s="37"/>
      <c r="B58" s="38"/>
      <c r="C58" s="5">
        <v>7.6839000000000004</v>
      </c>
      <c r="D58" s="36"/>
      <c r="E58" s="35"/>
      <c r="F58" s="36"/>
      <c r="G58" s="36"/>
      <c r="H58" s="33"/>
      <c r="I58" s="33"/>
      <c r="J58" s="34"/>
      <c r="K58" s="36"/>
      <c r="L58" s="5">
        <v>4.2350000000000003</v>
      </c>
      <c r="M58" s="36"/>
      <c r="N58" s="35"/>
      <c r="O58" s="36"/>
      <c r="P58" s="36"/>
      <c r="Q58" s="33"/>
      <c r="R58" s="33"/>
      <c r="S58" s="34"/>
    </row>
    <row r="59" spans="1:19" x14ac:dyDescent="0.35">
      <c r="A59" s="37">
        <v>29</v>
      </c>
      <c r="B59" s="38">
        <v>6.75</v>
      </c>
      <c r="C59" s="5">
        <v>7.7622</v>
      </c>
      <c r="D59" s="36">
        <f t="shared" ref="D59" si="283">AVERAGE(C59:C60)</f>
        <v>7.4567499999999995</v>
      </c>
      <c r="E59" s="35">
        <f t="shared" ref="E59" si="284">(_xlfn.STDEV.S(C59:C60)/SQRT(2))/D59</f>
        <v>4.0962885975793749E-2</v>
      </c>
      <c r="F59" s="36">
        <f t="shared" ref="F59" si="285">(19.06875-D59)/19.06875</f>
        <v>0.60895444116683062</v>
      </c>
      <c r="G59" s="36">
        <f t="shared" ref="G59" si="286">(F59/0.5)*(4/0.01)</f>
        <v>487.16355293346447</v>
      </c>
      <c r="H59" s="33">
        <f t="shared" si="178"/>
        <v>72.172378212365103</v>
      </c>
      <c r="I59" s="33"/>
      <c r="J59" s="34"/>
      <c r="K59" s="36">
        <v>10.875</v>
      </c>
      <c r="L59" s="5">
        <v>5.6805000000000003</v>
      </c>
      <c r="M59" s="36">
        <f t="shared" ref="M59" si="287">AVERAGE(L59:L60)</f>
        <v>6.4286000000000003</v>
      </c>
      <c r="N59" s="35">
        <f t="shared" ref="N59" si="288">(_xlfn.STDEV.S(L59:L60)/SQRT(2))/M59</f>
        <v>0.11637059390847203</v>
      </c>
      <c r="O59" s="36">
        <f t="shared" ref="O59" si="289">(19.06875-M59)/19.06875</f>
        <v>0.66287250081940352</v>
      </c>
      <c r="P59" s="36">
        <f t="shared" ref="P59" si="290">(O59/0.5)*(4/0.01)</f>
        <v>530.29800065552286</v>
      </c>
      <c r="Q59" s="33">
        <f t="shared" ref="Q59" si="291">P59/K59</f>
        <v>48.763034543036582</v>
      </c>
      <c r="R59" s="33"/>
      <c r="S59" s="34"/>
    </row>
    <row r="60" spans="1:19" x14ac:dyDescent="0.35">
      <c r="A60" s="37"/>
      <c r="B60" s="38"/>
      <c r="C60" s="5">
        <v>7.1513</v>
      </c>
      <c r="D60" s="36"/>
      <c r="E60" s="35"/>
      <c r="F60" s="36"/>
      <c r="G60" s="36"/>
      <c r="H60" s="33"/>
      <c r="I60" s="33"/>
      <c r="J60" s="34"/>
      <c r="K60" s="36"/>
      <c r="L60" s="5">
        <v>7.1767000000000003</v>
      </c>
      <c r="M60" s="36"/>
      <c r="N60" s="35"/>
      <c r="O60" s="36"/>
      <c r="P60" s="36"/>
      <c r="Q60" s="33"/>
      <c r="R60" s="33"/>
      <c r="S60" s="34"/>
    </row>
    <row r="61" spans="1:19" x14ac:dyDescent="0.35">
      <c r="A61" s="37">
        <v>30</v>
      </c>
      <c r="B61" s="38">
        <v>5.0399999999999991</v>
      </c>
      <c r="C61" s="5">
        <v>9.0371000000000006</v>
      </c>
      <c r="D61" s="36">
        <f t="shared" ref="D61" si="292">AVERAGE(C61:C62)</f>
        <v>8.8612000000000002</v>
      </c>
      <c r="E61" s="35">
        <f t="shared" ref="E61" si="293">(_xlfn.STDEV.S(C61:C62)/SQRT(2))/D61</f>
        <v>1.9850584570938516E-2</v>
      </c>
      <c r="F61" s="36">
        <f t="shared" ref="F61" si="294">(19.06875-D61)/19.06875</f>
        <v>0.53530252376270082</v>
      </c>
      <c r="G61" s="36">
        <f t="shared" ref="G61" si="295">(F61/0.5)*(4/0.01)</f>
        <v>428.24201901016067</v>
      </c>
      <c r="H61" s="33">
        <f t="shared" si="192"/>
        <v>84.968654565508089</v>
      </c>
      <c r="I61" s="33"/>
      <c r="J61" s="34"/>
      <c r="K61" s="36">
        <v>8.6549999999999994</v>
      </c>
      <c r="L61" s="5">
        <v>7.3426999999999998</v>
      </c>
      <c r="M61" s="36">
        <f t="shared" ref="M61" si="296">AVERAGE(L61:L62)</f>
        <v>6.9795999999999996</v>
      </c>
      <c r="N61" s="35">
        <f t="shared" ref="N61" si="297">(_xlfn.STDEV.S(L61:L62)/SQRT(2))/M61</f>
        <v>5.2023038569545502E-2</v>
      </c>
      <c r="O61" s="36">
        <f t="shared" ref="O61" si="298">(19.06875-M61)/19.06875</f>
        <v>0.63397705670272042</v>
      </c>
      <c r="P61" s="36">
        <f t="shared" ref="P61" si="299">(O61/0.5)*(4/0.01)</f>
        <v>507.18164536217631</v>
      </c>
      <c r="Q61" s="33">
        <f t="shared" ref="Q61" si="300">P61/K61</f>
        <v>58.599843484942383</v>
      </c>
      <c r="R61" s="33"/>
      <c r="S61" s="34"/>
    </row>
    <row r="62" spans="1:19" x14ac:dyDescent="0.35">
      <c r="A62" s="37"/>
      <c r="B62" s="38"/>
      <c r="C62" s="5">
        <v>8.6852999999999998</v>
      </c>
      <c r="D62" s="36"/>
      <c r="E62" s="35"/>
      <c r="F62" s="36"/>
      <c r="G62" s="36"/>
      <c r="H62" s="33"/>
      <c r="I62" s="33"/>
      <c r="J62" s="34"/>
      <c r="K62" s="36"/>
      <c r="L62" s="5">
        <v>6.6165000000000003</v>
      </c>
      <c r="M62" s="36"/>
      <c r="N62" s="35"/>
      <c r="O62" s="36"/>
      <c r="P62" s="36"/>
      <c r="Q62" s="33"/>
      <c r="R62" s="33"/>
      <c r="S62" s="34"/>
    </row>
    <row r="63" spans="1:19" x14ac:dyDescent="0.35">
      <c r="A63" s="37">
        <v>31</v>
      </c>
      <c r="B63" s="38">
        <v>2.2950000000000004</v>
      </c>
      <c r="C63" s="5">
        <v>10.877000000000001</v>
      </c>
      <c r="D63" s="36">
        <f t="shared" ref="D63" si="301">AVERAGE(C63:C64)</f>
        <v>10.949000000000002</v>
      </c>
      <c r="E63" s="35">
        <f t="shared" ref="E63" si="302">(_xlfn.STDEV.S(C63:C64)/SQRT(2))/D63</f>
        <v>6.5759430084939311E-3</v>
      </c>
      <c r="F63" s="36">
        <f t="shared" ref="F63" si="303">(19.06875-D63)/19.06875</f>
        <v>0.42581448705342506</v>
      </c>
      <c r="G63" s="36">
        <f t="shared" ref="G63" si="304">(F63/0.5)*(4/0.01)</f>
        <v>340.65158964274008</v>
      </c>
      <c r="H63" s="33">
        <f t="shared" ref="H63" si="305">G63/B63</f>
        <v>148.43206520380829</v>
      </c>
      <c r="I63" s="33">
        <f>AVERAGE(H65:H68)</f>
        <v>85.719729966479093</v>
      </c>
      <c r="J63" s="34">
        <f>(_xlfn.STDEV.S(H65:H68)/SQRT(2))/I63</f>
        <v>9.4367719844289127E-2</v>
      </c>
      <c r="K63" s="36">
        <v>7.5449999999999999</v>
      </c>
      <c r="L63" s="5">
        <v>7.7461000000000002</v>
      </c>
      <c r="M63" s="36">
        <f t="shared" ref="M63" si="306">AVERAGE(L63:L64)</f>
        <v>7.1951000000000001</v>
      </c>
      <c r="N63" s="35">
        <f t="shared" ref="N63" si="307">(_xlfn.STDEV.S(L63:L64)/SQRT(2))/M63</f>
        <v>7.6579894650526059E-2</v>
      </c>
      <c r="O63" s="36">
        <f t="shared" ref="O63" si="308">(19.06875-M63)/19.06875</f>
        <v>0.62267584398557851</v>
      </c>
      <c r="P63" s="36">
        <f t="shared" ref="P63" si="309">(O63/0.5)*(4/0.01)</f>
        <v>498.14067518846281</v>
      </c>
      <c r="Q63" s="33">
        <f t="shared" ref="Q63" si="310">P63/K63</f>
        <v>66.022620965999053</v>
      </c>
      <c r="R63" s="33">
        <f t="shared" ref="R63" si="311">AVERAGE(Q63:Q68)</f>
        <v>61.255258488395327</v>
      </c>
      <c r="S63" s="34">
        <f t="shared" ref="S63" si="312">(_xlfn.STDEV.S(Q63:Q68)/SQRT(3))/R63</f>
        <v>5.2880511325054953E-2</v>
      </c>
    </row>
    <row r="64" spans="1:19" x14ac:dyDescent="0.35">
      <c r="A64" s="37"/>
      <c r="B64" s="38"/>
      <c r="C64" s="5">
        <v>11.021000000000001</v>
      </c>
      <c r="D64" s="36"/>
      <c r="E64" s="35"/>
      <c r="F64" s="36"/>
      <c r="G64" s="36"/>
      <c r="H64" s="33"/>
      <c r="I64" s="33"/>
      <c r="J64" s="34"/>
      <c r="K64" s="36"/>
      <c r="L64" s="5">
        <v>6.6440999999999999</v>
      </c>
      <c r="M64" s="36"/>
      <c r="N64" s="35"/>
      <c r="O64" s="36"/>
      <c r="P64" s="36"/>
      <c r="Q64" s="33"/>
      <c r="R64" s="33"/>
      <c r="S64" s="34"/>
    </row>
    <row r="65" spans="1:19" x14ac:dyDescent="0.35">
      <c r="A65" s="37">
        <v>32</v>
      </c>
      <c r="B65" s="38">
        <v>4.74</v>
      </c>
      <c r="C65" s="5">
        <v>8.0896000000000008</v>
      </c>
      <c r="D65" s="36">
        <f t="shared" ref="D65" si="313">AVERAGE(C65:C66)</f>
        <v>8.4700000000000006</v>
      </c>
      <c r="E65" s="35">
        <f t="shared" ref="E65" si="314">(_xlfn.STDEV.S(C65:C66)/SQRT(2))/D65</f>
        <v>4.4911452184179433E-2</v>
      </c>
      <c r="F65" s="36">
        <f t="shared" ref="F65" si="315">(19.06875-D65)/19.06875</f>
        <v>0.55581776466732213</v>
      </c>
      <c r="G65" s="36">
        <f t="shared" ref="G65" si="316">(F65/0.5)*(4/0.01)</f>
        <v>444.65421173385772</v>
      </c>
      <c r="H65" s="33">
        <f t="shared" si="108"/>
        <v>93.808905429083907</v>
      </c>
      <c r="I65" s="33"/>
      <c r="J65" s="34"/>
      <c r="K65" s="36">
        <v>9.5549999999999997</v>
      </c>
      <c r="L65" s="5">
        <v>5.0769000000000002</v>
      </c>
      <c r="M65" s="36">
        <f t="shared" ref="M65" si="317">AVERAGE(L65:L66)</f>
        <v>4.7953999999999999</v>
      </c>
      <c r="N65" s="35">
        <f t="shared" ref="N65" si="318">(_xlfn.STDEV.S(L65:L66)/SQRT(2))/M65</f>
        <v>5.8702089502439894E-2</v>
      </c>
      <c r="O65" s="36">
        <f t="shared" ref="O65" si="319">(19.06875-M65)/19.06875</f>
        <v>0.74852048508685676</v>
      </c>
      <c r="P65" s="36">
        <f t="shared" ref="P65" si="320">(O65/0.5)*(4/0.01)</f>
        <v>598.81638806948536</v>
      </c>
      <c r="Q65" s="33">
        <f t="shared" ref="Q65" si="321">P65/K65</f>
        <v>62.670474941861372</v>
      </c>
      <c r="R65" s="33"/>
      <c r="S65" s="34"/>
    </row>
    <row r="66" spans="1:19" x14ac:dyDescent="0.35">
      <c r="A66" s="37"/>
      <c r="B66" s="38"/>
      <c r="C66" s="5">
        <v>8.8504000000000005</v>
      </c>
      <c r="D66" s="36"/>
      <c r="E66" s="35"/>
      <c r="F66" s="36"/>
      <c r="G66" s="36"/>
      <c r="H66" s="33"/>
      <c r="I66" s="33"/>
      <c r="J66" s="34"/>
      <c r="K66" s="36"/>
      <c r="L66" s="5">
        <v>4.5138999999999996</v>
      </c>
      <c r="M66" s="36"/>
      <c r="N66" s="35"/>
      <c r="O66" s="36"/>
      <c r="P66" s="36"/>
      <c r="Q66" s="33"/>
      <c r="R66" s="33"/>
      <c r="S66" s="34"/>
    </row>
    <row r="67" spans="1:19" x14ac:dyDescent="0.35">
      <c r="A67" s="37">
        <v>33</v>
      </c>
      <c r="B67" s="38">
        <v>5.415</v>
      </c>
      <c r="C67" s="5">
        <v>8.8249999999999993</v>
      </c>
      <c r="D67" s="36">
        <f t="shared" ref="D67" si="322">AVERAGE(C67:C68)</f>
        <v>9.0488499999999998</v>
      </c>
      <c r="E67" s="35">
        <f t="shared" ref="E67" si="323">(_xlfn.STDEV.S(C67:C68)/SQRT(2))/D67</f>
        <v>2.4737950126259199E-2</v>
      </c>
      <c r="F67" s="36">
        <f t="shared" ref="F67" si="324">(19.06875-D67)/19.06875</f>
        <v>0.52546181579809903</v>
      </c>
      <c r="G67" s="36">
        <f t="shared" ref="G67" si="325">(F67/0.5)*(4/0.01)</f>
        <v>420.36945263847923</v>
      </c>
      <c r="H67" s="33">
        <f t="shared" si="118"/>
        <v>77.630554503874279</v>
      </c>
      <c r="I67" s="33"/>
      <c r="J67" s="34"/>
      <c r="K67" s="36">
        <v>10.169999999999998</v>
      </c>
      <c r="L67" s="5">
        <v>5.8579999999999997</v>
      </c>
      <c r="M67" s="36">
        <f t="shared" ref="M67" si="326">AVERAGE(L67:L68)</f>
        <v>5.7184999999999997</v>
      </c>
      <c r="N67" s="35">
        <f t="shared" ref="N67" si="327">(_xlfn.STDEV.S(L67:L68)/SQRT(2))/M67</f>
        <v>2.4394509049575932E-2</v>
      </c>
      <c r="O67" s="36">
        <f t="shared" ref="O67" si="328">(19.06875-M67)/19.06875</f>
        <v>0.70011143887250094</v>
      </c>
      <c r="P67" s="36">
        <f t="shared" ref="P67" si="329">(O67/0.5)*(4/0.01)</f>
        <v>560.0891510980008</v>
      </c>
      <c r="Q67" s="33">
        <f t="shared" ref="Q67" si="330">P67/K67</f>
        <v>55.072679557325557</v>
      </c>
      <c r="R67" s="33"/>
      <c r="S67" s="34"/>
    </row>
    <row r="68" spans="1:19" x14ac:dyDescent="0.35">
      <c r="A68" s="37"/>
      <c r="B68" s="38"/>
      <c r="C68" s="5">
        <v>9.2727000000000004</v>
      </c>
      <c r="D68" s="36"/>
      <c r="E68" s="35"/>
      <c r="F68" s="36"/>
      <c r="G68" s="36"/>
      <c r="H68" s="33"/>
      <c r="I68" s="33"/>
      <c r="J68" s="34"/>
      <c r="K68" s="36"/>
      <c r="L68" s="5">
        <v>5.5789999999999997</v>
      </c>
      <c r="M68" s="36"/>
      <c r="N68" s="35"/>
      <c r="O68" s="36"/>
      <c r="P68" s="36"/>
      <c r="Q68" s="33"/>
      <c r="R68" s="33"/>
      <c r="S68" s="34"/>
    </row>
    <row r="69" spans="1:19" x14ac:dyDescent="0.35">
      <c r="A69" s="37">
        <v>34</v>
      </c>
      <c r="B69" s="38">
        <v>5.64</v>
      </c>
      <c r="C69" s="5">
        <v>9.0618999999999996</v>
      </c>
      <c r="D69" s="36">
        <f t="shared" ref="D69" si="331">AVERAGE(C69:C70)</f>
        <v>9.4120500000000007</v>
      </c>
      <c r="E69" s="35">
        <f t="shared" ref="E69" si="332">(_xlfn.STDEV.S(C69:C70)/SQRT(2))/D69</f>
        <v>3.7202309804984054E-2</v>
      </c>
      <c r="F69" s="36">
        <f t="shared" ref="F69" si="333">(19.06875-D69)/19.06875</f>
        <v>0.50641494591937075</v>
      </c>
      <c r="G69" s="36">
        <f t="shared" ref="G69" si="334">(F69/0.5)*(4/0.01)</f>
        <v>405.1319567354966</v>
      </c>
      <c r="H69" s="33">
        <f t="shared" si="128"/>
        <v>71.831907222605778</v>
      </c>
      <c r="I69" s="33">
        <f t="shared" ref="I69" si="335">AVERAGE(H69:H74)</f>
        <v>77.635475836104547</v>
      </c>
      <c r="J69" s="34">
        <f t="shared" ref="J69" si="336">(_xlfn.STDEV.S(H69:H74)/SQRT(3))/I69</f>
        <v>7.2981670542753743E-2</v>
      </c>
      <c r="K69" s="36">
        <v>8.5200000000000014</v>
      </c>
      <c r="L69" s="5">
        <v>6.6036000000000001</v>
      </c>
      <c r="M69" s="36">
        <f t="shared" ref="M69" si="337">AVERAGE(L69:L70)</f>
        <v>6.7963000000000005</v>
      </c>
      <c r="N69" s="35">
        <f t="shared" ref="N69" si="338">(_xlfn.STDEV.S(L69:L70)/SQRT(2))/M69</f>
        <v>2.835366302252694E-2</v>
      </c>
      <c r="O69" s="36">
        <f t="shared" ref="O69" si="339">(19.06875-M69)/19.06875</f>
        <v>0.64358964274008523</v>
      </c>
      <c r="P69" s="36">
        <f t="shared" ref="P69" si="340">(O69/0.5)*(4/0.01)</f>
        <v>514.87171419206823</v>
      </c>
      <c r="Q69" s="33">
        <f t="shared" ref="Q69" si="341">P69/K69</f>
        <v>60.430952369961048</v>
      </c>
      <c r="R69" s="33">
        <f t="shared" ref="R69" si="342">AVERAGE(Q69:Q74)</f>
        <v>59.304841849926156</v>
      </c>
      <c r="S69" s="34">
        <f t="shared" ref="S69" si="343">(_xlfn.STDEV.S(Q69:Q74)/SQRT(3))/R69</f>
        <v>1.5550640903761608E-2</v>
      </c>
    </row>
    <row r="70" spans="1:19" x14ac:dyDescent="0.35">
      <c r="A70" s="37"/>
      <c r="B70" s="38"/>
      <c r="C70" s="5">
        <v>9.7622</v>
      </c>
      <c r="D70" s="36"/>
      <c r="E70" s="35"/>
      <c r="F70" s="36"/>
      <c r="G70" s="36"/>
      <c r="H70" s="33"/>
      <c r="I70" s="33"/>
      <c r="J70" s="34"/>
      <c r="K70" s="36"/>
      <c r="L70" s="5">
        <v>6.9889999999999999</v>
      </c>
      <c r="M70" s="36"/>
      <c r="N70" s="35"/>
      <c r="O70" s="36"/>
      <c r="P70" s="36"/>
      <c r="Q70" s="33"/>
      <c r="R70" s="33"/>
      <c r="S70" s="34"/>
    </row>
    <row r="71" spans="1:19" x14ac:dyDescent="0.35">
      <c r="A71" s="37">
        <v>35</v>
      </c>
      <c r="B71" s="38">
        <v>5.76</v>
      </c>
      <c r="C71" s="5">
        <v>9.0785999999999998</v>
      </c>
      <c r="D71" s="36">
        <f t="shared" ref="D71" si="344">AVERAGE(C71:C72)</f>
        <v>9.1686499999999995</v>
      </c>
      <c r="E71" s="35">
        <f t="shared" ref="E71" si="345">(_xlfn.STDEV.S(C71:C72)/SQRT(2))/D71</f>
        <v>9.8215113457269868E-3</v>
      </c>
      <c r="F71" s="36">
        <f t="shared" ref="F71" si="346">(19.06875-D71)/19.06875</f>
        <v>0.51917928548017045</v>
      </c>
      <c r="G71" s="36">
        <f t="shared" ref="G71" si="347">(F71/0.5)*(4/0.01)</f>
        <v>415.34342838413636</v>
      </c>
      <c r="H71" s="33">
        <f t="shared" si="138"/>
        <v>72.108234094468116</v>
      </c>
      <c r="I71" s="33"/>
      <c r="J71" s="34"/>
      <c r="K71" s="36">
        <v>8.91</v>
      </c>
      <c r="L71" s="5">
        <v>6.1775000000000002</v>
      </c>
      <c r="M71" s="36">
        <f t="shared" ref="M71" si="348">AVERAGE(L71:L72)</f>
        <v>6.3246000000000002</v>
      </c>
      <c r="N71" s="35">
        <f t="shared" ref="N71" si="349">(_xlfn.STDEV.S(L71:L72)/SQRT(2))/M71</f>
        <v>2.3258387882237611E-2</v>
      </c>
      <c r="O71" s="36">
        <f t="shared" ref="O71" si="350">(19.06875-M71)/19.06875</f>
        <v>0.6683264503441495</v>
      </c>
      <c r="P71" s="36">
        <f t="shared" ref="P71" si="351">(O71/0.5)*(4/0.01)</f>
        <v>534.66116027531962</v>
      </c>
      <c r="Q71" s="33">
        <f t="shared" ref="Q71" si="352">P71/K71</f>
        <v>60.006864228430935</v>
      </c>
      <c r="R71" s="33"/>
      <c r="S71" s="34"/>
    </row>
    <row r="72" spans="1:19" x14ac:dyDescent="0.35">
      <c r="A72" s="37"/>
      <c r="B72" s="38"/>
      <c r="C72" s="5">
        <v>9.2586999999999993</v>
      </c>
      <c r="D72" s="36"/>
      <c r="E72" s="35"/>
      <c r="F72" s="36"/>
      <c r="G72" s="36"/>
      <c r="H72" s="33"/>
      <c r="I72" s="33"/>
      <c r="J72" s="34"/>
      <c r="K72" s="36"/>
      <c r="L72" s="5">
        <v>6.4717000000000002</v>
      </c>
      <c r="M72" s="36"/>
      <c r="N72" s="35"/>
      <c r="O72" s="36"/>
      <c r="P72" s="36"/>
      <c r="Q72" s="33"/>
      <c r="R72" s="33"/>
      <c r="S72" s="34"/>
    </row>
    <row r="73" spans="1:19" x14ac:dyDescent="0.35">
      <c r="A73" s="37">
        <v>36</v>
      </c>
      <c r="B73" s="38">
        <v>4.4550000000000001</v>
      </c>
      <c r="C73" s="5">
        <v>9.3828999999999994</v>
      </c>
      <c r="D73" s="36">
        <f t="shared" ref="D73" si="353">AVERAGE(C73:C74)</f>
        <v>9.6214999999999993</v>
      </c>
      <c r="E73" s="35">
        <f t="shared" ref="E73" si="354">(_xlfn.STDEV.S(C73:C74)/SQRT(2))/D73</f>
        <v>2.4798628072545851E-2</v>
      </c>
      <c r="F73" s="36">
        <f t="shared" ref="F73" si="355">(19.06875-D73)/19.06875</f>
        <v>0.4954310062274665</v>
      </c>
      <c r="G73" s="36">
        <f t="shared" ref="G73" si="356">(F73/0.5)*(4/0.01)</f>
        <v>396.3448049819732</v>
      </c>
      <c r="H73" s="33">
        <f t="shared" si="148"/>
        <v>88.966286191239774</v>
      </c>
      <c r="I73" s="33"/>
      <c r="J73" s="34"/>
      <c r="K73" s="36">
        <v>8.8949999999999996</v>
      </c>
      <c r="L73" s="5">
        <v>6.6847000000000003</v>
      </c>
      <c r="M73" s="36">
        <f t="shared" ref="M73" si="357">AVERAGE(L73:L74)</f>
        <v>6.8825000000000003</v>
      </c>
      <c r="N73" s="35">
        <f t="shared" ref="N73" si="358">(_xlfn.STDEV.S(L73:L74)/SQRT(2))/M73</f>
        <v>2.8739556847075909E-2</v>
      </c>
      <c r="O73" s="36">
        <f t="shared" ref="O73" si="359">(19.06875-M73)/19.06875</f>
        <v>0.63906915765322847</v>
      </c>
      <c r="P73" s="36">
        <f t="shared" ref="P73" si="360">(O73/0.5)*(4/0.01)</f>
        <v>511.2553261225828</v>
      </c>
      <c r="Q73" s="33">
        <f t="shared" ref="Q73" si="361">P73/K73</f>
        <v>57.476708951386492</v>
      </c>
      <c r="R73" s="33"/>
      <c r="S73" s="34"/>
    </row>
    <row r="74" spans="1:19" x14ac:dyDescent="0.35">
      <c r="A74" s="37"/>
      <c r="B74" s="38"/>
      <c r="C74" s="5">
        <v>9.8600999999999992</v>
      </c>
      <c r="D74" s="36"/>
      <c r="E74" s="35"/>
      <c r="F74" s="36"/>
      <c r="G74" s="36"/>
      <c r="H74" s="33"/>
      <c r="I74" s="33"/>
      <c r="J74" s="34"/>
      <c r="K74" s="36"/>
      <c r="L74" s="5">
        <v>7.0803000000000003</v>
      </c>
      <c r="M74" s="36"/>
      <c r="N74" s="35"/>
      <c r="O74" s="36"/>
      <c r="P74" s="36"/>
      <c r="Q74" s="33"/>
      <c r="R74" s="33"/>
      <c r="S74" s="34"/>
    </row>
    <row r="75" spans="1:19" x14ac:dyDescent="0.35">
      <c r="A75" s="37">
        <v>37</v>
      </c>
      <c r="B75" s="38">
        <v>6.7650000000000006</v>
      </c>
      <c r="C75" s="5">
        <v>8.7143999999999995</v>
      </c>
      <c r="D75" s="36">
        <f t="shared" ref="D75" si="362">AVERAGE(C75:C76)</f>
        <v>8.7143999999999995</v>
      </c>
      <c r="E75" s="35">
        <f t="shared" ref="E75" si="363">(_xlfn.STDEV.S(C75:C76)/SQRT(2))/D75</f>
        <v>0</v>
      </c>
      <c r="F75" s="36">
        <f t="shared" ref="F75" si="364">(19.06875-D75)/19.06875</f>
        <v>0.54300098328416924</v>
      </c>
      <c r="G75" s="36">
        <f t="shared" ref="G75" si="365">(F75/0.5)*(4/0.01)</f>
        <v>434.40078662733538</v>
      </c>
      <c r="H75" s="33">
        <f t="shared" si="158"/>
        <v>64.212976589406551</v>
      </c>
      <c r="I75" s="33">
        <f t="shared" ref="I75" si="366">AVERAGE(H75:H80)</f>
        <v>73.057589453994481</v>
      </c>
      <c r="J75" s="34">
        <f t="shared" ref="J75" si="367">(_xlfn.STDEV.S(H75:H80)/SQRT(3))/I75</f>
        <v>7.7889975405260242E-2</v>
      </c>
      <c r="K75" s="36">
        <v>10.5</v>
      </c>
      <c r="L75" s="5">
        <v>5.8935000000000004</v>
      </c>
      <c r="M75" s="36">
        <f t="shared" ref="M75" si="368">AVERAGE(L75:L76)</f>
        <v>5.4674500000000004</v>
      </c>
      <c r="N75" s="35">
        <f t="shared" ref="N75" si="369">(_xlfn.STDEV.S(L75:L76)/SQRT(2))/M75</f>
        <v>7.7924809554728428E-2</v>
      </c>
      <c r="O75" s="36">
        <f t="shared" ref="O75" si="370">(19.06875-M75)/19.06875</f>
        <v>0.7132769583743036</v>
      </c>
      <c r="P75" s="36">
        <f t="shared" ref="P75" si="371">(O75/0.5)*(4/0.01)</f>
        <v>570.62156669944284</v>
      </c>
      <c r="Q75" s="33">
        <f t="shared" ref="Q75" si="372">P75/K75</f>
        <v>54.344911114232652</v>
      </c>
      <c r="R75" s="33">
        <f t="shared" ref="R75" si="373">AVERAGE(Q75:Q80)</f>
        <v>53.261655504184546</v>
      </c>
      <c r="S75" s="34">
        <f t="shared" ref="S75" si="374">(_xlfn.STDEV.S(Q75:Q80)/SQRT(3))/R75</f>
        <v>3.5841737063498469E-2</v>
      </c>
    </row>
    <row r="76" spans="1:19" x14ac:dyDescent="0.35">
      <c r="A76" s="37"/>
      <c r="B76" s="38"/>
      <c r="C76" s="5">
        <v>8.7143999999999995</v>
      </c>
      <c r="D76" s="36"/>
      <c r="E76" s="35"/>
      <c r="F76" s="36"/>
      <c r="G76" s="36"/>
      <c r="H76" s="33"/>
      <c r="I76" s="33"/>
      <c r="J76" s="34"/>
      <c r="K76" s="36"/>
      <c r="L76" s="5">
        <v>5.0414000000000003</v>
      </c>
      <c r="M76" s="36"/>
      <c r="N76" s="35"/>
      <c r="O76" s="36"/>
      <c r="P76" s="36"/>
      <c r="Q76" s="33"/>
      <c r="R76" s="33"/>
      <c r="S76" s="34"/>
    </row>
    <row r="77" spans="1:19" x14ac:dyDescent="0.35">
      <c r="A77" s="37">
        <v>38</v>
      </c>
      <c r="B77" s="38">
        <v>5.1150000000000002</v>
      </c>
      <c r="C77" s="5">
        <v>8.9370999999999992</v>
      </c>
      <c r="D77" s="36">
        <f t="shared" ref="D77" si="375">AVERAGE(C77:C78)</f>
        <v>8.8660999999999994</v>
      </c>
      <c r="E77" s="35">
        <f t="shared" ref="E77" si="376">(_xlfn.STDEV.S(C77:C78)/SQRT(2))/D77</f>
        <v>8.0080305884210352E-3</v>
      </c>
      <c r="F77" s="36">
        <f t="shared" ref="F77" si="377">(19.06875-D77)/19.06875</f>
        <v>0.53504555883316951</v>
      </c>
      <c r="G77" s="36">
        <f t="shared" ref="G77" si="378">(F77/0.5)*(4/0.01)</f>
        <v>428.03644706653563</v>
      </c>
      <c r="H77" s="33">
        <f t="shared" si="168"/>
        <v>83.682589846830027</v>
      </c>
      <c r="I77" s="33"/>
      <c r="J77" s="34"/>
      <c r="K77" s="36">
        <v>8.8650000000000002</v>
      </c>
      <c r="L77" s="5">
        <v>7.5944000000000003</v>
      </c>
      <c r="M77" s="36">
        <f t="shared" ref="M77" si="379">AVERAGE(L77:L78)</f>
        <v>7.25875</v>
      </c>
      <c r="N77" s="35">
        <f t="shared" ref="N77" si="380">(_xlfn.STDEV.S(L77:L78)/SQRT(2))/M77</f>
        <v>4.6240743929740001E-2</v>
      </c>
      <c r="O77" s="36">
        <f t="shared" ref="O77" si="381">(19.06875-M77)/19.06875</f>
        <v>0.61933792199278936</v>
      </c>
      <c r="P77" s="36">
        <f t="shared" ref="P77" si="382">(O77/0.5)*(4/0.01)</f>
        <v>495.47033759423147</v>
      </c>
      <c r="Q77" s="33">
        <f t="shared" ref="Q77" si="383">P77/K77</f>
        <v>55.890619017961811</v>
      </c>
      <c r="R77" s="33"/>
      <c r="S77" s="34"/>
    </row>
    <row r="78" spans="1:19" x14ac:dyDescent="0.35">
      <c r="A78" s="37"/>
      <c r="B78" s="38"/>
      <c r="C78" s="5">
        <v>8.7950999999999997</v>
      </c>
      <c r="D78" s="36"/>
      <c r="E78" s="35"/>
      <c r="F78" s="36"/>
      <c r="G78" s="36"/>
      <c r="H78" s="33"/>
      <c r="I78" s="33"/>
      <c r="J78" s="34"/>
      <c r="K78" s="36"/>
      <c r="L78" s="5">
        <v>6.9230999999999998</v>
      </c>
      <c r="M78" s="36"/>
      <c r="N78" s="35"/>
      <c r="O78" s="36"/>
      <c r="P78" s="36"/>
      <c r="Q78" s="33"/>
      <c r="R78" s="33"/>
      <c r="S78" s="34"/>
    </row>
    <row r="79" spans="1:19" x14ac:dyDescent="0.35">
      <c r="A79" s="37">
        <v>39</v>
      </c>
      <c r="B79" s="38">
        <v>5.2350000000000003</v>
      </c>
      <c r="C79" s="5">
        <v>9.6083999999999996</v>
      </c>
      <c r="D79" s="36">
        <f t="shared" ref="D79" si="384">AVERAGE(C79:C80)</f>
        <v>10.1747</v>
      </c>
      <c r="E79" s="35">
        <f t="shared" ref="E79" si="385">(_xlfn.STDEV.S(C79:C80)/SQRT(2))/D79</f>
        <v>5.5657660668127801E-2</v>
      </c>
      <c r="F79" s="36">
        <f t="shared" ref="F79" si="386">(19.06875-D79)/19.06875</f>
        <v>0.46642019010160607</v>
      </c>
      <c r="G79" s="36">
        <f t="shared" ref="G79" si="387">(F79/0.5)*(4/0.01)</f>
        <v>373.13615208128488</v>
      </c>
      <c r="H79" s="33">
        <f t="shared" si="178"/>
        <v>71.277201925746866</v>
      </c>
      <c r="I79" s="33"/>
      <c r="J79" s="34"/>
      <c r="K79" s="36">
        <v>10.215</v>
      </c>
      <c r="L79" s="5">
        <v>6.1877000000000004</v>
      </c>
      <c r="M79" s="36">
        <f t="shared" ref="M79" si="388">AVERAGE(L79:L80)</f>
        <v>7.0042500000000008</v>
      </c>
      <c r="N79" s="35">
        <f t="shared" ref="N79" si="389">(_xlfn.STDEV.S(L79:L80)/SQRT(2))/M79</f>
        <v>0.1165792197594316</v>
      </c>
      <c r="O79" s="36">
        <f t="shared" ref="O79" si="390">(19.06875-M79)/19.06875</f>
        <v>0.63268436578171094</v>
      </c>
      <c r="P79" s="36">
        <f t="shared" ref="P79" si="391">(O79/0.5)*(4/0.01)</f>
        <v>506.14749262536873</v>
      </c>
      <c r="Q79" s="33">
        <f t="shared" ref="Q79" si="392">P79/K79</f>
        <v>49.549436380359154</v>
      </c>
      <c r="R79" s="33"/>
      <c r="S79" s="34"/>
    </row>
    <row r="80" spans="1:19" x14ac:dyDescent="0.35">
      <c r="A80" s="37"/>
      <c r="B80" s="38"/>
      <c r="C80" s="5">
        <v>10.741</v>
      </c>
      <c r="D80" s="36"/>
      <c r="E80" s="35"/>
      <c r="F80" s="36"/>
      <c r="G80" s="36"/>
      <c r="H80" s="33"/>
      <c r="I80" s="33"/>
      <c r="J80" s="34"/>
      <c r="K80" s="36"/>
      <c r="L80" s="5">
        <v>7.8208000000000002</v>
      </c>
      <c r="M80" s="36"/>
      <c r="N80" s="35"/>
      <c r="O80" s="36"/>
      <c r="P80" s="36"/>
      <c r="Q80" s="33"/>
      <c r="R80" s="33"/>
      <c r="S80" s="34"/>
    </row>
    <row r="81" spans="1:19" x14ac:dyDescent="0.35">
      <c r="A81" s="37">
        <v>40</v>
      </c>
      <c r="B81" s="38">
        <v>6.15</v>
      </c>
      <c r="C81" s="5">
        <v>9.8600999999999992</v>
      </c>
      <c r="D81" s="36">
        <f t="shared" ref="D81" si="393">AVERAGE(C81:C82)</f>
        <v>9.7067999999999994</v>
      </c>
      <c r="E81" s="35">
        <f t="shared" ref="E81" si="394">(_xlfn.STDEV.S(C81:C82)/SQRT(2))/D81</f>
        <v>1.5793052293237707E-2</v>
      </c>
      <c r="F81" s="36">
        <f t="shared" ref="F81" si="395">(19.06875-D81)/19.06875</f>
        <v>0.49095771878072769</v>
      </c>
      <c r="G81" s="36">
        <f t="shared" ref="G81" si="396">(F81/0.5)*(4/0.01)</f>
        <v>392.76617502458214</v>
      </c>
      <c r="H81" s="33">
        <f t="shared" si="192"/>
        <v>63.864418703184086</v>
      </c>
      <c r="I81" s="33">
        <f t="shared" ref="I81" si="397">AVERAGE(H81:H86)</f>
        <v>78.750395255285909</v>
      </c>
      <c r="J81" s="34">
        <f t="shared" ref="J81" si="398">(_xlfn.STDEV.S(H81:H86)/SQRT(3))/I81</f>
        <v>0.14770628133287697</v>
      </c>
      <c r="K81" s="36">
        <v>9.09</v>
      </c>
      <c r="L81" s="5">
        <v>7.5773000000000001</v>
      </c>
      <c r="M81" s="36">
        <f t="shared" ref="M81" si="399">AVERAGE(L81:L82)</f>
        <v>8.3765499999999999</v>
      </c>
      <c r="N81" s="35">
        <f t="shared" ref="N81" si="400">(_xlfn.STDEV.S(L81:L82)/SQRT(2))/M81</f>
        <v>9.5415176892634818E-2</v>
      </c>
      <c r="O81" s="36">
        <f t="shared" ref="O81" si="401">(19.06875-M81)/19.06875</f>
        <v>0.56071845296624057</v>
      </c>
      <c r="P81" s="36">
        <f t="shared" ref="P81" si="402">(O81/0.5)*(4/0.01)</f>
        <v>448.57476237299244</v>
      </c>
      <c r="Q81" s="33">
        <f t="shared" ref="Q81" si="403">P81/K81</f>
        <v>49.348158676896858</v>
      </c>
      <c r="R81" s="33">
        <f t="shared" ref="R81" si="404">AVERAGE(Q81:Q86)</f>
        <v>50.206002966995378</v>
      </c>
      <c r="S81" s="34">
        <f t="shared" ref="S81" si="405">(_xlfn.STDEV.S(Q81:Q86)/SQRT(3))/R81</f>
        <v>2.8982039726367523E-2</v>
      </c>
    </row>
    <row r="82" spans="1:19" x14ac:dyDescent="0.35">
      <c r="A82" s="37"/>
      <c r="B82" s="38"/>
      <c r="C82" s="5">
        <v>9.5534999999999997</v>
      </c>
      <c r="D82" s="36"/>
      <c r="E82" s="35"/>
      <c r="F82" s="36"/>
      <c r="G82" s="36"/>
      <c r="H82" s="33"/>
      <c r="I82" s="33"/>
      <c r="J82" s="34"/>
      <c r="K82" s="36"/>
      <c r="L82" s="5">
        <v>9.1758000000000006</v>
      </c>
      <c r="M82" s="36"/>
      <c r="N82" s="35"/>
      <c r="O82" s="36"/>
      <c r="P82" s="36"/>
      <c r="Q82" s="33"/>
      <c r="R82" s="33"/>
      <c r="S82" s="34"/>
    </row>
    <row r="83" spans="1:19" x14ac:dyDescent="0.35">
      <c r="A83" s="37">
        <v>41</v>
      </c>
      <c r="B83" s="38">
        <v>7.1549999999999994</v>
      </c>
      <c r="C83" s="5">
        <v>5.9543999999999997</v>
      </c>
      <c r="D83" s="36">
        <f t="shared" ref="D83" si="406">AVERAGE(C83:C84)</f>
        <v>7.0092999999999996</v>
      </c>
      <c r="E83" s="35">
        <f t="shared" ref="E83" si="407">(_xlfn.STDEV.S(C83:C84)/SQRT(2))/D83</f>
        <v>0.15050004993365962</v>
      </c>
      <c r="F83" s="36">
        <f t="shared" ref="F83" si="408">(19.06875-D83)/19.06875</f>
        <v>0.63241953457882671</v>
      </c>
      <c r="G83" s="36">
        <f t="shared" ref="G83" si="409">(F83/0.5)*(4/0.01)</f>
        <v>505.93562766306138</v>
      </c>
      <c r="H83" s="33">
        <f t="shared" ref="H83" si="410">G83/B83</f>
        <v>70.710779547597681</v>
      </c>
      <c r="I83" s="33"/>
      <c r="J83" s="34"/>
      <c r="K83" s="36">
        <v>9.5400000000000009</v>
      </c>
      <c r="L83" s="5">
        <v>7.1329000000000002</v>
      </c>
      <c r="M83" s="36">
        <f t="shared" ref="M83" si="411">AVERAGE(L83:L84)</f>
        <v>7.0069999999999997</v>
      </c>
      <c r="N83" s="35">
        <f t="shared" ref="N83" si="412">(_xlfn.STDEV.S(L83:L84)/SQRT(2))/M83</f>
        <v>1.7967746539175124E-2</v>
      </c>
      <c r="O83" s="36">
        <f t="shared" ref="O83" si="413">(19.06875-M83)/19.06875</f>
        <v>0.63254015077023928</v>
      </c>
      <c r="P83" s="36">
        <f t="shared" ref="P83" si="414">(O83/0.5)*(4/0.01)</f>
        <v>506.03212061619143</v>
      </c>
      <c r="Q83" s="33">
        <f t="shared" ref="Q83" si="415">P83/K83</f>
        <v>53.043199226015865</v>
      </c>
      <c r="R83" s="33"/>
      <c r="S83" s="34"/>
    </row>
    <row r="84" spans="1:19" x14ac:dyDescent="0.35">
      <c r="A84" s="37"/>
      <c r="B84" s="38"/>
      <c r="C84" s="5">
        <v>8.0641999999999996</v>
      </c>
      <c r="D84" s="36"/>
      <c r="E84" s="35"/>
      <c r="F84" s="36"/>
      <c r="G84" s="36"/>
      <c r="H84" s="33"/>
      <c r="I84" s="33"/>
      <c r="J84" s="34"/>
      <c r="K84" s="36"/>
      <c r="L84" s="5">
        <v>6.8811</v>
      </c>
      <c r="M84" s="36"/>
      <c r="N84" s="35"/>
      <c r="O84" s="36"/>
      <c r="P84" s="36"/>
      <c r="Q84" s="33"/>
      <c r="R84" s="33"/>
      <c r="S84" s="34"/>
    </row>
    <row r="85" spans="1:19" x14ac:dyDescent="0.35">
      <c r="A85" s="37">
        <v>42</v>
      </c>
      <c r="B85" s="38">
        <v>3.8250000000000002</v>
      </c>
      <c r="C85" s="5">
        <v>8.5594000000000001</v>
      </c>
      <c r="D85" s="36">
        <f t="shared" ref="D85" si="416">AVERAGE(C85:C86)</f>
        <v>9.7987000000000002</v>
      </c>
      <c r="E85" s="35">
        <f t="shared" ref="E85" si="417">(_xlfn.STDEV.S(C85:C86)/SQRT(2))/D85</f>
        <v>0.12647596109687995</v>
      </c>
      <c r="F85" s="36">
        <f t="shared" ref="F85" si="418">(19.06875-D85)/19.06875</f>
        <v>0.4861383153064569</v>
      </c>
      <c r="G85" s="36">
        <f t="shared" ref="G85" si="419">(F85/0.5)*(4/0.01)</f>
        <v>388.91065224516552</v>
      </c>
      <c r="H85" s="33">
        <f t="shared" si="108"/>
        <v>101.67598751507595</v>
      </c>
      <c r="I85" s="33"/>
      <c r="J85" s="34"/>
      <c r="K85" s="36">
        <v>9.8399999999999981</v>
      </c>
      <c r="L85" s="5">
        <v>7.9301000000000004</v>
      </c>
      <c r="M85" s="36">
        <f t="shared" ref="M85" si="420">AVERAGE(L85:L86)</f>
        <v>7.7574000000000005</v>
      </c>
      <c r="N85" s="35">
        <f t="shared" ref="N85" si="421">(_xlfn.STDEV.S(L85:L86)/SQRT(2))/M85</f>
        <v>2.2262613762343085E-2</v>
      </c>
      <c r="O85" s="36">
        <f t="shared" ref="O85" si="422">(19.06875-M85)/19.06875</f>
        <v>0.59318780727630283</v>
      </c>
      <c r="P85" s="36">
        <f t="shared" ref="P85" si="423">(O85/0.5)*(4/0.01)</f>
        <v>474.55024582104227</v>
      </c>
      <c r="Q85" s="33">
        <f t="shared" ref="Q85" si="424">P85/K85</f>
        <v>48.22665099807341</v>
      </c>
      <c r="R85" s="33"/>
      <c r="S85" s="34"/>
    </row>
    <row r="86" spans="1:19" x14ac:dyDescent="0.35">
      <c r="A86" s="37"/>
      <c r="B86" s="38"/>
      <c r="C86" s="5">
        <v>11.038</v>
      </c>
      <c r="D86" s="36"/>
      <c r="E86" s="35"/>
      <c r="F86" s="36"/>
      <c r="G86" s="36"/>
      <c r="H86" s="33"/>
      <c r="I86" s="33"/>
      <c r="J86" s="34"/>
      <c r="K86" s="36"/>
      <c r="L86" s="5">
        <v>7.5846999999999998</v>
      </c>
      <c r="M86" s="36"/>
      <c r="N86" s="35"/>
      <c r="O86" s="36"/>
      <c r="P86" s="36"/>
      <c r="Q86" s="33"/>
      <c r="R86" s="33"/>
      <c r="S86" s="34"/>
    </row>
    <row r="87" spans="1:19" x14ac:dyDescent="0.35">
      <c r="A87" s="37">
        <v>43</v>
      </c>
      <c r="B87" s="38">
        <v>8.3249999999999993</v>
      </c>
      <c r="C87" s="5" t="s">
        <v>1</v>
      </c>
      <c r="D87" s="36">
        <f t="shared" ref="D87" si="425">AVERAGE(C87:C88)</f>
        <v>8.4954000000000001</v>
      </c>
      <c r="E87" s="35" t="e">
        <f t="shared" ref="E87" si="426">(_xlfn.STDEV.S(C87:C88)/SQRT(2))/D87</f>
        <v>#DIV/0!</v>
      </c>
      <c r="F87" s="36">
        <f t="shared" ref="F87" si="427">(19.06875-D87)/19.06875</f>
        <v>0.55448574237954773</v>
      </c>
      <c r="G87" s="36">
        <f t="shared" ref="G87" si="428">(F87/0.5)*(4/0.01)</f>
        <v>443.58859390363818</v>
      </c>
      <c r="H87" s="33">
        <f t="shared" si="118"/>
        <v>53.283915183620209</v>
      </c>
      <c r="I87" s="33">
        <f t="shared" ref="I87" si="429">AVERAGE(H87:H92)</f>
        <v>64.35214541956752</v>
      </c>
      <c r="J87" s="34">
        <f t="shared" ref="J87" si="430">(_xlfn.STDEV.S(H87:H92)/SQRT(3))/I87</f>
        <v>9.2726962638143909E-2</v>
      </c>
      <c r="K87" s="36">
        <v>12.375</v>
      </c>
      <c r="L87" s="5">
        <v>6.8811</v>
      </c>
      <c r="M87" s="36">
        <f t="shared" ref="M87" si="431">AVERAGE(L87:L88)</f>
        <v>6.4076000000000004</v>
      </c>
      <c r="N87" s="35">
        <f t="shared" ref="N87" si="432">(_xlfn.STDEV.S(L87:L88)/SQRT(2))/M87</f>
        <v>7.3896622760471931E-2</v>
      </c>
      <c r="O87" s="36">
        <f t="shared" ref="O87" si="433">(19.06875-M87)/19.06875</f>
        <v>0.66397377908882338</v>
      </c>
      <c r="P87" s="36">
        <f t="shared" ref="P87" si="434">(O87/0.5)*(4/0.01)</f>
        <v>531.17902327105867</v>
      </c>
      <c r="Q87" s="33">
        <f t="shared" ref="Q87" si="435">P87/K87</f>
        <v>42.923557436045144</v>
      </c>
      <c r="R87" s="33">
        <f t="shared" ref="R87" si="436">AVERAGE(Q87:Q92)</f>
        <v>49.674086676312406</v>
      </c>
      <c r="S87" s="34">
        <f t="shared" ref="S87" si="437">(_xlfn.STDEV.S(Q87:Q92)/SQRT(3))/R87</f>
        <v>0.14021474769479711</v>
      </c>
    </row>
    <row r="88" spans="1:19" x14ac:dyDescent="0.35">
      <c r="A88" s="37"/>
      <c r="B88" s="38"/>
      <c r="C88" s="5">
        <v>8.4954000000000001</v>
      </c>
      <c r="D88" s="36"/>
      <c r="E88" s="35"/>
      <c r="F88" s="36"/>
      <c r="G88" s="36"/>
      <c r="H88" s="33"/>
      <c r="I88" s="33"/>
      <c r="J88" s="34"/>
      <c r="K88" s="36"/>
      <c r="L88" s="5">
        <v>5.9340999999999999</v>
      </c>
      <c r="M88" s="36"/>
      <c r="N88" s="35"/>
      <c r="O88" s="36"/>
      <c r="P88" s="36"/>
      <c r="Q88" s="33"/>
      <c r="R88" s="33"/>
      <c r="S88" s="34"/>
    </row>
    <row r="89" spans="1:19" x14ac:dyDescent="0.35">
      <c r="A89" s="37">
        <v>44</v>
      </c>
      <c r="B89" s="38">
        <v>5.8650000000000002</v>
      </c>
      <c r="C89" s="5">
        <v>9.6083999999999996</v>
      </c>
      <c r="D89" s="36">
        <f t="shared" ref="D89" si="438">AVERAGE(C89:C90)</f>
        <v>9.8391999999999999</v>
      </c>
      <c r="E89" s="35">
        <f t="shared" ref="E89" si="439">(_xlfn.STDEV.S(C89:C90)/SQRT(2))/D89</f>
        <v>2.3457191641596913E-2</v>
      </c>
      <c r="F89" s="36">
        <f t="shared" ref="F89" si="440">(19.06875-D89)/19.06875</f>
        <v>0.48401442150114721</v>
      </c>
      <c r="G89" s="36">
        <f t="shared" ref="G89" si="441">(F89/0.5)*(4/0.01)</f>
        <v>387.21153720091775</v>
      </c>
      <c r="H89" s="33">
        <f t="shared" si="128"/>
        <v>66.020722455399437</v>
      </c>
      <c r="I89" s="33"/>
      <c r="J89" s="34"/>
      <c r="K89" s="36">
        <v>8.49</v>
      </c>
      <c r="L89" s="5">
        <v>6.7455999999999996</v>
      </c>
      <c r="M89" s="36">
        <f t="shared" ref="M89" si="442">AVERAGE(L89:L90)</f>
        <v>6.1978</v>
      </c>
      <c r="N89" s="35">
        <f t="shared" ref="N89" si="443">(_xlfn.STDEV.S(L89:L90)/SQRT(2))/M89</f>
        <v>8.8386201555390551E-2</v>
      </c>
      <c r="O89" s="36">
        <f t="shared" ref="O89" si="444">(19.06875-M89)/19.06875</f>
        <v>0.67497607341855126</v>
      </c>
      <c r="P89" s="36">
        <f t="shared" ref="P89" si="445">(O89/0.5)*(4/0.01)</f>
        <v>539.98085873484104</v>
      </c>
      <c r="Q89" s="33">
        <f t="shared" ref="Q89" si="446">P89/K89</f>
        <v>63.601985716706835</v>
      </c>
      <c r="R89" s="33"/>
      <c r="S89" s="34"/>
    </row>
    <row r="90" spans="1:19" x14ac:dyDescent="0.35">
      <c r="A90" s="37"/>
      <c r="B90" s="38"/>
      <c r="C90" s="5">
        <v>10.07</v>
      </c>
      <c r="D90" s="36"/>
      <c r="E90" s="35"/>
      <c r="F90" s="36"/>
      <c r="G90" s="36"/>
      <c r="H90" s="33"/>
      <c r="I90" s="33"/>
      <c r="J90" s="34"/>
      <c r="K90" s="36"/>
      <c r="L90" s="5">
        <v>5.65</v>
      </c>
      <c r="M90" s="36"/>
      <c r="N90" s="35"/>
      <c r="O90" s="36"/>
      <c r="P90" s="36"/>
      <c r="Q90" s="33"/>
      <c r="R90" s="33"/>
      <c r="S90" s="34"/>
    </row>
    <row r="91" spans="1:19" x14ac:dyDescent="0.35">
      <c r="A91" s="37">
        <v>45</v>
      </c>
      <c r="B91" s="38">
        <v>6.3450000000000006</v>
      </c>
      <c r="C91" s="5">
        <v>7.3845999999999998</v>
      </c>
      <c r="D91" s="36">
        <f t="shared" ref="D91" si="447">AVERAGE(C91:C92)</f>
        <v>7.9146000000000001</v>
      </c>
      <c r="E91" s="35">
        <f t="shared" ref="E91" si="448">(_xlfn.STDEV.S(C91:C92)/SQRT(2))/D91</f>
        <v>6.696484977130869E-2</v>
      </c>
      <c r="F91" s="36">
        <f t="shared" ref="F91" si="449">(19.06875-D91)/19.06875</f>
        <v>0.58494395280235989</v>
      </c>
      <c r="G91" s="36">
        <f t="shared" ref="G91" si="450">(F91/0.5)*(4/0.01)</f>
        <v>467.95516224188793</v>
      </c>
      <c r="H91" s="33">
        <f t="shared" si="138"/>
        <v>73.751798619682887</v>
      </c>
      <c r="I91" s="33"/>
      <c r="J91" s="34"/>
      <c r="K91" s="36">
        <v>10.41</v>
      </c>
      <c r="L91" s="5">
        <v>8.2367000000000008</v>
      </c>
      <c r="M91" s="36">
        <f t="shared" ref="M91" si="451">AVERAGE(L91:L92)</f>
        <v>8.5239499999999992</v>
      </c>
      <c r="N91" s="35">
        <f t="shared" ref="N91" si="452">(_xlfn.STDEV.S(L91:L92)/SQRT(2))/M91</f>
        <v>3.3699165293085878E-2</v>
      </c>
      <c r="O91" s="36">
        <f t="shared" ref="O91" si="453">(19.06875-M91)/19.06875</f>
        <v>0.55298852835136025</v>
      </c>
      <c r="P91" s="36">
        <f t="shared" ref="P91" si="454">(O91/0.5)*(4/0.01)</f>
        <v>442.3908226810882</v>
      </c>
      <c r="Q91" s="33">
        <f t="shared" ref="Q91" si="455">P91/K91</f>
        <v>42.496716876185225</v>
      </c>
      <c r="R91" s="33"/>
      <c r="S91" s="34"/>
    </row>
    <row r="92" spans="1:19" x14ac:dyDescent="0.35">
      <c r="A92" s="37"/>
      <c r="B92" s="38"/>
      <c r="C92" s="5">
        <v>8.4445999999999994</v>
      </c>
      <c r="D92" s="36"/>
      <c r="E92" s="35"/>
      <c r="F92" s="36"/>
      <c r="G92" s="36"/>
      <c r="H92" s="33"/>
      <c r="I92" s="33"/>
      <c r="J92" s="34"/>
      <c r="K92" s="36"/>
      <c r="L92" s="5">
        <v>8.8111999999999995</v>
      </c>
      <c r="M92" s="36"/>
      <c r="N92" s="35"/>
      <c r="O92" s="36"/>
      <c r="P92" s="36"/>
      <c r="Q92" s="33"/>
      <c r="R92" s="33"/>
      <c r="S92" s="34"/>
    </row>
    <row r="93" spans="1:19" x14ac:dyDescent="0.35">
      <c r="A93" s="37">
        <v>46</v>
      </c>
      <c r="B93" s="38">
        <v>7.9949999999999992</v>
      </c>
      <c r="C93" s="5">
        <v>8.7601999999999993</v>
      </c>
      <c r="D93" s="36">
        <f t="shared" ref="D93" si="456">AVERAGE(C93:C94)</f>
        <v>8.805299999999999</v>
      </c>
      <c r="E93" s="35">
        <f t="shared" ref="E93" si="457">(_xlfn.STDEV.S(C93:C94)/SQRT(2))/D93</f>
        <v>5.1219152101575861E-3</v>
      </c>
      <c r="F93" s="36">
        <f t="shared" ref="F93" si="458">(19.06875-D93)/19.06875</f>
        <v>0.53823402163225176</v>
      </c>
      <c r="G93" s="36">
        <f t="shared" ref="G93" si="459">(F93/0.5)*(4/0.01)</f>
        <v>430.5872173058014</v>
      </c>
      <c r="H93" s="33">
        <f t="shared" si="148"/>
        <v>53.857062827492364</v>
      </c>
      <c r="I93" s="33">
        <f t="shared" ref="I93" si="460">AVERAGE(H93:H98)</f>
        <v>59.126426257838851</v>
      </c>
      <c r="J93" s="34">
        <f t="shared" ref="J93" si="461">(_xlfn.STDEV.S(H93:H98)/SQRT(3))/I93</f>
        <v>9.3837570301897252E-2</v>
      </c>
      <c r="K93" s="36">
        <v>9.0150000000000006</v>
      </c>
      <c r="L93" s="5">
        <v>8.4459999999999997</v>
      </c>
      <c r="M93" s="36">
        <f t="shared" ref="M93" si="462">AVERAGE(L93:L94)</f>
        <v>8.41995</v>
      </c>
      <c r="N93" s="35">
        <f t="shared" ref="N93" si="463">(_xlfn.STDEV.S(L93:L94)/SQRT(2))/M93</f>
        <v>3.0938426000154022E-3</v>
      </c>
      <c r="O93" s="36">
        <f t="shared" ref="O93" si="464">(19.06875-M93)/19.06875</f>
        <v>0.55844247787610624</v>
      </c>
      <c r="P93" s="36">
        <f t="shared" ref="P93" si="465">(O93/0.5)*(4/0.01)</f>
        <v>446.75398230088501</v>
      </c>
      <c r="Q93" s="33">
        <f t="shared" ref="Q93" si="466">P93/K93</f>
        <v>49.556736805422631</v>
      </c>
      <c r="R93" s="33">
        <f t="shared" ref="R93" si="467">AVERAGE(Q93:Q98)</f>
        <v>58.809288186357485</v>
      </c>
      <c r="S93" s="34">
        <f t="shared" ref="S93" si="468">(_xlfn.STDEV.S(Q93:Q98)/SQRT(3))/R93</f>
        <v>7.983577340805717E-2</v>
      </c>
    </row>
    <row r="94" spans="1:19" x14ac:dyDescent="0.35">
      <c r="A94" s="37"/>
      <c r="B94" s="38"/>
      <c r="C94" s="5">
        <v>8.8504000000000005</v>
      </c>
      <c r="D94" s="36"/>
      <c r="E94" s="35"/>
      <c r="F94" s="36"/>
      <c r="G94" s="36"/>
      <c r="H94" s="33"/>
      <c r="I94" s="33"/>
      <c r="J94" s="34"/>
      <c r="K94" s="36"/>
      <c r="L94" s="5">
        <v>8.3939000000000004</v>
      </c>
      <c r="M94" s="36"/>
      <c r="N94" s="35"/>
      <c r="O94" s="36"/>
      <c r="P94" s="36"/>
      <c r="Q94" s="33"/>
      <c r="R94" s="33"/>
      <c r="S94" s="34"/>
    </row>
    <row r="95" spans="1:19" x14ac:dyDescent="0.35">
      <c r="A95" s="37">
        <v>47</v>
      </c>
      <c r="B95" s="38">
        <v>6.0600000000000005</v>
      </c>
      <c r="C95" s="5">
        <v>8.6475000000000009</v>
      </c>
      <c r="D95" s="36">
        <f t="shared" ref="D95" si="469">AVERAGE(C95:C96)</f>
        <v>8.9260000000000002</v>
      </c>
      <c r="E95" s="35">
        <f t="shared" ref="E95" si="470">(_xlfn.STDEV.S(C95:C96)/SQRT(2))/D95</f>
        <v>3.1200985883934496E-2</v>
      </c>
      <c r="F95" s="36">
        <f t="shared" ref="F95" si="471">(19.06875-D95)/19.06875</f>
        <v>0.53190429367420522</v>
      </c>
      <c r="G95" s="36">
        <f t="shared" ref="G95" si="472">(F95/0.5)*(4/0.01)</f>
        <v>425.52343493936417</v>
      </c>
      <c r="H95" s="33">
        <f t="shared" si="158"/>
        <v>70.218388603855473</v>
      </c>
      <c r="I95" s="33"/>
      <c r="J95" s="34"/>
      <c r="K95" s="36">
        <v>7.26</v>
      </c>
      <c r="L95" s="5">
        <v>7.6078000000000001</v>
      </c>
      <c r="M95" s="36">
        <f t="shared" ref="M95" si="473">AVERAGE(L95:L96)</f>
        <v>7.8512500000000003</v>
      </c>
      <c r="N95" s="35">
        <f t="shared" ref="N95" si="474">(_xlfn.STDEV.S(L95:L96)/SQRT(2))/M95</f>
        <v>3.1007801305524559E-2</v>
      </c>
      <c r="O95" s="36">
        <f t="shared" ref="O95" si="475">(19.06875-M95)/19.06875</f>
        <v>0.5882661422484432</v>
      </c>
      <c r="P95" s="36">
        <f t="shared" ref="P95" si="476">(O95/0.5)*(4/0.01)</f>
        <v>470.61291379875456</v>
      </c>
      <c r="Q95" s="33">
        <f t="shared" ref="Q95" si="477">P95/K95</f>
        <v>64.822715399277484</v>
      </c>
      <c r="R95" s="33"/>
      <c r="S95" s="34"/>
    </row>
    <row r="96" spans="1:19" x14ac:dyDescent="0.35">
      <c r="A96" s="37"/>
      <c r="B96" s="38"/>
      <c r="C96" s="5">
        <v>9.2044999999999995</v>
      </c>
      <c r="D96" s="36"/>
      <c r="E96" s="35"/>
      <c r="F96" s="36"/>
      <c r="G96" s="36"/>
      <c r="H96" s="33"/>
      <c r="I96" s="33"/>
      <c r="J96" s="34"/>
      <c r="K96" s="36"/>
      <c r="L96" s="5">
        <v>8.0946999999999996</v>
      </c>
      <c r="M96" s="36"/>
      <c r="N96" s="35"/>
      <c r="O96" s="36"/>
      <c r="P96" s="36"/>
      <c r="Q96" s="33"/>
      <c r="R96" s="33"/>
      <c r="S96" s="34"/>
    </row>
    <row r="97" spans="1:19" x14ac:dyDescent="0.35">
      <c r="A97" s="37">
        <v>48</v>
      </c>
      <c r="B97" s="38">
        <v>6.585</v>
      </c>
      <c r="C97" s="5">
        <v>9.7683999999999997</v>
      </c>
      <c r="D97" s="36">
        <f t="shared" ref="D97" si="478">AVERAGE(C97:C98)</f>
        <v>10.702199999999999</v>
      </c>
      <c r="E97" s="35">
        <f t="shared" ref="E97" si="479">(_xlfn.STDEV.S(C97:C98)/SQRT(2))/D97</f>
        <v>8.7253088150099953E-2</v>
      </c>
      <c r="F97" s="36">
        <f t="shared" ref="F97" si="480">(19.06875-D97)/19.06875</f>
        <v>0.43875712881022622</v>
      </c>
      <c r="G97" s="36">
        <f t="shared" ref="G97" si="481">(F97/0.5)*(4/0.01)</f>
        <v>351.00570304818098</v>
      </c>
      <c r="H97" s="33">
        <f t="shared" si="168"/>
        <v>53.303827342168717</v>
      </c>
      <c r="I97" s="33"/>
      <c r="J97" s="34"/>
      <c r="K97" s="36">
        <v>6.9750000000000005</v>
      </c>
      <c r="L97" s="5">
        <v>8.8530999999999995</v>
      </c>
      <c r="M97" s="36">
        <f t="shared" ref="M97" si="482">AVERAGE(L97:L98)</f>
        <v>8.7528499999999987</v>
      </c>
      <c r="N97" s="35">
        <f t="shared" ref="N97" si="483">(_xlfn.STDEV.S(L97:L98)/SQRT(2))/M97</f>
        <v>1.1453412317130986E-2</v>
      </c>
      <c r="O97" s="36">
        <f t="shared" ref="O97" si="484">(19.06875-M97)/19.06875</f>
        <v>0.54098459521468378</v>
      </c>
      <c r="P97" s="36">
        <f t="shared" ref="P97" si="485">(O97/0.5)*(4/0.01)</f>
        <v>432.78767617174702</v>
      </c>
      <c r="Q97" s="33">
        <f t="shared" ref="Q97" si="486">P97/K97</f>
        <v>62.048412354372331</v>
      </c>
      <c r="R97" s="33"/>
      <c r="S97" s="34"/>
    </row>
    <row r="98" spans="1:19" x14ac:dyDescent="0.35">
      <c r="A98" s="37"/>
      <c r="B98" s="38"/>
      <c r="C98" s="5">
        <v>11.635999999999999</v>
      </c>
      <c r="D98" s="36"/>
      <c r="E98" s="35"/>
      <c r="F98" s="36"/>
      <c r="G98" s="36"/>
      <c r="H98" s="33"/>
      <c r="I98" s="33"/>
      <c r="J98" s="34"/>
      <c r="K98" s="36"/>
      <c r="L98" s="5">
        <v>8.6525999999999996</v>
      </c>
      <c r="M98" s="36"/>
      <c r="N98" s="35"/>
      <c r="O98" s="36"/>
      <c r="P98" s="36"/>
      <c r="Q98" s="33"/>
      <c r="R98" s="33"/>
      <c r="S98" s="34"/>
    </row>
    <row r="99" spans="1:19" x14ac:dyDescent="0.35">
      <c r="A99" s="37">
        <v>49</v>
      </c>
      <c r="B99" s="38">
        <v>7.1849999999999996</v>
      </c>
      <c r="C99" s="5">
        <v>7.0909000000000004</v>
      </c>
      <c r="D99" s="36">
        <f t="shared" ref="D99" si="487">AVERAGE(C99:C100)</f>
        <v>7.2797000000000001</v>
      </c>
      <c r="E99" s="35">
        <f t="shared" ref="E99" si="488">(_xlfn.STDEV.S(C99:C100)/SQRT(2))/D99</f>
        <v>2.5935134689616276E-2</v>
      </c>
      <c r="F99" s="36">
        <f t="shared" ref="F99" si="489">(19.06875-D99)/19.06875</f>
        <v>0.61823926581448707</v>
      </c>
      <c r="G99" s="36">
        <f t="shared" ref="G99" si="490">(F99/0.5)*(4/0.01)</f>
        <v>494.59141265158968</v>
      </c>
      <c r="H99" s="33">
        <f t="shared" si="178"/>
        <v>68.836661468558063</v>
      </c>
      <c r="I99" s="33">
        <f t="shared" ref="I99" si="491">AVERAGE(H99:H104)</f>
        <v>82.410332510913506</v>
      </c>
      <c r="J99" s="34">
        <f t="shared" ref="J99" si="492">(_xlfn.STDEV.S(H99:H104)/SQRT(3))/I99</f>
        <v>8.3868722768975487E-2</v>
      </c>
      <c r="K99" s="36">
        <v>7.7925000000000013</v>
      </c>
      <c r="L99" s="5">
        <v>5.5689000000000002</v>
      </c>
      <c r="M99" s="36">
        <f t="shared" ref="M99" si="493">AVERAGE(L99:L100)</f>
        <v>6.0281500000000001</v>
      </c>
      <c r="N99" s="35">
        <f t="shared" ref="N99" si="494">(_xlfn.STDEV.S(L99:L100)/SQRT(2))/M99</f>
        <v>7.6184235627846E-2</v>
      </c>
      <c r="O99" s="36">
        <f t="shared" ref="O99" si="495">(19.06875-M99)/19.06875</f>
        <v>0.68387282858079323</v>
      </c>
      <c r="P99" s="36">
        <f t="shared" ref="P99" si="496">(O99/0.5)*(4/0.01)</f>
        <v>547.09826286463453</v>
      </c>
      <c r="Q99" s="33">
        <f t="shared" ref="Q99" si="497">P99/K99</f>
        <v>70.20831092263515</v>
      </c>
      <c r="R99" s="33">
        <f t="shared" ref="R99" si="498">AVERAGE(Q99:Q104)</f>
        <v>66.596030759905744</v>
      </c>
      <c r="S99" s="34">
        <f t="shared" ref="S99" si="499">(_xlfn.STDEV.S(Q99:Q104)/SQRT(3))/R99</f>
        <v>2.7188235984497322E-2</v>
      </c>
    </row>
    <row r="100" spans="1:19" x14ac:dyDescent="0.35">
      <c r="A100" s="37"/>
      <c r="B100" s="38"/>
      <c r="C100" s="5">
        <v>7.4684999999999997</v>
      </c>
      <c r="D100" s="36"/>
      <c r="E100" s="35"/>
      <c r="F100" s="36"/>
      <c r="G100" s="36"/>
      <c r="H100" s="33"/>
      <c r="I100" s="33"/>
      <c r="J100" s="34"/>
      <c r="K100" s="36"/>
      <c r="L100" s="5">
        <v>6.4874000000000001</v>
      </c>
      <c r="M100" s="36"/>
      <c r="N100" s="35"/>
      <c r="O100" s="36"/>
      <c r="P100" s="36"/>
      <c r="Q100" s="33"/>
      <c r="R100" s="33"/>
      <c r="S100" s="34"/>
    </row>
    <row r="101" spans="1:19" x14ac:dyDescent="0.35">
      <c r="A101" s="37">
        <v>50</v>
      </c>
      <c r="B101" s="38">
        <v>4.9050000000000002</v>
      </c>
      <c r="C101" s="5">
        <v>8.5206999999999997</v>
      </c>
      <c r="D101" s="36">
        <f t="shared" ref="D101" si="500">AVERAGE(C101:C102)</f>
        <v>8.3754500000000007</v>
      </c>
      <c r="E101" s="35">
        <f t="shared" ref="E101" si="501">(_xlfn.STDEV.S(C101:C102)/SQRT(2))/D101</f>
        <v>1.7342351754234084E-2</v>
      </c>
      <c r="F101" s="36">
        <f t="shared" ref="F101" si="502">(19.06875-D101)/19.06875</f>
        <v>0.56077613897082923</v>
      </c>
      <c r="G101" s="36">
        <f t="shared" ref="G101" si="503">(F101/0.5)*(4/0.01)</f>
        <v>448.62091117666341</v>
      </c>
      <c r="H101" s="33">
        <f t="shared" si="192"/>
        <v>91.461959465170921</v>
      </c>
      <c r="I101" s="33"/>
      <c r="J101" s="34"/>
      <c r="K101" s="36">
        <v>7.8825000000000012</v>
      </c>
      <c r="L101" s="5">
        <v>7.0769000000000002</v>
      </c>
      <c r="M101" s="36">
        <f t="shared" ref="M101" si="504">AVERAGE(L101:L102)</f>
        <v>6.9370500000000002</v>
      </c>
      <c r="N101" s="35">
        <f t="shared" ref="N101" si="505">(_xlfn.STDEV.S(L101:L102)/SQRT(2))/M101</f>
        <v>2.0159866225556978E-2</v>
      </c>
      <c r="O101" s="36">
        <f t="shared" ref="O101" si="506">(19.06875-M101)/19.06875</f>
        <v>0.63620845624385458</v>
      </c>
      <c r="P101" s="36">
        <f t="shared" ref="P101" si="507">(O101/0.5)*(4/0.01)</f>
        <v>508.96676499508368</v>
      </c>
      <c r="Q101" s="33">
        <f t="shared" ref="Q101" si="508">P101/K101</f>
        <v>64.569205835088312</v>
      </c>
      <c r="R101" s="33"/>
      <c r="S101" s="34"/>
    </row>
    <row r="102" spans="1:19" x14ac:dyDescent="0.35">
      <c r="A102" s="37"/>
      <c r="B102" s="38"/>
      <c r="C102" s="5">
        <v>8.2302</v>
      </c>
      <c r="D102" s="36"/>
      <c r="E102" s="35"/>
      <c r="F102" s="36"/>
      <c r="G102" s="36"/>
      <c r="H102" s="33"/>
      <c r="I102" s="33"/>
      <c r="J102" s="34"/>
      <c r="K102" s="36"/>
      <c r="L102" s="5">
        <v>6.7972000000000001</v>
      </c>
      <c r="M102" s="36"/>
      <c r="N102" s="35"/>
      <c r="O102" s="36"/>
      <c r="P102" s="36"/>
      <c r="Q102" s="33"/>
      <c r="R102" s="33"/>
      <c r="S102" s="34"/>
    </row>
    <row r="103" spans="1:19" x14ac:dyDescent="0.35">
      <c r="A103" s="37">
        <v>51</v>
      </c>
      <c r="B103" s="38">
        <v>5.58</v>
      </c>
      <c r="C103" s="5">
        <v>7.6280999999999999</v>
      </c>
      <c r="D103" s="36">
        <f t="shared" ref="D103" si="509">AVERAGE(C103:C104)</f>
        <v>7.5063499999999994</v>
      </c>
      <c r="E103" s="35">
        <f t="shared" ref="E103" si="510">(_xlfn.STDEV.S(C103:C104)/SQRT(2))/D103</f>
        <v>1.6219600738041792E-2</v>
      </c>
      <c r="F103" s="36">
        <f t="shared" ref="F103" si="511">(19.06875-D103)/19.06875</f>
        <v>0.60635332677810561</v>
      </c>
      <c r="G103" s="36">
        <f t="shared" ref="G103" si="512">(F103/0.5)*(4/0.01)</f>
        <v>485.08266142248448</v>
      </c>
      <c r="H103" s="33">
        <f t="shared" ref="H103" si="513">G103/B103</f>
        <v>86.932376599011548</v>
      </c>
      <c r="I103" s="33"/>
      <c r="J103" s="34"/>
      <c r="K103" s="38">
        <v>8.01</v>
      </c>
      <c r="L103" s="5">
        <v>6.6326000000000001</v>
      </c>
      <c r="M103" s="36">
        <f t="shared" ref="M103" si="514">AVERAGE(L103:L104)</f>
        <v>6.6565500000000002</v>
      </c>
      <c r="N103" s="35">
        <f t="shared" ref="N103" si="515">(_xlfn.STDEV.S(L103:L104)/SQRT(2))/M103</f>
        <v>3.5979599041545745E-3</v>
      </c>
      <c r="O103" s="36">
        <f t="shared" ref="O103" si="516">(19.06875-M103)/19.06875</f>
        <v>0.65091838741396268</v>
      </c>
      <c r="P103" s="36">
        <f t="shared" ref="P103" si="517">(O103/0.5)*(4/0.01)</f>
        <v>520.73470993117019</v>
      </c>
      <c r="Q103" s="33">
        <f t="shared" ref="Q103" si="518">P103/K103</f>
        <v>65.010575521993786</v>
      </c>
      <c r="R103" s="33"/>
      <c r="S103" s="34"/>
    </row>
    <row r="104" spans="1:19" x14ac:dyDescent="0.35">
      <c r="A104" s="37"/>
      <c r="B104" s="38"/>
      <c r="C104" s="5">
        <v>7.3845999999999998</v>
      </c>
      <c r="D104" s="36"/>
      <c r="E104" s="35"/>
      <c r="F104" s="36"/>
      <c r="G104" s="36"/>
      <c r="H104" s="33"/>
      <c r="I104" s="33"/>
      <c r="J104" s="34"/>
      <c r="K104" s="38"/>
      <c r="L104" s="5">
        <v>6.6805000000000003</v>
      </c>
      <c r="M104" s="36"/>
      <c r="N104" s="35"/>
      <c r="O104" s="36"/>
      <c r="P104" s="36"/>
      <c r="Q104" s="33"/>
      <c r="R104" s="33"/>
      <c r="S104" s="34"/>
    </row>
  </sheetData>
  <mergeCells count="725">
    <mergeCell ref="A9:A10"/>
    <mergeCell ref="B9:B10"/>
    <mergeCell ref="D9:D10"/>
    <mergeCell ref="Q3:Q4"/>
    <mergeCell ref="A5:A6"/>
    <mergeCell ref="B5:B6"/>
    <mergeCell ref="D5:D6"/>
    <mergeCell ref="E5:E6"/>
    <mergeCell ref="F5:F6"/>
    <mergeCell ref="G5:G6"/>
    <mergeCell ref="H5:H6"/>
    <mergeCell ref="K5:K6"/>
    <mergeCell ref="M5:M6"/>
    <mergeCell ref="H3:H4"/>
    <mergeCell ref="K3:K4"/>
    <mergeCell ref="M3:M4"/>
    <mergeCell ref="N3:N4"/>
    <mergeCell ref="O3:O4"/>
    <mergeCell ref="P3:P4"/>
    <mergeCell ref="A3:A4"/>
    <mergeCell ref="B3:B4"/>
    <mergeCell ref="D3:D4"/>
    <mergeCell ref="E3:E4"/>
    <mergeCell ref="F3:F4"/>
    <mergeCell ref="Q7:Q8"/>
    <mergeCell ref="H7:H8"/>
    <mergeCell ref="K7:K8"/>
    <mergeCell ref="M7:M8"/>
    <mergeCell ref="N7:N8"/>
    <mergeCell ref="O7:O8"/>
    <mergeCell ref="P7:P8"/>
    <mergeCell ref="D7:D8"/>
    <mergeCell ref="E7:E8"/>
    <mergeCell ref="F7:F8"/>
    <mergeCell ref="G7:G8"/>
    <mergeCell ref="J3:J12"/>
    <mergeCell ref="G3:G4"/>
    <mergeCell ref="N5:N6"/>
    <mergeCell ref="O5:O6"/>
    <mergeCell ref="N9:N10"/>
    <mergeCell ref="O9:O10"/>
    <mergeCell ref="P9:P10"/>
    <mergeCell ref="Q9:Q10"/>
    <mergeCell ref="A11:A12"/>
    <mergeCell ref="B11:B12"/>
    <mergeCell ref="D11:D12"/>
    <mergeCell ref="E11:E12"/>
    <mergeCell ref="F11:F12"/>
    <mergeCell ref="G11:G12"/>
    <mergeCell ref="Q11:Q12"/>
    <mergeCell ref="H11:H12"/>
    <mergeCell ref="K11:K12"/>
    <mergeCell ref="M11:M12"/>
    <mergeCell ref="N11:N12"/>
    <mergeCell ref="O11:O12"/>
    <mergeCell ref="P11:P12"/>
    <mergeCell ref="I3:I12"/>
    <mergeCell ref="K9:K10"/>
    <mergeCell ref="M9:M10"/>
    <mergeCell ref="P5:P6"/>
    <mergeCell ref="Q5:Q6"/>
    <mergeCell ref="A7:A8"/>
    <mergeCell ref="B7:B8"/>
    <mergeCell ref="E9:E10"/>
    <mergeCell ref="F9:F10"/>
    <mergeCell ref="G9:G10"/>
    <mergeCell ref="H9:H10"/>
    <mergeCell ref="Q13:Q14"/>
    <mergeCell ref="A15:A16"/>
    <mergeCell ref="B15:B16"/>
    <mergeCell ref="D15:D16"/>
    <mergeCell ref="E15:E16"/>
    <mergeCell ref="F15:F16"/>
    <mergeCell ref="G15:G16"/>
    <mergeCell ref="Q15:Q16"/>
    <mergeCell ref="H15:H16"/>
    <mergeCell ref="K15:K16"/>
    <mergeCell ref="M15:M16"/>
    <mergeCell ref="N15:N16"/>
    <mergeCell ref="O15:O16"/>
    <mergeCell ref="P15:P16"/>
    <mergeCell ref="A13:A14"/>
    <mergeCell ref="B13:B14"/>
    <mergeCell ref="D13:D14"/>
    <mergeCell ref="E13:E14"/>
    <mergeCell ref="F13:F14"/>
    <mergeCell ref="G13:G14"/>
    <mergeCell ref="A17:A18"/>
    <mergeCell ref="B17:B18"/>
    <mergeCell ref="D17:D18"/>
    <mergeCell ref="E17:E18"/>
    <mergeCell ref="F17:F18"/>
    <mergeCell ref="I13:I22"/>
    <mergeCell ref="N13:N14"/>
    <mergeCell ref="O13:O14"/>
    <mergeCell ref="P13:P14"/>
    <mergeCell ref="G21:G22"/>
    <mergeCell ref="M21:M22"/>
    <mergeCell ref="N17:N18"/>
    <mergeCell ref="O17:O18"/>
    <mergeCell ref="P17:P18"/>
    <mergeCell ref="H13:H14"/>
    <mergeCell ref="K13:K14"/>
    <mergeCell ref="M13:M14"/>
    <mergeCell ref="G17:G18"/>
    <mergeCell ref="H17:H18"/>
    <mergeCell ref="K17:K18"/>
    <mergeCell ref="M17:M18"/>
    <mergeCell ref="N21:N22"/>
    <mergeCell ref="O21:O22"/>
    <mergeCell ref="P21:P22"/>
    <mergeCell ref="B19:B20"/>
    <mergeCell ref="D19:D20"/>
    <mergeCell ref="E19:E20"/>
    <mergeCell ref="F19:F20"/>
    <mergeCell ref="G19:G20"/>
    <mergeCell ref="Q19:Q20"/>
    <mergeCell ref="H19:H20"/>
    <mergeCell ref="K19:K20"/>
    <mergeCell ref="M19:M20"/>
    <mergeCell ref="N19:N20"/>
    <mergeCell ref="O19:O20"/>
    <mergeCell ref="P19:P20"/>
    <mergeCell ref="Q21:Q22"/>
    <mergeCell ref="A23:A24"/>
    <mergeCell ref="B23:B24"/>
    <mergeCell ref="D23:D24"/>
    <mergeCell ref="E23:E24"/>
    <mergeCell ref="F23:F24"/>
    <mergeCell ref="G23:G24"/>
    <mergeCell ref="Q23:Q24"/>
    <mergeCell ref="H23:H24"/>
    <mergeCell ref="K23:K24"/>
    <mergeCell ref="M23:M24"/>
    <mergeCell ref="N23:N24"/>
    <mergeCell ref="O23:O24"/>
    <mergeCell ref="P23:P24"/>
    <mergeCell ref="A21:A22"/>
    <mergeCell ref="B21:B22"/>
    <mergeCell ref="D21:D22"/>
    <mergeCell ref="E21:E22"/>
    <mergeCell ref="F21:F22"/>
    <mergeCell ref="H21:H22"/>
    <mergeCell ref="K21:K22"/>
    <mergeCell ref="J13:J22"/>
    <mergeCell ref="Q17:Q18"/>
    <mergeCell ref="A19:A20"/>
    <mergeCell ref="Q25:Q26"/>
    <mergeCell ref="A27:A28"/>
    <mergeCell ref="B27:B28"/>
    <mergeCell ref="D27:D28"/>
    <mergeCell ref="E27:E28"/>
    <mergeCell ref="F27:F28"/>
    <mergeCell ref="G27:G28"/>
    <mergeCell ref="Q27:Q28"/>
    <mergeCell ref="H27:H28"/>
    <mergeCell ref="K27:K28"/>
    <mergeCell ref="M27:M28"/>
    <mergeCell ref="N27:N28"/>
    <mergeCell ref="O27:O28"/>
    <mergeCell ref="P27:P28"/>
    <mergeCell ref="A25:A26"/>
    <mergeCell ref="B25:B26"/>
    <mergeCell ref="D25:D26"/>
    <mergeCell ref="E25:E26"/>
    <mergeCell ref="F25:F26"/>
    <mergeCell ref="G25:G26"/>
    <mergeCell ref="H25:H26"/>
    <mergeCell ref="K25:K26"/>
    <mergeCell ref="M25:M26"/>
    <mergeCell ref="Q29:Q30"/>
    <mergeCell ref="A31:A32"/>
    <mergeCell ref="B31:B32"/>
    <mergeCell ref="D31:D32"/>
    <mergeCell ref="E31:E32"/>
    <mergeCell ref="F31:F32"/>
    <mergeCell ref="G31:G32"/>
    <mergeCell ref="Q31:Q32"/>
    <mergeCell ref="H31:H32"/>
    <mergeCell ref="K31:K32"/>
    <mergeCell ref="M31:M32"/>
    <mergeCell ref="N31:N32"/>
    <mergeCell ref="O31:O32"/>
    <mergeCell ref="P31:P32"/>
    <mergeCell ref="A29:A30"/>
    <mergeCell ref="B29:B30"/>
    <mergeCell ref="D29:D30"/>
    <mergeCell ref="E29:E30"/>
    <mergeCell ref="F29:F30"/>
    <mergeCell ref="G29:G30"/>
    <mergeCell ref="H29:H30"/>
    <mergeCell ref="K29:K30"/>
    <mergeCell ref="M29:M30"/>
    <mergeCell ref="N29:N30"/>
    <mergeCell ref="O29:O30"/>
    <mergeCell ref="P29:P30"/>
    <mergeCell ref="I23:I32"/>
    <mergeCell ref="I33:I38"/>
    <mergeCell ref="N25:N26"/>
    <mergeCell ref="O25:O26"/>
    <mergeCell ref="P25:P26"/>
    <mergeCell ref="G37:G38"/>
    <mergeCell ref="H37:H38"/>
    <mergeCell ref="K37:K38"/>
    <mergeCell ref="M37:M38"/>
    <mergeCell ref="N33:N34"/>
    <mergeCell ref="O33:O34"/>
    <mergeCell ref="P33:P34"/>
    <mergeCell ref="J23:J32"/>
    <mergeCell ref="Q33:Q34"/>
    <mergeCell ref="A35:A36"/>
    <mergeCell ref="B35:B36"/>
    <mergeCell ref="D35:D36"/>
    <mergeCell ref="E35:E36"/>
    <mergeCell ref="F35:F36"/>
    <mergeCell ref="G35:G36"/>
    <mergeCell ref="Q35:Q36"/>
    <mergeCell ref="H35:H36"/>
    <mergeCell ref="K35:K36"/>
    <mergeCell ref="M35:M36"/>
    <mergeCell ref="N35:N36"/>
    <mergeCell ref="O35:O36"/>
    <mergeCell ref="P35:P36"/>
    <mergeCell ref="A33:A34"/>
    <mergeCell ref="B33:B34"/>
    <mergeCell ref="D33:D34"/>
    <mergeCell ref="J33:J38"/>
    <mergeCell ref="E33:E34"/>
    <mergeCell ref="F33:F34"/>
    <mergeCell ref="G33:G34"/>
    <mergeCell ref="H33:H34"/>
    <mergeCell ref="K33:K34"/>
    <mergeCell ref="M33:M34"/>
    <mergeCell ref="K41:K42"/>
    <mergeCell ref="M41:M42"/>
    <mergeCell ref="N37:N38"/>
    <mergeCell ref="O37:O38"/>
    <mergeCell ref="P37:P38"/>
    <mergeCell ref="Q37:Q38"/>
    <mergeCell ref="A39:A40"/>
    <mergeCell ref="B39:B40"/>
    <mergeCell ref="D39:D40"/>
    <mergeCell ref="E39:E40"/>
    <mergeCell ref="F39:F40"/>
    <mergeCell ref="G39:G40"/>
    <mergeCell ref="Q39:Q40"/>
    <mergeCell ref="H39:H40"/>
    <mergeCell ref="K39:K40"/>
    <mergeCell ref="M39:M40"/>
    <mergeCell ref="N39:N40"/>
    <mergeCell ref="O39:O40"/>
    <mergeCell ref="P39:P40"/>
    <mergeCell ref="A37:A38"/>
    <mergeCell ref="B37:B38"/>
    <mergeCell ref="D37:D38"/>
    <mergeCell ref="E37:E38"/>
    <mergeCell ref="F37:F38"/>
    <mergeCell ref="N41:N42"/>
    <mergeCell ref="O41:O42"/>
    <mergeCell ref="P41:P42"/>
    <mergeCell ref="Q41:Q42"/>
    <mergeCell ref="A43:A44"/>
    <mergeCell ref="B43:B44"/>
    <mergeCell ref="D43:D44"/>
    <mergeCell ref="E43:E44"/>
    <mergeCell ref="F43:F44"/>
    <mergeCell ref="G43:G44"/>
    <mergeCell ref="Q43:Q44"/>
    <mergeCell ref="H43:H44"/>
    <mergeCell ref="K43:K44"/>
    <mergeCell ref="M43:M44"/>
    <mergeCell ref="N43:N44"/>
    <mergeCell ref="O43:O44"/>
    <mergeCell ref="P43:P44"/>
    <mergeCell ref="A41:A42"/>
    <mergeCell ref="B41:B42"/>
    <mergeCell ref="D41:D42"/>
    <mergeCell ref="E41:E42"/>
    <mergeCell ref="F41:F42"/>
    <mergeCell ref="G41:G42"/>
    <mergeCell ref="H41:H42"/>
    <mergeCell ref="Q45:Q46"/>
    <mergeCell ref="A47:A48"/>
    <mergeCell ref="B47:B48"/>
    <mergeCell ref="D47:D48"/>
    <mergeCell ref="E47:E48"/>
    <mergeCell ref="F47:F48"/>
    <mergeCell ref="G47:G48"/>
    <mergeCell ref="Q47:Q48"/>
    <mergeCell ref="H47:H48"/>
    <mergeCell ref="K47:K48"/>
    <mergeCell ref="M47:M48"/>
    <mergeCell ref="N47:N48"/>
    <mergeCell ref="O47:O48"/>
    <mergeCell ref="P47:P48"/>
    <mergeCell ref="A45:A46"/>
    <mergeCell ref="B45:B46"/>
    <mergeCell ref="D45:D46"/>
    <mergeCell ref="E45:E46"/>
    <mergeCell ref="F45:F46"/>
    <mergeCell ref="G45:G46"/>
    <mergeCell ref="H45:H46"/>
    <mergeCell ref="K45:K46"/>
    <mergeCell ref="M45:M46"/>
    <mergeCell ref="E49:E50"/>
    <mergeCell ref="F49:F50"/>
    <mergeCell ref="G49:G50"/>
    <mergeCell ref="H49:H50"/>
    <mergeCell ref="K49:K50"/>
    <mergeCell ref="M49:M50"/>
    <mergeCell ref="N45:N46"/>
    <mergeCell ref="O45:O46"/>
    <mergeCell ref="P45:P46"/>
    <mergeCell ref="G53:G54"/>
    <mergeCell ref="H53:H54"/>
    <mergeCell ref="K53:K54"/>
    <mergeCell ref="M53:M54"/>
    <mergeCell ref="N49:N50"/>
    <mergeCell ref="O49:O50"/>
    <mergeCell ref="P49:P50"/>
    <mergeCell ref="Q49:Q50"/>
    <mergeCell ref="A51:A52"/>
    <mergeCell ref="B51:B52"/>
    <mergeCell ref="D51:D52"/>
    <mergeCell ref="E51:E52"/>
    <mergeCell ref="F51:F52"/>
    <mergeCell ref="G51:G52"/>
    <mergeCell ref="Q51:Q52"/>
    <mergeCell ref="H51:H52"/>
    <mergeCell ref="K51:K52"/>
    <mergeCell ref="M51:M52"/>
    <mergeCell ref="N51:N52"/>
    <mergeCell ref="O51:O52"/>
    <mergeCell ref="P51:P52"/>
    <mergeCell ref="A49:A50"/>
    <mergeCell ref="B49:B50"/>
    <mergeCell ref="D49:D50"/>
    <mergeCell ref="K57:K58"/>
    <mergeCell ref="M57:M58"/>
    <mergeCell ref="N53:N54"/>
    <mergeCell ref="O53:O54"/>
    <mergeCell ref="P53:P54"/>
    <mergeCell ref="Q53:Q54"/>
    <mergeCell ref="A55:A56"/>
    <mergeCell ref="B55:B56"/>
    <mergeCell ref="D55:D56"/>
    <mergeCell ref="E55:E56"/>
    <mergeCell ref="F55:F56"/>
    <mergeCell ref="G55:G56"/>
    <mergeCell ref="Q55:Q56"/>
    <mergeCell ref="H55:H56"/>
    <mergeCell ref="K55:K56"/>
    <mergeCell ref="M55:M56"/>
    <mergeCell ref="N55:N56"/>
    <mergeCell ref="O55:O56"/>
    <mergeCell ref="P55:P56"/>
    <mergeCell ref="A53:A54"/>
    <mergeCell ref="B53:B54"/>
    <mergeCell ref="D53:D54"/>
    <mergeCell ref="E53:E54"/>
    <mergeCell ref="F53:F54"/>
    <mergeCell ref="N57:N58"/>
    <mergeCell ref="O57:O58"/>
    <mergeCell ref="P57:P58"/>
    <mergeCell ref="Q57:Q58"/>
    <mergeCell ref="A59:A60"/>
    <mergeCell ref="B59:B60"/>
    <mergeCell ref="D59:D60"/>
    <mergeCell ref="E59:E60"/>
    <mergeCell ref="F59:F60"/>
    <mergeCell ref="G59:G60"/>
    <mergeCell ref="Q59:Q60"/>
    <mergeCell ref="H59:H60"/>
    <mergeCell ref="K59:K60"/>
    <mergeCell ref="M59:M60"/>
    <mergeCell ref="N59:N60"/>
    <mergeCell ref="O59:O60"/>
    <mergeCell ref="P59:P60"/>
    <mergeCell ref="A57:A58"/>
    <mergeCell ref="B57:B58"/>
    <mergeCell ref="D57:D58"/>
    <mergeCell ref="E57:E58"/>
    <mergeCell ref="F57:F58"/>
    <mergeCell ref="G57:G58"/>
    <mergeCell ref="H57:H58"/>
    <mergeCell ref="Q61:Q62"/>
    <mergeCell ref="A63:A64"/>
    <mergeCell ref="B63:B64"/>
    <mergeCell ref="D63:D64"/>
    <mergeCell ref="E63:E64"/>
    <mergeCell ref="F63:F64"/>
    <mergeCell ref="G63:G64"/>
    <mergeCell ref="Q63:Q64"/>
    <mergeCell ref="H63:H64"/>
    <mergeCell ref="K63:K64"/>
    <mergeCell ref="M63:M64"/>
    <mergeCell ref="N63:N64"/>
    <mergeCell ref="O63:O64"/>
    <mergeCell ref="P63:P64"/>
    <mergeCell ref="A61:A62"/>
    <mergeCell ref="B61:B62"/>
    <mergeCell ref="D61:D62"/>
    <mergeCell ref="E61:E62"/>
    <mergeCell ref="F61:F62"/>
    <mergeCell ref="G61:G62"/>
    <mergeCell ref="H61:H62"/>
    <mergeCell ref="K61:K62"/>
    <mergeCell ref="M61:M62"/>
    <mergeCell ref="E65:E66"/>
    <mergeCell ref="F65:F66"/>
    <mergeCell ref="G65:G66"/>
    <mergeCell ref="H65:H66"/>
    <mergeCell ref="K65:K66"/>
    <mergeCell ref="M65:M66"/>
    <mergeCell ref="N61:N62"/>
    <mergeCell ref="O61:O62"/>
    <mergeCell ref="P61:P62"/>
    <mergeCell ref="G69:G70"/>
    <mergeCell ref="H69:H70"/>
    <mergeCell ref="K69:K70"/>
    <mergeCell ref="M69:M70"/>
    <mergeCell ref="N65:N66"/>
    <mergeCell ref="O65:O66"/>
    <mergeCell ref="P65:P66"/>
    <mergeCell ref="Q65:Q66"/>
    <mergeCell ref="A67:A68"/>
    <mergeCell ref="B67:B68"/>
    <mergeCell ref="D67:D68"/>
    <mergeCell ref="E67:E68"/>
    <mergeCell ref="F67:F68"/>
    <mergeCell ref="G67:G68"/>
    <mergeCell ref="Q67:Q68"/>
    <mergeCell ref="H67:H68"/>
    <mergeCell ref="K67:K68"/>
    <mergeCell ref="M67:M68"/>
    <mergeCell ref="N67:N68"/>
    <mergeCell ref="O67:O68"/>
    <mergeCell ref="P67:P68"/>
    <mergeCell ref="A65:A66"/>
    <mergeCell ref="B65:B66"/>
    <mergeCell ref="D65:D66"/>
    <mergeCell ref="K73:K74"/>
    <mergeCell ref="M73:M74"/>
    <mergeCell ref="N69:N70"/>
    <mergeCell ref="O69:O70"/>
    <mergeCell ref="P69:P70"/>
    <mergeCell ref="Q69:Q70"/>
    <mergeCell ref="A71:A72"/>
    <mergeCell ref="B71:B72"/>
    <mergeCell ref="D71:D72"/>
    <mergeCell ref="E71:E72"/>
    <mergeCell ref="F71:F72"/>
    <mergeCell ref="G71:G72"/>
    <mergeCell ref="Q71:Q72"/>
    <mergeCell ref="H71:H72"/>
    <mergeCell ref="K71:K72"/>
    <mergeCell ref="M71:M72"/>
    <mergeCell ref="N71:N72"/>
    <mergeCell ref="O71:O72"/>
    <mergeCell ref="P71:P72"/>
    <mergeCell ref="A69:A70"/>
    <mergeCell ref="B69:B70"/>
    <mergeCell ref="D69:D70"/>
    <mergeCell ref="E69:E70"/>
    <mergeCell ref="F69:F70"/>
    <mergeCell ref="N73:N74"/>
    <mergeCell ref="O73:O74"/>
    <mergeCell ref="P73:P74"/>
    <mergeCell ref="Q73:Q74"/>
    <mergeCell ref="A75:A76"/>
    <mergeCell ref="B75:B76"/>
    <mergeCell ref="D75:D76"/>
    <mergeCell ref="E75:E76"/>
    <mergeCell ref="F75:F76"/>
    <mergeCell ref="G75:G76"/>
    <mergeCell ref="Q75:Q76"/>
    <mergeCell ref="H75:H76"/>
    <mergeCell ref="K75:K76"/>
    <mergeCell ref="M75:M76"/>
    <mergeCell ref="N75:N76"/>
    <mergeCell ref="O75:O76"/>
    <mergeCell ref="P75:P76"/>
    <mergeCell ref="A73:A74"/>
    <mergeCell ref="B73:B74"/>
    <mergeCell ref="D73:D74"/>
    <mergeCell ref="E73:E74"/>
    <mergeCell ref="F73:F74"/>
    <mergeCell ref="G73:G74"/>
    <mergeCell ref="H73:H74"/>
    <mergeCell ref="Q77:Q78"/>
    <mergeCell ref="A79:A80"/>
    <mergeCell ref="B79:B80"/>
    <mergeCell ref="D79:D80"/>
    <mergeCell ref="E79:E80"/>
    <mergeCell ref="F79:F80"/>
    <mergeCell ref="G79:G80"/>
    <mergeCell ref="Q79:Q80"/>
    <mergeCell ref="H79:H80"/>
    <mergeCell ref="K79:K80"/>
    <mergeCell ref="M79:M80"/>
    <mergeCell ref="N79:N80"/>
    <mergeCell ref="O79:O80"/>
    <mergeCell ref="P79:P80"/>
    <mergeCell ref="A77:A78"/>
    <mergeCell ref="B77:B78"/>
    <mergeCell ref="D77:D78"/>
    <mergeCell ref="E77:E78"/>
    <mergeCell ref="F77:F78"/>
    <mergeCell ref="G77:G78"/>
    <mergeCell ref="H77:H78"/>
    <mergeCell ref="K77:K78"/>
    <mergeCell ref="M77:M78"/>
    <mergeCell ref="E81:E82"/>
    <mergeCell ref="F81:F82"/>
    <mergeCell ref="G81:G82"/>
    <mergeCell ref="H81:H82"/>
    <mergeCell ref="K81:K82"/>
    <mergeCell ref="M81:M82"/>
    <mergeCell ref="N77:N78"/>
    <mergeCell ref="O77:O78"/>
    <mergeCell ref="P77:P78"/>
    <mergeCell ref="G85:G86"/>
    <mergeCell ref="H85:H86"/>
    <mergeCell ref="K85:K86"/>
    <mergeCell ref="M85:M86"/>
    <mergeCell ref="N81:N82"/>
    <mergeCell ref="O81:O82"/>
    <mergeCell ref="P81:P82"/>
    <mergeCell ref="Q81:Q82"/>
    <mergeCell ref="A83:A84"/>
    <mergeCell ref="B83:B84"/>
    <mergeCell ref="D83:D84"/>
    <mergeCell ref="E83:E84"/>
    <mergeCell ref="F83:F84"/>
    <mergeCell ref="G83:G84"/>
    <mergeCell ref="Q83:Q84"/>
    <mergeCell ref="H83:H84"/>
    <mergeCell ref="K83:K84"/>
    <mergeCell ref="M83:M84"/>
    <mergeCell ref="N83:N84"/>
    <mergeCell ref="O83:O84"/>
    <mergeCell ref="P83:P84"/>
    <mergeCell ref="A81:A82"/>
    <mergeCell ref="B81:B82"/>
    <mergeCell ref="D81:D82"/>
    <mergeCell ref="K89:K90"/>
    <mergeCell ref="M89:M90"/>
    <mergeCell ref="N85:N86"/>
    <mergeCell ref="O85:O86"/>
    <mergeCell ref="P85:P86"/>
    <mergeCell ref="Q85:Q86"/>
    <mergeCell ref="A87:A88"/>
    <mergeCell ref="B87:B88"/>
    <mergeCell ref="D87:D88"/>
    <mergeCell ref="E87:E88"/>
    <mergeCell ref="F87:F88"/>
    <mergeCell ref="G87:G88"/>
    <mergeCell ref="Q87:Q88"/>
    <mergeCell ref="H87:H88"/>
    <mergeCell ref="K87:K88"/>
    <mergeCell ref="M87:M88"/>
    <mergeCell ref="N87:N88"/>
    <mergeCell ref="O87:O88"/>
    <mergeCell ref="P87:P88"/>
    <mergeCell ref="A85:A86"/>
    <mergeCell ref="B85:B86"/>
    <mergeCell ref="D85:D86"/>
    <mergeCell ref="E85:E86"/>
    <mergeCell ref="F85:F86"/>
    <mergeCell ref="N89:N90"/>
    <mergeCell ref="O89:O90"/>
    <mergeCell ref="P89:P90"/>
    <mergeCell ref="Q89:Q90"/>
    <mergeCell ref="A91:A92"/>
    <mergeCell ref="B91:B92"/>
    <mergeCell ref="D91:D92"/>
    <mergeCell ref="E91:E92"/>
    <mergeCell ref="F91:F92"/>
    <mergeCell ref="G91:G92"/>
    <mergeCell ref="Q91:Q92"/>
    <mergeCell ref="H91:H92"/>
    <mergeCell ref="K91:K92"/>
    <mergeCell ref="M91:M92"/>
    <mergeCell ref="N91:N92"/>
    <mergeCell ref="O91:O92"/>
    <mergeCell ref="P91:P92"/>
    <mergeCell ref="A89:A90"/>
    <mergeCell ref="B89:B90"/>
    <mergeCell ref="D89:D90"/>
    <mergeCell ref="E89:E90"/>
    <mergeCell ref="F89:F90"/>
    <mergeCell ref="G89:G90"/>
    <mergeCell ref="H89:H90"/>
    <mergeCell ref="M95:M96"/>
    <mergeCell ref="N95:N96"/>
    <mergeCell ref="O95:O96"/>
    <mergeCell ref="P95:P96"/>
    <mergeCell ref="N93:N94"/>
    <mergeCell ref="O93:O94"/>
    <mergeCell ref="P93:P94"/>
    <mergeCell ref="Q93:Q94"/>
    <mergeCell ref="A95:A96"/>
    <mergeCell ref="B95:B96"/>
    <mergeCell ref="D95:D96"/>
    <mergeCell ref="E95:E96"/>
    <mergeCell ref="F95:F96"/>
    <mergeCell ref="G95:G96"/>
    <mergeCell ref="A93:A94"/>
    <mergeCell ref="B93:B94"/>
    <mergeCell ref="D93:D94"/>
    <mergeCell ref="E93:E94"/>
    <mergeCell ref="F93:F94"/>
    <mergeCell ref="G93:G94"/>
    <mergeCell ref="H93:H94"/>
    <mergeCell ref="K93:K94"/>
    <mergeCell ref="M93:M94"/>
    <mergeCell ref="J93:J98"/>
    <mergeCell ref="A99:A100"/>
    <mergeCell ref="B99:B100"/>
    <mergeCell ref="A97:A98"/>
    <mergeCell ref="B97:B98"/>
    <mergeCell ref="D97:D98"/>
    <mergeCell ref="E97:E98"/>
    <mergeCell ref="F97:F98"/>
    <mergeCell ref="G97:G98"/>
    <mergeCell ref="H97:H98"/>
    <mergeCell ref="D99:D100"/>
    <mergeCell ref="E99:E100"/>
    <mergeCell ref="F99:F100"/>
    <mergeCell ref="G99:G100"/>
    <mergeCell ref="Q95:Q96"/>
    <mergeCell ref="H95:H96"/>
    <mergeCell ref="K95:K96"/>
    <mergeCell ref="A103:A104"/>
    <mergeCell ref="B103:B104"/>
    <mergeCell ref="D103:D104"/>
    <mergeCell ref="E103:E104"/>
    <mergeCell ref="F103:F104"/>
    <mergeCell ref="G103:G104"/>
    <mergeCell ref="Q99:Q100"/>
    <mergeCell ref="A101:A102"/>
    <mergeCell ref="B101:B102"/>
    <mergeCell ref="D101:D102"/>
    <mergeCell ref="E101:E102"/>
    <mergeCell ref="F101:F102"/>
    <mergeCell ref="G101:G102"/>
    <mergeCell ref="H101:H102"/>
    <mergeCell ref="K101:K102"/>
    <mergeCell ref="M101:M102"/>
    <mergeCell ref="H99:H100"/>
    <mergeCell ref="H103:H104"/>
    <mergeCell ref="K103:K104"/>
    <mergeCell ref="M103:M104"/>
    <mergeCell ref="N103:N104"/>
    <mergeCell ref="O103:O104"/>
    <mergeCell ref="P103:P104"/>
    <mergeCell ref="N101:N102"/>
    <mergeCell ref="O101:O102"/>
    <mergeCell ref="P101:P102"/>
    <mergeCell ref="I99:I104"/>
    <mergeCell ref="J99:J104"/>
    <mergeCell ref="K99:K100"/>
    <mergeCell ref="M99:M100"/>
    <mergeCell ref="N99:N100"/>
    <mergeCell ref="O99:O100"/>
    <mergeCell ref="P99:P100"/>
    <mergeCell ref="I39:I44"/>
    <mergeCell ref="I45:I50"/>
    <mergeCell ref="I51:I56"/>
    <mergeCell ref="I57:I62"/>
    <mergeCell ref="I63:I68"/>
    <mergeCell ref="I69:I74"/>
    <mergeCell ref="I75:I80"/>
    <mergeCell ref="I81:I86"/>
    <mergeCell ref="R99:R104"/>
    <mergeCell ref="J39:J44"/>
    <mergeCell ref="J45:J50"/>
    <mergeCell ref="J51:J56"/>
    <mergeCell ref="J57:J62"/>
    <mergeCell ref="J63:J68"/>
    <mergeCell ref="J69:J74"/>
    <mergeCell ref="J75:J80"/>
    <mergeCell ref="J81:J86"/>
    <mergeCell ref="J87:J92"/>
    <mergeCell ref="Q103:Q104"/>
    <mergeCell ref="Q101:Q102"/>
    <mergeCell ref="Q97:Q98"/>
    <mergeCell ref="K97:K98"/>
    <mergeCell ref="M97:M98"/>
    <mergeCell ref="I93:I98"/>
    <mergeCell ref="S99:S104"/>
    <mergeCell ref="R45:R50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B1:J1"/>
    <mergeCell ref="K1:S1"/>
    <mergeCell ref="R75:R80"/>
    <mergeCell ref="S75:S80"/>
    <mergeCell ref="R81:R86"/>
    <mergeCell ref="S81:S86"/>
    <mergeCell ref="R87:R92"/>
    <mergeCell ref="S87:S92"/>
    <mergeCell ref="R93:R98"/>
    <mergeCell ref="S93:S98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I87:I92"/>
    <mergeCell ref="N97:N98"/>
    <mergeCell ref="O97:O98"/>
    <mergeCell ref="P97:P98"/>
  </mergeCells>
  <conditionalFormatting sqref="C2:C1048576 L2:L1048576">
    <cfRule type="beginsWith" dxfId="8" priority="5" operator="beginsWith" text="NA">
      <formula>LEFT(C2,LEN("NA"))="NA"</formula>
    </cfRule>
  </conditionalFormatting>
  <conditionalFormatting sqref="E3:E104 J3:J104">
    <cfRule type="cellIs" dxfId="7" priority="2" operator="greaterThanOrEqual">
      <formula>0.15</formula>
    </cfRule>
  </conditionalFormatting>
  <conditionalFormatting sqref="N3:N104 S3:S104">
    <cfRule type="cellIs" dxfId="6" priority="1" operator="greaterThanOrEqual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40E92AE5-70FD-40B0-9568-9590B949056B}">
            <x14:iconSet custom="1">
              <x14:cfvo type="percent">
                <xm:f>0</xm:f>
              </x14:cfvo>
              <x14:cfvo type="num">
                <xm:f>1</xm:f>
              </x14:cfvo>
              <x14:cfvo type="num">
                <xm:f>5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E2 N2 N105:N1048576 E105:E1048576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BB0F-D757-473C-956C-04A972B3C6D4}">
  <dimension ref="B1:Q216"/>
  <sheetViews>
    <sheetView topLeftCell="A52" workbookViewId="0">
      <selection activeCell="B73" sqref="B73"/>
    </sheetView>
  </sheetViews>
  <sheetFormatPr baseColWidth="10" defaultRowHeight="14.5" x14ac:dyDescent="0.35"/>
  <cols>
    <col min="2" max="2" width="20.54296875" bestFit="1" customWidth="1"/>
    <col min="3" max="3" width="11.81640625" customWidth="1"/>
    <col min="5" max="6" width="11.54296875" bestFit="1" customWidth="1"/>
    <col min="9" max="9" width="11.54296875" bestFit="1" customWidth="1"/>
  </cols>
  <sheetData>
    <row r="1" spans="2:13" x14ac:dyDescent="0.35">
      <c r="B1" s="38" t="s">
        <v>51</v>
      </c>
      <c r="C1" s="38"/>
      <c r="D1" s="38"/>
    </row>
    <row r="2" spans="2:13" x14ac:dyDescent="0.35">
      <c r="B2" t="s">
        <v>52</v>
      </c>
      <c r="C2" t="s">
        <v>53</v>
      </c>
      <c r="D2" t="s">
        <v>54</v>
      </c>
    </row>
    <row r="3" spans="2:13" x14ac:dyDescent="0.35">
      <c r="B3">
        <v>0</v>
      </c>
      <c r="C3">
        <v>0.67</v>
      </c>
      <c r="D3">
        <f>C3-0.026</f>
        <v>0.64400000000000002</v>
      </c>
      <c r="L3" t="s">
        <v>55</v>
      </c>
    </row>
    <row r="4" spans="2:13" x14ac:dyDescent="0.35">
      <c r="B4">
        <v>0</v>
      </c>
      <c r="C4">
        <v>0.628</v>
      </c>
      <c r="D4">
        <f>C4-0.024</f>
        <v>0.60399999999999998</v>
      </c>
      <c r="L4" t="s">
        <v>56</v>
      </c>
      <c r="M4">
        <f>-0.0005</f>
        <v>-5.0000000000000001E-4</v>
      </c>
    </row>
    <row r="5" spans="2:13" x14ac:dyDescent="0.35">
      <c r="B5">
        <v>0</v>
      </c>
      <c r="C5">
        <v>0.60699999999999998</v>
      </c>
      <c r="D5">
        <f>C5-0.03</f>
        <v>0.57699999999999996</v>
      </c>
      <c r="L5" t="s">
        <v>42</v>
      </c>
      <c r="M5">
        <v>0.60119999999999996</v>
      </c>
    </row>
    <row r="6" spans="2:13" x14ac:dyDescent="0.35">
      <c r="B6">
        <v>0</v>
      </c>
      <c r="C6">
        <v>0.63700000000000001</v>
      </c>
      <c r="D6">
        <f>C6-0.027</f>
        <v>0.61</v>
      </c>
    </row>
    <row r="7" spans="2:13" x14ac:dyDescent="0.35">
      <c r="B7">
        <v>125</v>
      </c>
      <c r="C7">
        <v>0.54500000000000004</v>
      </c>
      <c r="D7">
        <f>C7-0.029</f>
        <v>0.51600000000000001</v>
      </c>
    </row>
    <row r="8" spans="2:13" x14ac:dyDescent="0.35">
      <c r="B8">
        <v>125</v>
      </c>
      <c r="C8">
        <v>0.55000000000000004</v>
      </c>
      <c r="D8">
        <f>C8-0.028</f>
        <v>0.52200000000000002</v>
      </c>
      <c r="L8" t="s">
        <v>43</v>
      </c>
    </row>
    <row r="9" spans="2:13" x14ac:dyDescent="0.35">
      <c r="B9">
        <v>250</v>
      </c>
      <c r="C9">
        <v>0.497</v>
      </c>
      <c r="D9">
        <f t="shared" ref="D9:D10" si="0">C9-0.027</f>
        <v>0.47</v>
      </c>
    </row>
    <row r="10" spans="2:13" x14ac:dyDescent="0.35">
      <c r="B10">
        <v>250</v>
      </c>
      <c r="C10">
        <v>0.48699999999999999</v>
      </c>
      <c r="D10">
        <f t="shared" si="0"/>
        <v>0.45999999999999996</v>
      </c>
    </row>
    <row r="11" spans="2:13" x14ac:dyDescent="0.35">
      <c r="B11">
        <v>375</v>
      </c>
      <c r="C11">
        <v>0.435</v>
      </c>
      <c r="D11">
        <f>C11-0.026</f>
        <v>0.40899999999999997</v>
      </c>
    </row>
    <row r="12" spans="2:13" x14ac:dyDescent="0.35">
      <c r="B12">
        <v>375</v>
      </c>
      <c r="C12">
        <v>0.42699999999999999</v>
      </c>
      <c r="D12">
        <f>C12-0.026</f>
        <v>0.40099999999999997</v>
      </c>
    </row>
    <row r="13" spans="2:13" x14ac:dyDescent="0.35">
      <c r="B13">
        <v>500</v>
      </c>
      <c r="C13">
        <v>0.35299999999999998</v>
      </c>
      <c r="D13">
        <f>C13-0.028</f>
        <v>0.32499999999999996</v>
      </c>
    </row>
    <row r="14" spans="2:13" x14ac:dyDescent="0.35">
      <c r="B14">
        <v>500</v>
      </c>
      <c r="C14">
        <v>0.33900000000000002</v>
      </c>
      <c r="D14">
        <f>C14-0.024</f>
        <v>0.315</v>
      </c>
    </row>
    <row r="15" spans="2:13" x14ac:dyDescent="0.35">
      <c r="B15">
        <v>750</v>
      </c>
      <c r="C15">
        <v>0.19800000000000001</v>
      </c>
      <c r="D15">
        <f>C15-0.024</f>
        <v>0.17400000000000002</v>
      </c>
    </row>
    <row r="16" spans="2:13" x14ac:dyDescent="0.35">
      <c r="B16">
        <v>750</v>
      </c>
      <c r="C16">
        <v>0.23400000000000001</v>
      </c>
      <c r="D16">
        <f>C16-0.024</f>
        <v>0.21000000000000002</v>
      </c>
    </row>
    <row r="17" spans="2:13" x14ac:dyDescent="0.35">
      <c r="B17">
        <v>1000</v>
      </c>
      <c r="C17">
        <v>0.1</v>
      </c>
      <c r="D17">
        <f>C17-0.025</f>
        <v>7.5000000000000011E-2</v>
      </c>
    </row>
    <row r="18" spans="2:13" x14ac:dyDescent="0.35">
      <c r="B18">
        <v>1000</v>
      </c>
      <c r="C18">
        <v>8.4000000000000005E-2</v>
      </c>
      <c r="D18">
        <f>C18-0.026</f>
        <v>5.800000000000001E-2</v>
      </c>
    </row>
    <row r="21" spans="2:13" x14ac:dyDescent="0.35">
      <c r="B21" s="38" t="s">
        <v>57</v>
      </c>
      <c r="C21" s="38"/>
      <c r="D21" s="38"/>
    </row>
    <row r="22" spans="2:13" x14ac:dyDescent="0.35">
      <c r="B22" t="s">
        <v>52</v>
      </c>
      <c r="C22" t="s">
        <v>53</v>
      </c>
      <c r="D22" t="s">
        <v>54</v>
      </c>
    </row>
    <row r="23" spans="2:13" x14ac:dyDescent="0.35">
      <c r="B23">
        <v>0</v>
      </c>
      <c r="C23">
        <v>0.54300000000000004</v>
      </c>
      <c r="D23">
        <f>C23-0.032</f>
        <v>0.51100000000000001</v>
      </c>
      <c r="L23" t="s">
        <v>55</v>
      </c>
    </row>
    <row r="24" spans="2:13" x14ac:dyDescent="0.35">
      <c r="B24">
        <v>0</v>
      </c>
      <c r="C24">
        <v>0.59099999999999997</v>
      </c>
      <c r="D24">
        <f>C24-0.032</f>
        <v>0.55899999999999994</v>
      </c>
      <c r="L24" t="s">
        <v>56</v>
      </c>
      <c r="M24">
        <v>-4.0000000000000002E-4</v>
      </c>
    </row>
    <row r="25" spans="2:13" x14ac:dyDescent="0.35">
      <c r="B25">
        <v>0</v>
      </c>
      <c r="C25">
        <v>0.55000000000000004</v>
      </c>
      <c r="D25">
        <f>C25-0.031</f>
        <v>0.51900000000000002</v>
      </c>
      <c r="L25" t="s">
        <v>42</v>
      </c>
      <c r="M25">
        <v>0.51629999999999998</v>
      </c>
    </row>
    <row r="26" spans="2:13" x14ac:dyDescent="0.35">
      <c r="B26">
        <v>0</v>
      </c>
      <c r="C26">
        <v>0.51600000000000001</v>
      </c>
      <c r="D26">
        <f>C26-0.03</f>
        <v>0.48599999999999999</v>
      </c>
    </row>
    <row r="27" spans="2:13" x14ac:dyDescent="0.35">
      <c r="B27">
        <v>125</v>
      </c>
      <c r="C27">
        <v>0.48299999999999998</v>
      </c>
      <c r="D27">
        <f>C27-0.034</f>
        <v>0.44899999999999995</v>
      </c>
    </row>
    <row r="28" spans="2:13" x14ac:dyDescent="0.35">
      <c r="B28">
        <v>125</v>
      </c>
      <c r="C28">
        <v>0.498</v>
      </c>
      <c r="D28">
        <f>C28-0.033</f>
        <v>0.46499999999999997</v>
      </c>
    </row>
    <row r="29" spans="2:13" x14ac:dyDescent="0.35">
      <c r="B29">
        <v>250</v>
      </c>
      <c r="C29">
        <v>0.432</v>
      </c>
      <c r="D29">
        <f>C29-0.035</f>
        <v>0.39700000000000002</v>
      </c>
    </row>
    <row r="30" spans="2:13" x14ac:dyDescent="0.35">
      <c r="B30">
        <v>250</v>
      </c>
      <c r="C30">
        <v>0.47499999999999998</v>
      </c>
      <c r="D30">
        <f>C30-0.034</f>
        <v>0.44099999999999995</v>
      </c>
    </row>
    <row r="31" spans="2:13" x14ac:dyDescent="0.35">
      <c r="B31">
        <v>375</v>
      </c>
      <c r="C31">
        <v>0.35599999999999998</v>
      </c>
      <c r="D31">
        <f>C31-0.03</f>
        <v>0.32599999999999996</v>
      </c>
    </row>
    <row r="32" spans="2:13" x14ac:dyDescent="0.35">
      <c r="B32">
        <v>375</v>
      </c>
      <c r="C32">
        <v>0.40100000000000002</v>
      </c>
      <c r="D32">
        <f>C32-0.028</f>
        <v>0.373</v>
      </c>
    </row>
    <row r="33" spans="2:13" x14ac:dyDescent="0.35">
      <c r="B33">
        <v>500</v>
      </c>
      <c r="C33">
        <v>0.25900000000000001</v>
      </c>
    </row>
    <row r="34" spans="2:13" x14ac:dyDescent="0.35">
      <c r="B34">
        <v>500</v>
      </c>
      <c r="C34">
        <v>0.33600000000000002</v>
      </c>
      <c r="D34">
        <f>C34-0.03</f>
        <v>0.30600000000000005</v>
      </c>
    </row>
    <row r="35" spans="2:13" x14ac:dyDescent="0.35">
      <c r="B35">
        <v>750</v>
      </c>
      <c r="C35">
        <v>0.21</v>
      </c>
      <c r="D35">
        <f>C35-0.025</f>
        <v>0.185</v>
      </c>
    </row>
    <row r="36" spans="2:13" x14ac:dyDescent="0.35">
      <c r="B36">
        <v>750</v>
      </c>
      <c r="C36">
        <v>0.2</v>
      </c>
      <c r="D36">
        <f>C36-0.025</f>
        <v>0.17500000000000002</v>
      </c>
    </row>
    <row r="37" spans="2:13" x14ac:dyDescent="0.35">
      <c r="B37">
        <v>1000</v>
      </c>
      <c r="C37">
        <v>0.14000000000000001</v>
      </c>
      <c r="D37">
        <f>C37-0.027</f>
        <v>0.11300000000000002</v>
      </c>
    </row>
    <row r="38" spans="2:13" x14ac:dyDescent="0.35">
      <c r="B38">
        <v>1000</v>
      </c>
      <c r="C38">
        <v>0.115</v>
      </c>
      <c r="D38">
        <f>C38-0.027</f>
        <v>8.8000000000000009E-2</v>
      </c>
    </row>
    <row r="41" spans="2:13" x14ac:dyDescent="0.35">
      <c r="B41" s="38" t="s">
        <v>58</v>
      </c>
      <c r="C41" s="38"/>
      <c r="D41" s="38"/>
    </row>
    <row r="42" spans="2:13" x14ac:dyDescent="0.35">
      <c r="B42" t="s">
        <v>52</v>
      </c>
      <c r="C42" t="s">
        <v>53</v>
      </c>
      <c r="D42" t="s">
        <v>54</v>
      </c>
    </row>
    <row r="43" spans="2:13" x14ac:dyDescent="0.35">
      <c r="B43">
        <v>0</v>
      </c>
      <c r="C43">
        <v>0.55200000000000005</v>
      </c>
      <c r="D43">
        <f>C43-0.026</f>
        <v>0.52600000000000002</v>
      </c>
      <c r="L43" t="s">
        <v>55</v>
      </c>
    </row>
    <row r="44" spans="2:13" x14ac:dyDescent="0.35">
      <c r="B44">
        <v>0</v>
      </c>
      <c r="C44">
        <v>0.61</v>
      </c>
      <c r="D44">
        <f>C44-0.028</f>
        <v>0.58199999999999996</v>
      </c>
      <c r="L44" t="s">
        <v>56</v>
      </c>
      <c r="M44">
        <v>-4.0000000000000002E-4</v>
      </c>
    </row>
    <row r="45" spans="2:13" x14ac:dyDescent="0.35">
      <c r="B45">
        <v>0</v>
      </c>
      <c r="C45">
        <v>0.58899999999999997</v>
      </c>
      <c r="D45">
        <f>C45-0.029</f>
        <v>0.55999999999999994</v>
      </c>
      <c r="L45" t="s">
        <v>42</v>
      </c>
      <c r="M45">
        <v>0.53439999999999999</v>
      </c>
    </row>
    <row r="46" spans="2:13" x14ac:dyDescent="0.35">
      <c r="B46">
        <v>0</v>
      </c>
      <c r="C46">
        <v>0.58699999999999997</v>
      </c>
      <c r="D46">
        <f>C46-0.031</f>
        <v>0.55599999999999994</v>
      </c>
    </row>
    <row r="47" spans="2:13" x14ac:dyDescent="0.35">
      <c r="B47">
        <v>125</v>
      </c>
      <c r="C47">
        <v>0.48799999999999999</v>
      </c>
      <c r="D47">
        <f>C47-0.03</f>
        <v>0.45799999999999996</v>
      </c>
    </row>
    <row r="48" spans="2:13" x14ac:dyDescent="0.35">
      <c r="B48">
        <v>125</v>
      </c>
      <c r="C48">
        <v>0.51500000000000001</v>
      </c>
      <c r="D48">
        <f>C48-0.031</f>
        <v>0.48399999999999999</v>
      </c>
    </row>
    <row r="49" spans="2:17" x14ac:dyDescent="0.35">
      <c r="B49">
        <v>250</v>
      </c>
      <c r="C49">
        <v>0.45600000000000002</v>
      </c>
      <c r="D49">
        <f>C49-0.033</f>
        <v>0.42300000000000004</v>
      </c>
    </row>
    <row r="50" spans="2:17" x14ac:dyDescent="0.35">
      <c r="B50">
        <v>250</v>
      </c>
      <c r="C50">
        <v>0.48499999999999999</v>
      </c>
      <c r="D50">
        <f>C50-0.035</f>
        <v>0.44999999999999996</v>
      </c>
    </row>
    <row r="51" spans="2:17" x14ac:dyDescent="0.35">
      <c r="B51">
        <v>375</v>
      </c>
      <c r="C51">
        <v>0.375</v>
      </c>
      <c r="D51">
        <f>C51-0.026</f>
        <v>0.34899999999999998</v>
      </c>
    </row>
    <row r="52" spans="2:17" x14ac:dyDescent="0.35">
      <c r="B52">
        <v>375</v>
      </c>
      <c r="C52">
        <v>0.376</v>
      </c>
      <c r="D52">
        <f>C52-0.026</f>
        <v>0.35</v>
      </c>
    </row>
    <row r="53" spans="2:17" x14ac:dyDescent="0.35">
      <c r="B53">
        <v>500</v>
      </c>
      <c r="C53">
        <v>0.315</v>
      </c>
      <c r="D53">
        <f>C53-0.026</f>
        <v>0.28899999999999998</v>
      </c>
    </row>
    <row r="54" spans="2:17" x14ac:dyDescent="0.35">
      <c r="B54">
        <v>500</v>
      </c>
      <c r="C54">
        <v>0.30299999999999999</v>
      </c>
      <c r="D54">
        <f>C54-0.025</f>
        <v>0.27799999999999997</v>
      </c>
    </row>
    <row r="55" spans="2:17" x14ac:dyDescent="0.35">
      <c r="B55">
        <v>750</v>
      </c>
      <c r="C55">
        <v>0.23799999999999999</v>
      </c>
      <c r="D55">
        <f>C55-0.023</f>
        <v>0.215</v>
      </c>
    </row>
    <row r="56" spans="2:17" x14ac:dyDescent="0.35">
      <c r="B56">
        <v>750</v>
      </c>
      <c r="C56">
        <v>0.216</v>
      </c>
      <c r="D56">
        <f>C56-0.024</f>
        <v>0.192</v>
      </c>
    </row>
    <row r="57" spans="2:17" x14ac:dyDescent="0.35">
      <c r="B57">
        <v>1000</v>
      </c>
      <c r="C57">
        <v>0.186</v>
      </c>
      <c r="D57">
        <f>C57-0.026</f>
        <v>0.16</v>
      </c>
    </row>
    <row r="58" spans="2:17" x14ac:dyDescent="0.35">
      <c r="B58">
        <v>1000</v>
      </c>
      <c r="C58">
        <v>0.16900000000000001</v>
      </c>
      <c r="D58">
        <f>C58-0.027</f>
        <v>0.14200000000000002</v>
      </c>
    </row>
    <row r="61" spans="2:17" x14ac:dyDescent="0.35">
      <c r="B61" t="s">
        <v>59</v>
      </c>
      <c r="C61" t="s">
        <v>60</v>
      </c>
      <c r="D61" t="s">
        <v>61</v>
      </c>
      <c r="E61" t="s">
        <v>62</v>
      </c>
      <c r="F61" s="20" t="s">
        <v>63</v>
      </c>
      <c r="G61" t="s">
        <v>64</v>
      </c>
      <c r="H61" t="s">
        <v>62</v>
      </c>
      <c r="I61" s="20" t="s">
        <v>63</v>
      </c>
      <c r="K61" t="s">
        <v>0</v>
      </c>
      <c r="L61" s="17" t="s">
        <v>48</v>
      </c>
      <c r="M61" s="17" t="s">
        <v>49</v>
      </c>
      <c r="N61" s="17" t="s">
        <v>37</v>
      </c>
      <c r="O61" s="17" t="s">
        <v>50</v>
      </c>
      <c r="P61" s="17" t="s">
        <v>49</v>
      </c>
      <c r="Q61" s="17" t="s">
        <v>37</v>
      </c>
    </row>
    <row r="62" spans="2:17" x14ac:dyDescent="0.35">
      <c r="B62">
        <v>1</v>
      </c>
      <c r="C62">
        <v>1</v>
      </c>
      <c r="D62">
        <v>0.25900000000000001</v>
      </c>
      <c r="E62">
        <f>D62-0.055</f>
        <v>0.20400000000000001</v>
      </c>
      <c r="F62">
        <f>(E62-$M$25)/$M$24</f>
        <v>780.74999999999989</v>
      </c>
      <c r="G62">
        <v>0.52900000000000003</v>
      </c>
      <c r="H62">
        <f>G62-0.248</f>
        <v>0.28100000000000003</v>
      </c>
      <c r="I62">
        <f>(H62-$M$5)/$M$4</f>
        <v>640.39999999999986</v>
      </c>
      <c r="K62">
        <v>1</v>
      </c>
      <c r="L62" s="18">
        <v>860.74999999999989</v>
      </c>
      <c r="M62" s="42">
        <f>AVERAGE(L62:L66)</f>
        <v>508.49999999999989</v>
      </c>
      <c r="N62" s="45">
        <f>(_xlfn.STDEV.S(L62:L66)/SQRT(5))/M62</f>
        <v>0.19999381207862768</v>
      </c>
      <c r="O62" s="21">
        <v>646.39999999999986</v>
      </c>
      <c r="P62" s="42">
        <f>AVERAGE(O62:O66)</f>
        <v>617.79999999999995</v>
      </c>
      <c r="Q62" s="45">
        <f>(_xlfn.STDEV.S(O62:O66)/SQRT(5))/P62</f>
        <v>1.7860944285054938E-2</v>
      </c>
    </row>
    <row r="63" spans="2:17" x14ac:dyDescent="0.35">
      <c r="B63">
        <v>1</v>
      </c>
      <c r="C63">
        <v>2</v>
      </c>
      <c r="D63">
        <v>0.19400000000000001</v>
      </c>
      <c r="E63">
        <f>D63-0.054</f>
        <v>0.14000000000000001</v>
      </c>
      <c r="F63">
        <f t="shared" ref="F63:F126" si="1">(E63-$M$25)/$M$24</f>
        <v>940.74999999999989</v>
      </c>
      <c r="G63">
        <v>0.53300000000000003</v>
      </c>
      <c r="H63">
        <f>G63-0.258</f>
        <v>0.27500000000000002</v>
      </c>
      <c r="I63">
        <f t="shared" ref="I63:I126" si="2">(H63-$M$5)/$M$4</f>
        <v>652.39999999999986</v>
      </c>
      <c r="K63">
        <v>2</v>
      </c>
      <c r="L63" s="18">
        <v>578.24999999999977</v>
      </c>
      <c r="M63" s="42"/>
      <c r="N63" s="45"/>
      <c r="O63" s="18">
        <v>608.39999999999986</v>
      </c>
      <c r="P63" s="42"/>
      <c r="Q63" s="45"/>
    </row>
    <row r="64" spans="2:17" x14ac:dyDescent="0.35">
      <c r="B64">
        <v>2</v>
      </c>
      <c r="C64">
        <v>1</v>
      </c>
      <c r="D64">
        <v>0.254</v>
      </c>
      <c r="E64">
        <f>D64-0.09</f>
        <v>0.16400000000000001</v>
      </c>
      <c r="F64">
        <f t="shared" si="1"/>
        <v>880.74999999999977</v>
      </c>
      <c r="G64">
        <v>0.66</v>
      </c>
      <c r="H64">
        <f>G64-0.371</f>
        <v>0.28900000000000003</v>
      </c>
      <c r="I64">
        <f t="shared" si="2"/>
        <v>624.39999999999986</v>
      </c>
      <c r="K64">
        <v>3</v>
      </c>
      <c r="L64" s="18">
        <v>336.99999999999989</v>
      </c>
      <c r="M64" s="42"/>
      <c r="N64" s="45"/>
      <c r="O64" s="18">
        <v>634.39999999999986</v>
      </c>
      <c r="P64" s="42"/>
      <c r="Q64" s="45"/>
    </row>
    <row r="65" spans="2:17" x14ac:dyDescent="0.35">
      <c r="B65">
        <v>2</v>
      </c>
      <c r="C65">
        <v>2</v>
      </c>
      <c r="D65">
        <v>0.497</v>
      </c>
      <c r="E65">
        <f>D65-0.091</f>
        <v>0.40600000000000003</v>
      </c>
      <c r="F65">
        <f t="shared" si="1"/>
        <v>275.74999999999989</v>
      </c>
      <c r="G65">
        <v>0.68600000000000005</v>
      </c>
      <c r="H65">
        <f>G65-0.381</f>
        <v>0.30500000000000005</v>
      </c>
      <c r="I65">
        <f t="shared" si="2"/>
        <v>592.39999999999975</v>
      </c>
      <c r="K65">
        <v>4</v>
      </c>
      <c r="L65" s="18">
        <v>475.74999999999989</v>
      </c>
      <c r="M65" s="42"/>
      <c r="N65" s="45"/>
      <c r="O65" s="18">
        <v>617.39999999999986</v>
      </c>
      <c r="P65" s="42"/>
      <c r="Q65" s="45"/>
    </row>
    <row r="66" spans="2:17" x14ac:dyDescent="0.35">
      <c r="B66">
        <v>3</v>
      </c>
      <c r="C66">
        <v>1</v>
      </c>
      <c r="D66">
        <v>0.45600000000000002</v>
      </c>
      <c r="E66">
        <f>D66-0.058</f>
        <v>0.39800000000000002</v>
      </c>
      <c r="F66">
        <f t="shared" si="1"/>
        <v>295.74999999999989</v>
      </c>
      <c r="G66">
        <v>0.40200000000000002</v>
      </c>
      <c r="H66">
        <f>G66-0.101</f>
        <v>0.30100000000000005</v>
      </c>
      <c r="I66">
        <f t="shared" si="2"/>
        <v>600.39999999999986</v>
      </c>
      <c r="K66">
        <v>5</v>
      </c>
      <c r="L66" s="18">
        <v>290.74999999999989</v>
      </c>
      <c r="M66" s="42"/>
      <c r="N66" s="45"/>
      <c r="O66" s="18">
        <v>582.40000000000009</v>
      </c>
      <c r="P66" s="42"/>
      <c r="Q66" s="45"/>
    </row>
    <row r="67" spans="2:17" x14ac:dyDescent="0.35">
      <c r="B67">
        <v>3</v>
      </c>
      <c r="C67">
        <v>2</v>
      </c>
      <c r="D67">
        <v>0.42399999999999999</v>
      </c>
      <c r="E67">
        <f>D67-0.059</f>
        <v>0.36499999999999999</v>
      </c>
      <c r="F67">
        <f t="shared" si="1"/>
        <v>378.24999999999994</v>
      </c>
      <c r="G67">
        <v>0.38500000000000001</v>
      </c>
      <c r="H67">
        <f>G67-0.118</f>
        <v>0.26700000000000002</v>
      </c>
      <c r="I67">
        <f t="shared" si="2"/>
        <v>668.39999999999986</v>
      </c>
      <c r="K67">
        <v>6</v>
      </c>
      <c r="L67" s="18">
        <v>196.99999999999989</v>
      </c>
      <c r="M67" s="42">
        <f t="shared" ref="M67" si="3">AVERAGE(L67:L71)</f>
        <v>466.74999999999989</v>
      </c>
      <c r="N67" s="45">
        <f t="shared" ref="N67" si="4">(_xlfn.STDEV.S(L67:L71)/SQRT(5))/M67</f>
        <v>0.16275977833961833</v>
      </c>
      <c r="O67" s="18">
        <v>546.4</v>
      </c>
      <c r="P67" s="42">
        <f t="shared" ref="P67" si="5">AVERAGE(O67:O71)</f>
        <v>611.19999999999982</v>
      </c>
      <c r="Q67" s="45">
        <f t="shared" ref="Q67" si="6">(_xlfn.STDEV.S(O67:O71)/SQRT(5))/P67</f>
        <v>3.1966897537461354E-2</v>
      </c>
    </row>
    <row r="68" spans="2:17" x14ac:dyDescent="0.35">
      <c r="B68">
        <v>4</v>
      </c>
      <c r="C68">
        <v>1</v>
      </c>
      <c r="D68">
        <v>0.372</v>
      </c>
      <c r="E68">
        <f>D68-0.046</f>
        <v>0.32600000000000001</v>
      </c>
      <c r="F68">
        <f t="shared" si="1"/>
        <v>475.74999999999989</v>
      </c>
      <c r="G68">
        <v>0.53300000000000003</v>
      </c>
      <c r="H68">
        <f>G68-0.234</f>
        <v>0.29900000000000004</v>
      </c>
      <c r="I68">
        <f t="shared" si="2"/>
        <v>604.39999999999986</v>
      </c>
      <c r="K68">
        <v>7</v>
      </c>
      <c r="L68" s="18">
        <v>440.74999999999994</v>
      </c>
      <c r="M68" s="42"/>
      <c r="N68" s="45"/>
      <c r="O68" s="18">
        <v>655.39999999999986</v>
      </c>
      <c r="P68" s="42"/>
      <c r="Q68" s="45"/>
    </row>
    <row r="69" spans="2:17" x14ac:dyDescent="0.35">
      <c r="B69">
        <v>4</v>
      </c>
      <c r="C69">
        <v>2</v>
      </c>
      <c r="D69">
        <v>0.372</v>
      </c>
      <c r="E69">
        <f>D69-0.046</f>
        <v>0.32600000000000001</v>
      </c>
      <c r="F69">
        <f t="shared" si="1"/>
        <v>475.74999999999989</v>
      </c>
      <c r="G69">
        <v>0.55600000000000005</v>
      </c>
      <c r="H69">
        <f>G69-0.27</f>
        <v>0.28600000000000003</v>
      </c>
      <c r="I69">
        <f t="shared" si="2"/>
        <v>630.39999999999986</v>
      </c>
      <c r="K69">
        <v>8</v>
      </c>
      <c r="L69" s="18">
        <v>625.75</v>
      </c>
      <c r="M69" s="42"/>
      <c r="N69" s="45"/>
      <c r="O69" s="18">
        <v>608.39999999999986</v>
      </c>
      <c r="P69" s="42"/>
      <c r="Q69" s="45"/>
    </row>
    <row r="70" spans="2:17" x14ac:dyDescent="0.35">
      <c r="B70">
        <v>5</v>
      </c>
      <c r="C70">
        <v>1</v>
      </c>
      <c r="D70">
        <v>0.45900000000000002</v>
      </c>
      <c r="E70">
        <f>D70-0.049</f>
        <v>0.41000000000000003</v>
      </c>
      <c r="F70">
        <f t="shared" si="1"/>
        <v>265.74999999999989</v>
      </c>
      <c r="G70">
        <v>0.69299999999999995</v>
      </c>
      <c r="H70">
        <f>G70-0.397</f>
        <v>0.29599999999999993</v>
      </c>
      <c r="I70">
        <f t="shared" si="2"/>
        <v>610.40000000000009</v>
      </c>
      <c r="K70">
        <v>9</v>
      </c>
      <c r="L70" s="18">
        <v>595.75</v>
      </c>
      <c r="M70" s="42"/>
      <c r="N70" s="45"/>
      <c r="O70" s="18">
        <v>647.39999999999986</v>
      </c>
      <c r="P70" s="42"/>
      <c r="Q70" s="45"/>
    </row>
    <row r="71" spans="2:17" x14ac:dyDescent="0.35">
      <c r="B71">
        <v>5</v>
      </c>
      <c r="C71">
        <v>2</v>
      </c>
      <c r="D71">
        <v>0.436</v>
      </c>
      <c r="E71">
        <f>D71-0.046</f>
        <v>0.39</v>
      </c>
      <c r="F71">
        <f t="shared" si="1"/>
        <v>315.74999999999989</v>
      </c>
      <c r="G71">
        <v>0.72399999999999998</v>
      </c>
      <c r="H71">
        <f>G71-0.4</f>
        <v>0.32399999999999995</v>
      </c>
      <c r="I71">
        <f t="shared" si="2"/>
        <v>554.4</v>
      </c>
      <c r="K71">
        <v>10</v>
      </c>
      <c r="L71" s="18">
        <v>474.49999999999989</v>
      </c>
      <c r="M71" s="42"/>
      <c r="N71" s="45"/>
      <c r="O71" s="18">
        <v>598.39999999999986</v>
      </c>
      <c r="P71" s="42"/>
      <c r="Q71" s="45"/>
    </row>
    <row r="72" spans="2:17" x14ac:dyDescent="0.35">
      <c r="B72">
        <v>6</v>
      </c>
      <c r="C72">
        <v>1</v>
      </c>
      <c r="D72">
        <v>0.498</v>
      </c>
      <c r="E72">
        <f>D72-0.048</f>
        <v>0.45</v>
      </c>
      <c r="F72">
        <f t="shared" si="1"/>
        <v>165.74999999999991</v>
      </c>
      <c r="G72">
        <v>0.58599999999999997</v>
      </c>
      <c r="H72">
        <f>G72-0.259</f>
        <v>0.32699999999999996</v>
      </c>
      <c r="I72">
        <f t="shared" si="2"/>
        <v>548.4</v>
      </c>
      <c r="K72">
        <v>11</v>
      </c>
      <c r="L72" s="18">
        <v>228.24999999999989</v>
      </c>
      <c r="M72" s="42">
        <f t="shared" ref="M72" si="7">AVERAGE(L72:L76)</f>
        <v>279.99999999999989</v>
      </c>
      <c r="N72" s="45">
        <f t="shared" ref="N72" si="8">(_xlfn.STDEV.S(L72:L76)/SQRT(5))/M72</f>
        <v>0.17379550864890209</v>
      </c>
      <c r="O72" s="18">
        <v>593.39999999999986</v>
      </c>
      <c r="P72" s="42">
        <f t="shared" ref="P72" si="9">AVERAGE(O72:O76)</f>
        <v>593.99999999999989</v>
      </c>
      <c r="Q72" s="45">
        <f t="shared" ref="Q72" si="10">(_xlfn.STDEV.S(O72:O76)/SQRT(5))/P72</f>
        <v>7.6939158111764813E-2</v>
      </c>
    </row>
    <row r="73" spans="2:17" x14ac:dyDescent="0.35">
      <c r="B73">
        <v>6</v>
      </c>
      <c r="C73">
        <v>2</v>
      </c>
      <c r="D73">
        <v>0.46800000000000003</v>
      </c>
      <c r="E73">
        <f>D73-0.043</f>
        <v>0.42500000000000004</v>
      </c>
      <c r="F73">
        <f t="shared" si="1"/>
        <v>228.24999999999983</v>
      </c>
      <c r="G73">
        <v>0.60199999999999998</v>
      </c>
      <c r="H73">
        <f>G73-0.273</f>
        <v>0.32899999999999996</v>
      </c>
      <c r="I73">
        <f t="shared" si="2"/>
        <v>544.4</v>
      </c>
      <c r="K73">
        <v>12</v>
      </c>
      <c r="L73" s="18">
        <v>435.74999999999989</v>
      </c>
      <c r="M73" s="42"/>
      <c r="N73" s="45"/>
      <c r="O73" s="18">
        <v>643.39999999999986</v>
      </c>
      <c r="P73" s="42"/>
      <c r="Q73" s="45"/>
    </row>
    <row r="74" spans="2:17" x14ac:dyDescent="0.35">
      <c r="B74">
        <v>7</v>
      </c>
      <c r="C74">
        <v>1</v>
      </c>
      <c r="D74">
        <v>0.41699999999999998</v>
      </c>
      <c r="E74">
        <f>D74-0.052</f>
        <v>0.36499999999999999</v>
      </c>
      <c r="F74">
        <f t="shared" si="1"/>
        <v>378.24999999999994</v>
      </c>
      <c r="G74">
        <v>0.56000000000000005</v>
      </c>
      <c r="H74">
        <f>G74-0.28</f>
        <v>0.28000000000000003</v>
      </c>
      <c r="I74">
        <f t="shared" si="2"/>
        <v>642.39999999999986</v>
      </c>
      <c r="K74">
        <v>13</v>
      </c>
      <c r="L74" s="18">
        <v>283.24999999999994</v>
      </c>
      <c r="M74" s="42"/>
      <c r="N74" s="45"/>
      <c r="O74" s="18">
        <v>560.39999999999986</v>
      </c>
      <c r="P74" s="42"/>
      <c r="Q74" s="45"/>
    </row>
    <row r="75" spans="2:17" x14ac:dyDescent="0.35">
      <c r="B75">
        <v>7</v>
      </c>
      <c r="C75">
        <v>2</v>
      </c>
      <c r="D75">
        <v>0.372</v>
      </c>
      <c r="E75">
        <f>D75-0.057</f>
        <v>0.315</v>
      </c>
      <c r="F75">
        <f t="shared" si="1"/>
        <v>503.24999999999994</v>
      </c>
      <c r="G75">
        <v>0.55900000000000005</v>
      </c>
      <c r="H75">
        <f>G75-0.292</f>
        <v>0.26700000000000007</v>
      </c>
      <c r="I75">
        <f t="shared" si="2"/>
        <v>668.39999999999975</v>
      </c>
      <c r="K75">
        <v>14</v>
      </c>
      <c r="L75" s="18">
        <v>311.99999999999989</v>
      </c>
      <c r="M75" s="42"/>
      <c r="N75" s="45"/>
      <c r="O75" s="18">
        <v>724.39999999999986</v>
      </c>
      <c r="P75" s="42"/>
      <c r="Q75" s="45"/>
    </row>
    <row r="76" spans="2:17" x14ac:dyDescent="0.35">
      <c r="B76">
        <v>8</v>
      </c>
      <c r="C76">
        <v>1</v>
      </c>
      <c r="D76">
        <v>0.35299999999999998</v>
      </c>
      <c r="E76">
        <f>D76-0.079</f>
        <v>0.27399999999999997</v>
      </c>
      <c r="F76">
        <f t="shared" si="1"/>
        <v>605.75</v>
      </c>
      <c r="G76">
        <v>0.66400000000000003</v>
      </c>
      <c r="H76">
        <f>G76-0.369</f>
        <v>0.29500000000000004</v>
      </c>
      <c r="I76">
        <f t="shared" si="2"/>
        <v>612.39999999999986</v>
      </c>
      <c r="K76">
        <v>15</v>
      </c>
      <c r="L76" s="18">
        <v>140.74999999999989</v>
      </c>
      <c r="M76" s="42"/>
      <c r="N76" s="45"/>
      <c r="O76" s="18">
        <v>448.4</v>
      </c>
      <c r="P76" s="42"/>
      <c r="Q76" s="45"/>
    </row>
    <row r="77" spans="2:17" x14ac:dyDescent="0.35">
      <c r="B77">
        <v>8</v>
      </c>
      <c r="C77">
        <v>2</v>
      </c>
      <c r="D77">
        <v>0.33600000000000002</v>
      </c>
      <c r="E77">
        <f>D77-0.078</f>
        <v>0.25800000000000001</v>
      </c>
      <c r="F77">
        <f t="shared" si="1"/>
        <v>645.74999999999989</v>
      </c>
      <c r="G77">
        <v>0.68100000000000005</v>
      </c>
      <c r="H77">
        <f>G77-0.382</f>
        <v>0.29900000000000004</v>
      </c>
      <c r="I77">
        <f t="shared" si="2"/>
        <v>604.39999999999986</v>
      </c>
      <c r="K77">
        <v>16</v>
      </c>
      <c r="L77" s="18">
        <v>506.99999999999994</v>
      </c>
      <c r="M77" s="42">
        <f>AVERAGE(L77,L79)</f>
        <v>476.99999999999989</v>
      </c>
      <c r="N77" s="45">
        <f>(_xlfn.STDEV.S(L77,L79)/SQRT(2))/M77</f>
        <v>6.2893081761006359E-2</v>
      </c>
      <c r="O77" s="18">
        <v>543.39999999999986</v>
      </c>
      <c r="P77" s="42">
        <f>AVERAGE(O77:O79)</f>
        <v>600.73333333333323</v>
      </c>
      <c r="Q77" s="45">
        <f>(_xlfn.STDEV.S(O77:O79)/SQRT(3))/P77</f>
        <v>5.0135865045284736E-2</v>
      </c>
    </row>
    <row r="78" spans="2:17" x14ac:dyDescent="0.35">
      <c r="B78">
        <v>9</v>
      </c>
      <c r="C78">
        <v>1</v>
      </c>
      <c r="D78">
        <v>0.34599999999999997</v>
      </c>
      <c r="E78">
        <f>D78-0.066</f>
        <v>0.27999999999999997</v>
      </c>
      <c r="F78">
        <f t="shared" si="1"/>
        <v>590.75</v>
      </c>
      <c r="G78">
        <v>0.62</v>
      </c>
      <c r="H78">
        <f>G78-0.327</f>
        <v>0.29299999999999998</v>
      </c>
      <c r="I78">
        <f t="shared" si="2"/>
        <v>616.4</v>
      </c>
      <c r="K78">
        <v>17</v>
      </c>
      <c r="L78" s="19">
        <v>91.999999999999858</v>
      </c>
      <c r="M78" s="42"/>
      <c r="N78" s="45"/>
      <c r="O78" s="18">
        <v>645.39999999999986</v>
      </c>
      <c r="P78" s="42"/>
      <c r="Q78" s="45"/>
    </row>
    <row r="79" spans="2:17" x14ac:dyDescent="0.35">
      <c r="B79">
        <v>9</v>
      </c>
      <c r="C79">
        <v>2</v>
      </c>
      <c r="D79">
        <v>0.34100000000000003</v>
      </c>
      <c r="E79">
        <f>D79-0.065</f>
        <v>0.27600000000000002</v>
      </c>
      <c r="F79">
        <f t="shared" si="1"/>
        <v>600.74999999999989</v>
      </c>
      <c r="G79">
        <v>0.625</v>
      </c>
      <c r="H79">
        <f>G79-0.363</f>
        <v>0.26200000000000001</v>
      </c>
      <c r="I79">
        <f t="shared" si="2"/>
        <v>678.39999999999986</v>
      </c>
      <c r="K79">
        <v>18</v>
      </c>
      <c r="L79" s="18">
        <v>446.99999999999989</v>
      </c>
      <c r="M79" s="42"/>
      <c r="N79" s="45"/>
      <c r="O79" s="18">
        <v>613.39999999999986</v>
      </c>
      <c r="P79" s="42"/>
      <c r="Q79" s="45"/>
    </row>
    <row r="80" spans="2:17" x14ac:dyDescent="0.35">
      <c r="B80">
        <v>10</v>
      </c>
      <c r="C80">
        <v>1</v>
      </c>
      <c r="D80">
        <v>0.39300000000000002</v>
      </c>
      <c r="E80">
        <f>D80-0.069</f>
        <v>0.32400000000000001</v>
      </c>
      <c r="F80">
        <f t="shared" si="1"/>
        <v>480.74999999999989</v>
      </c>
      <c r="G80">
        <v>0.65200000000000002</v>
      </c>
      <c r="H80">
        <f>G80-0.341</f>
        <v>0.311</v>
      </c>
      <c r="I80">
        <f t="shared" si="2"/>
        <v>580.39999999999986</v>
      </c>
      <c r="K80">
        <v>19</v>
      </c>
      <c r="L80" s="18">
        <v>233.24999999999997</v>
      </c>
      <c r="M80" s="42">
        <f t="shared" ref="M80" si="11">AVERAGE(L80:L82)</f>
        <v>447.41666666666657</v>
      </c>
      <c r="N80" s="45">
        <f t="shared" ref="N80" si="12">(_xlfn.STDEV.S(L80:L82)/SQRT(3))/M80</f>
        <v>0.25414687384936985</v>
      </c>
      <c r="O80" s="18">
        <v>449.39999999999986</v>
      </c>
      <c r="P80" s="42">
        <f t="shared" ref="P80" si="13">AVERAGE(O80:O82)</f>
        <v>492.73333333333318</v>
      </c>
      <c r="Q80" s="45">
        <f t="shared" ref="Q80" si="14">(_xlfn.STDEV.S(O80:O82)/SQRT(3))/P80</f>
        <v>9.7220617364307829E-2</v>
      </c>
    </row>
    <row r="81" spans="2:17" x14ac:dyDescent="0.35">
      <c r="B81">
        <v>10</v>
      </c>
      <c r="C81">
        <v>2</v>
      </c>
      <c r="D81">
        <v>0.4</v>
      </c>
      <c r="E81">
        <f>D81-0.071</f>
        <v>0.32900000000000001</v>
      </c>
      <c r="F81">
        <f t="shared" si="1"/>
        <v>468.24999999999989</v>
      </c>
      <c r="G81">
        <v>0.67</v>
      </c>
      <c r="H81">
        <f>G81-0.377</f>
        <v>0.29300000000000004</v>
      </c>
      <c r="I81">
        <f t="shared" si="2"/>
        <v>616.39999999999986</v>
      </c>
      <c r="K81">
        <v>20</v>
      </c>
      <c r="L81" s="18">
        <v>620.74999999999989</v>
      </c>
      <c r="M81" s="42"/>
      <c r="N81" s="45"/>
      <c r="O81" s="18">
        <v>440.39999999999986</v>
      </c>
      <c r="P81" s="42"/>
      <c r="Q81" s="45"/>
    </row>
    <row r="82" spans="2:17" x14ac:dyDescent="0.35">
      <c r="B82">
        <v>11</v>
      </c>
      <c r="C82">
        <v>1</v>
      </c>
      <c r="D82">
        <v>0.497</v>
      </c>
      <c r="E82">
        <f>D82-0.048</f>
        <v>0.44900000000000001</v>
      </c>
      <c r="F82">
        <f t="shared" si="1"/>
        <v>168.24999999999991</v>
      </c>
      <c r="G82">
        <v>0.53500000000000003</v>
      </c>
      <c r="H82">
        <f>G82-0.195</f>
        <v>0.34</v>
      </c>
      <c r="I82">
        <f t="shared" si="2"/>
        <v>522.39999999999986</v>
      </c>
      <c r="K82">
        <v>21</v>
      </c>
      <c r="L82" s="18">
        <v>488.24999999999989</v>
      </c>
      <c r="M82" s="42"/>
      <c r="N82" s="45"/>
      <c r="O82" s="18">
        <v>588.39999999999986</v>
      </c>
      <c r="P82" s="42"/>
      <c r="Q82" s="45"/>
    </row>
    <row r="83" spans="2:17" x14ac:dyDescent="0.35">
      <c r="B83">
        <v>11</v>
      </c>
      <c r="C83">
        <v>2</v>
      </c>
      <c r="D83">
        <v>0.45600000000000002</v>
      </c>
      <c r="E83">
        <f>D83-0.055</f>
        <v>0.40100000000000002</v>
      </c>
      <c r="F83">
        <f t="shared" si="1"/>
        <v>288.24999999999989</v>
      </c>
      <c r="G83">
        <v>0.5</v>
      </c>
      <c r="H83">
        <f>G83-0.231</f>
        <v>0.26900000000000002</v>
      </c>
      <c r="I83">
        <f t="shared" si="2"/>
        <v>664.39999999999986</v>
      </c>
      <c r="K83">
        <v>22</v>
      </c>
      <c r="L83" s="19">
        <v>8.2499999999999236</v>
      </c>
      <c r="M83" s="42">
        <f>AVERAGE(L84:L85)</f>
        <v>285.125</v>
      </c>
      <c r="N83" s="45">
        <f>(_xlfn.STDEV.S(L84:L85)/SQRT(2))/M83</f>
        <v>0.37045155633494053</v>
      </c>
      <c r="O83" s="18">
        <v>677.4</v>
      </c>
      <c r="P83" s="42">
        <f t="shared" ref="P83" si="15">AVERAGE(O83:O85)</f>
        <v>585.73333333333323</v>
      </c>
      <c r="Q83" s="45">
        <f t="shared" ref="Q83" si="16">(_xlfn.STDEV.S(O83:O85)/SQRT(3))/P83</f>
        <v>8.1891230551312047E-2</v>
      </c>
    </row>
    <row r="84" spans="2:17" x14ac:dyDescent="0.35">
      <c r="B84">
        <v>12</v>
      </c>
      <c r="C84">
        <v>1</v>
      </c>
      <c r="D84">
        <v>0.40300000000000002</v>
      </c>
      <c r="E84">
        <f>D84-0.042</f>
        <v>0.36100000000000004</v>
      </c>
      <c r="F84">
        <f t="shared" si="1"/>
        <v>388.24999999999983</v>
      </c>
      <c r="G84">
        <v>0.55100000000000005</v>
      </c>
      <c r="H84">
        <f>G84-0.244</f>
        <v>0.30700000000000005</v>
      </c>
      <c r="I84">
        <f t="shared" si="2"/>
        <v>588.39999999999975</v>
      </c>
      <c r="K84">
        <v>23</v>
      </c>
      <c r="L84" s="18">
        <v>390.75</v>
      </c>
      <c r="M84" s="42"/>
      <c r="N84" s="45"/>
      <c r="O84" s="18">
        <v>564.4</v>
      </c>
      <c r="P84" s="42"/>
      <c r="Q84" s="45"/>
    </row>
    <row r="85" spans="2:17" x14ac:dyDescent="0.35">
      <c r="B85">
        <v>12</v>
      </c>
      <c r="C85">
        <v>2</v>
      </c>
      <c r="D85">
        <v>0.372</v>
      </c>
      <c r="E85">
        <f>D85-0.049</f>
        <v>0.32300000000000001</v>
      </c>
      <c r="F85">
        <f t="shared" si="1"/>
        <v>483.24999999999989</v>
      </c>
      <c r="G85">
        <v>0.51700000000000002</v>
      </c>
      <c r="H85">
        <f>G85-0.265</f>
        <v>0.252</v>
      </c>
      <c r="I85">
        <f t="shared" si="2"/>
        <v>698.39999999999986</v>
      </c>
      <c r="K85">
        <v>24</v>
      </c>
      <c r="L85" s="18">
        <v>179.49999999999994</v>
      </c>
      <c r="M85" s="42"/>
      <c r="N85" s="45"/>
      <c r="O85" s="18">
        <v>515.4</v>
      </c>
      <c r="P85" s="42"/>
      <c r="Q85" s="45"/>
    </row>
    <row r="86" spans="2:17" x14ac:dyDescent="0.35">
      <c r="B86">
        <v>13</v>
      </c>
      <c r="C86">
        <v>1</v>
      </c>
      <c r="D86">
        <v>0.46899999999999997</v>
      </c>
      <c r="E86">
        <f>D86-0.049</f>
        <v>0.42</v>
      </c>
      <c r="F86">
        <f t="shared" si="1"/>
        <v>240.74999999999997</v>
      </c>
      <c r="G86">
        <v>0.55700000000000005</v>
      </c>
      <c r="H86">
        <f>G86-0.228</f>
        <v>0.32900000000000007</v>
      </c>
      <c r="I86">
        <f t="shared" si="2"/>
        <v>544.39999999999975</v>
      </c>
      <c r="K86">
        <v>25</v>
      </c>
      <c r="L86" s="21">
        <v>408.24999999999989</v>
      </c>
      <c r="M86" s="42">
        <f>AVERAGE(L86,L88)</f>
        <v>444.49999999999989</v>
      </c>
      <c r="N86" s="45">
        <f>(_xlfn.STDEV.S(L86,L88)/SQRT(2))/M86</f>
        <v>8.1552305961754806E-2</v>
      </c>
      <c r="O86" s="18">
        <v>545.39999999999986</v>
      </c>
      <c r="P86" s="42">
        <f t="shared" ref="P86" si="17">AVERAGE(O86:O88)</f>
        <v>642.73333333333323</v>
      </c>
      <c r="Q86" s="45">
        <f t="shared" ref="Q86" si="18">(_xlfn.STDEV.S(O86:O88)/SQRT(3))/P86</f>
        <v>8.1645757303825242E-2</v>
      </c>
    </row>
    <row r="87" spans="2:17" x14ac:dyDescent="0.35">
      <c r="B87">
        <v>13</v>
      </c>
      <c r="C87">
        <v>2</v>
      </c>
      <c r="D87">
        <v>0.439</v>
      </c>
      <c r="E87">
        <f>D87-0.053</f>
        <v>0.38600000000000001</v>
      </c>
      <c r="F87">
        <f t="shared" si="1"/>
        <v>325.74999999999989</v>
      </c>
      <c r="G87">
        <v>0.57899999999999996</v>
      </c>
      <c r="H87">
        <f>G87-0.266</f>
        <v>0.31299999999999994</v>
      </c>
      <c r="I87">
        <f t="shared" si="2"/>
        <v>576.4</v>
      </c>
      <c r="K87">
        <v>26</v>
      </c>
      <c r="L87" s="19">
        <v>225.74999999999991</v>
      </c>
      <c r="M87" s="42"/>
      <c r="N87" s="45"/>
      <c r="O87" s="18">
        <v>657.39999999999986</v>
      </c>
      <c r="P87" s="42"/>
      <c r="Q87" s="45"/>
    </row>
    <row r="88" spans="2:17" x14ac:dyDescent="0.35">
      <c r="B88">
        <v>14</v>
      </c>
      <c r="C88">
        <v>1</v>
      </c>
      <c r="D88">
        <v>0.45800000000000002</v>
      </c>
      <c r="E88">
        <f>D88-0.065</f>
        <v>0.39300000000000002</v>
      </c>
      <c r="F88">
        <f t="shared" si="1"/>
        <v>308.24999999999989</v>
      </c>
      <c r="G88">
        <v>0.56799999999999995</v>
      </c>
      <c r="H88">
        <f>G88-0.328</f>
        <v>0.23999999999999994</v>
      </c>
      <c r="I88">
        <f t="shared" si="2"/>
        <v>722.4</v>
      </c>
      <c r="K88">
        <v>27</v>
      </c>
      <c r="L88" s="21">
        <v>480.74999999999989</v>
      </c>
      <c r="M88" s="42"/>
      <c r="N88" s="45"/>
      <c r="O88" s="18">
        <v>725.39999999999986</v>
      </c>
      <c r="P88" s="42"/>
      <c r="Q88" s="45"/>
    </row>
    <row r="89" spans="2:17" x14ac:dyDescent="0.35">
      <c r="B89">
        <v>14</v>
      </c>
      <c r="C89">
        <v>2</v>
      </c>
      <c r="D89">
        <v>0.45400000000000001</v>
      </c>
      <c r="E89">
        <f>D89-0.064</f>
        <v>0.39</v>
      </c>
      <c r="F89">
        <f t="shared" si="1"/>
        <v>315.74999999999989</v>
      </c>
      <c r="G89">
        <v>0.58499999999999996</v>
      </c>
      <c r="H89">
        <f>G89-0.347</f>
        <v>0.23799999999999999</v>
      </c>
      <c r="I89">
        <f t="shared" si="2"/>
        <v>726.39999999999986</v>
      </c>
      <c r="K89">
        <v>28</v>
      </c>
      <c r="L89" s="21">
        <v>466.99999999999989</v>
      </c>
      <c r="M89" s="42">
        <f t="shared" ref="M89" si="19">AVERAGE(L89:L91)</f>
        <v>388.66666666666657</v>
      </c>
      <c r="N89" s="45">
        <f t="shared" ref="N89" si="20">(_xlfn.STDEV.S(L89:L91)/SQRT(3))/M89</f>
        <v>0.19993783309714969</v>
      </c>
      <c r="O89" s="18">
        <v>731.4</v>
      </c>
      <c r="P89" s="42">
        <f t="shared" ref="P89" si="21">AVERAGE(O89:O91)</f>
        <v>644.06666666666649</v>
      </c>
      <c r="Q89" s="45">
        <f t="shared" ref="Q89" si="22">(_xlfn.STDEV.S(O89:O91)/SQRT(3))/P89</f>
        <v>7.2611364899267741E-2</v>
      </c>
    </row>
    <row r="90" spans="2:17" x14ac:dyDescent="0.35">
      <c r="B90">
        <v>15</v>
      </c>
      <c r="C90">
        <v>1</v>
      </c>
      <c r="D90">
        <v>0.5</v>
      </c>
      <c r="E90">
        <f>D90-0.05</f>
        <v>0.45</v>
      </c>
      <c r="F90">
        <f t="shared" si="1"/>
        <v>165.74999999999991</v>
      </c>
      <c r="G90">
        <v>0.69299999999999995</v>
      </c>
      <c r="H90">
        <f>G90-0.307</f>
        <v>0.38599999999999995</v>
      </c>
      <c r="I90">
        <f t="shared" si="2"/>
        <v>430.4</v>
      </c>
      <c r="K90">
        <v>29</v>
      </c>
      <c r="L90" s="21">
        <v>465.74999999999989</v>
      </c>
      <c r="M90" s="42"/>
      <c r="N90" s="45"/>
      <c r="O90" s="18">
        <v>571.39999999999986</v>
      </c>
      <c r="P90" s="42"/>
      <c r="Q90" s="45"/>
    </row>
    <row r="91" spans="2:17" x14ac:dyDescent="0.35">
      <c r="B91">
        <v>15</v>
      </c>
      <c r="C91">
        <v>2</v>
      </c>
      <c r="D91">
        <v>0.51900000000000002</v>
      </c>
      <c r="E91">
        <f>D91-0.049</f>
        <v>0.47000000000000003</v>
      </c>
      <c r="F91">
        <f t="shared" si="1"/>
        <v>115.74999999999987</v>
      </c>
      <c r="G91">
        <v>0.71399999999999997</v>
      </c>
      <c r="H91">
        <f>G91-0.346</f>
        <v>0.36799999999999999</v>
      </c>
      <c r="I91">
        <f t="shared" si="2"/>
        <v>466.39999999999992</v>
      </c>
      <c r="K91">
        <v>30</v>
      </c>
      <c r="L91" s="21">
        <v>233.24999999999991</v>
      </c>
      <c r="M91" s="42"/>
      <c r="N91" s="45"/>
      <c r="O91" s="18">
        <v>629.39999999999986</v>
      </c>
      <c r="P91" s="42"/>
      <c r="Q91" s="45"/>
    </row>
    <row r="92" spans="2:17" x14ac:dyDescent="0.35">
      <c r="B92">
        <v>16</v>
      </c>
      <c r="C92">
        <v>1</v>
      </c>
      <c r="D92">
        <v>0.35599999999999998</v>
      </c>
      <c r="E92">
        <f>D92-0.052</f>
        <v>0.30399999999999999</v>
      </c>
      <c r="F92">
        <f t="shared" si="1"/>
        <v>530.75</v>
      </c>
      <c r="G92">
        <v>0.51700000000000002</v>
      </c>
      <c r="H92">
        <f>G92-0.199</f>
        <v>0.318</v>
      </c>
      <c r="I92">
        <f t="shared" si="2"/>
        <v>566.39999999999986</v>
      </c>
      <c r="K92">
        <v>31</v>
      </c>
      <c r="L92" s="21">
        <v>153.24999999999989</v>
      </c>
      <c r="M92" s="42">
        <f>AVERAGE(L92:L93)</f>
        <v>171.99999999999991</v>
      </c>
      <c r="N92" s="45">
        <f>(_xlfn.STDEV.S(L92:L93)/SQRT(2))/M92</f>
        <v>0.1090116279069768</v>
      </c>
      <c r="O92" s="18">
        <v>454.39999999999992</v>
      </c>
      <c r="P92" s="42">
        <f t="shared" ref="P92" si="23">AVERAGE(O92:O94)</f>
        <v>461.73333333333329</v>
      </c>
      <c r="Q92" s="45">
        <f t="shared" ref="Q92" si="24">(_xlfn.STDEV.S(O92:O94)/SQRT(3))/P92</f>
        <v>9.3849263644239112E-3</v>
      </c>
    </row>
    <row r="93" spans="2:17" x14ac:dyDescent="0.35">
      <c r="B93">
        <v>16</v>
      </c>
      <c r="C93">
        <v>2</v>
      </c>
      <c r="D93">
        <v>0.375</v>
      </c>
      <c r="E93">
        <f>D93-0.052</f>
        <v>0.32300000000000001</v>
      </c>
      <c r="F93">
        <f t="shared" si="1"/>
        <v>483.24999999999989</v>
      </c>
      <c r="G93">
        <v>0.54800000000000004</v>
      </c>
      <c r="H93">
        <f>G93-0.207</f>
        <v>0.34100000000000008</v>
      </c>
      <c r="I93">
        <f t="shared" si="2"/>
        <v>520.39999999999975</v>
      </c>
      <c r="K93">
        <v>32</v>
      </c>
      <c r="L93" s="21">
        <v>190.74999999999994</v>
      </c>
      <c r="M93" s="42"/>
      <c r="N93" s="45"/>
      <c r="O93" s="18">
        <v>469.39999999999992</v>
      </c>
      <c r="P93" s="42"/>
      <c r="Q93" s="45"/>
    </row>
    <row r="94" spans="2:17" x14ac:dyDescent="0.35">
      <c r="B94">
        <v>17</v>
      </c>
      <c r="C94">
        <v>1</v>
      </c>
      <c r="D94">
        <v>0.52300000000000002</v>
      </c>
      <c r="E94">
        <f>D94-0.05</f>
        <v>0.47300000000000003</v>
      </c>
      <c r="F94">
        <f t="shared" si="1"/>
        <v>108.24999999999987</v>
      </c>
      <c r="G94">
        <v>0.49</v>
      </c>
      <c r="H94">
        <f>G94-0.222</f>
        <v>0.26800000000000002</v>
      </c>
      <c r="I94">
        <f t="shared" si="2"/>
        <v>666.39999999999986</v>
      </c>
      <c r="K94">
        <v>33</v>
      </c>
      <c r="L94" s="19">
        <v>456.99999999999989</v>
      </c>
      <c r="M94" s="42"/>
      <c r="N94" s="45"/>
      <c r="O94" s="18">
        <v>461.39999999999992</v>
      </c>
      <c r="P94" s="42"/>
      <c r="Q94" s="45"/>
    </row>
    <row r="95" spans="2:17" x14ac:dyDescent="0.35">
      <c r="B95">
        <v>17</v>
      </c>
      <c r="C95">
        <v>2</v>
      </c>
      <c r="D95">
        <v>0.53600000000000003</v>
      </c>
      <c r="E95">
        <f>D95-0.05</f>
        <v>0.48600000000000004</v>
      </c>
      <c r="F95">
        <f t="shared" si="1"/>
        <v>75.749999999999844</v>
      </c>
      <c r="G95">
        <v>0.501</v>
      </c>
      <c r="H95">
        <f>G95-0.212</f>
        <v>0.28900000000000003</v>
      </c>
      <c r="I95">
        <f t="shared" si="2"/>
        <v>624.39999999999986</v>
      </c>
      <c r="K95">
        <v>34</v>
      </c>
      <c r="L95" s="18">
        <v>575.74999999999989</v>
      </c>
      <c r="M95" s="42">
        <f>AVERAGE(L95,L97)</f>
        <v>540.12499999999989</v>
      </c>
      <c r="N95" s="45">
        <f>(_xlfn.STDEV.S(L95,L97)/SQRT(2))/M95</f>
        <v>6.5956954408701654E-2</v>
      </c>
      <c r="O95" s="18">
        <v>558.39999999999986</v>
      </c>
      <c r="P95" s="42">
        <f t="shared" ref="P95" si="25">AVERAGE(O95:O97)</f>
        <v>592.39999999999986</v>
      </c>
      <c r="Q95" s="45">
        <f t="shared" ref="Q95" si="26">(_xlfn.STDEV.S(O95:O97)/SQRT(3))/P95</f>
        <v>6.6013996741222006E-2</v>
      </c>
    </row>
    <row r="96" spans="2:17" x14ac:dyDescent="0.35">
      <c r="B96">
        <v>18</v>
      </c>
      <c r="C96">
        <v>1</v>
      </c>
      <c r="D96">
        <v>0.376</v>
      </c>
      <c r="E96">
        <f>D96-0.052</f>
        <v>0.32400000000000001</v>
      </c>
      <c r="F96">
        <f t="shared" si="1"/>
        <v>480.74999999999989</v>
      </c>
      <c r="G96">
        <v>0.46</v>
      </c>
      <c r="H96">
        <f>G96-0.148</f>
        <v>0.31200000000000006</v>
      </c>
      <c r="I96">
        <f t="shared" si="2"/>
        <v>578.39999999999975</v>
      </c>
      <c r="K96">
        <v>35</v>
      </c>
      <c r="L96" s="19">
        <v>849.5</v>
      </c>
      <c r="M96" s="42"/>
      <c r="N96" s="45"/>
      <c r="O96" s="18">
        <v>548.39999999999986</v>
      </c>
      <c r="P96" s="42"/>
      <c r="Q96" s="45"/>
    </row>
    <row r="97" spans="2:17" x14ac:dyDescent="0.35">
      <c r="B97">
        <v>18</v>
      </c>
      <c r="C97">
        <v>2</v>
      </c>
      <c r="D97">
        <v>0.40400000000000003</v>
      </c>
      <c r="E97">
        <f>D97-0.053</f>
        <v>0.35100000000000003</v>
      </c>
      <c r="F97">
        <f t="shared" si="1"/>
        <v>413.24999999999983</v>
      </c>
      <c r="G97">
        <v>0.433</v>
      </c>
      <c r="H97">
        <f>G97-0.156</f>
        <v>0.27700000000000002</v>
      </c>
      <c r="I97">
        <f t="shared" si="2"/>
        <v>648.39999999999986</v>
      </c>
      <c r="K97">
        <v>36</v>
      </c>
      <c r="L97" s="18">
        <v>504.49999999999994</v>
      </c>
      <c r="M97" s="42"/>
      <c r="N97" s="45"/>
      <c r="O97" s="18">
        <v>670.39999999999986</v>
      </c>
      <c r="P97" s="42"/>
      <c r="Q97" s="45"/>
    </row>
    <row r="98" spans="2:17" x14ac:dyDescent="0.35">
      <c r="B98">
        <v>19</v>
      </c>
      <c r="C98">
        <v>1</v>
      </c>
      <c r="D98">
        <v>0.47399999999999998</v>
      </c>
      <c r="E98">
        <f>D98-0.05</f>
        <v>0.42399999999999999</v>
      </c>
      <c r="F98">
        <f t="shared" si="1"/>
        <v>230.74999999999997</v>
      </c>
      <c r="G98">
        <v>0.46700000000000003</v>
      </c>
      <c r="H98">
        <f>G98-0.08</f>
        <v>0.38700000000000001</v>
      </c>
      <c r="I98">
        <f t="shared" si="2"/>
        <v>428.39999999999986</v>
      </c>
      <c r="K98">
        <v>37</v>
      </c>
      <c r="L98" s="18">
        <v>254.49999999999994</v>
      </c>
      <c r="M98" s="42">
        <f>AVERAGE(L98:L99)</f>
        <v>279.5</v>
      </c>
      <c r="N98" s="45">
        <f>(_xlfn.STDEV.S(L98:L99)/SQRT(2))/M98</f>
        <v>8.9445438282647671E-2</v>
      </c>
      <c r="O98" s="18">
        <v>627.39999999999986</v>
      </c>
      <c r="P98" s="42">
        <f t="shared" ref="P98" si="27">AVERAGE(O98:O100)</f>
        <v>638.73333333333323</v>
      </c>
      <c r="Q98" s="45">
        <f t="shared" ref="Q98" si="28">(_xlfn.STDEV.S(O98:O100)/SQRT(3))/P98</f>
        <v>1.0896886033723571E-2</v>
      </c>
    </row>
    <row r="99" spans="2:17" x14ac:dyDescent="0.35">
      <c r="B99">
        <v>19</v>
      </c>
      <c r="C99">
        <v>2</v>
      </c>
      <c r="D99">
        <v>0.47099999999999997</v>
      </c>
      <c r="E99">
        <f>D99-0.049</f>
        <v>0.42199999999999999</v>
      </c>
      <c r="F99">
        <f t="shared" si="1"/>
        <v>235.74999999999997</v>
      </c>
      <c r="G99">
        <v>0.44900000000000001</v>
      </c>
      <c r="H99">
        <f>G99-0.083</f>
        <v>0.36599999999999999</v>
      </c>
      <c r="I99">
        <f t="shared" si="2"/>
        <v>470.39999999999992</v>
      </c>
      <c r="K99">
        <v>38</v>
      </c>
      <c r="L99" s="18">
        <v>304.5</v>
      </c>
      <c r="M99" s="42"/>
      <c r="N99" s="45"/>
      <c r="O99" s="18">
        <v>637.39999999999986</v>
      </c>
      <c r="P99" s="42"/>
      <c r="Q99" s="45"/>
    </row>
    <row r="100" spans="2:17" x14ac:dyDescent="0.35">
      <c r="B100">
        <v>20</v>
      </c>
      <c r="C100">
        <v>1</v>
      </c>
      <c r="D100">
        <v>0.32700000000000001</v>
      </c>
      <c r="E100">
        <f>D100-0.046</f>
        <v>0.28100000000000003</v>
      </c>
      <c r="F100">
        <f t="shared" si="1"/>
        <v>588.24999999999989</v>
      </c>
      <c r="G100">
        <v>0.45500000000000002</v>
      </c>
      <c r="H100">
        <f>G100-0.065</f>
        <v>0.39</v>
      </c>
      <c r="I100">
        <f t="shared" si="2"/>
        <v>422.39999999999986</v>
      </c>
      <c r="K100">
        <v>39</v>
      </c>
      <c r="L100" s="19">
        <v>710.75</v>
      </c>
      <c r="M100" s="42"/>
      <c r="N100" s="45"/>
      <c r="O100" s="18">
        <v>651.39999999999986</v>
      </c>
      <c r="P100" s="42"/>
      <c r="Q100" s="45"/>
    </row>
    <row r="101" spans="2:17" x14ac:dyDescent="0.35">
      <c r="B101">
        <v>20</v>
      </c>
      <c r="C101">
        <v>2</v>
      </c>
      <c r="D101">
        <v>0.3</v>
      </c>
      <c r="E101">
        <f>D101-0.045</f>
        <v>0.255</v>
      </c>
      <c r="F101">
        <f t="shared" si="1"/>
        <v>653.24999999999989</v>
      </c>
      <c r="G101">
        <v>0.442</v>
      </c>
      <c r="H101">
        <f>G101-0.07</f>
        <v>0.372</v>
      </c>
      <c r="I101">
        <f t="shared" si="2"/>
        <v>458.39999999999992</v>
      </c>
      <c r="K101">
        <v>40</v>
      </c>
      <c r="L101" s="18">
        <v>234.49999999999991</v>
      </c>
      <c r="M101" s="42">
        <f t="shared" ref="M101" si="29">AVERAGE(L101:L103)</f>
        <v>259.24999999999994</v>
      </c>
      <c r="N101" s="45">
        <f t="shared" ref="N101" si="30">(_xlfn.STDEV.S(L101:L103)/SQRT(3))/M101</f>
        <v>0.29204575577004194</v>
      </c>
      <c r="O101" s="21">
        <v>466.39999999999986</v>
      </c>
      <c r="P101" s="42">
        <f t="shared" ref="P101" si="31">AVERAGE(O101:O103)</f>
        <v>442.79999999999995</v>
      </c>
      <c r="Q101" s="45">
        <f t="shared" ref="Q101" si="32">(_xlfn.STDEV.S(O101:O103)/SQRT(3))/P101</f>
        <v>3.3055419084971893E-2</v>
      </c>
    </row>
    <row r="102" spans="2:17" x14ac:dyDescent="0.35">
      <c r="B102">
        <v>21</v>
      </c>
      <c r="C102">
        <v>1</v>
      </c>
      <c r="D102">
        <v>0.33900000000000002</v>
      </c>
      <c r="E102">
        <f>D102-0.048</f>
        <v>0.29100000000000004</v>
      </c>
      <c r="F102">
        <f t="shared" si="1"/>
        <v>563.24999999999989</v>
      </c>
      <c r="G102">
        <v>0.46300000000000002</v>
      </c>
      <c r="H102">
        <f>G102-0.179</f>
        <v>0.28400000000000003</v>
      </c>
      <c r="I102">
        <f t="shared" si="2"/>
        <v>634.39999999999986</v>
      </c>
      <c r="K102">
        <v>41</v>
      </c>
      <c r="L102" s="18">
        <v>400.99999999999994</v>
      </c>
      <c r="M102" s="42"/>
      <c r="N102" s="45"/>
      <c r="O102" s="18">
        <v>446</v>
      </c>
      <c r="P102" s="42"/>
      <c r="Q102" s="45"/>
    </row>
    <row r="103" spans="2:17" x14ac:dyDescent="0.35">
      <c r="B103">
        <v>21</v>
      </c>
      <c r="C103">
        <v>2</v>
      </c>
      <c r="D103">
        <v>0.39500000000000002</v>
      </c>
      <c r="E103">
        <f>D103-0.044</f>
        <v>0.35100000000000003</v>
      </c>
      <c r="F103">
        <f t="shared" si="1"/>
        <v>413.24999999999983</v>
      </c>
      <c r="G103">
        <v>0.48</v>
      </c>
      <c r="H103">
        <f>G103-0.15</f>
        <v>0.32999999999999996</v>
      </c>
      <c r="I103">
        <f t="shared" si="2"/>
        <v>542.4</v>
      </c>
      <c r="K103">
        <v>42</v>
      </c>
      <c r="L103" s="18">
        <v>142.24999999999989</v>
      </c>
      <c r="M103" s="42"/>
      <c r="N103" s="45"/>
      <c r="O103" s="18">
        <v>416</v>
      </c>
      <c r="P103" s="42"/>
      <c r="Q103" s="45"/>
    </row>
    <row r="104" spans="2:17" x14ac:dyDescent="0.35">
      <c r="B104">
        <v>22</v>
      </c>
      <c r="C104">
        <v>1</v>
      </c>
      <c r="D104">
        <v>0.55300000000000005</v>
      </c>
      <c r="E104">
        <f>D104-0.041</f>
        <v>0.51200000000000001</v>
      </c>
      <c r="F104">
        <f t="shared" si="1"/>
        <v>10.749999999999925</v>
      </c>
      <c r="G104">
        <v>0.69899999999999995</v>
      </c>
      <c r="H104">
        <f>G104-0.442</f>
        <v>0.25699999999999995</v>
      </c>
      <c r="I104">
        <f t="shared" si="2"/>
        <v>688.4</v>
      </c>
      <c r="K104">
        <v>43</v>
      </c>
      <c r="L104" s="18">
        <v>412.24999999999994</v>
      </c>
      <c r="M104" s="42">
        <f t="shared" ref="M104" si="33">AVERAGE(L104:L106)</f>
        <v>395.58333333333331</v>
      </c>
      <c r="N104" s="45">
        <f t="shared" ref="N104" si="34">(_xlfn.STDEV.S(L104:L106)/SQRT(3))/M104</f>
        <v>0.25082401112341979</v>
      </c>
      <c r="O104" s="18">
        <v>592.25</v>
      </c>
      <c r="P104" s="42">
        <f t="shared" ref="P104" si="35">AVERAGE(O104:O106)</f>
        <v>619.33333333333326</v>
      </c>
      <c r="Q104" s="45">
        <f t="shared" ref="Q104" si="36">(_xlfn.STDEV.S(O104:O106)/SQRT(3))/P104</f>
        <v>3.9761576576391892E-2</v>
      </c>
    </row>
    <row r="105" spans="2:17" x14ac:dyDescent="0.35">
      <c r="B105">
        <v>22</v>
      </c>
      <c r="C105">
        <v>2</v>
      </c>
      <c r="D105">
        <v>0.55600000000000005</v>
      </c>
      <c r="E105">
        <f>D105-0.042</f>
        <v>0.51400000000000001</v>
      </c>
      <c r="F105">
        <f t="shared" si="1"/>
        <v>5.7499999999999218</v>
      </c>
      <c r="G105">
        <v>0.59</v>
      </c>
      <c r="H105">
        <f>G105-0.322</f>
        <v>0.26799999999999996</v>
      </c>
      <c r="I105">
        <f t="shared" si="2"/>
        <v>666.4</v>
      </c>
      <c r="K105">
        <v>44</v>
      </c>
      <c r="L105" s="18">
        <v>215.99999999999994</v>
      </c>
      <c r="M105" s="42"/>
      <c r="N105" s="45"/>
      <c r="O105" s="18">
        <v>668.5</v>
      </c>
      <c r="P105" s="42"/>
      <c r="Q105" s="45"/>
    </row>
    <row r="106" spans="2:17" x14ac:dyDescent="0.35">
      <c r="B106">
        <v>23</v>
      </c>
      <c r="C106">
        <v>1</v>
      </c>
      <c r="D106">
        <v>0.41199999999999998</v>
      </c>
      <c r="E106">
        <f>D106-0.057</f>
        <v>0.35499999999999998</v>
      </c>
      <c r="F106">
        <f t="shared" si="1"/>
        <v>403.25</v>
      </c>
      <c r="G106">
        <v>0.47899999999999998</v>
      </c>
      <c r="H106">
        <f>G106-0.159</f>
        <v>0.31999999999999995</v>
      </c>
      <c r="I106">
        <f t="shared" si="2"/>
        <v>562.4</v>
      </c>
      <c r="K106">
        <v>45</v>
      </c>
      <c r="L106" s="18">
        <v>558.5</v>
      </c>
      <c r="M106" s="42"/>
      <c r="N106" s="45"/>
      <c r="O106" s="18">
        <v>597.24999999999977</v>
      </c>
      <c r="P106" s="42"/>
      <c r="Q106" s="45"/>
    </row>
    <row r="107" spans="2:17" x14ac:dyDescent="0.35">
      <c r="B107">
        <v>23</v>
      </c>
      <c r="C107">
        <v>2</v>
      </c>
      <c r="D107">
        <v>0.42</v>
      </c>
      <c r="E107">
        <f>D107-0.055</f>
        <v>0.36499999999999999</v>
      </c>
      <c r="F107">
        <f t="shared" si="1"/>
        <v>378.24999999999994</v>
      </c>
      <c r="G107">
        <v>0.48299999999999998</v>
      </c>
      <c r="H107">
        <f>G107-0.165</f>
        <v>0.31799999999999995</v>
      </c>
      <c r="I107">
        <f t="shared" si="2"/>
        <v>566.4</v>
      </c>
      <c r="K107">
        <v>46</v>
      </c>
      <c r="L107" s="19">
        <v>615.99999999999989</v>
      </c>
      <c r="M107" s="42">
        <f>AVERAGE(L108:L109)</f>
        <v>275.37499999999989</v>
      </c>
      <c r="N107" s="45">
        <f>(_xlfn.STDEV.S(L108:L109)/SQRT(2))/M107</f>
        <v>0.31547889241942811</v>
      </c>
      <c r="O107" s="18">
        <v>337.24999999999989</v>
      </c>
      <c r="P107" s="42">
        <f t="shared" ref="P107" si="37">AVERAGE(O107:O109)</f>
        <v>465.99999999999983</v>
      </c>
      <c r="Q107" s="45">
        <f t="shared" ref="Q107" si="38">(_xlfn.STDEV.S(O107:O109)/SQRT(3))/P107</f>
        <v>0.16188773264421161</v>
      </c>
    </row>
    <row r="108" spans="2:17" x14ac:dyDescent="0.35">
      <c r="B108">
        <v>24</v>
      </c>
      <c r="C108">
        <v>1</v>
      </c>
      <c r="D108">
        <v>0.502</v>
      </c>
      <c r="E108">
        <f>D108-0.051</f>
        <v>0.45100000000000001</v>
      </c>
      <c r="F108">
        <f t="shared" si="1"/>
        <v>163.24999999999991</v>
      </c>
      <c r="G108">
        <v>0.5</v>
      </c>
      <c r="H108">
        <f>G108-0.154</f>
        <v>0.34599999999999997</v>
      </c>
      <c r="I108">
        <f t="shared" si="2"/>
        <v>510.4</v>
      </c>
      <c r="K108">
        <v>47</v>
      </c>
      <c r="L108" s="18">
        <v>188.49999999999989</v>
      </c>
      <c r="M108" s="42"/>
      <c r="N108" s="45"/>
      <c r="O108" s="18">
        <v>462.24999999999989</v>
      </c>
      <c r="P108" s="42"/>
      <c r="Q108" s="45"/>
    </row>
    <row r="109" spans="2:17" x14ac:dyDescent="0.35">
      <c r="B109">
        <v>24</v>
      </c>
      <c r="C109">
        <v>2</v>
      </c>
      <c r="D109">
        <v>0.49</v>
      </c>
      <c r="E109">
        <f>D109-0.052</f>
        <v>0.438</v>
      </c>
      <c r="F109">
        <f t="shared" si="1"/>
        <v>195.74999999999994</v>
      </c>
      <c r="G109">
        <v>0.502</v>
      </c>
      <c r="H109">
        <f>G109-0.161</f>
        <v>0.34099999999999997</v>
      </c>
      <c r="I109">
        <f t="shared" si="2"/>
        <v>520.4</v>
      </c>
      <c r="K109">
        <v>48</v>
      </c>
      <c r="L109" s="18">
        <v>362.24999999999989</v>
      </c>
      <c r="M109" s="42"/>
      <c r="N109" s="45"/>
      <c r="O109" s="18">
        <v>598.49999999999989</v>
      </c>
      <c r="P109" s="42"/>
      <c r="Q109" s="45"/>
    </row>
    <row r="110" spans="2:17" x14ac:dyDescent="0.35">
      <c r="B110">
        <v>25</v>
      </c>
      <c r="C110">
        <v>1</v>
      </c>
      <c r="D110">
        <v>0.38500000000000001</v>
      </c>
      <c r="E110">
        <f>D110-0.048</f>
        <v>0.33700000000000002</v>
      </c>
      <c r="F110">
        <f t="shared" si="1"/>
        <v>448.24999999999989</v>
      </c>
      <c r="G110">
        <v>0.61099999999999999</v>
      </c>
      <c r="H110">
        <f>G110-0.275</f>
        <v>0.33599999999999997</v>
      </c>
      <c r="I110">
        <f t="shared" si="2"/>
        <v>530.4</v>
      </c>
      <c r="K110">
        <v>49</v>
      </c>
      <c r="L110" s="18">
        <v>415.99999999999994</v>
      </c>
      <c r="M110" s="42">
        <f t="shared" ref="M110" si="39">AVERAGE(L110:L112)</f>
        <v>358.5</v>
      </c>
      <c r="N110" s="45">
        <f t="shared" ref="N110" si="40">(_xlfn.STDEV.S(L110:L112)/SQRT(3))/M110</f>
        <v>0.12098571529217145</v>
      </c>
      <c r="O110" s="18">
        <v>483.49999999999989</v>
      </c>
      <c r="P110" s="42">
        <f t="shared" ref="P110" si="41">AVERAGE(O110:O112)</f>
        <v>504.33333333333331</v>
      </c>
      <c r="Q110" s="45">
        <f t="shared" ref="Q110" si="42">(_xlfn.STDEV.S(O110:O112)/SQRT(3))/P110</f>
        <v>6.6264032397639033E-2</v>
      </c>
    </row>
    <row r="111" spans="2:17" x14ac:dyDescent="0.35">
      <c r="B111">
        <v>25</v>
      </c>
      <c r="C111">
        <v>2</v>
      </c>
      <c r="D111">
        <v>0.41399999999999998</v>
      </c>
      <c r="E111">
        <f>D111-0.045</f>
        <v>0.36899999999999999</v>
      </c>
      <c r="F111">
        <f t="shared" si="1"/>
        <v>368.24999999999994</v>
      </c>
      <c r="G111">
        <v>0.61899999999999999</v>
      </c>
      <c r="H111">
        <f>G111-0.298</f>
        <v>0.32100000000000001</v>
      </c>
      <c r="I111">
        <f t="shared" si="2"/>
        <v>560.39999999999986</v>
      </c>
      <c r="K111">
        <v>50</v>
      </c>
      <c r="L111" s="18">
        <v>385.99999999999994</v>
      </c>
      <c r="M111" s="42"/>
      <c r="N111" s="45"/>
      <c r="O111" s="18">
        <v>459.75</v>
      </c>
      <c r="P111" s="42"/>
      <c r="Q111" s="45"/>
    </row>
    <row r="112" spans="2:17" x14ac:dyDescent="0.35">
      <c r="B112">
        <v>26</v>
      </c>
      <c r="C112">
        <v>1</v>
      </c>
      <c r="D112">
        <v>0.45300000000000001</v>
      </c>
      <c r="E112">
        <f>D112-0.044</f>
        <v>0.40900000000000003</v>
      </c>
      <c r="F112">
        <f t="shared" si="1"/>
        <v>268.24999999999989</v>
      </c>
      <c r="G112">
        <v>0.40100000000000002</v>
      </c>
      <c r="H112">
        <f>G112-0.111</f>
        <v>0.29000000000000004</v>
      </c>
      <c r="I112">
        <f t="shared" si="2"/>
        <v>622.39999999999986</v>
      </c>
      <c r="K112">
        <v>51</v>
      </c>
      <c r="L112" s="18">
        <v>273.5</v>
      </c>
      <c r="M112" s="42"/>
      <c r="N112" s="45"/>
      <c r="O112" s="18">
        <v>569.75</v>
      </c>
      <c r="P112" s="42"/>
      <c r="Q112" s="45"/>
    </row>
    <row r="113" spans="2:9" x14ac:dyDescent="0.35">
      <c r="B113">
        <v>26</v>
      </c>
      <c r="C113">
        <v>2</v>
      </c>
      <c r="D113">
        <v>0.48799999999999999</v>
      </c>
      <c r="E113">
        <f>D113-0.045</f>
        <v>0.443</v>
      </c>
      <c r="F113">
        <f t="shared" si="1"/>
        <v>183.24999999999994</v>
      </c>
      <c r="G113">
        <v>0.374</v>
      </c>
      <c r="H113">
        <f>G113-0.119</f>
        <v>0.255</v>
      </c>
      <c r="I113">
        <f t="shared" si="2"/>
        <v>692.39999999999986</v>
      </c>
    </row>
    <row r="114" spans="2:9" x14ac:dyDescent="0.35">
      <c r="B114">
        <v>27</v>
      </c>
      <c r="C114">
        <v>1</v>
      </c>
      <c r="D114">
        <v>0.38500000000000001</v>
      </c>
      <c r="E114">
        <f>D114-0.067</f>
        <v>0.318</v>
      </c>
      <c r="F114">
        <f t="shared" si="1"/>
        <v>495.74999999999994</v>
      </c>
      <c r="G114">
        <v>0.31900000000000001</v>
      </c>
      <c r="H114">
        <f>G114-0.071</f>
        <v>0.248</v>
      </c>
      <c r="I114">
        <f t="shared" si="2"/>
        <v>706.39999999999986</v>
      </c>
    </row>
    <row r="115" spans="2:9" x14ac:dyDescent="0.35">
      <c r="B115">
        <v>27</v>
      </c>
      <c r="C115">
        <v>2</v>
      </c>
      <c r="D115">
        <v>0.40600000000000003</v>
      </c>
      <c r="E115">
        <f>D115-0.076</f>
        <v>0.33</v>
      </c>
      <c r="F115">
        <f t="shared" si="1"/>
        <v>465.74999999999989</v>
      </c>
      <c r="G115">
        <v>0.30599999999999999</v>
      </c>
      <c r="H115">
        <f>G115-0.077</f>
        <v>0.22899999999999998</v>
      </c>
      <c r="I115">
        <f t="shared" si="2"/>
        <v>744.4</v>
      </c>
    </row>
    <row r="116" spans="2:9" x14ac:dyDescent="0.35">
      <c r="B116">
        <v>28</v>
      </c>
      <c r="C116">
        <v>1</v>
      </c>
      <c r="D116">
        <v>0.378</v>
      </c>
      <c r="E116">
        <f>D116-0.045</f>
        <v>0.33300000000000002</v>
      </c>
      <c r="F116">
        <f t="shared" si="1"/>
        <v>458.24999999999989</v>
      </c>
      <c r="G116">
        <v>0.33400000000000002</v>
      </c>
      <c r="H116">
        <f>G116-0.1</f>
        <v>0.23400000000000001</v>
      </c>
      <c r="I116">
        <f t="shared" si="2"/>
        <v>734.4</v>
      </c>
    </row>
    <row r="117" spans="2:9" x14ac:dyDescent="0.35">
      <c r="B117">
        <v>28</v>
      </c>
      <c r="C117">
        <v>2</v>
      </c>
      <c r="D117">
        <v>0.372</v>
      </c>
      <c r="E117">
        <f>D117-0.046</f>
        <v>0.32600000000000001</v>
      </c>
      <c r="F117">
        <f t="shared" si="1"/>
        <v>475.74999999999989</v>
      </c>
      <c r="G117">
        <v>0.33700000000000002</v>
      </c>
      <c r="H117">
        <f>G117-0.1</f>
        <v>0.23700000000000002</v>
      </c>
      <c r="I117">
        <f t="shared" si="2"/>
        <v>728.4</v>
      </c>
    </row>
    <row r="118" spans="2:9" x14ac:dyDescent="0.35">
      <c r="B118">
        <v>29</v>
      </c>
      <c r="C118">
        <v>1</v>
      </c>
      <c r="D118">
        <v>0.375</v>
      </c>
      <c r="E118">
        <f>D118-0.046</f>
        <v>0.32900000000000001</v>
      </c>
      <c r="F118">
        <f t="shared" si="1"/>
        <v>468.24999999999989</v>
      </c>
      <c r="G118">
        <v>0.41</v>
      </c>
      <c r="H118">
        <f>G118-0.103</f>
        <v>0.307</v>
      </c>
      <c r="I118">
        <f t="shared" si="2"/>
        <v>588.39999999999986</v>
      </c>
    </row>
    <row r="119" spans="2:9" x14ac:dyDescent="0.35">
      <c r="B119">
        <v>29</v>
      </c>
      <c r="C119">
        <v>2</v>
      </c>
      <c r="D119">
        <v>0.376</v>
      </c>
      <c r="E119">
        <f>D119-0.045</f>
        <v>0.33100000000000002</v>
      </c>
      <c r="F119">
        <f t="shared" si="1"/>
        <v>463.24999999999989</v>
      </c>
      <c r="G119">
        <v>0.432</v>
      </c>
      <c r="H119">
        <f>G119-0.108</f>
        <v>0.32400000000000001</v>
      </c>
      <c r="I119">
        <f t="shared" si="2"/>
        <v>554.39999999999986</v>
      </c>
    </row>
    <row r="120" spans="2:9" x14ac:dyDescent="0.35">
      <c r="B120">
        <v>30</v>
      </c>
      <c r="C120">
        <v>1</v>
      </c>
      <c r="D120">
        <v>0.44900000000000001</v>
      </c>
      <c r="E120">
        <f>D120-0.039</f>
        <v>0.41000000000000003</v>
      </c>
      <c r="F120">
        <f t="shared" si="1"/>
        <v>265.74999999999989</v>
      </c>
      <c r="G120">
        <v>0.46800000000000003</v>
      </c>
      <c r="H120">
        <f>G120-0.168</f>
        <v>0.30000000000000004</v>
      </c>
      <c r="I120">
        <f t="shared" si="2"/>
        <v>602.39999999999986</v>
      </c>
    </row>
    <row r="121" spans="2:9" x14ac:dyDescent="0.35">
      <c r="B121">
        <v>30</v>
      </c>
      <c r="C121">
        <v>2</v>
      </c>
      <c r="D121">
        <v>0.47599999999999998</v>
      </c>
      <c r="E121">
        <f>D121-0.04</f>
        <v>0.436</v>
      </c>
      <c r="F121">
        <f t="shared" si="1"/>
        <v>200.74999999999994</v>
      </c>
      <c r="G121">
        <v>0.45300000000000001</v>
      </c>
      <c r="H121">
        <f>G121-0.18</f>
        <v>0.27300000000000002</v>
      </c>
      <c r="I121">
        <f t="shared" si="2"/>
        <v>656.39999999999986</v>
      </c>
    </row>
    <row r="122" spans="2:9" x14ac:dyDescent="0.35">
      <c r="B122">
        <v>31</v>
      </c>
      <c r="C122">
        <v>1</v>
      </c>
      <c r="D122">
        <v>0.49399999999999999</v>
      </c>
      <c r="E122">
        <f>D122-0.048</f>
        <v>0.44600000000000001</v>
      </c>
      <c r="F122">
        <f t="shared" si="1"/>
        <v>175.74999999999991</v>
      </c>
      <c r="G122">
        <v>0.58199999999999996</v>
      </c>
      <c r="H122">
        <f>G122-0.205</f>
        <v>0.377</v>
      </c>
      <c r="I122">
        <f t="shared" si="2"/>
        <v>448.39999999999992</v>
      </c>
    </row>
    <row r="123" spans="2:9" x14ac:dyDescent="0.35">
      <c r="B123">
        <v>31</v>
      </c>
      <c r="C123">
        <v>2</v>
      </c>
      <c r="D123">
        <v>0.50600000000000001</v>
      </c>
      <c r="E123">
        <f>D123-0.042</f>
        <v>0.46400000000000002</v>
      </c>
      <c r="F123">
        <f t="shared" si="1"/>
        <v>130.74999999999989</v>
      </c>
      <c r="G123">
        <v>0.59399999999999997</v>
      </c>
      <c r="H123">
        <f>G123-0.223</f>
        <v>0.371</v>
      </c>
      <c r="I123">
        <f t="shared" si="2"/>
        <v>460.39999999999992</v>
      </c>
    </row>
    <row r="124" spans="2:9" x14ac:dyDescent="0.35">
      <c r="B124">
        <v>32</v>
      </c>
      <c r="C124">
        <v>1</v>
      </c>
      <c r="D124">
        <v>0.48199999999999998</v>
      </c>
      <c r="E124">
        <f>D124-0.066</f>
        <v>0.41599999999999998</v>
      </c>
      <c r="F124">
        <f t="shared" si="1"/>
        <v>250.75</v>
      </c>
      <c r="G124">
        <v>0.61799999999999999</v>
      </c>
      <c r="H124">
        <f>G124-0.231</f>
        <v>0.38700000000000001</v>
      </c>
      <c r="I124">
        <f t="shared" si="2"/>
        <v>428.39999999999986</v>
      </c>
    </row>
    <row r="125" spans="2:9" x14ac:dyDescent="0.35">
      <c r="B125">
        <v>32</v>
      </c>
      <c r="C125">
        <v>2</v>
      </c>
      <c r="D125">
        <v>0.53900000000000003</v>
      </c>
      <c r="E125">
        <f>D125-0.075</f>
        <v>0.46400000000000002</v>
      </c>
      <c r="F125">
        <f t="shared" si="1"/>
        <v>130.74999999999989</v>
      </c>
      <c r="G125">
        <v>0.60699999999999998</v>
      </c>
      <c r="H125">
        <f>G125-0.261</f>
        <v>0.34599999999999997</v>
      </c>
      <c r="I125">
        <f t="shared" si="2"/>
        <v>510.4</v>
      </c>
    </row>
    <row r="126" spans="2:9" x14ac:dyDescent="0.35">
      <c r="B126">
        <v>33</v>
      </c>
      <c r="C126">
        <v>1</v>
      </c>
      <c r="D126">
        <v>0.372</v>
      </c>
      <c r="E126">
        <f>D126-0.05</f>
        <v>0.32200000000000001</v>
      </c>
      <c r="F126">
        <f t="shared" si="1"/>
        <v>485.74999999999989</v>
      </c>
      <c r="G126">
        <v>0.67100000000000004</v>
      </c>
      <c r="H126">
        <f>G126-0.301</f>
        <v>0.37000000000000005</v>
      </c>
      <c r="I126">
        <f t="shared" si="2"/>
        <v>462.39999999999981</v>
      </c>
    </row>
    <row r="127" spans="2:9" x14ac:dyDescent="0.35">
      <c r="B127">
        <v>33</v>
      </c>
      <c r="C127">
        <v>2</v>
      </c>
      <c r="D127">
        <v>0.38700000000000001</v>
      </c>
      <c r="E127">
        <f>D127-0.042</f>
        <v>0.34500000000000003</v>
      </c>
      <c r="F127">
        <f t="shared" ref="F127:F141" si="43">(E127-$M$25)/$M$24</f>
        <v>428.24999999999989</v>
      </c>
      <c r="G127">
        <v>0.70199999999999996</v>
      </c>
      <c r="H127">
        <f>G127-0.331</f>
        <v>0.37099999999999994</v>
      </c>
      <c r="I127">
        <f t="shared" ref="I127:I141" si="44">(H127-$M$5)/$M$4</f>
        <v>460.40000000000003</v>
      </c>
    </row>
    <row r="128" spans="2:9" x14ac:dyDescent="0.35">
      <c r="B128">
        <v>34</v>
      </c>
      <c r="C128">
        <v>1</v>
      </c>
      <c r="D128">
        <v>0.33600000000000002</v>
      </c>
      <c r="E128">
        <f>D128-0.044</f>
        <v>0.29200000000000004</v>
      </c>
      <c r="F128">
        <f t="shared" si="43"/>
        <v>560.74999999999989</v>
      </c>
      <c r="G128">
        <v>0.40200000000000002</v>
      </c>
      <c r="H128">
        <f>G128-0.077</f>
        <v>0.32500000000000001</v>
      </c>
      <c r="I128">
        <f t="shared" si="44"/>
        <v>552.39999999999986</v>
      </c>
    </row>
    <row r="129" spans="2:9" x14ac:dyDescent="0.35">
      <c r="B129">
        <v>34</v>
      </c>
      <c r="C129">
        <v>2</v>
      </c>
      <c r="D129">
        <v>0.32100000000000001</v>
      </c>
      <c r="E129">
        <f>D129-0.041</f>
        <v>0.28000000000000003</v>
      </c>
      <c r="F129">
        <f t="shared" si="43"/>
        <v>590.74999999999989</v>
      </c>
      <c r="G129">
        <v>0.40100000000000002</v>
      </c>
      <c r="H129">
        <f>G129-0.082</f>
        <v>0.31900000000000001</v>
      </c>
      <c r="I129">
        <f t="shared" si="44"/>
        <v>564.39999999999986</v>
      </c>
    </row>
    <row r="130" spans="2:9" x14ac:dyDescent="0.35">
      <c r="B130">
        <v>35</v>
      </c>
      <c r="C130">
        <v>1</v>
      </c>
      <c r="D130">
        <v>0.24</v>
      </c>
      <c r="E130">
        <f>D130-0.052</f>
        <v>0.188</v>
      </c>
      <c r="F130">
        <f t="shared" si="43"/>
        <v>820.74999999999989</v>
      </c>
      <c r="G130">
        <v>0.40200000000000002</v>
      </c>
      <c r="H130">
        <f>G130-0.088</f>
        <v>0.31400000000000006</v>
      </c>
      <c r="I130">
        <f t="shared" si="44"/>
        <v>574.39999999999975</v>
      </c>
    </row>
    <row r="131" spans="2:9" x14ac:dyDescent="0.35">
      <c r="B131">
        <v>35</v>
      </c>
      <c r="C131">
        <v>2</v>
      </c>
      <c r="D131">
        <v>0.21099999999999999</v>
      </c>
      <c r="E131">
        <f>D131-0.046</f>
        <v>0.16499999999999998</v>
      </c>
      <c r="F131">
        <f t="shared" si="43"/>
        <v>878.25</v>
      </c>
      <c r="G131">
        <v>0.436</v>
      </c>
      <c r="H131">
        <f>G131-0.096</f>
        <v>0.33999999999999997</v>
      </c>
      <c r="I131">
        <f t="shared" si="44"/>
        <v>522.4</v>
      </c>
    </row>
    <row r="132" spans="2:9" x14ac:dyDescent="0.35">
      <c r="B132">
        <v>36</v>
      </c>
      <c r="C132">
        <v>1</v>
      </c>
      <c r="D132">
        <v>0.35599999999999998</v>
      </c>
      <c r="E132">
        <f>D132-0.04</f>
        <v>0.316</v>
      </c>
      <c r="F132">
        <f t="shared" si="43"/>
        <v>500.74999999999994</v>
      </c>
      <c r="G132">
        <v>0.32900000000000001</v>
      </c>
      <c r="H132">
        <f>G132-0.071</f>
        <v>0.25800000000000001</v>
      </c>
      <c r="I132">
        <f t="shared" si="44"/>
        <v>686.39999999999986</v>
      </c>
    </row>
    <row r="133" spans="2:9" x14ac:dyDescent="0.35">
      <c r="B133">
        <v>36</v>
      </c>
      <c r="C133">
        <v>2</v>
      </c>
      <c r="D133">
        <v>0.35499999999999998</v>
      </c>
      <c r="E133">
        <f>D133-0.042</f>
        <v>0.313</v>
      </c>
      <c r="F133">
        <f t="shared" si="43"/>
        <v>508.24999999999994</v>
      </c>
      <c r="G133">
        <v>0.34899999999999998</v>
      </c>
      <c r="H133">
        <f>G133-0.075</f>
        <v>0.27399999999999997</v>
      </c>
      <c r="I133">
        <f t="shared" si="44"/>
        <v>654.4</v>
      </c>
    </row>
    <row r="134" spans="2:9" x14ac:dyDescent="0.35">
      <c r="B134">
        <v>37</v>
      </c>
      <c r="C134">
        <v>1</v>
      </c>
      <c r="D134">
        <v>0.45600000000000002</v>
      </c>
      <c r="E134">
        <f>D134-0.042</f>
        <v>0.41400000000000003</v>
      </c>
      <c r="F134">
        <f t="shared" si="43"/>
        <v>255.74999999999986</v>
      </c>
      <c r="G134">
        <v>0.38900000000000001</v>
      </c>
      <c r="H134">
        <f>G134-0.094</f>
        <v>0.29500000000000004</v>
      </c>
      <c r="I134">
        <f t="shared" si="44"/>
        <v>612.39999999999986</v>
      </c>
    </row>
    <row r="135" spans="2:9" x14ac:dyDescent="0.35">
      <c r="B135">
        <v>37</v>
      </c>
      <c r="C135">
        <v>2</v>
      </c>
      <c r="D135">
        <v>0.46899999999999997</v>
      </c>
      <c r="E135">
        <f>D135-0.054</f>
        <v>0.41499999999999998</v>
      </c>
      <c r="F135">
        <f t="shared" si="43"/>
        <v>253.25</v>
      </c>
      <c r="G135">
        <v>0.373</v>
      </c>
      <c r="H135">
        <f>G135-0.093</f>
        <v>0.28000000000000003</v>
      </c>
      <c r="I135">
        <f t="shared" si="44"/>
        <v>642.39999999999986</v>
      </c>
    </row>
    <row r="136" spans="2:9" x14ac:dyDescent="0.35">
      <c r="B136">
        <v>38</v>
      </c>
      <c r="C136">
        <v>1</v>
      </c>
      <c r="D136">
        <v>0.47799999999999998</v>
      </c>
      <c r="E136">
        <f>D136-0.094</f>
        <v>0.38400000000000001</v>
      </c>
      <c r="F136">
        <f t="shared" si="43"/>
        <v>330.74999999999994</v>
      </c>
      <c r="G136">
        <v>0.39400000000000002</v>
      </c>
      <c r="H136">
        <f>G136-0.126</f>
        <v>0.26800000000000002</v>
      </c>
      <c r="I136">
        <f t="shared" si="44"/>
        <v>666.39999999999986</v>
      </c>
    </row>
    <row r="137" spans="2:9" x14ac:dyDescent="0.35">
      <c r="B137">
        <v>38</v>
      </c>
      <c r="C137">
        <v>2</v>
      </c>
      <c r="D137">
        <v>0.48</v>
      </c>
      <c r="E137">
        <f>D137-0.075</f>
        <v>0.40499999999999997</v>
      </c>
      <c r="F137">
        <f t="shared" si="43"/>
        <v>278.25</v>
      </c>
      <c r="G137">
        <v>0.42799999999999999</v>
      </c>
      <c r="H137">
        <f>G137-0.131</f>
        <v>0.29699999999999999</v>
      </c>
      <c r="I137">
        <f t="shared" si="44"/>
        <v>608.4</v>
      </c>
    </row>
    <row r="138" spans="2:9" x14ac:dyDescent="0.35">
      <c r="B138">
        <v>39</v>
      </c>
      <c r="C138">
        <v>1</v>
      </c>
      <c r="D138">
        <v>0.29699999999999999</v>
      </c>
      <c r="E138">
        <f>D138-0.069</f>
        <v>0.22799999999999998</v>
      </c>
      <c r="F138">
        <f t="shared" si="43"/>
        <v>720.75</v>
      </c>
      <c r="G138">
        <v>0.372</v>
      </c>
      <c r="H138">
        <f>G138-0.086</f>
        <v>0.28600000000000003</v>
      </c>
      <c r="I138">
        <f t="shared" si="44"/>
        <v>630.39999999999986</v>
      </c>
    </row>
    <row r="139" spans="2:9" x14ac:dyDescent="0.35">
      <c r="B139">
        <v>39</v>
      </c>
      <c r="C139">
        <v>2</v>
      </c>
      <c r="D139">
        <v>0.312</v>
      </c>
      <c r="E139">
        <f>D139-0.076</f>
        <v>0.23599999999999999</v>
      </c>
      <c r="F139">
        <f t="shared" si="43"/>
        <v>700.75</v>
      </c>
      <c r="G139">
        <v>0.35499999999999998</v>
      </c>
      <c r="H139">
        <f>G139-0.09</f>
        <v>0.26500000000000001</v>
      </c>
      <c r="I139">
        <f t="shared" si="44"/>
        <v>672.39999999999986</v>
      </c>
    </row>
    <row r="140" spans="2:9" x14ac:dyDescent="0.35">
      <c r="B140">
        <v>40</v>
      </c>
      <c r="C140">
        <v>1</v>
      </c>
      <c r="D140">
        <v>0.46200000000000002</v>
      </c>
      <c r="E140">
        <f>D140-0.047</f>
        <v>0.41500000000000004</v>
      </c>
      <c r="F140">
        <f t="shared" si="43"/>
        <v>253.24999999999986</v>
      </c>
      <c r="G140">
        <v>0.46700000000000003</v>
      </c>
      <c r="H140">
        <f>G140-0.106</f>
        <v>0.36100000000000004</v>
      </c>
      <c r="I140">
        <f t="shared" si="44"/>
        <v>480.39999999999981</v>
      </c>
    </row>
    <row r="141" spans="2:9" x14ac:dyDescent="0.35">
      <c r="B141">
        <v>40</v>
      </c>
      <c r="C141">
        <v>2</v>
      </c>
      <c r="D141">
        <v>0.48399999999999999</v>
      </c>
      <c r="E141">
        <f>D141-0.054</f>
        <v>0.43</v>
      </c>
      <c r="F141">
        <f t="shared" si="43"/>
        <v>215.74999999999997</v>
      </c>
      <c r="G141">
        <v>0.48799999999999999</v>
      </c>
      <c r="H141">
        <f>G141-0.113</f>
        <v>0.375</v>
      </c>
      <c r="I141">
        <f t="shared" si="44"/>
        <v>452.39999999999992</v>
      </c>
    </row>
    <row r="142" spans="2:9" x14ac:dyDescent="0.35">
      <c r="B142">
        <v>41</v>
      </c>
      <c r="C142">
        <v>1</v>
      </c>
      <c r="D142">
        <v>0.43099999999999999</v>
      </c>
      <c r="E142">
        <f>D142-0.052</f>
        <v>0.379</v>
      </c>
      <c r="F142">
        <f>(E142-$M$45)/$M$44</f>
        <v>388.49999999999994</v>
      </c>
      <c r="G142">
        <v>0.625</v>
      </c>
      <c r="H142">
        <f>G142-0.276</f>
        <v>0.34899999999999998</v>
      </c>
      <c r="I142">
        <f>(H142-$M$45)/$M$44</f>
        <v>463.5</v>
      </c>
    </row>
    <row r="143" spans="2:9" x14ac:dyDescent="0.35">
      <c r="B143">
        <v>41</v>
      </c>
      <c r="C143">
        <v>2</v>
      </c>
      <c r="D143">
        <v>0.42899999999999999</v>
      </c>
      <c r="E143">
        <f>D143-0.06</f>
        <v>0.36899999999999999</v>
      </c>
      <c r="F143">
        <f t="shared" ref="F143:F163" si="45">(E143-$M$45)/$M$44</f>
        <v>413.49999999999994</v>
      </c>
      <c r="G143">
        <v>0.62</v>
      </c>
      <c r="H143">
        <f>G143-0.257</f>
        <v>0.36299999999999999</v>
      </c>
      <c r="I143">
        <f t="shared" ref="I143:I163" si="46">(H143-$M$45)/$M$44</f>
        <v>428.49999999999994</v>
      </c>
    </row>
    <row r="144" spans="2:9" x14ac:dyDescent="0.35">
      <c r="B144">
        <v>42</v>
      </c>
      <c r="C144">
        <v>1</v>
      </c>
      <c r="D144">
        <v>0.52200000000000002</v>
      </c>
      <c r="E144">
        <f>D144-0.038</f>
        <v>0.48400000000000004</v>
      </c>
      <c r="F144">
        <f t="shared" si="45"/>
        <v>125.99999999999986</v>
      </c>
      <c r="G144">
        <v>0.45400000000000001</v>
      </c>
      <c r="H144">
        <f>G144-0.075</f>
        <v>0.379</v>
      </c>
      <c r="I144">
        <f t="shared" si="46"/>
        <v>388.49999999999994</v>
      </c>
    </row>
    <row r="145" spans="2:9" x14ac:dyDescent="0.35">
      <c r="B145">
        <v>42</v>
      </c>
      <c r="C145">
        <v>2</v>
      </c>
      <c r="D145">
        <v>0.50800000000000001</v>
      </c>
      <c r="E145">
        <f>D145-0.037</f>
        <v>0.47100000000000003</v>
      </c>
      <c r="F145">
        <f t="shared" si="45"/>
        <v>158.49999999999989</v>
      </c>
      <c r="G145">
        <v>0.42799999999999999</v>
      </c>
      <c r="H145">
        <f>G145-0.071</f>
        <v>0.35699999999999998</v>
      </c>
      <c r="I145">
        <f t="shared" si="46"/>
        <v>443.5</v>
      </c>
    </row>
    <row r="146" spans="2:9" x14ac:dyDescent="0.35">
      <c r="B146">
        <v>43</v>
      </c>
      <c r="C146">
        <v>1</v>
      </c>
      <c r="D146">
        <v>0.42199999999999999</v>
      </c>
      <c r="E146">
        <f>D146-0.05</f>
        <v>0.372</v>
      </c>
      <c r="F146">
        <f t="shared" si="45"/>
        <v>405.99999999999994</v>
      </c>
      <c r="G146">
        <v>0.41699999999999998</v>
      </c>
      <c r="H146">
        <f>G146-0.114</f>
        <v>0.30299999999999999</v>
      </c>
      <c r="I146">
        <f t="shared" si="46"/>
        <v>578.5</v>
      </c>
    </row>
    <row r="147" spans="2:9" x14ac:dyDescent="0.35">
      <c r="B147">
        <v>43</v>
      </c>
      <c r="C147">
        <v>2</v>
      </c>
      <c r="D147">
        <v>0.42</v>
      </c>
      <c r="E147">
        <f>D147-0.053</f>
        <v>0.36699999999999999</v>
      </c>
      <c r="F147">
        <f t="shared" si="45"/>
        <v>418.49999999999994</v>
      </c>
      <c r="G147">
        <v>0.39600000000000002</v>
      </c>
      <c r="H147">
        <f>G147-0.104</f>
        <v>0.29200000000000004</v>
      </c>
      <c r="I147">
        <f t="shared" si="46"/>
        <v>605.99999999999989</v>
      </c>
    </row>
    <row r="148" spans="2:9" x14ac:dyDescent="0.35">
      <c r="B148">
        <v>44</v>
      </c>
      <c r="C148">
        <v>1</v>
      </c>
      <c r="D148">
        <v>0.48099999999999998</v>
      </c>
      <c r="E148">
        <f>D148-0.056</f>
        <v>0.42499999999999999</v>
      </c>
      <c r="F148">
        <f t="shared" si="45"/>
        <v>273.5</v>
      </c>
      <c r="G148">
        <v>0.47</v>
      </c>
      <c r="H148">
        <f>G148-0.226</f>
        <v>0.24399999999999997</v>
      </c>
      <c r="I148">
        <f t="shared" si="46"/>
        <v>726</v>
      </c>
    </row>
    <row r="149" spans="2:9" x14ac:dyDescent="0.35">
      <c r="B149">
        <v>44</v>
      </c>
      <c r="C149">
        <v>2</v>
      </c>
      <c r="D149">
        <v>0.52</v>
      </c>
      <c r="E149">
        <f>D149-0.049</f>
        <v>0.47100000000000003</v>
      </c>
      <c r="F149">
        <f t="shared" si="45"/>
        <v>158.49999999999989</v>
      </c>
      <c r="G149">
        <v>0.496</v>
      </c>
      <c r="H149">
        <f>G149-0.206</f>
        <v>0.29000000000000004</v>
      </c>
      <c r="I149">
        <f t="shared" si="46"/>
        <v>610.99999999999989</v>
      </c>
    </row>
    <row r="150" spans="2:9" x14ac:dyDescent="0.35">
      <c r="B150">
        <v>45</v>
      </c>
      <c r="C150">
        <v>1</v>
      </c>
      <c r="D150">
        <v>0.36799999999999999</v>
      </c>
      <c r="E150">
        <f>D150-0.05</f>
        <v>0.318</v>
      </c>
      <c r="F150">
        <f t="shared" si="45"/>
        <v>540.99999999999989</v>
      </c>
      <c r="G150">
        <v>0.45100000000000001</v>
      </c>
      <c r="H150">
        <f>G150-0.163</f>
        <v>0.28800000000000003</v>
      </c>
      <c r="I150">
        <f t="shared" si="46"/>
        <v>615.99999999999989</v>
      </c>
    </row>
    <row r="151" spans="2:9" x14ac:dyDescent="0.35">
      <c r="B151">
        <v>45</v>
      </c>
      <c r="C151">
        <v>2</v>
      </c>
      <c r="D151">
        <v>0.35699999999999998</v>
      </c>
      <c r="E151">
        <f>D151-0.053</f>
        <v>0.30399999999999999</v>
      </c>
      <c r="F151">
        <f t="shared" si="45"/>
        <v>576</v>
      </c>
      <c r="G151">
        <v>0.45</v>
      </c>
      <c r="H151">
        <f>G151-0.147</f>
        <v>0.30300000000000005</v>
      </c>
      <c r="I151">
        <f t="shared" si="46"/>
        <v>578.49999999999977</v>
      </c>
    </row>
    <row r="152" spans="2:9" x14ac:dyDescent="0.35">
      <c r="B152">
        <v>46</v>
      </c>
      <c r="C152">
        <v>1</v>
      </c>
      <c r="D152">
        <v>0.33200000000000002</v>
      </c>
      <c r="E152">
        <f>D152-0.049</f>
        <v>0.28300000000000003</v>
      </c>
      <c r="F152">
        <f t="shared" si="45"/>
        <v>628.49999999999989</v>
      </c>
      <c r="G152">
        <v>0.49099999999999999</v>
      </c>
      <c r="H152">
        <f>G152-0.095</f>
        <v>0.39600000000000002</v>
      </c>
      <c r="I152">
        <f t="shared" si="46"/>
        <v>345.99999999999989</v>
      </c>
    </row>
    <row r="153" spans="2:9" x14ac:dyDescent="0.35">
      <c r="B153">
        <v>46</v>
      </c>
      <c r="C153">
        <v>2</v>
      </c>
      <c r="D153">
        <v>0.34200000000000003</v>
      </c>
      <c r="E153">
        <f>D153-0.049</f>
        <v>0.29300000000000004</v>
      </c>
      <c r="F153">
        <f t="shared" si="45"/>
        <v>603.49999999999989</v>
      </c>
      <c r="G153">
        <v>0.497</v>
      </c>
      <c r="H153">
        <f>G153-0.094</f>
        <v>0.40300000000000002</v>
      </c>
      <c r="I153">
        <f t="shared" si="46"/>
        <v>328.49999999999989</v>
      </c>
    </row>
    <row r="154" spans="2:9" x14ac:dyDescent="0.35">
      <c r="B154">
        <v>47</v>
      </c>
      <c r="C154">
        <v>1</v>
      </c>
      <c r="D154">
        <v>0.51</v>
      </c>
      <c r="E154">
        <f>D154-0.047</f>
        <v>0.46300000000000002</v>
      </c>
      <c r="F154">
        <f t="shared" si="45"/>
        <v>178.49999999999989</v>
      </c>
      <c r="G154">
        <v>0.50800000000000001</v>
      </c>
      <c r="H154">
        <f>G154-0.143</f>
        <v>0.36499999999999999</v>
      </c>
      <c r="I154">
        <f t="shared" si="46"/>
        <v>423.49999999999994</v>
      </c>
    </row>
    <row r="155" spans="2:9" x14ac:dyDescent="0.35">
      <c r="B155">
        <v>47</v>
      </c>
      <c r="C155">
        <v>2</v>
      </c>
      <c r="D155">
        <v>0.502</v>
      </c>
      <c r="E155">
        <f>D155-0.047</f>
        <v>0.45500000000000002</v>
      </c>
      <c r="F155">
        <f t="shared" si="45"/>
        <v>198.49999999999991</v>
      </c>
      <c r="G155">
        <v>0.46600000000000003</v>
      </c>
      <c r="H155">
        <f>G155-0.132</f>
        <v>0.33400000000000002</v>
      </c>
      <c r="I155">
        <f t="shared" si="46"/>
        <v>500.99999999999989</v>
      </c>
    </row>
    <row r="156" spans="2:9" x14ac:dyDescent="0.35">
      <c r="B156">
        <v>48</v>
      </c>
      <c r="C156">
        <v>1</v>
      </c>
      <c r="D156">
        <v>0.44400000000000001</v>
      </c>
      <c r="E156">
        <f>D156-0.039</f>
        <v>0.40500000000000003</v>
      </c>
      <c r="F156">
        <f t="shared" si="45"/>
        <v>323.49999999999989</v>
      </c>
      <c r="G156">
        <v>0.46400000000000002</v>
      </c>
      <c r="H156">
        <f>G156-0.156</f>
        <v>0.30800000000000005</v>
      </c>
      <c r="I156">
        <f t="shared" si="46"/>
        <v>565.99999999999977</v>
      </c>
    </row>
    <row r="157" spans="2:9" x14ac:dyDescent="0.35">
      <c r="B157">
        <v>48</v>
      </c>
      <c r="C157">
        <v>2</v>
      </c>
      <c r="D157">
        <v>0.41599999999999998</v>
      </c>
      <c r="E157">
        <f>D157-0.042</f>
        <v>0.374</v>
      </c>
      <c r="F157">
        <f t="shared" si="45"/>
        <v>400.99999999999994</v>
      </c>
      <c r="G157">
        <v>0.42</v>
      </c>
      <c r="H157">
        <f>G157-0.138</f>
        <v>0.28199999999999997</v>
      </c>
      <c r="I157">
        <f t="shared" si="46"/>
        <v>631</v>
      </c>
    </row>
    <row r="158" spans="2:9" x14ac:dyDescent="0.35">
      <c r="B158">
        <v>49</v>
      </c>
      <c r="C158">
        <v>1</v>
      </c>
      <c r="D158">
        <v>0.41399999999999998</v>
      </c>
      <c r="E158">
        <f>D158-0.047</f>
        <v>0.36699999999999999</v>
      </c>
      <c r="F158">
        <f t="shared" si="45"/>
        <v>418.49999999999994</v>
      </c>
      <c r="G158">
        <v>0.44700000000000001</v>
      </c>
      <c r="H158">
        <f>G158-0.105</f>
        <v>0.34200000000000003</v>
      </c>
      <c r="I158">
        <f t="shared" si="46"/>
        <v>480.99999999999989</v>
      </c>
    </row>
    <row r="159" spans="2:9" x14ac:dyDescent="0.35">
      <c r="B159">
        <v>49</v>
      </c>
      <c r="C159">
        <v>2</v>
      </c>
      <c r="D159">
        <v>0.42199999999999999</v>
      </c>
      <c r="E159">
        <f>D159-0.053</f>
        <v>0.36899999999999999</v>
      </c>
      <c r="F159">
        <f t="shared" si="45"/>
        <v>413.49999999999994</v>
      </c>
      <c r="G159">
        <v>0.45</v>
      </c>
      <c r="H159">
        <f>G159-0.11</f>
        <v>0.34</v>
      </c>
      <c r="I159">
        <f t="shared" si="46"/>
        <v>485.99999999999989</v>
      </c>
    </row>
    <row r="160" spans="2:9" x14ac:dyDescent="0.35">
      <c r="B160">
        <v>50</v>
      </c>
      <c r="C160">
        <v>1</v>
      </c>
      <c r="D160">
        <v>0.441</v>
      </c>
      <c r="E160">
        <f>D160-0.057</f>
        <v>0.38400000000000001</v>
      </c>
      <c r="F160">
        <f t="shared" si="45"/>
        <v>375.99999999999994</v>
      </c>
      <c r="G160">
        <v>0.44</v>
      </c>
      <c r="H160">
        <f>G160-0.1</f>
        <v>0.33999999999999997</v>
      </c>
      <c r="I160">
        <f t="shared" si="46"/>
        <v>486</v>
      </c>
    </row>
    <row r="161" spans="2:9" x14ac:dyDescent="0.35">
      <c r="B161">
        <v>50</v>
      </c>
      <c r="C161">
        <v>2</v>
      </c>
      <c r="D161">
        <v>0.437</v>
      </c>
      <c r="E161">
        <f>D161-0.061</f>
        <v>0.376</v>
      </c>
      <c r="F161">
        <f t="shared" si="45"/>
        <v>395.99999999999994</v>
      </c>
      <c r="G161">
        <v>0.45800000000000002</v>
      </c>
      <c r="H161">
        <f>G161-0.097</f>
        <v>0.36099999999999999</v>
      </c>
      <c r="I161">
        <f t="shared" si="46"/>
        <v>433.5</v>
      </c>
    </row>
    <row r="162" spans="2:9" x14ac:dyDescent="0.35">
      <c r="B162">
        <v>51</v>
      </c>
      <c r="C162">
        <v>1</v>
      </c>
      <c r="D162">
        <v>0.47399999999999998</v>
      </c>
      <c r="E162">
        <f>D162-0.049</f>
        <v>0.42499999999999999</v>
      </c>
      <c r="F162">
        <f t="shared" si="45"/>
        <v>273.5</v>
      </c>
      <c r="G162">
        <v>0.40200000000000002</v>
      </c>
      <c r="H162">
        <f>G162-0.077</f>
        <v>0.32500000000000001</v>
      </c>
      <c r="I162">
        <f t="shared" si="46"/>
        <v>523.49999999999989</v>
      </c>
    </row>
    <row r="163" spans="2:9" x14ac:dyDescent="0.35">
      <c r="B163">
        <v>51</v>
      </c>
      <c r="C163">
        <v>2</v>
      </c>
      <c r="D163">
        <v>0.47399999999999998</v>
      </c>
      <c r="E163">
        <f>D163-0.049</f>
        <v>0.42499999999999999</v>
      </c>
      <c r="F163">
        <f t="shared" si="45"/>
        <v>273.5</v>
      </c>
      <c r="G163">
        <v>0.37</v>
      </c>
      <c r="H163">
        <f>G163-0.082</f>
        <v>0.28799999999999998</v>
      </c>
      <c r="I163">
        <f t="shared" si="46"/>
        <v>616</v>
      </c>
    </row>
    <row r="165" spans="2:9" x14ac:dyDescent="0.35">
      <c r="B165" s="4" t="s">
        <v>65</v>
      </c>
      <c r="C165" t="s">
        <v>66</v>
      </c>
      <c r="D165" t="s">
        <v>67</v>
      </c>
    </row>
    <row r="166" spans="2:9" x14ac:dyDescent="0.35">
      <c r="B166">
        <v>1</v>
      </c>
      <c r="C166">
        <f>AVERAGE(F62:F63)</f>
        <v>860.74999999999989</v>
      </c>
      <c r="D166">
        <v>646.39999999999986</v>
      </c>
      <c r="F166">
        <f>AVERAGE(I62:I63)</f>
        <v>646.39999999999986</v>
      </c>
    </row>
    <row r="167" spans="2:9" x14ac:dyDescent="0.35">
      <c r="B167">
        <v>2</v>
      </c>
      <c r="C167">
        <f>AVERAGE(F64:F65)</f>
        <v>578.24999999999977</v>
      </c>
      <c r="D167">
        <v>608.39999999999986</v>
      </c>
      <c r="F167">
        <f>AVERAGE(I64:I65)</f>
        <v>608.39999999999986</v>
      </c>
    </row>
    <row r="168" spans="2:9" x14ac:dyDescent="0.35">
      <c r="B168">
        <v>3</v>
      </c>
      <c r="C168">
        <f>AVERAGE(F66:F67)</f>
        <v>336.99999999999989</v>
      </c>
      <c r="D168">
        <v>634.39999999999986</v>
      </c>
      <c r="F168">
        <f>AVERAGE(I66:I67)</f>
        <v>634.39999999999986</v>
      </c>
    </row>
    <row r="169" spans="2:9" x14ac:dyDescent="0.35">
      <c r="B169">
        <v>4</v>
      </c>
      <c r="C169">
        <f>AVERAGE(F68:F69)</f>
        <v>475.74999999999989</v>
      </c>
      <c r="D169">
        <v>617.39999999999986</v>
      </c>
      <c r="F169">
        <f>AVERAGE(I68:I69)</f>
        <v>617.39999999999986</v>
      </c>
    </row>
    <row r="170" spans="2:9" x14ac:dyDescent="0.35">
      <c r="B170">
        <v>5</v>
      </c>
      <c r="C170">
        <f>AVERAGE(F70:F71)</f>
        <v>290.74999999999989</v>
      </c>
      <c r="D170">
        <v>582.40000000000009</v>
      </c>
      <c r="F170">
        <f>AVERAGE(I70:I71)</f>
        <v>582.40000000000009</v>
      </c>
    </row>
    <row r="171" spans="2:9" x14ac:dyDescent="0.35">
      <c r="B171">
        <v>6</v>
      </c>
      <c r="C171">
        <f>AVERAGE(F72:F73)</f>
        <v>196.99999999999989</v>
      </c>
      <c r="D171">
        <v>546.4</v>
      </c>
      <c r="F171">
        <f>AVERAGE(I72:I73)</f>
        <v>546.4</v>
      </c>
    </row>
    <row r="172" spans="2:9" x14ac:dyDescent="0.35">
      <c r="B172">
        <v>7</v>
      </c>
      <c r="C172">
        <f>AVERAGE(F74:F75)</f>
        <v>440.74999999999994</v>
      </c>
      <c r="D172">
        <v>655.39999999999986</v>
      </c>
      <c r="F172">
        <f>AVERAGE(I74:I75)</f>
        <v>655.39999999999986</v>
      </c>
    </row>
    <row r="173" spans="2:9" x14ac:dyDescent="0.35">
      <c r="B173">
        <v>8</v>
      </c>
      <c r="C173">
        <f>AVERAGE(F76:F77)</f>
        <v>625.75</v>
      </c>
      <c r="D173">
        <v>608.39999999999986</v>
      </c>
      <c r="F173">
        <f>AVERAGE(I76:I77)</f>
        <v>608.39999999999986</v>
      </c>
    </row>
    <row r="174" spans="2:9" x14ac:dyDescent="0.35">
      <c r="B174">
        <v>9</v>
      </c>
      <c r="C174">
        <f>AVERAGE(F78:F79)</f>
        <v>595.75</v>
      </c>
      <c r="D174">
        <v>647.39999999999986</v>
      </c>
      <c r="F174">
        <f>AVERAGE(I78:I79)</f>
        <v>647.39999999999986</v>
      </c>
    </row>
    <row r="175" spans="2:9" x14ac:dyDescent="0.35">
      <c r="B175">
        <v>10</v>
      </c>
      <c r="C175">
        <f>AVERAGE(F80:F81)</f>
        <v>474.49999999999989</v>
      </c>
      <c r="D175">
        <v>598.39999999999986</v>
      </c>
      <c r="F175">
        <f>AVERAGE(I80:I81)</f>
        <v>598.39999999999986</v>
      </c>
    </row>
    <row r="176" spans="2:9" x14ac:dyDescent="0.35">
      <c r="B176">
        <v>11</v>
      </c>
      <c r="C176">
        <f>AVERAGE(F82:F83)</f>
        <v>228.24999999999989</v>
      </c>
      <c r="D176">
        <v>593.39999999999986</v>
      </c>
      <c r="F176">
        <f>AVERAGE(I82:I83)</f>
        <v>593.39999999999986</v>
      </c>
    </row>
    <row r="177" spans="2:6" x14ac:dyDescent="0.35">
      <c r="B177">
        <v>12</v>
      </c>
      <c r="C177">
        <f>AVERAGE(F84:F85)</f>
        <v>435.74999999999989</v>
      </c>
      <c r="D177">
        <v>643.39999999999986</v>
      </c>
      <c r="F177">
        <f>AVERAGE(I84:I85)</f>
        <v>643.39999999999986</v>
      </c>
    </row>
    <row r="178" spans="2:6" x14ac:dyDescent="0.35">
      <c r="B178">
        <v>13</v>
      </c>
      <c r="C178">
        <f>AVERAGE(F86:F87)</f>
        <v>283.24999999999994</v>
      </c>
      <c r="D178">
        <v>560.39999999999986</v>
      </c>
      <c r="F178">
        <f>AVERAGE(I86:I87)</f>
        <v>560.39999999999986</v>
      </c>
    </row>
    <row r="179" spans="2:6" x14ac:dyDescent="0.35">
      <c r="B179">
        <v>14</v>
      </c>
      <c r="C179">
        <f>AVERAGE(F88:F89)</f>
        <v>311.99999999999989</v>
      </c>
      <c r="D179">
        <v>724.39999999999986</v>
      </c>
      <c r="F179">
        <f>AVERAGE(I88:I89)</f>
        <v>724.39999999999986</v>
      </c>
    </row>
    <row r="180" spans="2:6" x14ac:dyDescent="0.35">
      <c r="B180">
        <v>15</v>
      </c>
      <c r="C180">
        <f>AVERAGE(F90:F91)</f>
        <v>140.74999999999989</v>
      </c>
      <c r="D180">
        <v>448.4</v>
      </c>
      <c r="F180">
        <f>AVERAGE(I90:I91)</f>
        <v>448.4</v>
      </c>
    </row>
    <row r="181" spans="2:6" x14ac:dyDescent="0.35">
      <c r="B181">
        <v>16</v>
      </c>
      <c r="C181">
        <f>AVERAGE(F92:F93)</f>
        <v>506.99999999999994</v>
      </c>
      <c r="D181">
        <v>543.39999999999986</v>
      </c>
      <c r="F181">
        <f>AVERAGE(I92:I93)</f>
        <v>543.39999999999986</v>
      </c>
    </row>
    <row r="182" spans="2:6" x14ac:dyDescent="0.35">
      <c r="B182">
        <v>17</v>
      </c>
      <c r="C182">
        <f>AVERAGE(F94:F95)</f>
        <v>91.999999999999858</v>
      </c>
      <c r="D182">
        <v>645.39999999999986</v>
      </c>
      <c r="F182">
        <f>AVERAGE(I94:I95)</f>
        <v>645.39999999999986</v>
      </c>
    </row>
    <row r="183" spans="2:6" x14ac:dyDescent="0.35">
      <c r="B183">
        <v>18</v>
      </c>
      <c r="C183">
        <f>AVERAGE(F96:F97)</f>
        <v>446.99999999999989</v>
      </c>
      <c r="D183">
        <v>613.39999999999986</v>
      </c>
      <c r="F183">
        <f>AVERAGE(I96:I97)</f>
        <v>613.39999999999986</v>
      </c>
    </row>
    <row r="184" spans="2:6" x14ac:dyDescent="0.35">
      <c r="B184">
        <v>19</v>
      </c>
      <c r="C184">
        <f>AVERAGE(F98:F99)</f>
        <v>233.24999999999997</v>
      </c>
      <c r="D184">
        <v>449.39999999999986</v>
      </c>
      <c r="F184">
        <f>AVERAGE(I98:I99)</f>
        <v>449.39999999999986</v>
      </c>
    </row>
    <row r="185" spans="2:6" x14ac:dyDescent="0.35">
      <c r="B185">
        <v>20</v>
      </c>
      <c r="C185">
        <f>AVERAGE(F100:F101)</f>
        <v>620.74999999999989</v>
      </c>
      <c r="D185">
        <v>440.39999999999986</v>
      </c>
      <c r="F185">
        <f>AVERAGE(I100:I101)</f>
        <v>440.39999999999986</v>
      </c>
    </row>
    <row r="186" spans="2:6" x14ac:dyDescent="0.35">
      <c r="B186">
        <v>21</v>
      </c>
      <c r="C186">
        <f>AVERAGE(F102:F103)</f>
        <v>488.24999999999989</v>
      </c>
      <c r="D186">
        <v>588.39999999999986</v>
      </c>
      <c r="F186">
        <f>AVERAGE(I102:I103)</f>
        <v>588.39999999999986</v>
      </c>
    </row>
    <row r="187" spans="2:6" x14ac:dyDescent="0.35">
      <c r="B187">
        <v>22</v>
      </c>
      <c r="C187">
        <f>AVERAGE(F104:F105)</f>
        <v>8.2499999999999236</v>
      </c>
      <c r="D187">
        <v>677.4</v>
      </c>
      <c r="F187">
        <f>AVERAGE(I104:I105)</f>
        <v>677.4</v>
      </c>
    </row>
    <row r="188" spans="2:6" x14ac:dyDescent="0.35">
      <c r="B188">
        <v>23</v>
      </c>
      <c r="C188">
        <f>AVERAGE(F106:F107)</f>
        <v>390.75</v>
      </c>
      <c r="D188">
        <v>564.4</v>
      </c>
      <c r="F188">
        <f>AVERAGE(I106:I107)</f>
        <v>564.4</v>
      </c>
    </row>
    <row r="189" spans="2:6" x14ac:dyDescent="0.35">
      <c r="B189">
        <v>24</v>
      </c>
      <c r="C189">
        <f>AVERAGE(F108:F109)</f>
        <v>179.49999999999994</v>
      </c>
      <c r="D189">
        <v>515.4</v>
      </c>
      <c r="F189">
        <f>AVERAGE(I108:I109)</f>
        <v>515.4</v>
      </c>
    </row>
    <row r="190" spans="2:6" x14ac:dyDescent="0.35">
      <c r="B190">
        <v>25</v>
      </c>
      <c r="C190">
        <f>AVERAGE(F110:F111)</f>
        <v>408.24999999999989</v>
      </c>
      <c r="D190">
        <v>545.39999999999986</v>
      </c>
      <c r="F190">
        <f>AVERAGE(I110:I111)</f>
        <v>545.39999999999986</v>
      </c>
    </row>
    <row r="191" spans="2:6" x14ac:dyDescent="0.35">
      <c r="B191">
        <v>26</v>
      </c>
      <c r="C191">
        <f>AVERAGE(F112:F113)</f>
        <v>225.74999999999991</v>
      </c>
      <c r="D191">
        <v>657.39999999999986</v>
      </c>
      <c r="F191">
        <f>AVERAGE(I112:I113)</f>
        <v>657.39999999999986</v>
      </c>
    </row>
    <row r="192" spans="2:6" x14ac:dyDescent="0.35">
      <c r="B192">
        <v>27</v>
      </c>
      <c r="C192">
        <f>AVERAGE(F114:F115)</f>
        <v>480.74999999999989</v>
      </c>
      <c r="D192">
        <v>725.39999999999986</v>
      </c>
      <c r="F192">
        <f>AVERAGE(I114:I115)</f>
        <v>725.39999999999986</v>
      </c>
    </row>
    <row r="193" spans="2:6" x14ac:dyDescent="0.35">
      <c r="B193">
        <v>28</v>
      </c>
      <c r="C193">
        <f>AVERAGE(F116:F117)</f>
        <v>466.99999999999989</v>
      </c>
      <c r="D193">
        <v>731.4</v>
      </c>
      <c r="F193">
        <f>AVERAGE(I116:I117)</f>
        <v>731.4</v>
      </c>
    </row>
    <row r="194" spans="2:6" x14ac:dyDescent="0.35">
      <c r="B194">
        <v>29</v>
      </c>
      <c r="C194">
        <f>AVERAGE(F118:F119)</f>
        <v>465.74999999999989</v>
      </c>
      <c r="D194">
        <v>571.39999999999986</v>
      </c>
      <c r="F194">
        <f>AVERAGE(I118:I119)</f>
        <v>571.39999999999986</v>
      </c>
    </row>
    <row r="195" spans="2:6" x14ac:dyDescent="0.35">
      <c r="B195">
        <v>30</v>
      </c>
      <c r="C195">
        <f>AVERAGE(F120:F121)</f>
        <v>233.24999999999991</v>
      </c>
      <c r="D195">
        <v>629.39999999999986</v>
      </c>
      <c r="F195">
        <f>AVERAGE(I120:I121)</f>
        <v>629.39999999999986</v>
      </c>
    </row>
    <row r="196" spans="2:6" x14ac:dyDescent="0.35">
      <c r="B196">
        <v>31</v>
      </c>
      <c r="C196">
        <f>AVERAGE(F122:F123)</f>
        <v>153.24999999999989</v>
      </c>
      <c r="D196">
        <v>454.39999999999992</v>
      </c>
      <c r="F196">
        <f>AVERAGE(I122:I123)</f>
        <v>454.39999999999992</v>
      </c>
    </row>
    <row r="197" spans="2:6" x14ac:dyDescent="0.35">
      <c r="B197">
        <v>32</v>
      </c>
      <c r="C197">
        <f>AVERAGE(F124:F125)</f>
        <v>190.74999999999994</v>
      </c>
      <c r="D197">
        <v>469.39999999999992</v>
      </c>
      <c r="F197">
        <f>AVERAGE(I124:I125)</f>
        <v>469.39999999999992</v>
      </c>
    </row>
    <row r="198" spans="2:6" x14ac:dyDescent="0.35">
      <c r="B198">
        <v>33</v>
      </c>
      <c r="C198">
        <f>AVERAGE(F126:F127)</f>
        <v>456.99999999999989</v>
      </c>
      <c r="D198">
        <v>461.39999999999992</v>
      </c>
      <c r="F198">
        <f>AVERAGE(I126:I127)</f>
        <v>461.39999999999992</v>
      </c>
    </row>
    <row r="199" spans="2:6" x14ac:dyDescent="0.35">
      <c r="B199">
        <v>34</v>
      </c>
      <c r="C199">
        <f>AVERAGE(F128:F129)</f>
        <v>575.74999999999989</v>
      </c>
      <c r="D199">
        <v>558.39999999999986</v>
      </c>
      <c r="F199">
        <f>AVERAGE(I128:I129)</f>
        <v>558.39999999999986</v>
      </c>
    </row>
    <row r="200" spans="2:6" x14ac:dyDescent="0.35">
      <c r="B200">
        <v>35</v>
      </c>
      <c r="C200">
        <f>AVERAGE(F130:F131)</f>
        <v>849.5</v>
      </c>
      <c r="D200">
        <v>548.39999999999986</v>
      </c>
      <c r="F200">
        <f>AVERAGE(I130:I131)</f>
        <v>548.39999999999986</v>
      </c>
    </row>
    <row r="201" spans="2:6" x14ac:dyDescent="0.35">
      <c r="B201">
        <v>36</v>
      </c>
      <c r="C201">
        <f>AVERAGE(F132:F133)</f>
        <v>504.49999999999994</v>
      </c>
      <c r="D201">
        <v>670.39999999999986</v>
      </c>
      <c r="F201">
        <f>AVERAGE(I132:I133)</f>
        <v>670.39999999999986</v>
      </c>
    </row>
    <row r="202" spans="2:6" x14ac:dyDescent="0.35">
      <c r="B202">
        <v>37</v>
      </c>
      <c r="C202">
        <f>AVERAGE(F134:F135)</f>
        <v>254.49999999999994</v>
      </c>
      <c r="D202">
        <v>627.39999999999986</v>
      </c>
      <c r="F202">
        <f>AVERAGE(I134:I135)</f>
        <v>627.39999999999986</v>
      </c>
    </row>
    <row r="203" spans="2:6" x14ac:dyDescent="0.35">
      <c r="B203">
        <v>38</v>
      </c>
      <c r="C203">
        <f>AVERAGE(F136:F137)</f>
        <v>304.5</v>
      </c>
      <c r="D203">
        <v>637.39999999999986</v>
      </c>
      <c r="F203">
        <f>AVERAGE(I136:I137)</f>
        <v>637.39999999999986</v>
      </c>
    </row>
    <row r="204" spans="2:6" x14ac:dyDescent="0.35">
      <c r="B204">
        <v>39</v>
      </c>
      <c r="C204">
        <f>AVERAGE(F138:F139)</f>
        <v>710.75</v>
      </c>
      <c r="D204">
        <v>651.39999999999986</v>
      </c>
      <c r="F204">
        <f>AVERAGE(I138:I139)</f>
        <v>651.39999999999986</v>
      </c>
    </row>
    <row r="205" spans="2:6" x14ac:dyDescent="0.35">
      <c r="B205">
        <v>40</v>
      </c>
      <c r="C205">
        <f>AVERAGE(F140:F141)</f>
        <v>234.49999999999991</v>
      </c>
      <c r="D205">
        <v>466.39999999999986</v>
      </c>
      <c r="F205">
        <f>AVERAGE(I140:I141)</f>
        <v>466.39999999999986</v>
      </c>
    </row>
    <row r="206" spans="2:6" x14ac:dyDescent="0.35">
      <c r="B206">
        <v>41</v>
      </c>
      <c r="C206">
        <f>AVERAGE(F142:F143)</f>
        <v>400.99999999999994</v>
      </c>
      <c r="D206">
        <v>446</v>
      </c>
      <c r="F206">
        <f>AVERAGE(I142:I143)</f>
        <v>446</v>
      </c>
    </row>
    <row r="207" spans="2:6" x14ac:dyDescent="0.35">
      <c r="B207">
        <v>42</v>
      </c>
      <c r="C207">
        <f>AVERAGE(F144:F145)</f>
        <v>142.24999999999989</v>
      </c>
      <c r="D207">
        <v>416</v>
      </c>
      <c r="F207">
        <f>AVERAGE(I144:I145)</f>
        <v>416</v>
      </c>
    </row>
    <row r="208" spans="2:6" x14ac:dyDescent="0.35">
      <c r="B208">
        <v>43</v>
      </c>
      <c r="C208">
        <f>AVERAGE(F146:F147)</f>
        <v>412.24999999999994</v>
      </c>
      <c r="D208">
        <v>592.25</v>
      </c>
      <c r="F208">
        <f>AVERAGE(I146:I147)</f>
        <v>592.25</v>
      </c>
    </row>
    <row r="209" spans="2:6" x14ac:dyDescent="0.35">
      <c r="B209">
        <v>44</v>
      </c>
      <c r="C209">
        <f>AVERAGE(F148:F149)</f>
        <v>215.99999999999994</v>
      </c>
      <c r="D209">
        <v>668.5</v>
      </c>
      <c r="F209">
        <f>AVERAGE(I148:I149)</f>
        <v>668.5</v>
      </c>
    </row>
    <row r="210" spans="2:6" x14ac:dyDescent="0.35">
      <c r="B210">
        <v>45</v>
      </c>
      <c r="C210">
        <f>AVERAGE(F150:F151)</f>
        <v>558.5</v>
      </c>
      <c r="D210">
        <v>597.24999999999977</v>
      </c>
      <c r="F210">
        <f>AVERAGE(I150:I151)</f>
        <v>597.24999999999977</v>
      </c>
    </row>
    <row r="211" spans="2:6" x14ac:dyDescent="0.35">
      <c r="B211">
        <v>46</v>
      </c>
      <c r="C211">
        <f>AVERAGE(F152:F153)</f>
        <v>615.99999999999989</v>
      </c>
      <c r="D211">
        <v>337.24999999999989</v>
      </c>
      <c r="F211">
        <f>AVERAGE(I152:I153)</f>
        <v>337.24999999999989</v>
      </c>
    </row>
    <row r="212" spans="2:6" x14ac:dyDescent="0.35">
      <c r="B212">
        <v>47</v>
      </c>
      <c r="C212">
        <f>AVERAGE(F154:F155)</f>
        <v>188.49999999999989</v>
      </c>
      <c r="D212">
        <v>462.24999999999989</v>
      </c>
      <c r="F212">
        <f>AVERAGE(I154:I155)</f>
        <v>462.24999999999989</v>
      </c>
    </row>
    <row r="213" spans="2:6" x14ac:dyDescent="0.35">
      <c r="B213">
        <v>48</v>
      </c>
      <c r="C213">
        <f>AVERAGE(F156:F157)</f>
        <v>362.24999999999989</v>
      </c>
      <c r="D213">
        <v>598.49999999999989</v>
      </c>
      <c r="F213">
        <f>AVERAGE(I156:I157)</f>
        <v>598.49999999999989</v>
      </c>
    </row>
    <row r="214" spans="2:6" x14ac:dyDescent="0.35">
      <c r="B214">
        <v>49</v>
      </c>
      <c r="C214">
        <f>AVERAGE(F158:F159)</f>
        <v>415.99999999999994</v>
      </c>
      <c r="D214">
        <v>483.49999999999989</v>
      </c>
      <c r="F214">
        <f>AVERAGE(I158:I159)</f>
        <v>483.49999999999989</v>
      </c>
    </row>
    <row r="215" spans="2:6" x14ac:dyDescent="0.35">
      <c r="B215">
        <v>50</v>
      </c>
      <c r="C215">
        <f>AVERAGE(F160:F161)</f>
        <v>385.99999999999994</v>
      </c>
      <c r="D215">
        <v>459.75</v>
      </c>
      <c r="F215">
        <f>AVERAGE(I160:I161)</f>
        <v>459.75</v>
      </c>
    </row>
    <row r="216" spans="2:6" x14ac:dyDescent="0.35">
      <c r="B216">
        <v>51</v>
      </c>
      <c r="C216">
        <f>AVERAGE(F162:F163)</f>
        <v>273.5</v>
      </c>
      <c r="D216">
        <v>569.75</v>
      </c>
      <c r="F216">
        <f>AVERAGE(I162:I163)</f>
        <v>569.75</v>
      </c>
    </row>
  </sheetData>
  <mergeCells count="63">
    <mergeCell ref="M72:M76"/>
    <mergeCell ref="N72:N76"/>
    <mergeCell ref="P72:P76"/>
    <mergeCell ref="Q72:Q76"/>
    <mergeCell ref="B1:D1"/>
    <mergeCell ref="B21:D21"/>
    <mergeCell ref="B41:D41"/>
    <mergeCell ref="M62:M66"/>
    <mergeCell ref="N62:N66"/>
    <mergeCell ref="P62:P66"/>
    <mergeCell ref="Q62:Q66"/>
    <mergeCell ref="M67:M71"/>
    <mergeCell ref="N67:N71"/>
    <mergeCell ref="P67:P71"/>
    <mergeCell ref="Q67:Q71"/>
    <mergeCell ref="M77:M79"/>
    <mergeCell ref="N77:N79"/>
    <mergeCell ref="P77:P79"/>
    <mergeCell ref="Q77:Q79"/>
    <mergeCell ref="M80:M82"/>
    <mergeCell ref="N80:N82"/>
    <mergeCell ref="P80:P82"/>
    <mergeCell ref="Q80:Q82"/>
    <mergeCell ref="M83:M85"/>
    <mergeCell ref="N83:N85"/>
    <mergeCell ref="P83:P85"/>
    <mergeCell ref="Q83:Q85"/>
    <mergeCell ref="M86:M88"/>
    <mergeCell ref="N86:N88"/>
    <mergeCell ref="P86:P88"/>
    <mergeCell ref="Q86:Q88"/>
    <mergeCell ref="M89:M91"/>
    <mergeCell ref="N89:N91"/>
    <mergeCell ref="P89:P91"/>
    <mergeCell ref="Q89:Q91"/>
    <mergeCell ref="M92:M94"/>
    <mergeCell ref="N92:N94"/>
    <mergeCell ref="P92:P94"/>
    <mergeCell ref="Q92:Q94"/>
    <mergeCell ref="M95:M97"/>
    <mergeCell ref="N95:N97"/>
    <mergeCell ref="P95:P97"/>
    <mergeCell ref="Q95:Q97"/>
    <mergeCell ref="M98:M100"/>
    <mergeCell ref="N98:N100"/>
    <mergeCell ref="P98:P100"/>
    <mergeCell ref="Q98:Q100"/>
    <mergeCell ref="M101:M103"/>
    <mergeCell ref="N101:N103"/>
    <mergeCell ref="P101:P103"/>
    <mergeCell ref="Q101:Q103"/>
    <mergeCell ref="M104:M106"/>
    <mergeCell ref="N104:N106"/>
    <mergeCell ref="P104:P106"/>
    <mergeCell ref="Q104:Q106"/>
    <mergeCell ref="M107:M109"/>
    <mergeCell ref="N107:N109"/>
    <mergeCell ref="P107:P109"/>
    <mergeCell ref="Q107:Q109"/>
    <mergeCell ref="M110:M112"/>
    <mergeCell ref="N110:N112"/>
    <mergeCell ref="P110:P112"/>
    <mergeCell ref="Q110:Q112"/>
  </mergeCells>
  <conditionalFormatting sqref="N62:N112">
    <cfRule type="iconSet" priority="2">
      <iconSet reverse="1">
        <cfvo type="percent" val="0"/>
        <cfvo type="num" val="0.1"/>
        <cfvo type="num" val="0.15"/>
      </iconSet>
    </cfRule>
  </conditionalFormatting>
  <conditionalFormatting sqref="Q62:Q112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72E1-80B3-4B34-937C-5161C6A45C42}">
  <dimension ref="A1:Y116"/>
  <sheetViews>
    <sheetView topLeftCell="A26" zoomScale="70" zoomScaleNormal="70" workbookViewId="0">
      <selection activeCell="K33" sqref="K33:K38"/>
    </sheetView>
  </sheetViews>
  <sheetFormatPr baseColWidth="10" defaultRowHeight="14.5" x14ac:dyDescent="0.35"/>
  <cols>
    <col min="2" max="2" width="13.81640625" bestFit="1" customWidth="1"/>
    <col min="3" max="3" width="12.90625" style="29" customWidth="1"/>
    <col min="8" max="8" width="13.90625" bestFit="1" customWidth="1"/>
    <col min="9" max="9" width="15.6328125" customWidth="1"/>
    <col min="10" max="10" width="14.81640625" bestFit="1" customWidth="1"/>
    <col min="11" max="11" width="10.90625" customWidth="1"/>
    <col min="12" max="12" width="13.81640625" bestFit="1" customWidth="1"/>
    <col min="13" max="13" width="9.90625" style="29" bestFit="1" customWidth="1"/>
    <col min="14" max="14" width="7.36328125" bestFit="1" customWidth="1"/>
    <col min="15" max="15" width="10.36328125" customWidth="1"/>
    <col min="16" max="16" width="5.81640625" bestFit="1" customWidth="1"/>
    <col min="17" max="17" width="10.08984375" customWidth="1"/>
    <col min="18" max="18" width="13.90625" bestFit="1" customWidth="1"/>
    <col min="19" max="19" width="15.6328125" bestFit="1" customWidth="1"/>
    <col min="20" max="20" width="14.81640625" bestFit="1" customWidth="1"/>
  </cols>
  <sheetData>
    <row r="1" spans="1:25" x14ac:dyDescent="0.35">
      <c r="B1" s="31" t="s">
        <v>3</v>
      </c>
      <c r="C1" s="31"/>
      <c r="D1" s="31"/>
      <c r="E1" s="31"/>
      <c r="F1" s="31"/>
      <c r="G1" s="31"/>
      <c r="H1" s="31"/>
      <c r="I1" s="31"/>
      <c r="J1" s="11"/>
      <c r="K1" s="11"/>
      <c r="L1" s="32" t="s">
        <v>4</v>
      </c>
      <c r="M1" s="32"/>
      <c r="N1" s="32"/>
      <c r="O1" s="32"/>
      <c r="P1" s="32"/>
      <c r="Q1" s="32"/>
      <c r="R1" s="32"/>
      <c r="S1" s="32"/>
      <c r="T1" s="12"/>
      <c r="U1" s="12"/>
    </row>
    <row r="2" spans="1:25" x14ac:dyDescent="0.35">
      <c r="A2" s="1" t="s">
        <v>0</v>
      </c>
      <c r="B2" s="4" t="s">
        <v>8</v>
      </c>
      <c r="C2" s="27" t="s">
        <v>6</v>
      </c>
      <c r="D2" s="9" t="s">
        <v>18</v>
      </c>
      <c r="E2" s="3" t="s">
        <v>2</v>
      </c>
      <c r="F2" s="3" t="s">
        <v>5</v>
      </c>
      <c r="G2" s="3" t="s">
        <v>9</v>
      </c>
      <c r="H2" s="3" t="s">
        <v>10</v>
      </c>
      <c r="I2" s="6" t="s">
        <v>17</v>
      </c>
      <c r="J2" s="6" t="s">
        <v>36</v>
      </c>
      <c r="K2" s="6" t="s">
        <v>37</v>
      </c>
      <c r="L2" s="3" t="s">
        <v>8</v>
      </c>
      <c r="M2" s="27" t="s">
        <v>6</v>
      </c>
      <c r="N2" s="9" t="s">
        <v>18</v>
      </c>
      <c r="O2" s="3" t="s">
        <v>2</v>
      </c>
      <c r="P2" s="3" t="s">
        <v>5</v>
      </c>
      <c r="Q2" s="3" t="s">
        <v>9</v>
      </c>
      <c r="R2" s="3" t="s">
        <v>10</v>
      </c>
      <c r="S2" s="6" t="s">
        <v>17</v>
      </c>
      <c r="T2" s="6" t="s">
        <v>36</v>
      </c>
      <c r="U2" s="6" t="s">
        <v>37</v>
      </c>
    </row>
    <row r="3" spans="1:25" x14ac:dyDescent="0.35">
      <c r="A3" s="37">
        <v>1</v>
      </c>
      <c r="B3" s="38">
        <v>8.2649999999999988</v>
      </c>
      <c r="C3" s="28">
        <v>-2.8049999999999999E-2</v>
      </c>
      <c r="D3" s="5">
        <f>C3-$X$22</f>
        <v>-1.9917499999999998E-2</v>
      </c>
      <c r="E3" s="36">
        <f>AVERAGE(D3:D4)</f>
        <v>-1.8102500000000001E-2</v>
      </c>
      <c r="F3" s="45">
        <f>-(_xlfn.STDEV.S(D3:D4)/SQRT(2))/E3</f>
        <v>0.10026239469686492</v>
      </c>
      <c r="G3" s="36">
        <f>(-E3*$X$9*$X$10)/($X$11*$X$8*$X$12*10^-3)</f>
        <v>9.701232583065382E-2</v>
      </c>
      <c r="H3" s="36">
        <f>G3/B3</f>
        <v>1.1737728473158359E-2</v>
      </c>
      <c r="I3" s="33">
        <f>H3*1000</f>
        <v>11.737728473158359</v>
      </c>
      <c r="J3" s="33">
        <f>AVERAGE(I5:I12)</f>
        <v>11.371009340412909</v>
      </c>
      <c r="K3" s="34">
        <f>(_xlfn.STDEV.S(I4:I12)/SQRT(5))/J3</f>
        <v>9.5352301978102266E-2</v>
      </c>
      <c r="L3" s="36">
        <v>6.0449999999999999</v>
      </c>
      <c r="M3" s="28">
        <v>-2.8129999999999999E-2</v>
      </c>
      <c r="N3" s="5">
        <f>M3-$X$22</f>
        <v>-1.9997500000000001E-2</v>
      </c>
      <c r="O3" s="36">
        <f>AVERAGE(N3:N4)</f>
        <v>-1.9967500000000003E-2</v>
      </c>
      <c r="P3" s="45">
        <f>-(_xlfn.STDEV.S(N3:N4)/SQRT(2))/O3</f>
        <v>1.5024414673844382E-3</v>
      </c>
      <c r="Q3" s="36">
        <f>(-O3*$X$9*$X$10)/($X$11*$X$8*$X$12*10^-3)</f>
        <v>0.10700696677384781</v>
      </c>
      <c r="R3" s="36">
        <f>Q3/L3</f>
        <v>1.7701731476236198E-2</v>
      </c>
      <c r="S3" s="33">
        <f t="shared" ref="S3:S65" si="0">R3*1000</f>
        <v>17.701731476236198</v>
      </c>
      <c r="T3" s="33">
        <f>AVERAGE(S3:S12)</f>
        <v>13.139482770505515</v>
      </c>
      <c r="U3" s="34">
        <f>(_xlfn.STDEV.S(S3:S12)/SQRT(5))/T3</f>
        <v>0.14100576672634424</v>
      </c>
    </row>
    <row r="4" spans="1:25" x14ac:dyDescent="0.35">
      <c r="A4" s="37"/>
      <c r="B4" s="38"/>
      <c r="C4" s="28">
        <v>-2.4420000000000001E-2</v>
      </c>
      <c r="D4" s="5">
        <f t="shared" ref="D4:D67" si="1">C4-$X$22</f>
        <v>-1.6287500000000003E-2</v>
      </c>
      <c r="E4" s="36"/>
      <c r="F4" s="45"/>
      <c r="G4" s="36"/>
      <c r="H4" s="36"/>
      <c r="I4" s="33"/>
      <c r="J4" s="33"/>
      <c r="K4" s="34"/>
      <c r="L4" s="36"/>
      <c r="M4" s="28">
        <v>-2.8070000000000001E-2</v>
      </c>
      <c r="N4" s="5">
        <f t="shared" ref="N4:N67" si="2">M4-$X$22</f>
        <v>-1.9937500000000004E-2</v>
      </c>
      <c r="O4" s="36"/>
      <c r="P4" s="45"/>
      <c r="Q4" s="36"/>
      <c r="R4" s="36"/>
      <c r="S4" s="33"/>
      <c r="T4" s="33"/>
      <c r="U4" s="34"/>
    </row>
    <row r="5" spans="1:25" x14ac:dyDescent="0.35">
      <c r="A5" s="37">
        <v>2</v>
      </c>
      <c r="B5" s="38">
        <v>5.7149999999999999</v>
      </c>
      <c r="C5" s="28">
        <v>-1.702E-2</v>
      </c>
      <c r="D5" s="5">
        <f t="shared" si="1"/>
        <v>-8.8875000000000013E-3</v>
      </c>
      <c r="E5" s="36">
        <f t="shared" ref="E5" si="3">AVERAGE(D5:D6)</f>
        <v>-8.3375000000000012E-3</v>
      </c>
      <c r="F5" s="45">
        <f t="shared" ref="F5" si="4">-(_xlfn.STDEV.S(D5:D6)/SQRT(2))/E5</f>
        <v>6.5967016491754127E-2</v>
      </c>
      <c r="G5" s="36">
        <f t="shared" ref="G5" si="5">(-E5*$X$9*$X$10)/($X$11*$X$8*$X$12*10^-3)</f>
        <v>4.4681136120042882E-2</v>
      </c>
      <c r="H5" s="36">
        <f>G5/B5</f>
        <v>7.8182215433145897E-3</v>
      </c>
      <c r="I5" s="33">
        <f t="shared" ref="I5" si="6">H5*1000</f>
        <v>7.8182215433145901</v>
      </c>
      <c r="J5" s="33"/>
      <c r="K5" s="34"/>
      <c r="L5" s="36">
        <v>10.425000000000001</v>
      </c>
      <c r="M5" s="28">
        <v>-2.9569999999999999E-2</v>
      </c>
      <c r="N5" s="5">
        <f t="shared" si="2"/>
        <v>-2.1437499999999998E-2</v>
      </c>
      <c r="O5" s="36">
        <f t="shared" ref="O5" si="7">AVERAGE(N5:N6)</f>
        <v>-1.9317499999999998E-2</v>
      </c>
      <c r="P5" s="45">
        <f t="shared" ref="P5" si="8">-(_xlfn.STDEV.S(N5:N6)/SQRT(2))/O5</f>
        <v>0.10974504982528799</v>
      </c>
      <c r="Q5" s="36">
        <f t="shared" ref="Q5" si="9">(-O5*$X$9*$X$10)/($X$11*$X$8*$X$12*10^-3)</f>
        <v>0.10352357984994641</v>
      </c>
      <c r="R5" s="36">
        <f>Q5/L5</f>
        <v>9.9303194100668016E-3</v>
      </c>
      <c r="S5" s="33">
        <f t="shared" si="0"/>
        <v>9.9303194100668009</v>
      </c>
      <c r="T5" s="33"/>
      <c r="U5" s="34"/>
    </row>
    <row r="6" spans="1:25" x14ac:dyDescent="0.35">
      <c r="A6" s="37"/>
      <c r="B6" s="38"/>
      <c r="C6" s="28">
        <v>-1.592E-2</v>
      </c>
      <c r="D6" s="5">
        <f t="shared" si="1"/>
        <v>-7.787500000000001E-3</v>
      </c>
      <c r="E6" s="36"/>
      <c r="F6" s="45"/>
      <c r="G6" s="36"/>
      <c r="H6" s="36"/>
      <c r="I6" s="33"/>
      <c r="J6" s="33"/>
      <c r="K6" s="34"/>
      <c r="L6" s="36"/>
      <c r="M6" s="28">
        <v>-2.5329999999999998E-2</v>
      </c>
      <c r="N6" s="5">
        <f t="shared" si="2"/>
        <v>-1.7197499999999998E-2</v>
      </c>
      <c r="O6" s="36"/>
      <c r="P6" s="45"/>
      <c r="Q6" s="36"/>
      <c r="R6" s="36"/>
      <c r="S6" s="33"/>
      <c r="T6" s="33"/>
      <c r="U6" s="34"/>
    </row>
    <row r="7" spans="1:25" x14ac:dyDescent="0.35">
      <c r="A7" s="37">
        <v>3</v>
      </c>
      <c r="B7" s="38">
        <v>6.4050000000000011</v>
      </c>
      <c r="C7" s="28">
        <v>-2.231E-2</v>
      </c>
      <c r="D7" s="5">
        <f t="shared" si="1"/>
        <v>-1.4177500000000001E-2</v>
      </c>
      <c r="E7" s="36">
        <f t="shared" ref="E7" si="10">AVERAGE(D7:D8)</f>
        <v>-1.4392500000000001E-2</v>
      </c>
      <c r="F7" s="45">
        <f t="shared" ref="F7" si="11">-(_xlfn.STDEV.S(D7:D8)/SQRT(2))/E7</f>
        <v>1.4938335938857034E-2</v>
      </c>
      <c r="G7" s="36">
        <f t="shared" ref="G7" si="12">(-E7*$X$9*$X$10)/($X$11*$X$8*$X$12*10^-3)</f>
        <v>7.7130225080385861E-2</v>
      </c>
      <c r="H7" s="36">
        <f>G7/B7</f>
        <v>1.2042189708100835E-2</v>
      </c>
      <c r="I7" s="33">
        <f t="shared" ref="I7" si="13">H7*1000</f>
        <v>12.042189708100835</v>
      </c>
      <c r="J7" s="33"/>
      <c r="K7" s="34"/>
      <c r="L7" s="36">
        <v>10.319999999999999</v>
      </c>
      <c r="M7" s="28">
        <v>-2.5020000000000001E-2</v>
      </c>
      <c r="N7" s="5">
        <f t="shared" si="2"/>
        <v>-1.68875E-2</v>
      </c>
      <c r="O7" s="36">
        <f t="shared" ref="O7" si="14">AVERAGE(N7:N8)</f>
        <v>-1.60725E-2</v>
      </c>
      <c r="P7" s="45">
        <f t="shared" ref="P7" si="15">-(_xlfn.STDEV.S(N7:N8)/SQRT(2))/O7</f>
        <v>5.0707730595737986E-2</v>
      </c>
      <c r="Q7" s="36">
        <f t="shared" ref="Q7" si="16">(-O7*$X$9*$X$10)/($X$11*$X$8*$X$12*10^-3)</f>
        <v>8.6133440514469459E-2</v>
      </c>
      <c r="R7" s="36">
        <f>Q7/L7</f>
        <v>8.3462636157431661E-3</v>
      </c>
      <c r="S7" s="33">
        <f t="shared" si="0"/>
        <v>8.3462636157431653</v>
      </c>
      <c r="T7" s="33"/>
      <c r="U7" s="34"/>
    </row>
    <row r="8" spans="1:25" x14ac:dyDescent="0.35">
      <c r="A8" s="37"/>
      <c r="B8" s="38"/>
      <c r="C8" s="28">
        <v>-2.274E-2</v>
      </c>
      <c r="D8" s="5">
        <f t="shared" si="1"/>
        <v>-1.4607500000000001E-2</v>
      </c>
      <c r="E8" s="36"/>
      <c r="F8" s="45"/>
      <c r="G8" s="36"/>
      <c r="H8" s="36"/>
      <c r="I8" s="33"/>
      <c r="J8" s="33"/>
      <c r="K8" s="34"/>
      <c r="L8" s="36"/>
      <c r="M8" s="28">
        <v>-2.3390000000000001E-2</v>
      </c>
      <c r="N8" s="5">
        <f t="shared" si="2"/>
        <v>-1.5257500000000002E-2</v>
      </c>
      <c r="O8" s="36"/>
      <c r="P8" s="45"/>
      <c r="Q8" s="36"/>
      <c r="R8" s="36"/>
      <c r="S8" s="33"/>
      <c r="T8" s="33"/>
      <c r="U8" s="34"/>
      <c r="W8" s="8" t="s">
        <v>103</v>
      </c>
      <c r="X8">
        <v>0.6</v>
      </c>
    </row>
    <row r="9" spans="1:25" x14ac:dyDescent="0.35">
      <c r="A9" s="37">
        <v>4</v>
      </c>
      <c r="B9" s="38">
        <v>5.625</v>
      </c>
      <c r="C9" s="28">
        <v>-2.4539999999999999E-2</v>
      </c>
      <c r="D9" s="5">
        <f t="shared" si="1"/>
        <v>-1.6407499999999998E-2</v>
      </c>
      <c r="E9" s="36">
        <f t="shared" ref="E9" si="17">AVERAGE(D9:D10)</f>
        <v>-1.3922500000000001E-2</v>
      </c>
      <c r="F9" s="45">
        <f t="shared" ref="F9" si="18">-(_xlfn.STDEV.S(D9:D10)/SQRT(2))/E9</f>
        <v>0.17848805889746802</v>
      </c>
      <c r="G9" s="36">
        <f t="shared" ref="G9" si="19">(-E9*$X$9*$X$10)/($X$11*$X$8*$X$12*10^-3)</f>
        <v>7.4611468381564863E-2</v>
      </c>
      <c r="H9" s="36">
        <f>G9/B9</f>
        <v>1.3264261045611531E-2</v>
      </c>
      <c r="I9" s="33">
        <f t="shared" ref="I9" si="20">H9*1000</f>
        <v>13.264261045611532</v>
      </c>
      <c r="J9" s="33"/>
      <c r="K9" s="34"/>
      <c r="L9" s="36">
        <v>8.7000000000000011</v>
      </c>
      <c r="M9" s="28">
        <v>-2.9610000000000001E-2</v>
      </c>
      <c r="N9" s="5">
        <f t="shared" si="2"/>
        <v>-2.1477500000000004E-2</v>
      </c>
      <c r="O9" s="36">
        <f t="shared" ref="O9" si="21">AVERAGE(N9:N10)</f>
        <v>-2.0747500000000002E-2</v>
      </c>
      <c r="P9" s="45">
        <f t="shared" ref="P9" si="22">-(_xlfn.STDEV.S(N9:N10)/SQRT(2))/O9</f>
        <v>3.5184962043619775E-2</v>
      </c>
      <c r="Q9" s="36">
        <f t="shared" ref="Q9" si="23">(-O9*$X$9*$X$10)/($X$11*$X$8*$X$12*10^-3)</f>
        <v>0.11118703108252949</v>
      </c>
      <c r="R9" s="36">
        <f>Q9/L9</f>
        <v>1.2780118515233273E-2</v>
      </c>
      <c r="S9" s="33">
        <f t="shared" si="0"/>
        <v>12.780118515233273</v>
      </c>
      <c r="T9" s="33"/>
      <c r="U9" s="34"/>
      <c r="W9" s="8" t="s">
        <v>99</v>
      </c>
      <c r="X9">
        <v>1</v>
      </c>
    </row>
    <row r="10" spans="1:25" x14ac:dyDescent="0.35">
      <c r="A10" s="37"/>
      <c r="B10" s="38"/>
      <c r="C10" s="28">
        <v>-1.9570000000000001E-2</v>
      </c>
      <c r="D10" s="5">
        <f t="shared" si="1"/>
        <v>-1.1437500000000001E-2</v>
      </c>
      <c r="E10" s="36"/>
      <c r="F10" s="45"/>
      <c r="G10" s="36"/>
      <c r="H10" s="36"/>
      <c r="I10" s="33"/>
      <c r="J10" s="33"/>
      <c r="K10" s="34"/>
      <c r="L10" s="36"/>
      <c r="M10" s="28">
        <v>-2.8150000000000001E-2</v>
      </c>
      <c r="N10" s="5">
        <f t="shared" si="2"/>
        <v>-2.0017500000000001E-2</v>
      </c>
      <c r="O10" s="36"/>
      <c r="P10" s="45"/>
      <c r="Q10" s="36"/>
      <c r="R10" s="36"/>
      <c r="S10" s="33"/>
      <c r="T10" s="33"/>
      <c r="U10" s="34"/>
      <c r="W10" s="8" t="s">
        <v>100</v>
      </c>
      <c r="X10">
        <v>0.2</v>
      </c>
    </row>
    <row r="11" spans="1:25" x14ac:dyDescent="0.35">
      <c r="A11" s="37">
        <v>5</v>
      </c>
      <c r="B11" s="38">
        <v>4.1550000000000002</v>
      </c>
      <c r="C11" s="28">
        <v>-1.9599999999999999E-2</v>
      </c>
      <c r="D11" s="5">
        <f t="shared" si="1"/>
        <v>-1.14675E-2</v>
      </c>
      <c r="E11" s="36">
        <f t="shared" ref="E11" si="24">AVERAGE(D11:D12)</f>
        <v>-9.5825000000000007E-3</v>
      </c>
      <c r="F11" s="45">
        <f t="shared" ref="F11" si="25">-(_xlfn.STDEV.S(D11:D12)/SQRT(2))/E11</f>
        <v>0.19671275763109827</v>
      </c>
      <c r="G11" s="36">
        <f t="shared" ref="G11" si="26">(-E11*$X$9*$X$10)/($X$11*$X$8*$X$12*10^-3)</f>
        <v>5.135316184351555E-2</v>
      </c>
      <c r="H11" s="36">
        <f>G11/B11</f>
        <v>1.2359365064624681E-2</v>
      </c>
      <c r="I11" s="33">
        <f t="shared" ref="I11" si="27">H11*1000</f>
        <v>12.359365064624681</v>
      </c>
      <c r="J11" s="33"/>
      <c r="K11" s="34"/>
      <c r="L11" s="36">
        <v>8.9699999999999989</v>
      </c>
      <c r="M11" s="28">
        <v>-3.619E-2</v>
      </c>
      <c r="N11" s="5">
        <f t="shared" si="2"/>
        <v>-2.8057499999999999E-2</v>
      </c>
      <c r="O11" s="36">
        <f t="shared" ref="O11" si="28">AVERAGE(N11:N12)</f>
        <v>-2.8352499999999999E-2</v>
      </c>
      <c r="P11" s="45">
        <f t="shared" ref="P11" si="29">-(_xlfn.STDEV.S(N11:N12)/SQRT(2))/O11</f>
        <v>1.0404726214619525E-2</v>
      </c>
      <c r="Q11" s="36">
        <f t="shared" ref="Q11" si="30">(-O11*$X$9*$X$10)/($X$11*$X$8*$X$12*10^-3)</f>
        <v>0.15194265809217578</v>
      </c>
      <c r="R11" s="36">
        <f>Q11/L11</f>
        <v>1.6938980835248137E-2</v>
      </c>
      <c r="S11" s="33">
        <f t="shared" si="0"/>
        <v>16.938980835248138</v>
      </c>
      <c r="T11" s="33"/>
      <c r="U11" s="34"/>
      <c r="W11" s="8" t="s">
        <v>101</v>
      </c>
      <c r="X11">
        <v>6220</v>
      </c>
      <c r="Y11" s="30" t="s">
        <v>102</v>
      </c>
    </row>
    <row r="12" spans="1:25" x14ac:dyDescent="0.35">
      <c r="A12" s="37"/>
      <c r="B12" s="38"/>
      <c r="C12" s="28">
        <v>-1.583E-2</v>
      </c>
      <c r="D12" s="5">
        <f t="shared" si="1"/>
        <v>-7.6975000000000012E-3</v>
      </c>
      <c r="E12" s="36"/>
      <c r="F12" s="45"/>
      <c r="G12" s="36"/>
      <c r="H12" s="36"/>
      <c r="I12" s="33"/>
      <c r="J12" s="33"/>
      <c r="K12" s="34"/>
      <c r="L12" s="36"/>
      <c r="M12" s="28">
        <v>-3.678E-2</v>
      </c>
      <c r="N12" s="5">
        <f t="shared" si="2"/>
        <v>-2.8647499999999999E-2</v>
      </c>
      <c r="O12" s="36"/>
      <c r="P12" s="45"/>
      <c r="Q12" s="36"/>
      <c r="R12" s="36"/>
      <c r="S12" s="33"/>
      <c r="T12" s="33"/>
      <c r="U12" s="34"/>
      <c r="W12" s="8" t="s">
        <v>14</v>
      </c>
      <c r="X12">
        <v>0.01</v>
      </c>
    </row>
    <row r="13" spans="1:25" x14ac:dyDescent="0.35">
      <c r="A13" s="37">
        <v>6</v>
      </c>
      <c r="B13" s="38">
        <v>5.61</v>
      </c>
      <c r="C13" s="28">
        <v>-2.4309999999999998E-2</v>
      </c>
      <c r="D13" s="5">
        <f t="shared" si="1"/>
        <v>-1.6177499999999997E-2</v>
      </c>
      <c r="E13" s="36">
        <f t="shared" ref="E13" si="31">AVERAGE(D13:D14)</f>
        <v>-1.45775E-2</v>
      </c>
      <c r="F13" s="45">
        <f t="shared" ref="F13" si="32">-(_xlfn.STDEV.S(D13:D14)/SQRT(2))/E13</f>
        <v>0.10975818898988153</v>
      </c>
      <c r="G13" s="36">
        <f t="shared" ref="G13" si="33">(-E13*$X$9*$X$10)/($X$11*$X$8*$X$12*10^-3)</f>
        <v>7.8121650589496258E-2</v>
      </c>
      <c r="H13" s="36">
        <f>G13/B13</f>
        <v>1.3925427912566178E-2</v>
      </c>
      <c r="I13" s="33">
        <f t="shared" ref="I13" si="34">H13*1000</f>
        <v>13.925427912566178</v>
      </c>
      <c r="J13" s="33">
        <f>AVERAGE(I13:I18,I21)</f>
        <v>11.196328252709353</v>
      </c>
      <c r="K13" s="34">
        <f t="shared" ref="K13" si="35">(_xlfn.STDEV.S(I14:I22)/SQRT(5))/J13</f>
        <v>0.13495143424317849</v>
      </c>
      <c r="L13" s="36">
        <v>9.4350000000000005</v>
      </c>
      <c r="M13" s="28">
        <v>-2.7320000000000001E-2</v>
      </c>
      <c r="N13" s="5">
        <f t="shared" si="2"/>
        <v>-1.9187500000000003E-2</v>
      </c>
      <c r="O13" s="36">
        <f t="shared" ref="O13" si="36">AVERAGE(N13:N14)</f>
        <v>-2.0022500000000002E-2</v>
      </c>
      <c r="P13" s="45">
        <f t="shared" ref="P13" si="37">-(_xlfn.STDEV.S(N13:N14)/SQRT(2))/O13</f>
        <v>4.1703084030465666E-2</v>
      </c>
      <c r="Q13" s="36">
        <f t="shared" ref="Q13" si="38">(-O13*$X$9*$X$10)/($X$11*$X$8*$X$12*10^-3)</f>
        <v>0.10730171489817793</v>
      </c>
      <c r="R13" s="36">
        <f>Q13/L13</f>
        <v>1.1372730778821189E-2</v>
      </c>
      <c r="S13" s="33">
        <f t="shared" si="0"/>
        <v>11.37273077882119</v>
      </c>
      <c r="T13" s="33">
        <f t="shared" ref="T13" si="39">AVERAGE(S13:S22)</f>
        <v>12.274866635179418</v>
      </c>
      <c r="U13" s="34">
        <f t="shared" ref="U13" si="40">(_xlfn.STDEV.S(S13:S22)/SQRT(5))/T13</f>
        <v>3.2540299979934448E-2</v>
      </c>
    </row>
    <row r="14" spans="1:25" x14ac:dyDescent="0.35">
      <c r="A14" s="37"/>
      <c r="B14" s="38"/>
      <c r="C14" s="28">
        <v>-2.111E-2</v>
      </c>
      <c r="D14" s="5">
        <f t="shared" si="1"/>
        <v>-1.2977500000000001E-2</v>
      </c>
      <c r="E14" s="36"/>
      <c r="F14" s="45"/>
      <c r="G14" s="36"/>
      <c r="H14" s="36"/>
      <c r="I14" s="33"/>
      <c r="J14" s="33"/>
      <c r="K14" s="34"/>
      <c r="L14" s="36"/>
      <c r="M14" s="28">
        <v>-2.8989999999999998E-2</v>
      </c>
      <c r="N14" s="5">
        <f t="shared" si="2"/>
        <v>-2.0857500000000001E-2</v>
      </c>
      <c r="O14" s="36"/>
      <c r="P14" s="45"/>
      <c r="Q14" s="36"/>
      <c r="R14" s="36"/>
      <c r="S14" s="33"/>
      <c r="T14" s="33"/>
      <c r="U14" s="34"/>
      <c r="W14" s="8" t="s">
        <v>12</v>
      </c>
      <c r="X14">
        <f>-8.26*10^-3</f>
        <v>-8.26E-3</v>
      </c>
    </row>
    <row r="15" spans="1:25" x14ac:dyDescent="0.35">
      <c r="A15" s="37">
        <v>7</v>
      </c>
      <c r="B15" s="38">
        <v>6.51</v>
      </c>
      <c r="C15" s="28">
        <v>-2.29E-2</v>
      </c>
      <c r="D15" s="5">
        <f t="shared" si="1"/>
        <v>-1.4767500000000001E-2</v>
      </c>
      <c r="E15" s="36">
        <f t="shared" ref="E15" si="41">AVERAGE(D15:D16)</f>
        <v>-1.4207500000000001E-2</v>
      </c>
      <c r="F15" s="45">
        <f t="shared" ref="F15" si="42">-(_xlfn.STDEV.S(D15:D16)/SQRT(2))/E15</f>
        <v>3.9415801513285206E-2</v>
      </c>
      <c r="G15" s="36">
        <f t="shared" ref="G15" si="43">(-E15*$X$9*$X$10)/($X$11*$X$8*$X$12*10^-3)</f>
        <v>7.6138799571275464E-2</v>
      </c>
      <c r="H15" s="36">
        <f>G15/B15</f>
        <v>1.1695668136908675E-2</v>
      </c>
      <c r="I15" s="33">
        <f t="shared" ref="I15" si="44">H15*1000</f>
        <v>11.695668136908674</v>
      </c>
      <c r="J15" s="33"/>
      <c r="K15" s="34"/>
      <c r="L15" s="36">
        <v>8.4449999999999985</v>
      </c>
      <c r="M15" s="28">
        <v>-3.048E-2</v>
      </c>
      <c r="N15" s="5">
        <f t="shared" si="2"/>
        <v>-2.2347499999999999E-2</v>
      </c>
      <c r="O15" s="36">
        <f t="shared" ref="O15" si="45">AVERAGE(N15:N16)</f>
        <v>-2.16375E-2</v>
      </c>
      <c r="P15" s="45">
        <f t="shared" ref="P15" si="46">-(_xlfn.STDEV.S(N15:N16)/SQRT(2))/O15</f>
        <v>3.2813402657423399E-2</v>
      </c>
      <c r="Q15" s="36">
        <f t="shared" ref="Q15" si="47">(-O15*$X$9*$X$10)/($X$11*$X$8*$X$12*10^-3)</f>
        <v>0.1159565916398714</v>
      </c>
      <c r="R15" s="36">
        <f>Q15/L15</f>
        <v>1.3730798299570329E-2</v>
      </c>
      <c r="S15" s="33">
        <f t="shared" si="0"/>
        <v>13.730798299570329</v>
      </c>
      <c r="T15" s="33"/>
      <c r="U15" s="34"/>
      <c r="X15">
        <f>-8.45*10^-3</f>
        <v>-8.4499999999999992E-3</v>
      </c>
    </row>
    <row r="16" spans="1:25" x14ac:dyDescent="0.35">
      <c r="A16" s="37"/>
      <c r="B16" s="38"/>
      <c r="C16" s="28">
        <v>-2.1780000000000001E-2</v>
      </c>
      <c r="D16" s="5">
        <f t="shared" si="1"/>
        <v>-1.3647500000000002E-2</v>
      </c>
      <c r="E16" s="36"/>
      <c r="F16" s="45"/>
      <c r="G16" s="36"/>
      <c r="H16" s="36"/>
      <c r="I16" s="33"/>
      <c r="J16" s="33"/>
      <c r="K16" s="34"/>
      <c r="L16" s="36"/>
      <c r="M16" s="28">
        <v>-2.9059999999999999E-2</v>
      </c>
      <c r="N16" s="5">
        <f t="shared" si="2"/>
        <v>-2.0927500000000002E-2</v>
      </c>
      <c r="O16" s="36"/>
      <c r="P16" s="45"/>
      <c r="Q16" s="36"/>
      <c r="R16" s="36"/>
      <c r="S16" s="33"/>
      <c r="T16" s="33"/>
      <c r="U16" s="34"/>
      <c r="X16">
        <f>-9.55*10^-3</f>
        <v>-9.5500000000000012E-3</v>
      </c>
    </row>
    <row r="17" spans="1:24" x14ac:dyDescent="0.35">
      <c r="A17" s="37">
        <v>8</v>
      </c>
      <c r="B17" s="38">
        <v>7.6950000000000003</v>
      </c>
      <c r="C17" s="28">
        <v>-2.3650000000000001E-2</v>
      </c>
      <c r="D17" s="5">
        <f t="shared" si="1"/>
        <v>-1.5517500000000002E-2</v>
      </c>
      <c r="E17" s="36">
        <f t="shared" ref="E17" si="48">AVERAGE(D17:D18)</f>
        <v>-1.3897500000000002E-2</v>
      </c>
      <c r="F17" s="45">
        <f t="shared" ref="F17" si="49">-(_xlfn.STDEV.S(D17:D18)/SQRT(2))/E17</f>
        <v>0.11656772800863463</v>
      </c>
      <c r="G17" s="36">
        <f t="shared" ref="G17" si="50">(-E17*$X$9*$X$10)/($X$11*$X$8*$X$12*10^-3)</f>
        <v>7.4477491961414816E-2</v>
      </c>
      <c r="H17" s="36">
        <f>G17/B17</f>
        <v>9.6786864147387665E-3</v>
      </c>
      <c r="I17" s="33">
        <f t="shared" ref="I17" si="51">H17*1000</f>
        <v>9.6786864147387668</v>
      </c>
      <c r="J17" s="33"/>
      <c r="K17" s="34"/>
      <c r="L17" s="36">
        <v>9.7800000000000011</v>
      </c>
      <c r="M17" s="28">
        <v>-3.6049999999999999E-2</v>
      </c>
      <c r="N17" s="5">
        <f t="shared" si="2"/>
        <v>-2.7917499999999998E-2</v>
      </c>
      <c r="O17" s="36">
        <f t="shared" ref="O17" si="52">AVERAGE(N17:N18)</f>
        <v>-2.20675E-2</v>
      </c>
      <c r="P17" s="45">
        <f t="shared" ref="P17" si="53">-(_xlfn.STDEV.S(N17:N18)/SQRT(2))/O17</f>
        <v>0.26509572901325495</v>
      </c>
      <c r="Q17" s="36">
        <f t="shared" ref="Q17" si="54">(-O17*$X$9*$X$10)/($X$11*$X$8*$X$12*10^-3)</f>
        <v>0.1182609860664523</v>
      </c>
      <c r="R17" s="36">
        <f>Q17/L17</f>
        <v>1.2092125364667923E-2</v>
      </c>
      <c r="S17" s="33">
        <f t="shared" si="0"/>
        <v>12.092125364667924</v>
      </c>
      <c r="T17" s="33"/>
      <c r="U17" s="34"/>
      <c r="X17">
        <f>-8.33*10^-3</f>
        <v>-8.3300000000000006E-3</v>
      </c>
    </row>
    <row r="18" spans="1:24" x14ac:dyDescent="0.35">
      <c r="A18" s="37"/>
      <c r="B18" s="38"/>
      <c r="C18" s="28">
        <v>-2.0410000000000001E-2</v>
      </c>
      <c r="D18" s="5">
        <f t="shared" si="1"/>
        <v>-1.2277500000000002E-2</v>
      </c>
      <c r="E18" s="36"/>
      <c r="F18" s="45"/>
      <c r="G18" s="36"/>
      <c r="H18" s="36"/>
      <c r="I18" s="33"/>
      <c r="J18" s="33"/>
      <c r="K18" s="34"/>
      <c r="L18" s="36"/>
      <c r="M18" s="28">
        <v>-2.435E-2</v>
      </c>
      <c r="N18" s="5">
        <f t="shared" si="2"/>
        <v>-1.6217500000000003E-2</v>
      </c>
      <c r="O18" s="36"/>
      <c r="P18" s="45"/>
      <c r="Q18" s="36"/>
      <c r="R18" s="36"/>
      <c r="S18" s="33"/>
      <c r="T18" s="33"/>
      <c r="U18" s="34"/>
      <c r="X18">
        <f>-7.41*10^-3</f>
        <v>-7.4099999999999999E-3</v>
      </c>
    </row>
    <row r="19" spans="1:24" x14ac:dyDescent="0.35">
      <c r="A19" s="37">
        <v>9</v>
      </c>
      <c r="B19" s="38">
        <v>3.57</v>
      </c>
      <c r="C19" s="28">
        <v>-1.6129999999999999E-2</v>
      </c>
      <c r="D19" s="5">
        <f t="shared" si="1"/>
        <v>-7.9974999999999994E-3</v>
      </c>
      <c r="E19" s="36">
        <f t="shared" ref="E19" si="55">AVERAGE(D19:D20)</f>
        <v>-1.1152500000000001E-2</v>
      </c>
      <c r="F19" s="45">
        <f t="shared" ref="F19" si="56">-(_xlfn.STDEV.S(D19:D20)/SQRT(2))/E19</f>
        <v>0.28289621161174644</v>
      </c>
      <c r="G19" s="36">
        <f t="shared" ref="G19" si="57">(-E19*$X$9*$X$10)/($X$11*$X$8*$X$12*10^-3)</f>
        <v>5.9766881028938915E-2</v>
      </c>
      <c r="H19" s="36">
        <f>G19/B19</f>
        <v>1.6741423257405859E-2</v>
      </c>
      <c r="I19" s="33">
        <f t="shared" ref="I19" si="58">H19*1000</f>
        <v>16.741423257405859</v>
      </c>
      <c r="J19" s="33"/>
      <c r="K19" s="34"/>
      <c r="L19" s="36">
        <v>10.29</v>
      </c>
      <c r="M19" s="28">
        <v>-3.2349999999999997E-2</v>
      </c>
      <c r="N19" s="5">
        <f t="shared" si="2"/>
        <v>-2.4217499999999996E-2</v>
      </c>
      <c r="O19" s="36">
        <f t="shared" ref="O19" si="59">AVERAGE(N19:N20)</f>
        <v>-2.3747499999999998E-2</v>
      </c>
      <c r="P19" s="45">
        <f t="shared" ref="P19" si="60">-(_xlfn.STDEV.S(N19:N20)/SQRT(2))/O19</f>
        <v>1.9791557006000556E-2</v>
      </c>
      <c r="Q19" s="36">
        <f t="shared" ref="Q19" si="61">(-O19*$X$9*$X$10)/($X$11*$X$8*$X$12*10^-3)</f>
        <v>0.12726420150053591</v>
      </c>
      <c r="R19" s="36">
        <f>Q19/L19</f>
        <v>1.2367755247865493E-2</v>
      </c>
      <c r="S19" s="33">
        <f t="shared" si="0"/>
        <v>12.367755247865492</v>
      </c>
      <c r="T19" s="33"/>
      <c r="U19" s="34"/>
      <c r="X19">
        <f>-8.36*10^-3</f>
        <v>-8.3599999999999994E-3</v>
      </c>
    </row>
    <row r="20" spans="1:24" x14ac:dyDescent="0.35">
      <c r="A20" s="37"/>
      <c r="B20" s="38"/>
      <c r="C20" s="28">
        <v>-2.2440000000000002E-2</v>
      </c>
      <c r="D20" s="5">
        <f t="shared" si="1"/>
        <v>-1.4307500000000003E-2</v>
      </c>
      <c r="E20" s="36"/>
      <c r="F20" s="45"/>
      <c r="G20" s="36"/>
      <c r="H20" s="36"/>
      <c r="I20" s="33"/>
      <c r="J20" s="33"/>
      <c r="K20" s="34"/>
      <c r="L20" s="36"/>
      <c r="M20" s="28">
        <v>-3.141E-2</v>
      </c>
      <c r="N20" s="5">
        <f t="shared" si="2"/>
        <v>-2.32775E-2</v>
      </c>
      <c r="O20" s="36"/>
      <c r="P20" s="45"/>
      <c r="Q20" s="36"/>
      <c r="R20" s="36"/>
      <c r="S20" s="33"/>
      <c r="T20" s="33"/>
      <c r="U20" s="34"/>
      <c r="X20">
        <f>-7.44*10^-3</f>
        <v>-7.4400000000000004E-3</v>
      </c>
    </row>
    <row r="21" spans="1:24" x14ac:dyDescent="0.35">
      <c r="A21" s="37">
        <v>10</v>
      </c>
      <c r="B21" s="38">
        <v>6.7499999999999991</v>
      </c>
      <c r="C21" s="28">
        <v>-2.1499999999999998E-2</v>
      </c>
      <c r="D21" s="5">
        <f t="shared" si="1"/>
        <v>-1.3367499999999999E-2</v>
      </c>
      <c r="E21" s="36">
        <f t="shared" ref="E21" si="62">AVERAGE(D21:D22)</f>
        <v>-1.19475E-2</v>
      </c>
      <c r="F21" s="45">
        <f t="shared" ref="F21" si="63">-(_xlfn.STDEV.S(D21:D22)/SQRT(2))/E21</f>
        <v>0.11885331659342954</v>
      </c>
      <c r="G21" s="36">
        <f t="shared" ref="G21" si="64">(-E21*$X$9*$X$10)/($X$11*$X$8*$X$12*10^-3)</f>
        <v>6.4027331189710615E-2</v>
      </c>
      <c r="H21" s="36">
        <f>G21/B21</f>
        <v>9.4855305466237955E-3</v>
      </c>
      <c r="I21" s="33">
        <f t="shared" ref="I21" si="65">H21*1000</f>
        <v>9.4855305466237958</v>
      </c>
      <c r="J21" s="33"/>
      <c r="K21" s="34"/>
      <c r="L21" s="36">
        <v>9.06</v>
      </c>
      <c r="M21" s="28">
        <v>-2.7089999999999999E-2</v>
      </c>
      <c r="N21" s="5">
        <f t="shared" si="2"/>
        <v>-1.8957500000000002E-2</v>
      </c>
      <c r="O21" s="36">
        <f t="shared" ref="O21" si="66">AVERAGE(N21:N22)</f>
        <v>-1.9967500000000003E-2</v>
      </c>
      <c r="P21" s="45">
        <f t="shared" ref="P21" si="67">-(_xlfn.STDEV.S(N21:N22)/SQRT(2))/O21</f>
        <v>5.0582196068611508E-2</v>
      </c>
      <c r="Q21" s="36">
        <f t="shared" ref="Q21" si="68">(-O21*$X$9*$X$10)/($X$11*$X$8*$X$12*10^-3)</f>
        <v>0.10700696677384781</v>
      </c>
      <c r="R21" s="36">
        <f>Q21/L21</f>
        <v>1.1810923484972164E-2</v>
      </c>
      <c r="S21" s="33">
        <f t="shared" si="0"/>
        <v>11.810923484972164</v>
      </c>
      <c r="T21" s="33"/>
      <c r="U21" s="34"/>
      <c r="X21">
        <f>-7.26*10^-3</f>
        <v>-7.26E-3</v>
      </c>
    </row>
    <row r="22" spans="1:24" x14ac:dyDescent="0.35">
      <c r="A22" s="37"/>
      <c r="B22" s="38"/>
      <c r="C22" s="28">
        <v>-1.866E-2</v>
      </c>
      <c r="D22" s="5">
        <f t="shared" si="1"/>
        <v>-1.05275E-2</v>
      </c>
      <c r="E22" s="36"/>
      <c r="F22" s="45"/>
      <c r="G22" s="36"/>
      <c r="H22" s="36"/>
      <c r="I22" s="33"/>
      <c r="J22" s="33"/>
      <c r="K22" s="34"/>
      <c r="L22" s="36"/>
      <c r="M22" s="28">
        <v>-2.911E-2</v>
      </c>
      <c r="N22" s="5">
        <f t="shared" si="2"/>
        <v>-2.0977500000000003E-2</v>
      </c>
      <c r="O22" s="36"/>
      <c r="P22" s="45"/>
      <c r="Q22" s="36"/>
      <c r="R22" s="36"/>
      <c r="S22" s="33"/>
      <c r="T22" s="33"/>
      <c r="U22" s="34"/>
      <c r="W22" s="20" t="s">
        <v>98</v>
      </c>
      <c r="X22" s="20">
        <f>AVERAGE(X14:X21)</f>
        <v>-8.1324999999999991E-3</v>
      </c>
    </row>
    <row r="23" spans="1:24" x14ac:dyDescent="0.35">
      <c r="A23" s="37">
        <v>11</v>
      </c>
      <c r="B23" s="38">
        <v>4.6349999999999998</v>
      </c>
      <c r="C23" s="28">
        <v>-1.695E-2</v>
      </c>
      <c r="D23" s="5">
        <f t="shared" si="1"/>
        <v>-8.8175000000000007E-3</v>
      </c>
      <c r="E23" s="36">
        <f t="shared" ref="E23" si="69">AVERAGE(D23:D24)</f>
        <v>-7.9525000000000012E-3</v>
      </c>
      <c r="F23" s="45">
        <f t="shared" ref="F23" si="70">-(_xlfn.STDEV.S(D23:D24)/SQRT(2))/E23</f>
        <v>0.10877082678403019</v>
      </c>
      <c r="G23" s="36">
        <f t="shared" ref="G23" si="71">(-E23*$X$9*$X$10)/($X$11*$X$8*$X$12*10^-3)</f>
        <v>4.2617899249732055E-2</v>
      </c>
      <c r="H23" s="36">
        <f>G23/B23</f>
        <v>9.1948002696293548E-3</v>
      </c>
      <c r="I23" s="33">
        <f t="shared" ref="I23" si="72">H23*1000</f>
        <v>9.1948002696293543</v>
      </c>
      <c r="J23" s="33">
        <f>AVERAGE(I23:I26,I29)</f>
        <v>11.191869852110129</v>
      </c>
      <c r="K23" s="34">
        <f t="shared" ref="K23" si="73">(_xlfn.STDEV.S(I24:I32)/SQRT(5))/J23</f>
        <v>8.995587315119867E-2</v>
      </c>
      <c r="L23" s="36">
        <v>8.7600000000000016</v>
      </c>
      <c r="M23" s="28">
        <v>-2.5569999999999999E-2</v>
      </c>
      <c r="N23" s="5">
        <f t="shared" si="2"/>
        <v>-1.7437500000000002E-2</v>
      </c>
      <c r="O23" s="36">
        <f t="shared" ref="O23" si="74">AVERAGE(N23:N24)</f>
        <v>-1.7582500000000001E-2</v>
      </c>
      <c r="P23" s="45">
        <f t="shared" ref="P23" si="75">-(_xlfn.STDEV.S(N23:N24)/SQRT(2))/O23</f>
        <v>8.2468363429546027E-3</v>
      </c>
      <c r="Q23" s="36">
        <f t="shared" ref="Q23" si="76">(-O23*$X$9*$X$10)/($X$11*$X$8*$X$12*10^-3)</f>
        <v>9.4225616291532713E-2</v>
      </c>
      <c r="R23" s="36">
        <f>Q23/L23</f>
        <v>1.0756348891727477E-2</v>
      </c>
      <c r="S23" s="33">
        <f t="shared" si="0"/>
        <v>10.756348891727477</v>
      </c>
      <c r="T23" s="33">
        <f t="shared" ref="T23" si="77">AVERAGE(S23:S32)</f>
        <v>9.8553760931087915</v>
      </c>
      <c r="U23" s="34">
        <f t="shared" ref="U23" si="78">(_xlfn.STDEV.S(S23:S32)/SQRT(5))/T23</f>
        <v>4.1227140293146107E-2</v>
      </c>
    </row>
    <row r="24" spans="1:24" x14ac:dyDescent="0.35">
      <c r="A24" s="37"/>
      <c r="B24" s="38"/>
      <c r="C24" s="28">
        <v>-1.5219999999999999E-2</v>
      </c>
      <c r="D24" s="5">
        <f t="shared" si="1"/>
        <v>-7.0875E-3</v>
      </c>
      <c r="E24" s="36"/>
      <c r="F24" s="45"/>
      <c r="G24" s="36"/>
      <c r="H24" s="36"/>
      <c r="I24" s="33"/>
      <c r="J24" s="33"/>
      <c r="K24" s="34"/>
      <c r="L24" s="36"/>
      <c r="M24" s="28">
        <v>-2.5860000000000001E-2</v>
      </c>
      <c r="N24" s="5">
        <f t="shared" si="2"/>
        <v>-1.77275E-2</v>
      </c>
      <c r="O24" s="36"/>
      <c r="P24" s="45"/>
      <c r="Q24" s="36"/>
      <c r="R24" s="36"/>
      <c r="S24" s="33"/>
      <c r="T24" s="33"/>
      <c r="U24" s="34"/>
    </row>
    <row r="25" spans="1:24" x14ac:dyDescent="0.35">
      <c r="A25" s="37">
        <v>12</v>
      </c>
      <c r="B25" s="38">
        <v>3.9750000000000001</v>
      </c>
      <c r="C25" s="28">
        <v>-1.6330000000000001E-2</v>
      </c>
      <c r="D25" s="5">
        <f t="shared" si="1"/>
        <v>-8.1975000000000017E-3</v>
      </c>
      <c r="E25" s="36">
        <f t="shared" ref="E25" si="79">AVERAGE(D25:D26)</f>
        <v>-7.1725000000000009E-3</v>
      </c>
      <c r="F25" s="45">
        <f t="shared" ref="F25" si="80">-(_xlfn.STDEV.S(D25:D26)/SQRT(2))/E25</f>
        <v>0.14290693621470904</v>
      </c>
      <c r="G25" s="36">
        <f t="shared" ref="G25" si="81">(-E25*$X$9*$X$10)/($X$11*$X$8*$X$12*10^-3)</f>
        <v>3.8437834941050381E-2</v>
      </c>
      <c r="H25" s="36">
        <f>G25/B25</f>
        <v>9.6698955826541831E-3</v>
      </c>
      <c r="I25" s="33">
        <f t="shared" ref="I25" si="82">H25*1000</f>
        <v>9.669895582654183</v>
      </c>
      <c r="J25" s="33"/>
      <c r="K25" s="34"/>
      <c r="L25" s="36">
        <v>11.295</v>
      </c>
      <c r="M25" s="28">
        <v>-2.8160000000000001E-2</v>
      </c>
      <c r="N25" s="5">
        <f t="shared" si="2"/>
        <v>-2.0027500000000004E-2</v>
      </c>
      <c r="O25" s="36">
        <f t="shared" ref="O25" si="83">AVERAGE(N25:N26)</f>
        <v>-2.1492500000000001E-2</v>
      </c>
      <c r="P25" s="45">
        <f t="shared" ref="P25" si="84">-(_xlfn.STDEV.S(N25:N26)/SQRT(2))/O25</f>
        <v>6.8163312783529009E-2</v>
      </c>
      <c r="Q25" s="36">
        <f t="shared" ref="Q25" si="85">(-O25*$X$9*$X$10)/($X$11*$X$8*$X$12*10^-3)</f>
        <v>0.11517952840300108</v>
      </c>
      <c r="R25" s="36">
        <f>Q25/L25</f>
        <v>1.0197390739530861E-2</v>
      </c>
      <c r="S25" s="33">
        <f t="shared" si="0"/>
        <v>10.19739073953086</v>
      </c>
      <c r="T25" s="33"/>
      <c r="U25" s="34"/>
    </row>
    <row r="26" spans="1:24" x14ac:dyDescent="0.35">
      <c r="A26" s="37"/>
      <c r="B26" s="38"/>
      <c r="C26" s="28">
        <v>-1.4279999999999999E-2</v>
      </c>
      <c r="D26" s="5">
        <f t="shared" si="1"/>
        <v>-6.1475000000000002E-3</v>
      </c>
      <c r="E26" s="36"/>
      <c r="F26" s="45"/>
      <c r="G26" s="36"/>
      <c r="H26" s="36"/>
      <c r="I26" s="33"/>
      <c r="J26" s="33"/>
      <c r="K26" s="34"/>
      <c r="L26" s="36"/>
      <c r="M26" s="28">
        <v>-3.109E-2</v>
      </c>
      <c r="N26" s="5">
        <f t="shared" si="2"/>
        <v>-2.2957499999999999E-2</v>
      </c>
      <c r="O26" s="36"/>
      <c r="P26" s="45"/>
      <c r="Q26" s="36"/>
      <c r="R26" s="36"/>
      <c r="S26" s="33"/>
      <c r="T26" s="33"/>
      <c r="U26" s="34"/>
    </row>
    <row r="27" spans="1:24" x14ac:dyDescent="0.35">
      <c r="A27" s="37">
        <v>13</v>
      </c>
      <c r="B27" s="38">
        <v>5.3849999999999998</v>
      </c>
      <c r="C27" s="28">
        <v>-2.1950000000000001E-2</v>
      </c>
      <c r="D27" s="5">
        <f t="shared" si="1"/>
        <v>-1.3817500000000002E-2</v>
      </c>
      <c r="E27" s="36">
        <f t="shared" ref="E27" si="86">AVERAGE(D27:D28)</f>
        <v>-1.2817500000000001E-2</v>
      </c>
      <c r="F27" s="45">
        <f t="shared" ref="F27" si="87">-(_xlfn.STDEV.S(D27:D28)/SQRT(2))/E27</f>
        <v>7.8018334308562573E-2</v>
      </c>
      <c r="G27" s="36">
        <f t="shared" ref="G27" si="88">(-E27*$X$9*$X$10)/($X$11*$X$8*$X$12*10^-3)</f>
        <v>6.8689710610932486E-2</v>
      </c>
      <c r="H27" s="36">
        <f>G27/B27</f>
        <v>1.2755749417071957E-2</v>
      </c>
      <c r="I27" s="33">
        <f t="shared" ref="I27" si="89">H27*1000</f>
        <v>12.755749417071957</v>
      </c>
      <c r="J27" s="33"/>
      <c r="K27" s="34"/>
      <c r="L27" s="36">
        <v>10.545000000000002</v>
      </c>
      <c r="M27" s="28">
        <v>-2.5989999999999999E-2</v>
      </c>
      <c r="N27" s="5">
        <f t="shared" si="2"/>
        <v>-1.7857499999999998E-2</v>
      </c>
      <c r="O27" s="36">
        <f t="shared" ref="O27" si="90">AVERAGE(N27:N28)</f>
        <v>-1.8642499999999999E-2</v>
      </c>
      <c r="P27" s="45">
        <f t="shared" ref="P27" si="91">-(_xlfn.STDEV.S(N27:N28)/SQRT(2))/O27</f>
        <v>4.2108086361807753E-2</v>
      </c>
      <c r="Q27" s="36">
        <f t="shared" ref="Q27" si="92">(-O27*$X$9*$X$10)/($X$11*$X$8*$X$12*10^-3)</f>
        <v>9.9906216505894971E-2</v>
      </c>
      <c r="R27" s="36">
        <f>Q27/L27</f>
        <v>9.4742737321853922E-3</v>
      </c>
      <c r="S27" s="33">
        <f t="shared" si="0"/>
        <v>9.4742737321853916</v>
      </c>
      <c r="T27" s="33"/>
      <c r="U27" s="34"/>
    </row>
    <row r="28" spans="1:24" x14ac:dyDescent="0.35">
      <c r="A28" s="37"/>
      <c r="B28" s="38"/>
      <c r="C28" s="28">
        <v>-1.9949999999999999E-2</v>
      </c>
      <c r="D28" s="5">
        <f t="shared" si="1"/>
        <v>-1.18175E-2</v>
      </c>
      <c r="E28" s="36"/>
      <c r="F28" s="45"/>
      <c r="G28" s="36"/>
      <c r="H28" s="36"/>
      <c r="I28" s="33"/>
      <c r="J28" s="33"/>
      <c r="K28" s="34"/>
      <c r="L28" s="36"/>
      <c r="M28" s="28">
        <v>-2.7560000000000001E-2</v>
      </c>
      <c r="N28" s="5">
        <f t="shared" si="2"/>
        <v>-1.94275E-2</v>
      </c>
      <c r="O28" s="36"/>
      <c r="P28" s="45"/>
      <c r="Q28" s="36"/>
      <c r="R28" s="36"/>
      <c r="S28" s="33"/>
      <c r="T28" s="33"/>
      <c r="U28" s="34"/>
    </row>
    <row r="29" spans="1:24" x14ac:dyDescent="0.35">
      <c r="A29" s="37">
        <v>14</v>
      </c>
      <c r="B29" s="38">
        <v>3.54</v>
      </c>
      <c r="C29" s="28">
        <v>-1.959E-2</v>
      </c>
      <c r="D29" s="5">
        <f t="shared" si="1"/>
        <v>-1.1457500000000001E-2</v>
      </c>
      <c r="E29" s="36">
        <f t="shared" ref="E29" si="93">AVERAGE(D29:D30)</f>
        <v>-9.7175000000000004E-3</v>
      </c>
      <c r="F29" s="45">
        <f t="shared" ref="F29" si="94">-(_xlfn.STDEV.S(D29:D30)/SQRT(2))/E29</f>
        <v>0.17905839979418575</v>
      </c>
      <c r="G29" s="36">
        <f t="shared" ref="G29" si="95">(-E29*$X$9*$X$10)/($X$11*$X$8*$X$12*10^-3)</f>
        <v>5.2076634512325838E-2</v>
      </c>
      <c r="H29" s="36">
        <f>G29/B29</f>
        <v>1.4710913704046846E-2</v>
      </c>
      <c r="I29" s="33">
        <f t="shared" ref="I29" si="96">H29*1000</f>
        <v>14.710913704046845</v>
      </c>
      <c r="J29" s="33"/>
      <c r="K29" s="34"/>
      <c r="L29" s="36">
        <v>9.7050000000000001</v>
      </c>
      <c r="M29" s="28">
        <v>-2.324E-2</v>
      </c>
      <c r="N29" s="5">
        <f t="shared" si="2"/>
        <v>-1.5107500000000001E-2</v>
      </c>
      <c r="O29" s="36">
        <f t="shared" ref="O29" si="97">AVERAGE(N29:N30)</f>
        <v>-1.5322500000000001E-2</v>
      </c>
      <c r="P29" s="45">
        <f t="shared" ref="P29" si="98">-(_xlfn.STDEV.S(N29:N30)/SQRT(2))/O29</f>
        <v>1.4031652798172613E-2</v>
      </c>
      <c r="Q29" s="36">
        <f t="shared" ref="Q29" si="99">(-O29*$X$9*$X$10)/($X$11*$X$8*$X$12*10^-3)</f>
        <v>8.2114147909967863E-2</v>
      </c>
      <c r="R29" s="36">
        <f>Q29/L29</f>
        <v>8.4610147253959666E-3</v>
      </c>
      <c r="S29" s="33">
        <f t="shared" si="0"/>
        <v>8.461014725395966</v>
      </c>
      <c r="T29" s="33"/>
      <c r="U29" s="34"/>
    </row>
    <row r="30" spans="1:24" x14ac:dyDescent="0.35">
      <c r="A30" s="37"/>
      <c r="B30" s="38"/>
      <c r="C30" s="28">
        <v>-1.6109999999999999E-2</v>
      </c>
      <c r="D30" s="5">
        <f t="shared" si="1"/>
        <v>-7.9775000000000002E-3</v>
      </c>
      <c r="E30" s="36"/>
      <c r="F30" s="45"/>
      <c r="G30" s="36"/>
      <c r="H30" s="36"/>
      <c r="I30" s="33"/>
      <c r="J30" s="33"/>
      <c r="K30" s="34"/>
      <c r="L30" s="36"/>
      <c r="M30" s="28">
        <v>-2.367E-2</v>
      </c>
      <c r="N30" s="5">
        <f t="shared" si="2"/>
        <v>-1.5537500000000001E-2</v>
      </c>
      <c r="O30" s="36"/>
      <c r="P30" s="45"/>
      <c r="Q30" s="36"/>
      <c r="R30" s="36"/>
      <c r="S30" s="33"/>
      <c r="T30" s="33"/>
      <c r="U30" s="34"/>
    </row>
    <row r="31" spans="1:24" x14ac:dyDescent="0.35">
      <c r="A31" s="37">
        <v>15</v>
      </c>
      <c r="B31" s="38">
        <v>5.22</v>
      </c>
      <c r="C31" s="28">
        <v>-1.8239999999999999E-2</v>
      </c>
      <c r="D31" s="5">
        <f t="shared" si="1"/>
        <v>-1.01075E-2</v>
      </c>
      <c r="E31" s="36">
        <f t="shared" ref="E31" si="100">AVERAGE(D31:D32)</f>
        <v>-1.03575E-2</v>
      </c>
      <c r="F31" s="45">
        <f t="shared" ref="F31" si="101">-(_xlfn.STDEV.S(D31:D32)/SQRT(2))/E31</f>
        <v>2.4137098720733788E-2</v>
      </c>
      <c r="G31" s="36">
        <f t="shared" ref="G31" si="102">(-E31*$X$9*$X$10)/($X$11*$X$8*$X$12*10^-3)</f>
        <v>5.5506430868167207E-2</v>
      </c>
      <c r="H31" s="36">
        <f>G31/B31</f>
        <v>1.0633415875127818E-2</v>
      </c>
      <c r="I31" s="33">
        <f t="shared" ref="I31" si="103">H31*1000</f>
        <v>10.633415875127818</v>
      </c>
      <c r="J31" s="33"/>
      <c r="K31" s="34"/>
      <c r="L31" s="36">
        <v>10.020000000000001</v>
      </c>
      <c r="M31" s="28">
        <v>-2.5319999999999999E-2</v>
      </c>
      <c r="N31" s="5">
        <f t="shared" si="2"/>
        <v>-1.7187500000000001E-2</v>
      </c>
      <c r="O31" s="36">
        <f t="shared" ref="O31" si="104">AVERAGE(N31:N32)</f>
        <v>-1.9422500000000002E-2</v>
      </c>
      <c r="P31" s="45">
        <f t="shared" ref="P31" si="105">-(_xlfn.STDEV.S(N31:N32)/SQRT(2))/O31</f>
        <v>0.11507272493242376</v>
      </c>
      <c r="Q31" s="36">
        <f t="shared" ref="Q31" si="106">(-O31*$X$9*$X$10)/($X$11*$X$8*$X$12*10^-3)</f>
        <v>0.10408628081457666</v>
      </c>
      <c r="R31" s="36">
        <f>Q31/L31</f>
        <v>1.0387852376704256E-2</v>
      </c>
      <c r="S31" s="33">
        <f t="shared" si="0"/>
        <v>10.387852376704256</v>
      </c>
      <c r="T31" s="33"/>
      <c r="U31" s="34"/>
    </row>
    <row r="32" spans="1:24" x14ac:dyDescent="0.35">
      <c r="A32" s="37"/>
      <c r="B32" s="38"/>
      <c r="C32" s="28">
        <v>-1.874E-2</v>
      </c>
      <c r="D32" s="5">
        <f t="shared" si="1"/>
        <v>-1.0607500000000001E-2</v>
      </c>
      <c r="E32" s="36"/>
      <c r="F32" s="45"/>
      <c r="G32" s="36"/>
      <c r="H32" s="36"/>
      <c r="I32" s="33"/>
      <c r="J32" s="33"/>
      <c r="K32" s="34"/>
      <c r="L32" s="36"/>
      <c r="M32" s="28">
        <v>-2.9790000000000001E-2</v>
      </c>
      <c r="N32" s="5">
        <f t="shared" si="2"/>
        <v>-2.1657500000000003E-2</v>
      </c>
      <c r="O32" s="36"/>
      <c r="P32" s="45"/>
      <c r="Q32" s="36"/>
      <c r="R32" s="36"/>
      <c r="S32" s="33"/>
      <c r="T32" s="33"/>
      <c r="U32" s="34"/>
    </row>
    <row r="33" spans="1:21" x14ac:dyDescent="0.35">
      <c r="A33" s="37">
        <v>16</v>
      </c>
      <c r="B33" s="38">
        <v>6.9149999999999991</v>
      </c>
      <c r="C33" s="28">
        <v>-2.5080000000000002E-2</v>
      </c>
      <c r="D33" s="5">
        <f t="shared" si="1"/>
        <v>-1.6947500000000004E-2</v>
      </c>
      <c r="E33" s="36">
        <f t="shared" ref="E33" si="107">AVERAGE(D33:D34)</f>
        <v>-1.6332500000000003E-2</v>
      </c>
      <c r="F33" s="45">
        <f t="shared" ref="F33" si="108">-(_xlfn.STDEV.S(D33:D34)/SQRT(2))/E33</f>
        <v>3.7654982397061124E-2</v>
      </c>
      <c r="G33" s="36">
        <f t="shared" ref="G33" si="109">(-E33*$X$9*$X$10)/($X$11*$X$8*$X$12*10^-3)</f>
        <v>8.7526795284030026E-2</v>
      </c>
      <c r="H33" s="36">
        <f>G33/B33</f>
        <v>1.2657526432976143E-2</v>
      </c>
      <c r="I33" s="33">
        <f t="shared" ref="I33" si="110">H33*1000</f>
        <v>12.657526432976143</v>
      </c>
      <c r="J33" s="33">
        <f>AVERAGE(I33:I38)</f>
        <v>9.9752335347617898</v>
      </c>
      <c r="K33" s="34">
        <f>(_xlfn.STDEV.S(I33:I38)/SQRT(3))/J33</f>
        <v>0.1576422864084194</v>
      </c>
      <c r="L33" s="36">
        <v>12.6</v>
      </c>
      <c r="M33" s="28">
        <v>-1.9429999999999999E-2</v>
      </c>
      <c r="N33" s="5">
        <f t="shared" si="2"/>
        <v>-1.12975E-2</v>
      </c>
      <c r="O33" s="36">
        <f t="shared" ref="O33" si="111">AVERAGE(N33:N34)</f>
        <v>-1.3102500000000001E-2</v>
      </c>
      <c r="P33" s="45">
        <f t="shared" ref="P33" si="112">-(_xlfn.STDEV.S(N33:N34)/SQRT(2))/O33</f>
        <v>0.13775996947147495</v>
      </c>
      <c r="Q33" s="36">
        <f t="shared" ref="Q33" si="113">(-O33*$X$9*$X$10)/($X$11*$X$8*$X$12*10^-3)</f>
        <v>7.0217041800643101E-2</v>
      </c>
      <c r="R33" s="36">
        <f>Q33/L33</f>
        <v>5.5727810952891348E-3</v>
      </c>
      <c r="S33" s="46">
        <f t="shared" si="0"/>
        <v>5.5727810952891348</v>
      </c>
      <c r="T33" s="33">
        <f>AVERAGE(S33:S38)</f>
        <v>9.2364422163958633</v>
      </c>
      <c r="U33" s="34">
        <f>(_xlfn.STDEV.S(S33:S38)/SQRT(3))/T33</f>
        <v>0.23940928219651311</v>
      </c>
    </row>
    <row r="34" spans="1:21" x14ac:dyDescent="0.35">
      <c r="A34" s="37"/>
      <c r="B34" s="38"/>
      <c r="C34" s="28">
        <v>-2.385E-2</v>
      </c>
      <c r="D34" s="5">
        <f t="shared" si="1"/>
        <v>-1.5717500000000002E-2</v>
      </c>
      <c r="E34" s="36"/>
      <c r="F34" s="45"/>
      <c r="G34" s="36"/>
      <c r="H34" s="36"/>
      <c r="I34" s="33"/>
      <c r="J34" s="33"/>
      <c r="K34" s="34"/>
      <c r="L34" s="36"/>
      <c r="M34" s="28">
        <v>-2.3040000000000001E-2</v>
      </c>
      <c r="N34" s="5">
        <f t="shared" si="2"/>
        <v>-1.4907500000000002E-2</v>
      </c>
      <c r="O34" s="36"/>
      <c r="P34" s="45"/>
      <c r="Q34" s="36"/>
      <c r="R34" s="36"/>
      <c r="S34" s="46"/>
      <c r="T34" s="33"/>
      <c r="U34" s="34"/>
    </row>
    <row r="35" spans="1:21" x14ac:dyDescent="0.35">
      <c r="A35" s="37">
        <v>17</v>
      </c>
      <c r="B35" s="38">
        <v>6.2399999999999993</v>
      </c>
      <c r="C35" s="28">
        <v>-1.677E-2</v>
      </c>
      <c r="D35" s="5">
        <f t="shared" si="1"/>
        <v>-8.6375000000000011E-3</v>
      </c>
      <c r="E35" s="36">
        <f t="shared" ref="E35" si="114">AVERAGE(D35:D36)</f>
        <v>-8.3975000000000005E-3</v>
      </c>
      <c r="F35" s="45">
        <f t="shared" ref="F35" si="115">-(_xlfn.STDEV.S(D35:D36)/SQRT(2))/E35</f>
        <v>2.8579934504316836E-2</v>
      </c>
      <c r="G35" s="36">
        <f t="shared" ref="G35" si="116">(-E35*$X$9*$X$10)/($X$11*$X$8*$X$12*10^-3)</f>
        <v>4.5002679528403006E-2</v>
      </c>
      <c r="H35" s="36">
        <f>G35/B35</f>
        <v>7.2119678731415084E-3</v>
      </c>
      <c r="I35" s="33">
        <f t="shared" ref="I35" si="117">H35*1000</f>
        <v>7.211967873141508</v>
      </c>
      <c r="J35" s="33"/>
      <c r="K35" s="34"/>
      <c r="L35" s="36">
        <v>10.485000000000001</v>
      </c>
      <c r="M35" s="28">
        <v>-3.2980000000000002E-2</v>
      </c>
      <c r="N35" s="5">
        <f t="shared" si="2"/>
        <v>-2.4847500000000002E-2</v>
      </c>
      <c r="O35" s="36">
        <f t="shared" ref="O35" si="118">AVERAGE(N35:N36)</f>
        <v>-2.58525E-2</v>
      </c>
      <c r="P35" s="45">
        <f t="shared" ref="P35" si="119">-(_xlfn.STDEV.S(N35:N36)/SQRT(2))/O35</f>
        <v>3.8874383521903061E-2</v>
      </c>
      <c r="Q35" s="36">
        <f t="shared" ref="Q35" si="120">(-O35*$X$9*$X$10)/($X$11*$X$8*$X$12*10^-3)</f>
        <v>0.13854501607717043</v>
      </c>
      <c r="R35" s="36">
        <f>Q35/L35</f>
        <v>1.3213640064584684E-2</v>
      </c>
      <c r="S35" s="46">
        <f t="shared" si="0"/>
        <v>13.213640064584684</v>
      </c>
      <c r="T35" s="33"/>
      <c r="U35" s="34"/>
    </row>
    <row r="36" spans="1:21" x14ac:dyDescent="0.35">
      <c r="A36" s="37"/>
      <c r="B36" s="38"/>
      <c r="C36" s="28">
        <v>-1.6289999999999999E-2</v>
      </c>
      <c r="D36" s="5">
        <f t="shared" si="1"/>
        <v>-8.1574999999999998E-3</v>
      </c>
      <c r="E36" s="36"/>
      <c r="F36" s="45"/>
      <c r="G36" s="36"/>
      <c r="H36" s="36"/>
      <c r="I36" s="33"/>
      <c r="J36" s="33"/>
      <c r="K36" s="34"/>
      <c r="L36" s="36"/>
      <c r="M36" s="28">
        <v>-3.499E-2</v>
      </c>
      <c r="N36" s="5">
        <f t="shared" si="2"/>
        <v>-2.6857499999999999E-2</v>
      </c>
      <c r="O36" s="36"/>
      <c r="P36" s="45"/>
      <c r="Q36" s="36"/>
      <c r="R36" s="36"/>
      <c r="S36" s="46"/>
      <c r="T36" s="33"/>
      <c r="U36" s="34"/>
    </row>
    <row r="37" spans="1:21" x14ac:dyDescent="0.35">
      <c r="A37" s="37">
        <v>18</v>
      </c>
      <c r="B37" s="38">
        <v>5.04</v>
      </c>
      <c r="C37" s="28">
        <v>-1.7590000000000001E-2</v>
      </c>
      <c r="D37" s="5">
        <f t="shared" si="1"/>
        <v>-9.4575000000000024E-3</v>
      </c>
      <c r="E37" s="36">
        <f t="shared" ref="E37" si="121">AVERAGE(D37:D38)</f>
        <v>-9.4575000000000024E-3</v>
      </c>
      <c r="F37" s="45">
        <f t="shared" ref="F37" si="122">-(_xlfn.STDEV.S(D37:D38)/SQRT(2))/E37</f>
        <v>0</v>
      </c>
      <c r="G37" s="36">
        <f t="shared" ref="G37" si="123">(-E37*$X$9*$X$10)/($X$11*$X$8*$X$12*10^-3)</f>
        <v>5.0683279742765291E-2</v>
      </c>
      <c r="H37" s="36">
        <f>G37/B37</f>
        <v>1.0056206298167716E-2</v>
      </c>
      <c r="I37" s="33">
        <f t="shared" ref="I37" si="124">H37*1000</f>
        <v>10.056206298167716</v>
      </c>
      <c r="J37" s="33"/>
      <c r="K37" s="34"/>
      <c r="L37" s="36">
        <v>10.59</v>
      </c>
      <c r="M37" s="28">
        <v>-2.555E-2</v>
      </c>
      <c r="N37" s="5">
        <f t="shared" si="2"/>
        <v>-1.7417500000000002E-2</v>
      </c>
      <c r="O37" s="36">
        <f t="shared" ref="O37" si="125">AVERAGE(N37:N38)</f>
        <v>-1.7632500000000002E-2</v>
      </c>
      <c r="P37" s="45">
        <f t="shared" ref="P37" si="126">-(_xlfn.STDEV.S(N37:N38)/SQRT(2))/O37</f>
        <v>1.2193392882461357E-2</v>
      </c>
      <c r="Q37" s="36">
        <f t="shared" ref="Q37" si="127">(-O37*$X$9*$X$10)/($X$11*$X$8*$X$12*10^-3)</f>
        <v>9.4493569131832808E-2</v>
      </c>
      <c r="R37" s="36">
        <f>Q37/L37</f>
        <v>8.9229054893137684E-3</v>
      </c>
      <c r="S37" s="33">
        <f t="shared" si="0"/>
        <v>8.9229054893137683</v>
      </c>
      <c r="T37" s="33"/>
      <c r="U37" s="34"/>
    </row>
    <row r="38" spans="1:21" x14ac:dyDescent="0.35">
      <c r="A38" s="37"/>
      <c r="B38" s="38"/>
      <c r="C38" s="28">
        <v>-1.7590000000000001E-2</v>
      </c>
      <c r="D38" s="5">
        <f t="shared" si="1"/>
        <v>-9.4575000000000024E-3</v>
      </c>
      <c r="E38" s="36"/>
      <c r="F38" s="45"/>
      <c r="G38" s="36"/>
      <c r="H38" s="36"/>
      <c r="I38" s="33"/>
      <c r="J38" s="33"/>
      <c r="K38" s="34"/>
      <c r="L38" s="36"/>
      <c r="M38" s="28">
        <v>-2.598E-2</v>
      </c>
      <c r="N38" s="5">
        <f t="shared" si="2"/>
        <v>-1.7847500000000002E-2</v>
      </c>
      <c r="O38" s="36"/>
      <c r="P38" s="45"/>
      <c r="Q38" s="36"/>
      <c r="R38" s="36"/>
      <c r="S38" s="33"/>
      <c r="T38" s="33"/>
      <c r="U38" s="34"/>
    </row>
    <row r="39" spans="1:21" x14ac:dyDescent="0.35">
      <c r="A39" s="37">
        <v>19</v>
      </c>
      <c r="B39" s="38">
        <v>7.5449999999999999</v>
      </c>
      <c r="C39" s="28">
        <v>-1.975E-2</v>
      </c>
      <c r="D39" s="5">
        <f t="shared" si="1"/>
        <v>-1.1617500000000001E-2</v>
      </c>
      <c r="E39" s="36">
        <f t="shared" ref="E39" si="128">AVERAGE(D39:D40)</f>
        <v>-1.0777500000000001E-2</v>
      </c>
      <c r="F39" s="45">
        <f t="shared" ref="F39" si="129">-(_xlfn.STDEV.S(D39:D40)/SQRT(2))/E39</f>
        <v>7.7940153096729331E-2</v>
      </c>
      <c r="G39" s="36">
        <f t="shared" ref="G39" si="130">(-E39*$X$9*$X$10)/($X$11*$X$8*$X$12*10^-3)</f>
        <v>5.775723472668811E-2</v>
      </c>
      <c r="H39" s="36">
        <f>G39/B39</f>
        <v>7.6550344236829835E-3</v>
      </c>
      <c r="I39" s="33">
        <f t="shared" ref="I39" si="131">H39*1000</f>
        <v>7.6550344236829835</v>
      </c>
      <c r="J39" s="33">
        <f t="shared" ref="J39" si="132">AVERAGE(I39:I44)</f>
        <v>9.0168204433343373</v>
      </c>
      <c r="K39" s="34">
        <f t="shared" ref="K39" si="133">(_xlfn.STDEV.S(I39:I44)/SQRT(3))/J39</f>
        <v>0.25502659135293704</v>
      </c>
      <c r="L39" s="36">
        <v>10.74</v>
      </c>
      <c r="M39" s="28">
        <v>-2.579E-2</v>
      </c>
      <c r="N39" s="5">
        <f t="shared" si="2"/>
        <v>-1.76575E-2</v>
      </c>
      <c r="O39" s="36">
        <f t="shared" ref="O39" si="134">AVERAGE(N39:N40)</f>
        <v>-1.7957500000000001E-2</v>
      </c>
      <c r="P39" s="45">
        <f t="shared" ref="P39" si="135">-(_xlfn.STDEV.S(N39:N40)/SQRT(2))/O39</f>
        <v>1.6706111652512966E-2</v>
      </c>
      <c r="Q39" s="36">
        <f t="shared" ref="Q39" si="136">(-O39*$X$9*$X$10)/($X$11*$X$8*$X$12*10^-3)</f>
        <v>9.623526259378351E-2</v>
      </c>
      <c r="R39" s="36">
        <f>Q39/L39</f>
        <v>8.9604527554733252E-3</v>
      </c>
      <c r="S39" s="33">
        <f t="shared" si="0"/>
        <v>8.9604527554733249</v>
      </c>
      <c r="T39" s="33">
        <f t="shared" ref="T39" si="137">AVERAGE(S39:S44)</f>
        <v>7.9941831326126431</v>
      </c>
      <c r="U39" s="34">
        <f t="shared" ref="U39" si="138">(_xlfn.STDEV.S(S39:S44)/SQRT(3))/T39</f>
        <v>6.4039558843785274E-2</v>
      </c>
    </row>
    <row r="40" spans="1:21" x14ac:dyDescent="0.35">
      <c r="A40" s="37"/>
      <c r="B40" s="38"/>
      <c r="C40" s="28">
        <v>-1.8069999999999999E-2</v>
      </c>
      <c r="D40" s="5">
        <f t="shared" si="1"/>
        <v>-9.9375000000000002E-3</v>
      </c>
      <c r="E40" s="36"/>
      <c r="F40" s="45"/>
      <c r="G40" s="36"/>
      <c r="H40" s="36"/>
      <c r="I40" s="33"/>
      <c r="J40" s="33"/>
      <c r="K40" s="34"/>
      <c r="L40" s="36"/>
      <c r="M40" s="28">
        <v>-2.639E-2</v>
      </c>
      <c r="N40" s="5">
        <f t="shared" si="2"/>
        <v>-1.8257500000000003E-2</v>
      </c>
      <c r="O40" s="36"/>
      <c r="P40" s="45"/>
      <c r="Q40" s="36"/>
      <c r="R40" s="36"/>
      <c r="S40" s="33"/>
      <c r="T40" s="33"/>
      <c r="U40" s="34"/>
    </row>
    <row r="41" spans="1:21" x14ac:dyDescent="0.35">
      <c r="A41" s="37">
        <v>20</v>
      </c>
      <c r="B41" s="38">
        <v>5.52</v>
      </c>
      <c r="C41" s="28">
        <v>-2.3230000000000001E-2</v>
      </c>
      <c r="D41" s="5">
        <f t="shared" si="1"/>
        <v>-1.5097500000000002E-2</v>
      </c>
      <c r="E41" s="36">
        <f t="shared" ref="E41" si="139">AVERAGE(D41:D42)</f>
        <v>-1.3907500000000001E-2</v>
      </c>
      <c r="F41" s="45">
        <f t="shared" ref="F41" si="140">-(_xlfn.STDEV.S(D41:D42)/SQRT(2))/E41</f>
        <v>8.5565342441128886E-2</v>
      </c>
      <c r="G41" s="36">
        <f t="shared" ref="G41" si="141">(-E41*$X$9*$X$10)/($X$11*$X$8*$X$12*10^-3)</f>
        <v>7.4531082529474824E-2</v>
      </c>
      <c r="H41" s="36">
        <f>G41/B41</f>
        <v>1.3502007704615005E-2</v>
      </c>
      <c r="I41" s="33">
        <f t="shared" ref="I41" si="142">H41*1000</f>
        <v>13.502007704615005</v>
      </c>
      <c r="J41" s="33"/>
      <c r="K41" s="34"/>
      <c r="L41" s="36">
        <v>8.6999999999999993</v>
      </c>
      <c r="M41" s="28">
        <v>-2.0570000000000001E-2</v>
      </c>
      <c r="N41" s="5">
        <f t="shared" si="2"/>
        <v>-1.2437500000000002E-2</v>
      </c>
      <c r="O41" s="36">
        <f t="shared" ref="O41" si="143">AVERAGE(N41:N42)</f>
        <v>-1.1717500000000002E-2</v>
      </c>
      <c r="P41" s="45">
        <f t="shared" ref="P41" si="144">-(_xlfn.STDEV.S(N41:N42)/SQRT(2))/O41</f>
        <v>6.1446554299125232E-2</v>
      </c>
      <c r="Q41" s="36">
        <f t="shared" ref="Q41" si="145">(-O41*$X$9*$X$10)/($X$11*$X$8*$X$12*10^-3)</f>
        <v>6.2794748124330127E-2</v>
      </c>
      <c r="R41" s="36">
        <f>Q41/L41</f>
        <v>7.2177871407276013E-3</v>
      </c>
      <c r="S41" s="33">
        <f t="shared" si="0"/>
        <v>7.2177871407276015</v>
      </c>
      <c r="T41" s="33"/>
      <c r="U41" s="34"/>
    </row>
    <row r="42" spans="1:21" x14ac:dyDescent="0.35">
      <c r="A42" s="37"/>
      <c r="B42" s="38"/>
      <c r="C42" s="28">
        <v>-2.085E-2</v>
      </c>
      <c r="D42" s="5">
        <f t="shared" si="1"/>
        <v>-1.2717500000000001E-2</v>
      </c>
      <c r="E42" s="36"/>
      <c r="F42" s="45"/>
      <c r="G42" s="36"/>
      <c r="H42" s="36"/>
      <c r="I42" s="33"/>
      <c r="J42" s="33"/>
      <c r="K42" s="34"/>
      <c r="L42" s="36"/>
      <c r="M42" s="28">
        <v>-1.9130000000000001E-2</v>
      </c>
      <c r="N42" s="5">
        <f t="shared" si="2"/>
        <v>-1.0997500000000002E-2</v>
      </c>
      <c r="O42" s="36"/>
      <c r="P42" s="45"/>
      <c r="Q42" s="36"/>
      <c r="R42" s="36"/>
      <c r="S42" s="33"/>
      <c r="T42" s="33"/>
      <c r="U42" s="34"/>
    </row>
    <row r="43" spans="1:21" x14ac:dyDescent="0.35">
      <c r="A43" s="37">
        <v>21</v>
      </c>
      <c r="B43" s="38">
        <v>6.9449999999999994</v>
      </c>
      <c r="C43" s="28">
        <v>-1.6639999999999999E-2</v>
      </c>
      <c r="D43" s="5">
        <f t="shared" si="1"/>
        <v>-8.5074999999999994E-3</v>
      </c>
      <c r="E43" s="36">
        <f t="shared" ref="E43" si="146">AVERAGE(D43:D44)</f>
        <v>-7.6375000000000002E-3</v>
      </c>
      <c r="F43" s="45">
        <f t="shared" ref="F43" si="147">-(_xlfn.STDEV.S(D43:D44)/SQRT(2))/E43</f>
        <v>0.11391162029459892</v>
      </c>
      <c r="G43" s="36">
        <f t="shared" ref="G43" si="148">(-E43*$X$9*$X$10)/($X$11*$X$8*$X$12*10^-3)</f>
        <v>4.0929796355841382E-2</v>
      </c>
      <c r="H43" s="36">
        <f>G43/B43</f>
        <v>5.8934192017050229E-3</v>
      </c>
      <c r="I43" s="46">
        <f t="shared" ref="I43" si="149">H43*1000</f>
        <v>5.8934192017050231</v>
      </c>
      <c r="J43" s="33"/>
      <c r="K43" s="34"/>
      <c r="L43" s="36">
        <v>8.2349999999999994</v>
      </c>
      <c r="M43" s="28">
        <v>-1.9879999999999998E-2</v>
      </c>
      <c r="N43" s="5">
        <f t="shared" si="2"/>
        <v>-1.1747499999999999E-2</v>
      </c>
      <c r="O43" s="36">
        <f t="shared" ref="O43" si="150">AVERAGE(N43:N44)</f>
        <v>-1.19925E-2</v>
      </c>
      <c r="P43" s="45">
        <f t="shared" ref="P43" si="151">-(_xlfn.STDEV.S(N43:N44)/SQRT(2))/O43</f>
        <v>2.0429435063581438E-2</v>
      </c>
      <c r="Q43" s="36">
        <f t="shared" ref="Q43" si="152">(-O43*$X$9*$X$10)/($X$11*$X$8*$X$12*10^-3)</f>
        <v>6.4268488745980706E-2</v>
      </c>
      <c r="R43" s="36">
        <f>Q43/L43</f>
        <v>7.8043095016370016E-3</v>
      </c>
      <c r="S43" s="33">
        <f t="shared" si="0"/>
        <v>7.8043095016370012</v>
      </c>
      <c r="T43" s="33"/>
      <c r="U43" s="34"/>
    </row>
    <row r="44" spans="1:21" x14ac:dyDescent="0.35">
      <c r="A44" s="37"/>
      <c r="B44" s="38"/>
      <c r="C44" s="28">
        <v>-1.49E-2</v>
      </c>
      <c r="D44" s="5">
        <f t="shared" si="1"/>
        <v>-6.7675000000000009E-3</v>
      </c>
      <c r="E44" s="36"/>
      <c r="F44" s="45"/>
      <c r="G44" s="36"/>
      <c r="H44" s="36"/>
      <c r="I44" s="46"/>
      <c r="J44" s="33"/>
      <c r="K44" s="34"/>
      <c r="L44" s="36"/>
      <c r="M44" s="28">
        <v>-2.0369999999999999E-2</v>
      </c>
      <c r="N44" s="5">
        <f t="shared" si="2"/>
        <v>-1.22375E-2</v>
      </c>
      <c r="O44" s="36"/>
      <c r="P44" s="45"/>
      <c r="Q44" s="36"/>
      <c r="R44" s="36"/>
      <c r="S44" s="33"/>
      <c r="T44" s="33"/>
      <c r="U44" s="34"/>
    </row>
    <row r="45" spans="1:21" x14ac:dyDescent="0.35">
      <c r="A45" s="37">
        <v>22</v>
      </c>
      <c r="B45" s="47">
        <v>3.9750000000000001</v>
      </c>
      <c r="C45" s="28">
        <v>-2.0820000000000002E-2</v>
      </c>
      <c r="D45" s="5">
        <f t="shared" si="1"/>
        <v>-1.2687500000000003E-2</v>
      </c>
      <c r="E45" s="36">
        <f t="shared" ref="E45" si="153">AVERAGE(D45:D46)</f>
        <v>-1.1307500000000002E-2</v>
      </c>
      <c r="F45" s="45">
        <f t="shared" ref="F45" si="154">-(_xlfn.STDEV.S(D45:D46)/SQRT(2))/E45</f>
        <v>0.12204289188591649</v>
      </c>
      <c r="G45" s="36">
        <f t="shared" ref="G45" si="155">(-E45*$X$9*$X$10)/($X$11*$X$8*$X$12*10^-3)</f>
        <v>6.0597534833869253E-2</v>
      </c>
      <c r="H45" s="36">
        <f>G45/B45</f>
        <v>1.5244662851287862E-2</v>
      </c>
      <c r="I45" s="33">
        <f t="shared" ref="I45" si="156">H45*1000</f>
        <v>15.244662851287861</v>
      </c>
      <c r="J45" s="33">
        <f>AVERAGE(I47:I50)</f>
        <v>9.9403032626158971</v>
      </c>
      <c r="K45" s="34">
        <f t="shared" ref="K45" si="157">(_xlfn.STDEV.S(I45:I50)/SQRT(3))/J45</f>
        <v>0.40214479546120813</v>
      </c>
      <c r="L45" s="36">
        <v>10.86</v>
      </c>
      <c r="M45" s="28">
        <v>-2.486E-2</v>
      </c>
      <c r="N45" s="5">
        <f t="shared" si="2"/>
        <v>-1.6727499999999999E-2</v>
      </c>
      <c r="O45" s="36">
        <f t="shared" ref="O45" si="158">AVERAGE(N45:N46)</f>
        <v>-1.70825E-2</v>
      </c>
      <c r="P45" s="45">
        <f t="shared" ref="P45" si="159">-(_xlfn.STDEV.S(N45:N46)/SQRT(2))/O45</f>
        <v>2.0781501536660391E-2</v>
      </c>
      <c r="Q45" s="36">
        <f t="shared" ref="Q45" si="160">(-O45*$X$9*$X$10)/($X$11*$X$8*$X$12*10^-3)</f>
        <v>9.1546087888531621E-2</v>
      </c>
      <c r="R45" s="36">
        <f>Q45/L45</f>
        <v>8.4296581849476644E-3</v>
      </c>
      <c r="S45" s="33">
        <f t="shared" si="0"/>
        <v>8.4296581849476642</v>
      </c>
      <c r="T45" s="33">
        <f t="shared" ref="T45" si="161">AVERAGE(S45:S50)</f>
        <v>7.9000082518620447</v>
      </c>
      <c r="U45" s="34">
        <f t="shared" ref="U45" si="162">(_xlfn.STDEV.S(S45:S50)/SQRT(3))/T45</f>
        <v>8.1789345857440562E-2</v>
      </c>
    </row>
    <row r="46" spans="1:21" x14ac:dyDescent="0.35">
      <c r="A46" s="37"/>
      <c r="B46" s="47"/>
      <c r="C46" s="28">
        <v>-1.806E-2</v>
      </c>
      <c r="D46" s="5">
        <f t="shared" si="1"/>
        <v>-9.9275000000000006E-3</v>
      </c>
      <c r="E46" s="36"/>
      <c r="F46" s="45"/>
      <c r="G46" s="36"/>
      <c r="H46" s="36"/>
      <c r="I46" s="33"/>
      <c r="J46" s="33"/>
      <c r="K46" s="34"/>
      <c r="L46" s="36"/>
      <c r="M46" s="28">
        <v>-2.5569999999999999E-2</v>
      </c>
      <c r="N46" s="5">
        <f t="shared" si="2"/>
        <v>-1.7437500000000002E-2</v>
      </c>
      <c r="O46" s="36"/>
      <c r="P46" s="45"/>
      <c r="Q46" s="36"/>
      <c r="R46" s="36"/>
      <c r="S46" s="33"/>
      <c r="T46" s="33"/>
      <c r="U46" s="34"/>
    </row>
    <row r="47" spans="1:21" x14ac:dyDescent="0.35">
      <c r="A47" s="37">
        <v>23</v>
      </c>
      <c r="B47" s="38">
        <v>6.81</v>
      </c>
      <c r="C47" s="28">
        <v>-2.6939999999999999E-2</v>
      </c>
      <c r="D47" s="5">
        <f t="shared" si="1"/>
        <v>-1.8807499999999998E-2</v>
      </c>
      <c r="E47" s="36">
        <f t="shared" ref="E47" si="163">AVERAGE(D47:D48)</f>
        <v>-2.0522499999999999E-2</v>
      </c>
      <c r="F47" s="45">
        <f t="shared" ref="F47" si="164">-(_xlfn.STDEV.S(D47:D48)/SQRT(2))/E47</f>
        <v>8.356681690827146E-2</v>
      </c>
      <c r="G47" s="36">
        <f t="shared" ref="G47" si="165">(-E47*$X$9*$X$10)/($X$11*$X$8*$X$12*10^-3)</f>
        <v>0.10998124330117899</v>
      </c>
      <c r="H47" s="36">
        <f>G47/B47</f>
        <v>1.6149962305606315E-2</v>
      </c>
      <c r="I47" s="33">
        <f t="shared" ref="I47" si="166">H47*1000</f>
        <v>16.149962305606316</v>
      </c>
      <c r="J47" s="33"/>
      <c r="K47" s="34"/>
      <c r="L47" s="36">
        <v>12.690000000000001</v>
      </c>
      <c r="M47" s="28">
        <v>-2.264E-2</v>
      </c>
      <c r="N47" s="5">
        <f t="shared" si="2"/>
        <v>-1.4507500000000001E-2</v>
      </c>
      <c r="O47" s="36">
        <f t="shared" ref="O47" si="167">AVERAGE(N47:N48)</f>
        <v>-1.5662499999999999E-2</v>
      </c>
      <c r="P47" s="45">
        <f t="shared" ref="P47" si="168">-(_xlfn.STDEV.S(N47:N48)/SQRT(2))/O47</f>
        <v>7.3743016759776459E-2</v>
      </c>
      <c r="Q47" s="36">
        <f t="shared" ref="Q47" si="169">(-O47*$X$9*$X$10)/($X$11*$X$8*$X$12*10^-3)</f>
        <v>8.3936227224008578E-2</v>
      </c>
      <c r="R47" s="36">
        <f>Q47/L47</f>
        <v>6.6143599073292805E-3</v>
      </c>
      <c r="S47" s="33">
        <f t="shared" si="0"/>
        <v>6.6143599073292805</v>
      </c>
      <c r="T47" s="33"/>
      <c r="U47" s="34"/>
    </row>
    <row r="48" spans="1:21" x14ac:dyDescent="0.35">
      <c r="A48" s="37"/>
      <c r="B48" s="38"/>
      <c r="C48" s="28">
        <v>-3.0370000000000001E-2</v>
      </c>
      <c r="D48" s="5">
        <f t="shared" si="1"/>
        <v>-2.22375E-2</v>
      </c>
      <c r="E48" s="36"/>
      <c r="F48" s="45"/>
      <c r="G48" s="36"/>
      <c r="H48" s="36"/>
      <c r="I48" s="33"/>
      <c r="J48" s="33"/>
      <c r="K48" s="34"/>
      <c r="L48" s="36"/>
      <c r="M48" s="28">
        <v>-2.495E-2</v>
      </c>
      <c r="N48" s="5">
        <f t="shared" si="2"/>
        <v>-1.6817499999999999E-2</v>
      </c>
      <c r="O48" s="36"/>
      <c r="P48" s="45"/>
      <c r="Q48" s="36"/>
      <c r="R48" s="36"/>
      <c r="S48" s="33"/>
      <c r="T48" s="33"/>
      <c r="U48" s="34"/>
    </row>
    <row r="49" spans="1:21" x14ac:dyDescent="0.35">
      <c r="A49" s="37">
        <v>24</v>
      </c>
      <c r="B49" s="38">
        <v>7.38</v>
      </c>
      <c r="C49" s="28">
        <v>-1.397E-2</v>
      </c>
      <c r="D49" s="5">
        <f t="shared" si="1"/>
        <v>-5.8375000000000007E-3</v>
      </c>
      <c r="E49" s="36">
        <f t="shared" ref="E49" si="170">AVERAGE(D49:D50)</f>
        <v>-5.1375000000000006E-3</v>
      </c>
      <c r="F49" s="45">
        <f t="shared" ref="F49" si="171">-(_xlfn.STDEV.S(D49:D50)/SQRT(2))/E49</f>
        <v>0.13625304136253041</v>
      </c>
      <c r="G49" s="36">
        <f t="shared" ref="G49" si="172">(-E49*$X$9*$X$10)/($X$11*$X$8*$X$12*10^-3)</f>
        <v>2.7532154340836019E-2</v>
      </c>
      <c r="H49" s="36">
        <f>G49/B49</f>
        <v>3.7306442196254771E-3</v>
      </c>
      <c r="I49" s="46">
        <f t="shared" ref="I49" si="173">H49*1000</f>
        <v>3.7306442196254772</v>
      </c>
      <c r="J49" s="33"/>
      <c r="K49" s="34"/>
      <c r="L49" s="36">
        <v>9.9599999999999991</v>
      </c>
      <c r="M49" s="28">
        <v>-2.0080000000000001E-2</v>
      </c>
      <c r="N49" s="5">
        <f t="shared" si="2"/>
        <v>-1.1947500000000002E-2</v>
      </c>
      <c r="O49" s="36">
        <f t="shared" ref="O49" si="174">AVERAGE(N49:N50)</f>
        <v>-1.6087500000000001E-2</v>
      </c>
      <c r="P49" s="45">
        <f t="shared" ref="P49" si="175">-(_xlfn.STDEV.S(N49:N50)/SQRT(2))/O49</f>
        <v>0.2573426573426576</v>
      </c>
      <c r="Q49" s="36">
        <f t="shared" ref="Q49" si="176">(-O49*$X$9*$X$10)/($X$11*$X$8*$X$12*10^-3)</f>
        <v>8.6213826366559498E-2</v>
      </c>
      <c r="R49" s="36">
        <f>Q49/L49</f>
        <v>8.6560066633091879E-3</v>
      </c>
      <c r="S49" s="33">
        <f t="shared" si="0"/>
        <v>8.6560066633091886</v>
      </c>
      <c r="T49" s="33"/>
      <c r="U49" s="34"/>
    </row>
    <row r="50" spans="1:21" x14ac:dyDescent="0.35">
      <c r="A50" s="37"/>
      <c r="B50" s="38"/>
      <c r="C50" s="28">
        <v>-1.257E-2</v>
      </c>
      <c r="D50" s="5">
        <f t="shared" si="1"/>
        <v>-4.4375000000000005E-3</v>
      </c>
      <c r="E50" s="36"/>
      <c r="F50" s="45"/>
      <c r="G50" s="36"/>
      <c r="H50" s="36"/>
      <c r="I50" s="46"/>
      <c r="J50" s="33"/>
      <c r="K50" s="34"/>
      <c r="L50" s="36"/>
      <c r="M50" s="28">
        <v>-2.836E-2</v>
      </c>
      <c r="N50" s="5">
        <f t="shared" si="2"/>
        <v>-2.0227500000000002E-2</v>
      </c>
      <c r="O50" s="36"/>
      <c r="P50" s="45"/>
      <c r="Q50" s="36"/>
      <c r="R50" s="36"/>
      <c r="S50" s="33"/>
      <c r="T50" s="33"/>
      <c r="U50" s="34"/>
    </row>
    <row r="51" spans="1:21" x14ac:dyDescent="0.35">
      <c r="A51" s="37">
        <v>25</v>
      </c>
      <c r="B51" s="38">
        <v>6.54</v>
      </c>
      <c r="C51" s="28">
        <v>-2.043E-2</v>
      </c>
      <c r="D51" s="5">
        <f t="shared" si="1"/>
        <v>-1.2297500000000001E-2</v>
      </c>
      <c r="E51" s="36">
        <f t="shared" ref="E51" si="177">AVERAGE(D51:D52)</f>
        <v>-1.2297500000000001E-2</v>
      </c>
      <c r="F51" s="45">
        <f t="shared" ref="F51" si="178">-(_xlfn.STDEV.S(D51:D52)/SQRT(2))/E51</f>
        <v>0</v>
      </c>
      <c r="G51" s="36">
        <f t="shared" ref="G51" si="179">(-E51*$X$9*$X$10)/($X$11*$X$8*$X$12*10^-3)</f>
        <v>6.5903001071811365E-2</v>
      </c>
      <c r="H51" s="36">
        <f>G51/B51</f>
        <v>1.0076911478870239E-2</v>
      </c>
      <c r="I51" s="33">
        <f t="shared" ref="I51" si="180">H51*1000</f>
        <v>10.07691147887024</v>
      </c>
      <c r="J51" s="33">
        <f>AVERAGE(I53)</f>
        <v>5.8675387417528819</v>
      </c>
      <c r="K51" s="34">
        <f t="shared" ref="K51" si="181">(_xlfn.STDEV.S(I51:I56)/SQRT(3))/J51</f>
        <v>0.23980032077154706</v>
      </c>
      <c r="L51" s="36">
        <v>12</v>
      </c>
      <c r="M51" s="28">
        <v>-2.4049999999999998E-2</v>
      </c>
      <c r="N51" s="5">
        <f t="shared" si="2"/>
        <v>-1.5917500000000001E-2</v>
      </c>
      <c r="O51" s="36">
        <f t="shared" ref="O51" si="182">AVERAGE(N51:N52)</f>
        <v>-1.6387499999999999E-2</v>
      </c>
      <c r="P51" s="45">
        <f t="shared" ref="P51" si="183">-(_xlfn.STDEV.S(N51:N52)/SQRT(2))/O51</f>
        <v>2.868039664378326E-2</v>
      </c>
      <c r="Q51" s="36">
        <f t="shared" ref="Q51" si="184">(-O51*$X$9*$X$10)/($X$11*$X$8*$X$12*10^-3)</f>
        <v>8.7821543408360125E-2</v>
      </c>
      <c r="R51" s="36">
        <f>Q51/L51</f>
        <v>7.3184619506966768E-3</v>
      </c>
      <c r="S51" s="33">
        <f t="shared" si="0"/>
        <v>7.318461950696677</v>
      </c>
      <c r="T51" s="33">
        <f t="shared" ref="T51" si="185">AVERAGE(S51:S56)</f>
        <v>6.7376750795683087</v>
      </c>
      <c r="U51" s="34">
        <f t="shared" ref="U51" si="186">(_xlfn.STDEV.S(S51:S56)/SQRT(3))/T51</f>
        <v>0.11946180616870873</v>
      </c>
    </row>
    <row r="52" spans="1:21" x14ac:dyDescent="0.35">
      <c r="A52" s="37"/>
      <c r="B52" s="38"/>
      <c r="C52" s="28">
        <v>-2.043E-2</v>
      </c>
      <c r="D52" s="5">
        <f t="shared" si="1"/>
        <v>-1.2297500000000001E-2</v>
      </c>
      <c r="E52" s="36"/>
      <c r="F52" s="45"/>
      <c r="G52" s="36"/>
      <c r="H52" s="36"/>
      <c r="I52" s="33"/>
      <c r="J52" s="33"/>
      <c r="K52" s="34"/>
      <c r="L52" s="36"/>
      <c r="M52" s="28">
        <v>-2.4989999999999998E-2</v>
      </c>
      <c r="N52" s="5">
        <f t="shared" si="2"/>
        <v>-1.6857499999999997E-2</v>
      </c>
      <c r="O52" s="36"/>
      <c r="P52" s="45"/>
      <c r="Q52" s="36"/>
      <c r="R52" s="36"/>
      <c r="S52" s="33"/>
      <c r="T52" s="33"/>
      <c r="U52" s="34"/>
    </row>
    <row r="53" spans="1:21" x14ac:dyDescent="0.35">
      <c r="A53" s="37">
        <v>26</v>
      </c>
      <c r="B53" s="38">
        <v>7.0349999999999993</v>
      </c>
      <c r="C53" s="28">
        <v>-1.5890000000000001E-2</v>
      </c>
      <c r="D53" s="5">
        <f t="shared" si="1"/>
        <v>-7.7575000000000022E-3</v>
      </c>
      <c r="E53" s="36">
        <f t="shared" ref="E53" si="187">AVERAGE(D53:D54)</f>
        <v>-7.702500000000001E-3</v>
      </c>
      <c r="F53" s="45">
        <f t="shared" ref="F53" si="188">-(_xlfn.STDEV.S(D53:D54)/SQRT(2))/E53</f>
        <v>7.1405387861085638E-3</v>
      </c>
      <c r="G53" s="36">
        <f t="shared" ref="G53" si="189">(-E53*$X$9*$X$10)/($X$11*$X$8*$X$12*10^-3)</f>
        <v>4.1278135048231517E-2</v>
      </c>
      <c r="H53" s="36">
        <f>G53/B53</f>
        <v>5.8675387417528816E-3</v>
      </c>
      <c r="I53" s="46">
        <f t="shared" ref="I53" si="190">H53*1000</f>
        <v>5.8675387417528819</v>
      </c>
      <c r="J53" s="33"/>
      <c r="K53" s="34"/>
      <c r="L53" s="36">
        <v>10.079999999999998</v>
      </c>
      <c r="M53" s="28">
        <v>-2.145E-2</v>
      </c>
      <c r="N53" s="5">
        <f t="shared" si="2"/>
        <v>-1.3317500000000001E-2</v>
      </c>
      <c r="O53" s="36">
        <f t="shared" ref="O53" si="191">AVERAGE(N53:N54)</f>
        <v>-1.4572500000000002E-2</v>
      </c>
      <c r="P53" s="45">
        <f t="shared" ref="P53" si="192">-(_xlfn.STDEV.S(N53:N54)/SQRT(2))/O53</f>
        <v>8.6121118545205003E-2</v>
      </c>
      <c r="Q53" s="36">
        <f t="shared" ref="Q53" si="193">(-O53*$X$9*$X$10)/($X$11*$X$8*$X$12*10^-3)</f>
        <v>7.8094855305466254E-2</v>
      </c>
      <c r="R53" s="36">
        <f>Q53/L53</f>
        <v>7.7475054866533999E-3</v>
      </c>
      <c r="S53" s="33">
        <f t="shared" si="0"/>
        <v>7.7475054866533997</v>
      </c>
      <c r="T53" s="33"/>
      <c r="U53" s="34"/>
    </row>
    <row r="54" spans="1:21" x14ac:dyDescent="0.35">
      <c r="A54" s="37"/>
      <c r="B54" s="38"/>
      <c r="C54" s="28">
        <v>-1.5779999999999999E-2</v>
      </c>
      <c r="D54" s="5">
        <f t="shared" si="1"/>
        <v>-7.6474999999999998E-3</v>
      </c>
      <c r="E54" s="36"/>
      <c r="F54" s="45"/>
      <c r="G54" s="36"/>
      <c r="H54" s="36"/>
      <c r="I54" s="46"/>
      <c r="J54" s="33"/>
      <c r="K54" s="34"/>
      <c r="L54" s="36"/>
      <c r="M54" s="28">
        <v>-2.3959999999999999E-2</v>
      </c>
      <c r="N54" s="5">
        <f t="shared" si="2"/>
        <v>-1.5827500000000001E-2</v>
      </c>
      <c r="O54" s="36"/>
      <c r="P54" s="45"/>
      <c r="Q54" s="36"/>
      <c r="R54" s="36"/>
      <c r="S54" s="33"/>
      <c r="T54" s="33"/>
      <c r="U54" s="34"/>
    </row>
    <row r="55" spans="1:21" x14ac:dyDescent="0.35">
      <c r="A55" s="37">
        <v>27</v>
      </c>
      <c r="B55" s="38">
        <v>5.79</v>
      </c>
      <c r="C55" s="28">
        <v>-1.8149999999999999E-2</v>
      </c>
      <c r="D55" s="5">
        <f t="shared" si="1"/>
        <v>-1.00175E-2</v>
      </c>
      <c r="E55" s="36">
        <f t="shared" ref="E55" si="194">AVERAGE(D55:D56)</f>
        <v>-1.09125E-2</v>
      </c>
      <c r="F55" s="45">
        <f t="shared" ref="F55" si="195">-(_xlfn.STDEV.S(D55:D56)/SQRT(2))/E55</f>
        <v>8.2016036655211913E-2</v>
      </c>
      <c r="G55" s="36">
        <f t="shared" ref="G55" si="196">(-E55*$X$9*$X$10)/($X$11*$X$8*$X$12*10^-3)</f>
        <v>5.8480707395498391E-2</v>
      </c>
      <c r="H55" s="36">
        <f>G55/B55</f>
        <v>1.0100294886959998E-2</v>
      </c>
      <c r="I55" s="33">
        <f t="shared" ref="I55" si="197">H55*1000</f>
        <v>10.100294886959997</v>
      </c>
      <c r="J55" s="33"/>
      <c r="K55" s="34"/>
      <c r="L55" s="36">
        <v>11.565</v>
      </c>
      <c r="M55" s="28">
        <v>-2.0369999999999999E-2</v>
      </c>
      <c r="N55" s="5">
        <f t="shared" si="2"/>
        <v>-1.22375E-2</v>
      </c>
      <c r="O55" s="36">
        <f t="shared" ref="O55" si="198">AVERAGE(N55:N56)</f>
        <v>-1.1107500000000001E-2</v>
      </c>
      <c r="P55" s="45">
        <f t="shared" ref="P55" si="199">-(_xlfn.STDEV.S(N55:N56)/SQRT(2))/O55</f>
        <v>0.10173306324555471</v>
      </c>
      <c r="Q55" s="36">
        <f t="shared" ref="Q55" si="200">(-O55*$X$9*$X$10)/($X$11*$X$8*$X$12*10^-3)</f>
        <v>5.9525723472668823E-2</v>
      </c>
      <c r="R55" s="36">
        <f>Q55/L55</f>
        <v>5.1470578013548488E-3</v>
      </c>
      <c r="S55" s="46">
        <f t="shared" si="0"/>
        <v>5.1470578013548485</v>
      </c>
      <c r="T55" s="33"/>
      <c r="U55" s="34"/>
    </row>
    <row r="56" spans="1:21" x14ac:dyDescent="0.35">
      <c r="A56" s="37"/>
      <c r="B56" s="38"/>
      <c r="C56" s="28">
        <v>-1.9939999999999999E-2</v>
      </c>
      <c r="D56" s="5">
        <f t="shared" si="1"/>
        <v>-1.18075E-2</v>
      </c>
      <c r="E56" s="36"/>
      <c r="F56" s="45"/>
      <c r="G56" s="36"/>
      <c r="H56" s="36"/>
      <c r="I56" s="33"/>
      <c r="J56" s="33"/>
      <c r="K56" s="34"/>
      <c r="L56" s="36"/>
      <c r="M56" s="28">
        <v>-1.8110000000000001E-2</v>
      </c>
      <c r="N56" s="5">
        <f t="shared" si="2"/>
        <v>-9.977500000000002E-3</v>
      </c>
      <c r="O56" s="36"/>
      <c r="P56" s="45"/>
      <c r="Q56" s="36"/>
      <c r="R56" s="36"/>
      <c r="S56" s="46"/>
      <c r="T56" s="33"/>
      <c r="U56" s="34"/>
    </row>
    <row r="57" spans="1:21" x14ac:dyDescent="0.35">
      <c r="A57" s="37">
        <v>28</v>
      </c>
      <c r="B57" s="38">
        <v>6.3750000000000009</v>
      </c>
      <c r="C57" s="28">
        <v>-2.2950000000000002E-2</v>
      </c>
      <c r="D57" s="5">
        <f t="shared" si="1"/>
        <v>-1.4817500000000003E-2</v>
      </c>
      <c r="E57" s="36">
        <f t="shared" ref="E57" si="201">AVERAGE(D57:D58)</f>
        <v>-1.4042500000000001E-2</v>
      </c>
      <c r="F57" s="45">
        <f t="shared" ref="F57" si="202">-(_xlfn.STDEV.S(D57:D58)/SQRT(2))/E57</f>
        <v>5.518960299092051E-2</v>
      </c>
      <c r="G57" s="36">
        <f t="shared" ref="G57" si="203">(-E57*$X$9*$X$10)/($X$11*$X$8*$X$12*10^-3)</f>
        <v>7.5254555198285111E-2</v>
      </c>
      <c r="H57" s="36">
        <f>G57/B57</f>
        <v>1.1804636109534918E-2</v>
      </c>
      <c r="I57" s="33">
        <f t="shared" ref="I57" si="204">H57*1000</f>
        <v>11.804636109534918</v>
      </c>
      <c r="J57" s="33">
        <f t="shared" ref="J57" si="205">AVERAGE(I57:I62)</f>
        <v>8.8806052570684901</v>
      </c>
      <c r="K57" s="34">
        <f t="shared" ref="K57" si="206">(_xlfn.STDEV.S(I57:I62)/SQRT(3))/J57</f>
        <v>0.19621758148657875</v>
      </c>
      <c r="L57" s="36">
        <v>11.58</v>
      </c>
      <c r="M57" s="28">
        <v>-2.0740000000000001E-2</v>
      </c>
      <c r="N57" s="5">
        <f t="shared" si="2"/>
        <v>-1.2607500000000002E-2</v>
      </c>
      <c r="O57" s="36">
        <f t="shared" ref="O57" si="207">AVERAGE(N57:N58)</f>
        <v>-1.1172500000000002E-2</v>
      </c>
      <c r="P57" s="45">
        <f t="shared" ref="P57" si="208">-(_xlfn.STDEV.S(N57:N58)/SQRT(2))/O57</f>
        <v>0.12844036697247707</v>
      </c>
      <c r="Q57" s="36">
        <f t="shared" ref="Q57" si="209">(-O57*$X$9*$X$10)/($X$11*$X$8*$X$12*10^-3)</f>
        <v>5.9874062165058958E-2</v>
      </c>
      <c r="R57" s="36">
        <f>Q57/L57</f>
        <v>5.170471689556041E-3</v>
      </c>
      <c r="S57" s="46">
        <f t="shared" si="0"/>
        <v>5.1704716895560408</v>
      </c>
      <c r="T57" s="33">
        <f t="shared" ref="T57" si="210">AVERAGE(S57:S62)</f>
        <v>10.248741201763849</v>
      </c>
      <c r="U57" s="34">
        <f t="shared" ref="U57" si="211">(_xlfn.STDEV.S(S57:S62)/SQRT(3))/T57</f>
        <v>0.30418668446393982</v>
      </c>
    </row>
    <row r="58" spans="1:21" x14ac:dyDescent="0.35">
      <c r="A58" s="37"/>
      <c r="B58" s="38"/>
      <c r="C58" s="28">
        <v>-2.1399999999999999E-2</v>
      </c>
      <c r="D58" s="5">
        <f t="shared" si="1"/>
        <v>-1.32675E-2</v>
      </c>
      <c r="E58" s="36"/>
      <c r="F58" s="45"/>
      <c r="G58" s="36"/>
      <c r="H58" s="36"/>
      <c r="I58" s="33"/>
      <c r="J58" s="33"/>
      <c r="K58" s="34"/>
      <c r="L58" s="36"/>
      <c r="M58" s="28">
        <v>-1.787E-2</v>
      </c>
      <c r="N58" s="5">
        <f t="shared" si="2"/>
        <v>-9.7375000000000014E-3</v>
      </c>
      <c r="O58" s="36"/>
      <c r="P58" s="45"/>
      <c r="Q58" s="36"/>
      <c r="R58" s="36"/>
      <c r="S58" s="46"/>
      <c r="T58" s="33"/>
      <c r="U58" s="34"/>
    </row>
    <row r="59" spans="1:21" x14ac:dyDescent="0.35">
      <c r="A59" s="37">
        <v>29</v>
      </c>
      <c r="B59" s="38">
        <v>6.75</v>
      </c>
      <c r="C59" s="28">
        <v>-2.036E-2</v>
      </c>
      <c r="D59" s="5">
        <f t="shared" si="1"/>
        <v>-1.2227500000000001E-2</v>
      </c>
      <c r="E59" s="36">
        <f t="shared" ref="E59" si="212">AVERAGE(D59:D60)</f>
        <v>-1.1412500000000001E-2</v>
      </c>
      <c r="F59" s="45">
        <f t="shared" ref="F59" si="213">-(_xlfn.STDEV.S(D59:D60)/SQRT(2))/E59</f>
        <v>7.1412924424972588E-2</v>
      </c>
      <c r="G59" s="36">
        <f t="shared" ref="G59" si="214">(-E59*$X$9*$X$10)/($X$11*$X$8*$X$12*10^-3)</f>
        <v>6.1160235798499475E-2</v>
      </c>
      <c r="H59" s="36">
        <f>G59/B59</f>
        <v>9.0607756738517748E-3</v>
      </c>
      <c r="I59" s="33">
        <f t="shared" ref="I59" si="215">H59*1000</f>
        <v>9.060775673851774</v>
      </c>
      <c r="J59" s="33"/>
      <c r="K59" s="34"/>
      <c r="L59" s="36">
        <v>10.875</v>
      </c>
      <c r="M59" s="28">
        <v>-2.8670000000000001E-2</v>
      </c>
      <c r="N59" s="5">
        <f t="shared" si="2"/>
        <v>-2.05375E-2</v>
      </c>
      <c r="O59" s="36">
        <f t="shared" ref="O59" si="216">AVERAGE(N59:N60)</f>
        <v>-1.9592500000000002E-2</v>
      </c>
      <c r="P59" s="45">
        <f t="shared" ref="P59" si="217">-(_xlfn.STDEV.S(N59:N60)/SQRT(2))/O59</f>
        <v>4.823274212070934E-2</v>
      </c>
      <c r="Q59" s="36">
        <f t="shared" ref="Q59" si="218">(-O59*$X$9*$X$10)/($X$11*$X$8*$X$12*10^-3)</f>
        <v>0.10499732047159703</v>
      </c>
      <c r="R59" s="36">
        <f>Q59/L59</f>
        <v>9.6549260203767379E-3</v>
      </c>
      <c r="S59" s="33">
        <f t="shared" si="0"/>
        <v>9.6549260203767382</v>
      </c>
      <c r="T59" s="33"/>
      <c r="U59" s="34"/>
    </row>
    <row r="60" spans="1:21" x14ac:dyDescent="0.35">
      <c r="A60" s="37"/>
      <c r="B60" s="38"/>
      <c r="C60" s="28">
        <v>-1.873E-2</v>
      </c>
      <c r="D60" s="5">
        <f t="shared" si="1"/>
        <v>-1.0597500000000001E-2</v>
      </c>
      <c r="E60" s="36"/>
      <c r="F60" s="45"/>
      <c r="G60" s="36"/>
      <c r="H60" s="36"/>
      <c r="I60" s="33"/>
      <c r="J60" s="33"/>
      <c r="K60" s="34"/>
      <c r="L60" s="36"/>
      <c r="M60" s="28">
        <v>-2.6780000000000002E-2</v>
      </c>
      <c r="N60" s="5">
        <f t="shared" si="2"/>
        <v>-1.8647500000000004E-2</v>
      </c>
      <c r="O60" s="36"/>
      <c r="P60" s="45"/>
      <c r="Q60" s="36"/>
      <c r="R60" s="36"/>
      <c r="S60" s="33"/>
      <c r="T60" s="33"/>
      <c r="U60" s="34"/>
    </row>
    <row r="61" spans="1:21" x14ac:dyDescent="0.35">
      <c r="A61" s="37">
        <v>30</v>
      </c>
      <c r="B61" s="38">
        <v>5.0399999999999991</v>
      </c>
      <c r="C61" s="28">
        <v>-1.3259999999999999E-2</v>
      </c>
      <c r="D61" s="5">
        <f t="shared" si="1"/>
        <v>-5.1275000000000001E-3</v>
      </c>
      <c r="E61" s="36">
        <f t="shared" ref="E61" si="219">AVERAGE(D61:D62)</f>
        <v>-5.4325000000000007E-3</v>
      </c>
      <c r="F61" s="45">
        <f t="shared" ref="F61" si="220">-(_xlfn.STDEV.S(D61:D62)/SQRT(2))/E61</f>
        <v>5.6143580303727653E-2</v>
      </c>
      <c r="G61" s="36">
        <f t="shared" ref="G61" si="221">(-E61*$X$9*$X$10)/($X$11*$X$8*$X$12*10^-3)</f>
        <v>2.9113076098606652E-2</v>
      </c>
      <c r="H61" s="36">
        <f>G61/B61</f>
        <v>5.776403987818781E-3</v>
      </c>
      <c r="I61" s="46">
        <f t="shared" ref="I61" si="222">H61*1000</f>
        <v>5.7764039878187807</v>
      </c>
      <c r="J61" s="33"/>
      <c r="K61" s="34"/>
      <c r="L61" s="36">
        <v>8.6549999999999994</v>
      </c>
      <c r="M61" s="28">
        <v>-3.5369999999999999E-2</v>
      </c>
      <c r="N61" s="5">
        <f t="shared" si="2"/>
        <v>-2.7237499999999998E-2</v>
      </c>
      <c r="O61" s="36">
        <f t="shared" ref="O61" si="223">AVERAGE(N61:N62)</f>
        <v>-2.5712499999999999E-2</v>
      </c>
      <c r="P61" s="45">
        <f t="shared" ref="P61" si="224">-(_xlfn.STDEV.S(N61:N62)/SQRT(2))/O61</f>
        <v>5.9309674282936264E-2</v>
      </c>
      <c r="Q61" s="36">
        <f t="shared" ref="Q61" si="225">(-O61*$X$9*$X$10)/($X$11*$X$8*$X$12*10^-3)</f>
        <v>0.13779474812433012</v>
      </c>
      <c r="R61" s="36">
        <f>Q61/L61</f>
        <v>1.5920825895358769E-2</v>
      </c>
      <c r="S61" s="46">
        <f t="shared" si="0"/>
        <v>15.920825895358769</v>
      </c>
      <c r="T61" s="33"/>
      <c r="U61" s="34"/>
    </row>
    <row r="62" spans="1:21" x14ac:dyDescent="0.35">
      <c r="A62" s="37"/>
      <c r="B62" s="38"/>
      <c r="C62" s="28">
        <v>-1.387E-2</v>
      </c>
      <c r="D62" s="5">
        <f t="shared" si="1"/>
        <v>-5.7375000000000013E-3</v>
      </c>
      <c r="E62" s="36"/>
      <c r="F62" s="45"/>
      <c r="G62" s="36"/>
      <c r="H62" s="36"/>
      <c r="I62" s="46"/>
      <c r="J62" s="33"/>
      <c r="K62" s="34"/>
      <c r="L62" s="36"/>
      <c r="M62" s="28">
        <v>-3.2320000000000002E-2</v>
      </c>
      <c r="N62" s="5">
        <f t="shared" si="2"/>
        <v>-2.4187500000000001E-2</v>
      </c>
      <c r="O62" s="36"/>
      <c r="P62" s="45"/>
      <c r="Q62" s="36"/>
      <c r="R62" s="36"/>
      <c r="S62" s="46"/>
      <c r="T62" s="33"/>
      <c r="U62" s="34"/>
    </row>
    <row r="63" spans="1:21" x14ac:dyDescent="0.35">
      <c r="A63" s="37">
        <v>31</v>
      </c>
      <c r="B63" s="47">
        <v>2.2950000000000004</v>
      </c>
      <c r="C63" s="28">
        <v>-1.455E-2</v>
      </c>
      <c r="D63" s="5">
        <f t="shared" si="1"/>
        <v>-6.4175000000000013E-3</v>
      </c>
      <c r="E63" s="36">
        <f t="shared" ref="E63" si="226">AVERAGE(D63:D64)</f>
        <v>-5.6225000000000008E-3</v>
      </c>
      <c r="F63" s="45">
        <f t="shared" ref="F63" si="227">-(_xlfn.STDEV.S(D63:D64)/SQRT(2))/E63</f>
        <v>0.14139617607825708</v>
      </c>
      <c r="G63" s="36">
        <f t="shared" ref="G63" si="228">(-E63*$X$9*$X$10)/($X$11*$X$8*$X$12*10^-3)</f>
        <v>3.013129689174706E-2</v>
      </c>
      <c r="H63" s="36">
        <f>G63/AVERAGE(B63:B68)</f>
        <v>7.2605534678908592E-3</v>
      </c>
      <c r="I63" s="33">
        <f>H63*1000</f>
        <v>7.2605534678908592</v>
      </c>
      <c r="J63" s="33">
        <f t="shared" ref="J63" si="229">AVERAGE(I63:I68)</f>
        <v>9.7713857006950509</v>
      </c>
      <c r="K63" s="34">
        <f t="shared" ref="K63" si="230">(_xlfn.STDEV.S(I63:I68)/SQRT(3))/J63</f>
        <v>0.16477804658611886</v>
      </c>
      <c r="L63" s="36">
        <v>7.5449999999999999</v>
      </c>
      <c r="M63" s="28">
        <v>-2.4070000000000001E-2</v>
      </c>
      <c r="N63" s="5">
        <f t="shared" si="2"/>
        <v>-1.59375E-2</v>
      </c>
      <c r="O63" s="36">
        <f t="shared" ref="O63" si="231">AVERAGE(N63:N64)</f>
        <v>-1.59825E-2</v>
      </c>
      <c r="P63" s="45">
        <f t="shared" ref="P63" si="232">-(_xlfn.STDEV.S(N63:N64)/SQRT(2))/O63</f>
        <v>2.8155795401220017E-3</v>
      </c>
      <c r="Q63" s="36">
        <f t="shared" ref="Q63" si="233">(-O63*$X$9*$X$10)/($X$11*$X$8*$X$12*10^-3)</f>
        <v>8.5651125401929262E-2</v>
      </c>
      <c r="R63" s="36">
        <f>Q63/L63</f>
        <v>1.1352037826630784E-2</v>
      </c>
      <c r="S63" s="33">
        <f t="shared" si="0"/>
        <v>11.352037826630783</v>
      </c>
      <c r="T63" s="33">
        <f t="shared" ref="T63" si="234">AVERAGE(S63:S68)</f>
        <v>11.416934357662706</v>
      </c>
      <c r="U63" s="34">
        <f t="shared" ref="U63" si="235">(_xlfn.STDEV.S(S63:S68)/SQRT(3))/T63</f>
        <v>0.17257282398373358</v>
      </c>
    </row>
    <row r="64" spans="1:21" x14ac:dyDescent="0.35">
      <c r="A64" s="37"/>
      <c r="B64" s="47"/>
      <c r="C64" s="28">
        <v>-1.2959999999999999E-2</v>
      </c>
      <c r="D64" s="5">
        <f t="shared" si="1"/>
        <v>-4.8275000000000002E-3</v>
      </c>
      <c r="E64" s="36"/>
      <c r="F64" s="45"/>
      <c r="G64" s="36"/>
      <c r="H64" s="36"/>
      <c r="I64" s="33"/>
      <c r="J64" s="33"/>
      <c r="K64" s="34"/>
      <c r="L64" s="36"/>
      <c r="M64" s="28">
        <v>-2.4160000000000001E-2</v>
      </c>
      <c r="N64" s="5">
        <f t="shared" si="2"/>
        <v>-1.60275E-2</v>
      </c>
      <c r="O64" s="36"/>
      <c r="P64" s="45"/>
      <c r="Q64" s="36"/>
      <c r="R64" s="36"/>
      <c r="S64" s="33"/>
      <c r="T64" s="33"/>
      <c r="U64" s="34"/>
    </row>
    <row r="65" spans="1:21" x14ac:dyDescent="0.35">
      <c r="A65" s="37">
        <v>32</v>
      </c>
      <c r="B65" s="38">
        <v>4.74</v>
      </c>
      <c r="C65" s="28">
        <v>-1.7950000000000001E-2</v>
      </c>
      <c r="D65" s="5">
        <f t="shared" si="1"/>
        <v>-9.8175000000000016E-3</v>
      </c>
      <c r="E65" s="36">
        <f t="shared" ref="E65" si="236">AVERAGE(D65:D66)</f>
        <v>-1.1297500000000002E-2</v>
      </c>
      <c r="F65" s="45">
        <f t="shared" ref="F65" si="237">-(_xlfn.STDEV.S(D65:D66)/SQRT(2))/E65</f>
        <v>0.13100243416685109</v>
      </c>
      <c r="G65" s="36">
        <f t="shared" ref="G65" si="238">(-E65*$X$9*$X$10)/($X$11*$X$8*$X$12*10^-3)</f>
        <v>6.0543944265809238E-2</v>
      </c>
      <c r="H65" s="36">
        <f>G65/B65</f>
        <v>1.2772984022322624E-2</v>
      </c>
      <c r="I65" s="33">
        <f t="shared" ref="I65" si="239">H65*1000</f>
        <v>12.772984022322625</v>
      </c>
      <c r="J65" s="33"/>
      <c r="K65" s="34"/>
      <c r="L65" s="36">
        <v>9.5549999999999997</v>
      </c>
      <c r="M65" s="28">
        <v>-3.4599999999999999E-2</v>
      </c>
      <c r="N65" s="5">
        <f t="shared" si="2"/>
        <v>-2.6467499999999998E-2</v>
      </c>
      <c r="O65" s="36">
        <f t="shared" ref="O65" si="240">AVERAGE(N65:N66)</f>
        <v>-2.64975E-2</v>
      </c>
      <c r="P65" s="45">
        <f t="shared" ref="P65" si="241">-(_xlfn.STDEV.S(N65:N66)/SQRT(2))/O65</f>
        <v>1.1321822813473816E-3</v>
      </c>
      <c r="Q65" s="36">
        <f t="shared" ref="Q65" si="242">(-O65*$X$9*$X$10)/($X$11*$X$8*$X$12*10^-3)</f>
        <v>0.14200160771704182</v>
      </c>
      <c r="R65" s="36">
        <f>Q65/L65</f>
        <v>1.4861497406283812E-2</v>
      </c>
      <c r="S65" s="46">
        <f t="shared" si="0"/>
        <v>14.861497406283812</v>
      </c>
      <c r="T65" s="33"/>
      <c r="U65" s="34"/>
    </row>
    <row r="66" spans="1:21" x14ac:dyDescent="0.35">
      <c r="A66" s="37"/>
      <c r="B66" s="38"/>
      <c r="C66" s="28">
        <v>-2.0910000000000002E-2</v>
      </c>
      <c r="D66" s="5">
        <f t="shared" si="1"/>
        <v>-1.2777500000000002E-2</v>
      </c>
      <c r="E66" s="36"/>
      <c r="F66" s="45"/>
      <c r="G66" s="36"/>
      <c r="H66" s="36"/>
      <c r="I66" s="33"/>
      <c r="J66" s="33"/>
      <c r="K66" s="34"/>
      <c r="L66" s="36"/>
      <c r="M66" s="28">
        <v>-3.4660000000000003E-2</v>
      </c>
      <c r="N66" s="5">
        <f t="shared" si="2"/>
        <v>-2.6527500000000002E-2</v>
      </c>
      <c r="O66" s="36"/>
      <c r="P66" s="45"/>
      <c r="Q66" s="36"/>
      <c r="R66" s="36"/>
      <c r="S66" s="46"/>
      <c r="T66" s="33"/>
      <c r="U66" s="34"/>
    </row>
    <row r="67" spans="1:21" x14ac:dyDescent="0.35">
      <c r="A67" s="37">
        <v>33</v>
      </c>
      <c r="B67" s="38">
        <v>5.415</v>
      </c>
      <c r="C67" s="28">
        <v>-1.8190000000000001E-2</v>
      </c>
      <c r="D67" s="5">
        <f t="shared" si="1"/>
        <v>-1.0057500000000002E-2</v>
      </c>
      <c r="E67" s="36">
        <f t="shared" ref="E67" si="243">AVERAGE(D67:D68)</f>
        <v>-9.3775000000000022E-3</v>
      </c>
      <c r="F67" s="45">
        <f t="shared" ref="F67" si="244">-(_xlfn.STDEV.S(D67:D68)/SQRT(2))/E67</f>
        <v>7.2513996267661945E-2</v>
      </c>
      <c r="G67" s="36">
        <f t="shared" ref="G67" si="245">(-E67*$X$9*$X$10)/($X$11*$X$8*$X$12*10^-3)</f>
        <v>5.0254555198285117E-2</v>
      </c>
      <c r="H67" s="36">
        <f>G67/B67</f>
        <v>9.2806196118716735E-3</v>
      </c>
      <c r="I67" s="33">
        <f t="shared" ref="I67" si="246">H67*1000</f>
        <v>9.2806196118716731</v>
      </c>
      <c r="J67" s="33"/>
      <c r="K67" s="34"/>
      <c r="L67" s="36">
        <v>10.169999999999998</v>
      </c>
      <c r="M67" s="28">
        <v>-2.3869999999999999E-2</v>
      </c>
      <c r="N67" s="5">
        <f t="shared" si="2"/>
        <v>-1.5737500000000001E-2</v>
      </c>
      <c r="O67" s="36">
        <f t="shared" ref="O67" si="247">AVERAGE(N67:N68)</f>
        <v>-1.5252500000000002E-2</v>
      </c>
      <c r="P67" s="45">
        <f t="shared" ref="P67" si="248">-(_xlfn.STDEV.S(N67:N68)/SQRT(2))/O67</f>
        <v>3.1798065890837578E-2</v>
      </c>
      <c r="Q67" s="36">
        <f t="shared" ref="Q67" si="249">(-O67*$X$9*$X$10)/($X$11*$X$8*$X$12*10^-3)</f>
        <v>8.1739013933547711E-2</v>
      </c>
      <c r="R67" s="36">
        <f>Q67/L67</f>
        <v>8.0372678400735219E-3</v>
      </c>
      <c r="S67" s="33">
        <f t="shared" ref="S67:S103" si="250">R67*1000</f>
        <v>8.0372678400735218</v>
      </c>
      <c r="T67" s="33"/>
      <c r="U67" s="34"/>
    </row>
    <row r="68" spans="1:21" x14ac:dyDescent="0.35">
      <c r="A68" s="37"/>
      <c r="B68" s="38"/>
      <c r="C68" s="28">
        <v>-1.6830000000000001E-2</v>
      </c>
      <c r="D68" s="5">
        <f t="shared" ref="D68:D104" si="251">C68-$X$22</f>
        <v>-8.6975000000000021E-3</v>
      </c>
      <c r="E68" s="36"/>
      <c r="F68" s="45"/>
      <c r="G68" s="36"/>
      <c r="H68" s="36"/>
      <c r="I68" s="33"/>
      <c r="J68" s="33"/>
      <c r="K68" s="34"/>
      <c r="L68" s="36"/>
      <c r="M68" s="28">
        <v>-2.29E-2</v>
      </c>
      <c r="N68" s="5">
        <f t="shared" ref="N68:N104" si="252">M68-$X$22</f>
        <v>-1.4767500000000001E-2</v>
      </c>
      <c r="O68" s="36"/>
      <c r="P68" s="45"/>
      <c r="Q68" s="36"/>
      <c r="R68" s="36"/>
      <c r="S68" s="33"/>
      <c r="T68" s="33"/>
      <c r="U68" s="34"/>
    </row>
    <row r="69" spans="1:21" x14ac:dyDescent="0.35">
      <c r="A69" s="37">
        <v>34</v>
      </c>
      <c r="B69" s="38">
        <v>5.64</v>
      </c>
      <c r="C69" s="28">
        <v>-1.431E-2</v>
      </c>
      <c r="D69" s="5">
        <f t="shared" si="251"/>
        <v>-6.1775000000000007E-3</v>
      </c>
      <c r="E69" s="36">
        <f t="shared" ref="E69" si="253">AVERAGE(D69:D70)</f>
        <v>-6.5175000000000007E-3</v>
      </c>
      <c r="F69" s="45">
        <f t="shared" ref="F69" si="254">-(_xlfn.STDEV.S(D69:D70)/SQRT(2))/E69</f>
        <v>5.2167242040659763E-2</v>
      </c>
      <c r="G69" s="36">
        <f t="shared" ref="G69" si="255">(-E69*$X$9*$X$10)/($X$11*$X$8*$X$12*10^-3)</f>
        <v>3.4927652733118979E-2</v>
      </c>
      <c r="H69" s="36">
        <f>G69/B69</f>
        <v>6.1928462292764148E-3</v>
      </c>
      <c r="I69" s="33">
        <f t="shared" ref="I69" si="256">H69*1000</f>
        <v>6.192846229276415</v>
      </c>
      <c r="J69" s="33">
        <f t="shared" ref="J69:J99" si="257">AVERAGE(I69:I74)</f>
        <v>7.749532056978091</v>
      </c>
      <c r="K69" s="34">
        <f t="shared" ref="K69" si="258">(_xlfn.STDEV.S(I69:I74)/SQRT(3))/J69</f>
        <v>0.10184452757695028</v>
      </c>
      <c r="L69" s="36">
        <v>8.5200000000000014</v>
      </c>
      <c r="M69" s="28">
        <v>-2.2939999999999999E-2</v>
      </c>
      <c r="N69" s="5">
        <f t="shared" si="252"/>
        <v>-1.4807499999999999E-2</v>
      </c>
      <c r="O69" s="36">
        <f t="shared" ref="O69" si="259">AVERAGE(N69:N70)</f>
        <v>-1.3667500000000001E-2</v>
      </c>
      <c r="P69" s="45">
        <f t="shared" ref="P69" si="260">-(_xlfn.STDEV.S(N69:N70)/SQRT(2))/O69</f>
        <v>8.3409548198280489E-2</v>
      </c>
      <c r="Q69" s="36">
        <f t="shared" ref="Q69" si="261">(-O69*$X$9*$X$10)/($X$11*$X$8*$X$12*10^-3)</f>
        <v>7.32449088960343E-2</v>
      </c>
      <c r="R69" s="36">
        <f>Q69/L69</f>
        <v>8.596820292961771E-3</v>
      </c>
      <c r="S69" s="33">
        <f t="shared" si="250"/>
        <v>8.5968202929617714</v>
      </c>
      <c r="T69" s="33">
        <f t="shared" ref="T69" si="262">AVERAGE(S69:S74)</f>
        <v>9.5165860838591669</v>
      </c>
      <c r="U69" s="34">
        <f t="shared" ref="U69" si="263">(_xlfn.STDEV.S(S69:S74)/SQRT(3))/T69</f>
        <v>0.10020087850235503</v>
      </c>
    </row>
    <row r="70" spans="1:21" x14ac:dyDescent="0.35">
      <c r="A70" s="37"/>
      <c r="B70" s="38"/>
      <c r="C70" s="28">
        <v>-1.499E-2</v>
      </c>
      <c r="D70" s="5">
        <f t="shared" si="251"/>
        <v>-6.8575000000000007E-3</v>
      </c>
      <c r="E70" s="36"/>
      <c r="F70" s="45"/>
      <c r="G70" s="36"/>
      <c r="H70" s="36"/>
      <c r="I70" s="33"/>
      <c r="J70" s="33"/>
      <c r="K70" s="34"/>
      <c r="L70" s="36"/>
      <c r="M70" s="28">
        <v>-2.0660000000000001E-2</v>
      </c>
      <c r="N70" s="5">
        <f t="shared" si="252"/>
        <v>-1.2527500000000002E-2</v>
      </c>
      <c r="O70" s="36"/>
      <c r="P70" s="45"/>
      <c r="Q70" s="36"/>
      <c r="R70" s="36"/>
      <c r="S70" s="33"/>
      <c r="T70" s="33"/>
      <c r="U70" s="34"/>
    </row>
    <row r="71" spans="1:21" x14ac:dyDescent="0.35">
      <c r="A71" s="37">
        <v>35</v>
      </c>
      <c r="B71" s="38">
        <v>5.76</v>
      </c>
      <c r="C71" s="28">
        <v>-1.6990000000000002E-2</v>
      </c>
      <c r="D71" s="5">
        <f t="shared" si="251"/>
        <v>-8.8575000000000025E-3</v>
      </c>
      <c r="E71" s="36">
        <f t="shared" ref="E71" si="264">AVERAGE(D71:D72)</f>
        <v>-8.9225000000000016E-3</v>
      </c>
      <c r="F71" s="45">
        <f t="shared" ref="F71" si="265">-(_xlfn.STDEV.S(D71:D72)/SQRT(2))/E71</f>
        <v>7.2849537685625186E-3</v>
      </c>
      <c r="G71" s="36">
        <f t="shared" ref="G71" si="266">(-E71*$X$9*$X$10)/($X$11*$X$8*$X$12*10^-3)</f>
        <v>4.7816184351554138E-2</v>
      </c>
      <c r="H71" s="36">
        <f>G71/B71</f>
        <v>8.3014208943670374E-3</v>
      </c>
      <c r="I71" s="33">
        <f t="shared" ref="I71" si="267">H71*1000</f>
        <v>8.3014208943670376</v>
      </c>
      <c r="J71" s="33"/>
      <c r="K71" s="34"/>
      <c r="L71" s="36">
        <v>8.91</v>
      </c>
      <c r="M71" s="28">
        <v>-2.7130000000000001E-2</v>
      </c>
      <c r="N71" s="5">
        <f t="shared" si="252"/>
        <v>-1.89975E-2</v>
      </c>
      <c r="O71" s="36">
        <f t="shared" ref="O71" si="268">AVERAGE(N71:N72)</f>
        <v>-1.8992499999999999E-2</v>
      </c>
      <c r="P71" s="45">
        <f t="shared" ref="P71" si="269">-(_xlfn.STDEV.S(N71:N72)/SQRT(2))/O71</f>
        <v>2.6326181387397823E-4</v>
      </c>
      <c r="Q71" s="36">
        <f t="shared" ref="Q71" si="270">(-O71*$X$9*$X$10)/($X$11*$X$8*$X$12*10^-3)</f>
        <v>0.10178188638799571</v>
      </c>
      <c r="R71" s="36">
        <f>Q71/L71</f>
        <v>1.1423331805611191E-2</v>
      </c>
      <c r="S71" s="33">
        <f t="shared" si="250"/>
        <v>11.423331805611191</v>
      </c>
      <c r="T71" s="33"/>
      <c r="U71" s="34"/>
    </row>
    <row r="72" spans="1:21" x14ac:dyDescent="0.35">
      <c r="A72" s="37"/>
      <c r="B72" s="38"/>
      <c r="C72" s="28">
        <v>-1.712E-2</v>
      </c>
      <c r="D72" s="5">
        <f t="shared" si="251"/>
        <v>-8.9875000000000007E-3</v>
      </c>
      <c r="E72" s="36"/>
      <c r="F72" s="45"/>
      <c r="G72" s="36"/>
      <c r="H72" s="36"/>
      <c r="I72" s="33"/>
      <c r="J72" s="33"/>
      <c r="K72" s="34"/>
      <c r="L72" s="36"/>
      <c r="M72" s="28">
        <v>-2.7119999999999998E-2</v>
      </c>
      <c r="N72" s="5">
        <f t="shared" si="252"/>
        <v>-1.8987499999999997E-2</v>
      </c>
      <c r="O72" s="36"/>
      <c r="P72" s="45"/>
      <c r="Q72" s="36"/>
      <c r="R72" s="36"/>
      <c r="S72" s="33"/>
      <c r="T72" s="33"/>
      <c r="U72" s="34"/>
    </row>
    <row r="73" spans="1:21" x14ac:dyDescent="0.35">
      <c r="A73" s="37">
        <v>36</v>
      </c>
      <c r="B73" s="38">
        <v>4.4550000000000001</v>
      </c>
      <c r="C73" s="28">
        <v>-1.566E-2</v>
      </c>
      <c r="D73" s="5">
        <f t="shared" si="251"/>
        <v>-7.5275000000000012E-3</v>
      </c>
      <c r="E73" s="36">
        <f t="shared" ref="E73" si="271">AVERAGE(D73:D74)</f>
        <v>-7.277500000000001E-3</v>
      </c>
      <c r="F73" s="45">
        <f t="shared" ref="F73" si="272">-(_xlfn.STDEV.S(D73:D74)/SQRT(2))/E73</f>
        <v>3.4352456200618373E-2</v>
      </c>
      <c r="G73" s="36">
        <f t="shared" ref="G73" si="273">(-E73*$X$9*$X$10)/($X$11*$X$8*$X$12*10^-3)</f>
        <v>3.900053590568061E-2</v>
      </c>
      <c r="H73" s="36">
        <f>G73/B73</f>
        <v>8.7543290472908205E-3</v>
      </c>
      <c r="I73" s="33">
        <f t="shared" ref="I73" si="274">H73*1000</f>
        <v>8.7543290472908204</v>
      </c>
      <c r="J73" s="33"/>
      <c r="K73" s="34"/>
      <c r="L73" s="36">
        <v>8.8949999999999996</v>
      </c>
      <c r="M73" s="28">
        <v>-2.1090000000000001E-2</v>
      </c>
      <c r="N73" s="5">
        <f t="shared" si="252"/>
        <v>-1.2957500000000002E-2</v>
      </c>
      <c r="O73" s="36">
        <f t="shared" ref="O73" si="275">AVERAGE(N73:N74)</f>
        <v>-1.4157500000000002E-2</v>
      </c>
      <c r="P73" s="45">
        <f t="shared" ref="P73" si="276">-(_xlfn.STDEV.S(N73:N74)/SQRT(2))/O73</f>
        <v>8.4760727529577917E-2</v>
      </c>
      <c r="Q73" s="36">
        <f t="shared" ref="Q73" si="277">(-O73*$X$9*$X$10)/($X$11*$X$8*$X$12*10^-3)</f>
        <v>7.5870846730975369E-2</v>
      </c>
      <c r="R73" s="36">
        <f>Q73/L73</f>
        <v>8.5296061530045382E-3</v>
      </c>
      <c r="S73" s="33">
        <f t="shared" si="250"/>
        <v>8.5296061530045382</v>
      </c>
      <c r="T73" s="33"/>
      <c r="U73" s="34"/>
    </row>
    <row r="74" spans="1:21" x14ac:dyDescent="0.35">
      <c r="A74" s="37"/>
      <c r="B74" s="38"/>
      <c r="C74" s="28">
        <v>-1.516E-2</v>
      </c>
      <c r="D74" s="5">
        <f t="shared" si="251"/>
        <v>-7.0275000000000008E-3</v>
      </c>
      <c r="E74" s="36"/>
      <c r="F74" s="45"/>
      <c r="G74" s="36"/>
      <c r="H74" s="36"/>
      <c r="I74" s="33"/>
      <c r="J74" s="33"/>
      <c r="K74" s="34"/>
      <c r="L74" s="36"/>
      <c r="M74" s="28">
        <v>-2.349E-2</v>
      </c>
      <c r="N74" s="5">
        <f t="shared" si="252"/>
        <v>-1.5357500000000001E-2</v>
      </c>
      <c r="O74" s="36"/>
      <c r="P74" s="45"/>
      <c r="Q74" s="36"/>
      <c r="R74" s="36"/>
      <c r="S74" s="33"/>
      <c r="T74" s="33"/>
      <c r="U74" s="34"/>
    </row>
    <row r="75" spans="1:21" x14ac:dyDescent="0.35">
      <c r="A75" s="37">
        <v>37</v>
      </c>
      <c r="B75" s="38">
        <v>6.7650000000000006</v>
      </c>
      <c r="C75" s="28">
        <v>-1.6039999999999999E-2</v>
      </c>
      <c r="D75" s="5">
        <f t="shared" si="251"/>
        <v>-7.9074999999999996E-3</v>
      </c>
      <c r="E75" s="36">
        <f t="shared" ref="E75" si="278">AVERAGE(D75:D76)</f>
        <v>-8.6925000000000006E-3</v>
      </c>
      <c r="F75" s="45">
        <f t="shared" ref="F75" si="279">-(_xlfn.STDEV.S(D75:D76)/SQRT(2))/E75</f>
        <v>9.0307736554501111E-2</v>
      </c>
      <c r="G75" s="36">
        <f t="shared" ref="G75" si="280">(-E75*$X$9*$X$10)/($X$11*$X$8*$X$12*10^-3)</f>
        <v>4.6583601286173643E-2</v>
      </c>
      <c r="H75" s="36">
        <f>G75/B75</f>
        <v>6.8859721043863474E-3</v>
      </c>
      <c r="I75" s="33">
        <f t="shared" ref="I75" si="281">H75*1000</f>
        <v>6.8859721043863473</v>
      </c>
      <c r="J75" s="33">
        <f t="shared" si="257"/>
        <v>9.3303578968149452</v>
      </c>
      <c r="K75" s="34">
        <f t="shared" ref="K75" si="282">(_xlfn.STDEV.S(I75:I80)/SQRT(3))/J75</f>
        <v>0.13099277489027186</v>
      </c>
      <c r="L75" s="36">
        <v>10.5</v>
      </c>
      <c r="M75" s="28">
        <v>-2.649E-2</v>
      </c>
      <c r="N75" s="5">
        <f t="shared" si="252"/>
        <v>-1.8357499999999999E-2</v>
      </c>
      <c r="O75" s="36">
        <f t="shared" ref="O75" si="283">AVERAGE(N75:N76)</f>
        <v>-1.9752499999999999E-2</v>
      </c>
      <c r="P75" s="45">
        <f t="shared" ref="P75" si="284">-(_xlfn.STDEV.S(N75:N76)/SQRT(2))/O75</f>
        <v>7.0623971649158346E-2</v>
      </c>
      <c r="Q75" s="36">
        <f t="shared" ref="Q75" si="285">(-O75*$X$9*$X$10)/($X$11*$X$8*$X$12*10^-3)</f>
        <v>0.10585476956055735</v>
      </c>
      <c r="R75" s="36">
        <f>Q75/L75</f>
        <v>1.0081406624814986E-2</v>
      </c>
      <c r="S75" s="33">
        <f t="shared" si="250"/>
        <v>10.081406624814985</v>
      </c>
      <c r="T75" s="33">
        <f t="shared" ref="T75" si="286">AVERAGE(S75:S80)</f>
        <v>9.0920990642065398</v>
      </c>
      <c r="U75" s="34">
        <f t="shared" ref="U75" si="287">(_xlfn.STDEV.S(S75:S80)/SQRT(3))/T75</f>
        <v>0.10157359425494436</v>
      </c>
    </row>
    <row r="76" spans="1:21" x14ac:dyDescent="0.35">
      <c r="A76" s="37"/>
      <c r="B76" s="38"/>
      <c r="C76" s="28">
        <v>-1.7610000000000001E-2</v>
      </c>
      <c r="D76" s="5">
        <f t="shared" si="251"/>
        <v>-9.4775000000000015E-3</v>
      </c>
      <c r="E76" s="36"/>
      <c r="F76" s="45"/>
      <c r="G76" s="36"/>
      <c r="H76" s="36"/>
      <c r="I76" s="33"/>
      <c r="J76" s="33"/>
      <c r="K76" s="34"/>
      <c r="L76" s="36"/>
      <c r="M76" s="28">
        <v>-2.928E-2</v>
      </c>
      <c r="N76" s="5">
        <f t="shared" si="252"/>
        <v>-2.11475E-2</v>
      </c>
      <c r="O76" s="36"/>
      <c r="P76" s="45"/>
      <c r="Q76" s="36"/>
      <c r="R76" s="36"/>
      <c r="S76" s="33"/>
      <c r="T76" s="33"/>
      <c r="U76" s="34"/>
    </row>
    <row r="77" spans="1:21" x14ac:dyDescent="0.35">
      <c r="A77" s="37">
        <v>38</v>
      </c>
      <c r="B77" s="38">
        <v>5.1150000000000002</v>
      </c>
      <c r="C77" s="28">
        <v>-1.787E-2</v>
      </c>
      <c r="D77" s="5">
        <f t="shared" si="251"/>
        <v>-9.7375000000000014E-3</v>
      </c>
      <c r="E77" s="36">
        <f t="shared" ref="E77" si="288">AVERAGE(D77:D78)</f>
        <v>-1.0082500000000001E-2</v>
      </c>
      <c r="F77" s="45">
        <f t="shared" ref="F77" si="289">-(_xlfn.STDEV.S(D77:D78)/SQRT(2))/E77</f>
        <v>3.4217703942474566E-2</v>
      </c>
      <c r="G77" s="36">
        <f t="shared" ref="G77" si="290">(-E77*$X$9*$X$10)/($X$11*$X$8*$X$12*10^-3)</f>
        <v>5.4032690246516628E-2</v>
      </c>
      <c r="H77" s="36">
        <f>G77/B77</f>
        <v>1.0563575805770602E-2</v>
      </c>
      <c r="I77" s="33">
        <f t="shared" ref="I77" si="291">H77*1000</f>
        <v>10.563575805770602</v>
      </c>
      <c r="J77" s="33"/>
      <c r="K77" s="34"/>
      <c r="L77" s="36">
        <v>8.8650000000000002</v>
      </c>
      <c r="M77" s="28">
        <v>-2.07E-2</v>
      </c>
      <c r="N77" s="5">
        <f t="shared" si="252"/>
        <v>-1.2567500000000001E-2</v>
      </c>
      <c r="O77" s="36">
        <f t="shared" ref="O77" si="292">AVERAGE(N77:N78)</f>
        <v>-1.19875E-2</v>
      </c>
      <c r="P77" s="45">
        <f t="shared" ref="P77" si="293">-(_xlfn.STDEV.S(N77:N78)/SQRT(2))/O77</f>
        <v>4.838373305526595E-2</v>
      </c>
      <c r="Q77" s="36">
        <f t="shared" ref="Q77" si="294">(-O77*$X$9*$X$10)/($X$11*$X$8*$X$12*10^-3)</f>
        <v>6.4241693461950702E-2</v>
      </c>
      <c r="R77" s="36">
        <f>Q77/L77</f>
        <v>7.2466659291540551E-3</v>
      </c>
      <c r="S77" s="33">
        <f t="shared" si="250"/>
        <v>7.2466659291540552</v>
      </c>
      <c r="T77" s="33"/>
      <c r="U77" s="34"/>
    </row>
    <row r="78" spans="1:21" x14ac:dyDescent="0.35">
      <c r="A78" s="37"/>
      <c r="B78" s="38"/>
      <c r="C78" s="28">
        <v>-1.856E-2</v>
      </c>
      <c r="D78" s="5">
        <f t="shared" si="251"/>
        <v>-1.0427500000000001E-2</v>
      </c>
      <c r="E78" s="36"/>
      <c r="F78" s="45"/>
      <c r="G78" s="36"/>
      <c r="H78" s="36"/>
      <c r="I78" s="33"/>
      <c r="J78" s="33"/>
      <c r="K78" s="34"/>
      <c r="L78" s="36"/>
      <c r="M78" s="28">
        <v>-1.9539999999999998E-2</v>
      </c>
      <c r="N78" s="5">
        <f t="shared" si="252"/>
        <v>-1.1407499999999999E-2</v>
      </c>
      <c r="O78" s="36"/>
      <c r="P78" s="45"/>
      <c r="Q78" s="36"/>
      <c r="R78" s="36"/>
      <c r="S78" s="33"/>
      <c r="T78" s="33"/>
      <c r="U78" s="34"/>
    </row>
    <row r="79" spans="1:21" x14ac:dyDescent="0.35">
      <c r="A79" s="37">
        <v>39</v>
      </c>
      <c r="B79" s="38">
        <v>5.2350000000000003</v>
      </c>
      <c r="C79" s="28">
        <v>-2.1080000000000002E-2</v>
      </c>
      <c r="D79" s="5">
        <f t="shared" si="251"/>
        <v>-1.2947500000000002E-2</v>
      </c>
      <c r="E79" s="36">
        <f t="shared" ref="E79" si="295">AVERAGE(D79:D80)</f>
        <v>-1.0297500000000001E-2</v>
      </c>
      <c r="F79" s="45">
        <f t="shared" ref="F79" si="296">-(_xlfn.STDEV.S(D79:D80)/SQRT(2))/E79</f>
        <v>0.25734401553775177</v>
      </c>
      <c r="G79" s="36">
        <f t="shared" ref="G79" si="297">(-E79*$X$9*$X$10)/($X$11*$X$8*$X$12*10^-3)</f>
        <v>5.5184887459807076E-2</v>
      </c>
      <c r="H79" s="36">
        <f>G79/B79</f>
        <v>1.0541525780287884E-2</v>
      </c>
      <c r="I79" s="33">
        <f t="shared" ref="I79" si="298">H79*1000</f>
        <v>10.541525780287884</v>
      </c>
      <c r="J79" s="33"/>
      <c r="K79" s="34"/>
      <c r="L79" s="36">
        <v>10.215</v>
      </c>
      <c r="M79" s="28">
        <v>-2.6329999999999999E-2</v>
      </c>
      <c r="N79" s="5">
        <f t="shared" si="252"/>
        <v>-1.8197499999999998E-2</v>
      </c>
      <c r="O79" s="36">
        <f t="shared" ref="O79" si="299">AVERAGE(N79:N80)</f>
        <v>-1.89625E-2</v>
      </c>
      <c r="P79" s="45">
        <f t="shared" ref="P79" si="300">-(_xlfn.STDEV.S(N79:N80)/SQRT(2))/O79</f>
        <v>4.0342781806196534E-2</v>
      </c>
      <c r="Q79" s="36">
        <f t="shared" ref="Q79" si="301">(-O79*$X$9*$X$10)/($X$11*$X$8*$X$12*10^-3)</f>
        <v>0.10162111468381566</v>
      </c>
      <c r="R79" s="36">
        <f>Q79/L79</f>
        <v>9.9482246386505789E-3</v>
      </c>
      <c r="S79" s="33">
        <f t="shared" si="250"/>
        <v>9.9482246386505793</v>
      </c>
      <c r="T79" s="33"/>
      <c r="U79" s="34"/>
    </row>
    <row r="80" spans="1:21" x14ac:dyDescent="0.35">
      <c r="A80" s="37"/>
      <c r="B80" s="38"/>
      <c r="C80" s="28">
        <v>-1.5779999999999999E-2</v>
      </c>
      <c r="D80" s="5">
        <f t="shared" si="251"/>
        <v>-7.6474999999999998E-3</v>
      </c>
      <c r="E80" s="36"/>
      <c r="F80" s="45"/>
      <c r="G80" s="36"/>
      <c r="H80" s="36"/>
      <c r="I80" s="33"/>
      <c r="J80" s="33"/>
      <c r="K80" s="34"/>
      <c r="L80" s="36"/>
      <c r="M80" s="28">
        <v>-2.7859999999999999E-2</v>
      </c>
      <c r="N80" s="5">
        <f t="shared" si="252"/>
        <v>-1.9727500000000002E-2</v>
      </c>
      <c r="O80" s="36"/>
      <c r="P80" s="45"/>
      <c r="Q80" s="36"/>
      <c r="R80" s="36"/>
      <c r="S80" s="33"/>
      <c r="T80" s="33"/>
      <c r="U80" s="34"/>
    </row>
    <row r="81" spans="1:21" x14ac:dyDescent="0.35">
      <c r="A81" s="37">
        <v>40</v>
      </c>
      <c r="B81" s="38">
        <v>6.15</v>
      </c>
      <c r="C81" s="28">
        <v>-1.8950000000000002E-2</v>
      </c>
      <c r="D81" s="5">
        <f t="shared" si="251"/>
        <v>-1.0817500000000002E-2</v>
      </c>
      <c r="E81" s="36">
        <f t="shared" ref="E81" si="302">AVERAGE(D81:D82)</f>
        <v>-1.0712500000000002E-2</v>
      </c>
      <c r="F81" s="45">
        <f t="shared" ref="F81" si="303">-(_xlfn.STDEV.S(D81:D82)/SQRT(2))/E81</f>
        <v>9.8016336056010178E-3</v>
      </c>
      <c r="G81" s="36">
        <f t="shared" ref="G81" si="304">(-E81*$X$9*$X$10)/($X$11*$X$8*$X$12*10^-3)</f>
        <v>5.7408896034297975E-2</v>
      </c>
      <c r="H81" s="36">
        <f>G81/B81</f>
        <v>9.3347798429752795E-3</v>
      </c>
      <c r="I81" s="33">
        <f t="shared" ref="I81" si="305">H81*1000</f>
        <v>9.33477984297528</v>
      </c>
      <c r="J81" s="33">
        <f t="shared" si="257"/>
        <v>10.433265766098627</v>
      </c>
      <c r="K81" s="34">
        <f t="shared" ref="K81" si="306">(_xlfn.STDEV.S(I81:I86)/SQRT(3))/J81</f>
        <v>8.0692953216867105E-2</v>
      </c>
      <c r="L81" s="36">
        <v>9.09</v>
      </c>
      <c r="M81" s="28">
        <v>-2.1190000000000001E-2</v>
      </c>
      <c r="N81" s="5">
        <f t="shared" si="252"/>
        <v>-1.3057500000000001E-2</v>
      </c>
      <c r="O81" s="36">
        <f t="shared" ref="O81" si="307">AVERAGE(N81:N82)</f>
        <v>-1.2812500000000001E-2</v>
      </c>
      <c r="P81" s="45">
        <f t="shared" ref="P81" si="308">-(_xlfn.STDEV.S(N81:N82)/SQRT(2))/O81</f>
        <v>1.9121951219512223E-2</v>
      </c>
      <c r="Q81" s="36">
        <f t="shared" ref="Q81" si="309">(-O81*$X$9*$X$10)/($X$11*$X$8*$X$12*10^-3)</f>
        <v>6.8662915326902482E-2</v>
      </c>
      <c r="R81" s="36">
        <f>Q81/L81</f>
        <v>7.5536760535646298E-3</v>
      </c>
      <c r="S81" s="33">
        <f t="shared" si="250"/>
        <v>7.5536760535646295</v>
      </c>
      <c r="T81" s="33">
        <f t="shared" ref="T81" si="310">AVERAGE(S81:S86)</f>
        <v>10.149425459470919</v>
      </c>
      <c r="U81" s="34">
        <f t="shared" ref="U81" si="311">(_xlfn.STDEV.S(S81:S86)/SQRT(3))/T81</f>
        <v>0.13479890699531449</v>
      </c>
    </row>
    <row r="82" spans="1:21" x14ac:dyDescent="0.35">
      <c r="A82" s="37"/>
      <c r="B82" s="38"/>
      <c r="C82" s="28">
        <v>-1.874E-2</v>
      </c>
      <c r="D82" s="5">
        <f t="shared" si="251"/>
        <v>-1.0607500000000001E-2</v>
      </c>
      <c r="E82" s="36"/>
      <c r="F82" s="45"/>
      <c r="G82" s="36"/>
      <c r="H82" s="36"/>
      <c r="I82" s="33"/>
      <c r="J82" s="33"/>
      <c r="K82" s="34"/>
      <c r="L82" s="36"/>
      <c r="M82" s="28">
        <v>-2.07E-2</v>
      </c>
      <c r="N82" s="5">
        <f t="shared" si="252"/>
        <v>-1.2567500000000001E-2</v>
      </c>
      <c r="O82" s="36"/>
      <c r="P82" s="45"/>
      <c r="Q82" s="36"/>
      <c r="R82" s="36"/>
      <c r="S82" s="33"/>
      <c r="T82" s="33"/>
      <c r="U82" s="34"/>
    </row>
    <row r="83" spans="1:21" x14ac:dyDescent="0.35">
      <c r="A83" s="37">
        <v>41</v>
      </c>
      <c r="B83" s="38">
        <v>7.1549999999999994</v>
      </c>
      <c r="C83" s="28">
        <v>-2.0330000000000001E-2</v>
      </c>
      <c r="D83" s="5">
        <f t="shared" si="251"/>
        <v>-1.2197500000000002E-2</v>
      </c>
      <c r="E83" s="36">
        <f t="shared" ref="E83" si="312">AVERAGE(D83:D84)</f>
        <v>-1.3187500000000001E-2</v>
      </c>
      <c r="F83" s="45">
        <f t="shared" ref="F83" si="313">-(_xlfn.STDEV.S(D83:D84)/SQRT(2))/E83</f>
        <v>7.5071090047393305E-2</v>
      </c>
      <c r="G83" s="36">
        <f t="shared" ref="G83" si="314">(-E83*$X$9*$X$10)/($X$11*$X$8*$X$12*10^-3)</f>
        <v>7.067256162915328E-2</v>
      </c>
      <c r="H83" s="36">
        <f>G83/B83</f>
        <v>9.8773671040046519E-3</v>
      </c>
      <c r="I83" s="33">
        <f t="shared" ref="I83" si="315">H83*1000</f>
        <v>9.8773671040046516</v>
      </c>
      <c r="J83" s="33"/>
      <c r="K83" s="34"/>
      <c r="L83" s="36">
        <v>9.5400000000000009</v>
      </c>
      <c r="M83" s="28">
        <v>-3.0259999999999999E-2</v>
      </c>
      <c r="N83" s="5">
        <f t="shared" si="252"/>
        <v>-2.2127500000000001E-2</v>
      </c>
      <c r="O83" s="36">
        <f t="shared" ref="O83" si="316">AVERAGE(N83:N84)</f>
        <v>-2.1712500000000003E-2</v>
      </c>
      <c r="P83" s="45">
        <f t="shared" ref="P83" si="317">-(_xlfn.STDEV.S(N83:N84)/SQRT(2))/O83</f>
        <v>1.9113413932066718E-2</v>
      </c>
      <c r="Q83" s="36">
        <f t="shared" ref="Q83" si="318">(-O83*$X$9*$X$10)/($X$11*$X$8*$X$12*10^-3)</f>
        <v>0.11635852090032157</v>
      </c>
      <c r="R83" s="36">
        <f>Q83/L83</f>
        <v>1.2196909947622805E-2</v>
      </c>
      <c r="S83" s="33">
        <f t="shared" si="250"/>
        <v>12.196909947622805</v>
      </c>
      <c r="T83" s="33"/>
      <c r="U83" s="34"/>
    </row>
    <row r="84" spans="1:21" x14ac:dyDescent="0.35">
      <c r="A84" s="37"/>
      <c r="B84" s="38"/>
      <c r="C84" s="28">
        <v>-2.231E-2</v>
      </c>
      <c r="D84" s="5">
        <f t="shared" si="251"/>
        <v>-1.4177500000000001E-2</v>
      </c>
      <c r="E84" s="36"/>
      <c r="F84" s="45"/>
      <c r="G84" s="36"/>
      <c r="H84" s="36"/>
      <c r="I84" s="33"/>
      <c r="J84" s="33"/>
      <c r="K84" s="34"/>
      <c r="L84" s="36"/>
      <c r="M84" s="28">
        <v>-2.9430000000000001E-2</v>
      </c>
      <c r="N84" s="5">
        <f t="shared" si="252"/>
        <v>-2.1297500000000004E-2</v>
      </c>
      <c r="O84" s="36"/>
      <c r="P84" s="45"/>
      <c r="Q84" s="36"/>
      <c r="R84" s="36"/>
      <c r="S84" s="33"/>
      <c r="T84" s="33"/>
      <c r="U84" s="34"/>
    </row>
    <row r="85" spans="1:21" x14ac:dyDescent="0.35">
      <c r="A85" s="37">
        <v>42</v>
      </c>
      <c r="B85" s="38">
        <v>3.8250000000000002</v>
      </c>
      <c r="C85" s="28">
        <v>-1.5859999999999999E-2</v>
      </c>
      <c r="D85" s="5">
        <f t="shared" si="251"/>
        <v>-7.7275E-3</v>
      </c>
      <c r="E85" s="36">
        <f t="shared" ref="E85" si="319">AVERAGE(D85:D86)</f>
        <v>-8.6274999999999998E-3</v>
      </c>
      <c r="F85" s="45">
        <f t="shared" ref="F85" si="320">-(_xlfn.STDEV.S(D85:D86)/SQRT(2))/E85</f>
        <v>0.10431758910460733</v>
      </c>
      <c r="G85" s="36">
        <f t="shared" ref="G85" si="321">(-E85*$X$9*$X$10)/($X$11*$X$8*$X$12*10^-3)</f>
        <v>4.6235262593783494E-2</v>
      </c>
      <c r="H85" s="36">
        <f>G85/B85</f>
        <v>1.2087650351315945E-2</v>
      </c>
      <c r="I85" s="33">
        <f t="shared" ref="I85" si="322">H85*1000</f>
        <v>12.087650351315945</v>
      </c>
      <c r="J85" s="33"/>
      <c r="K85" s="34"/>
      <c r="L85" s="36">
        <v>9.8399999999999981</v>
      </c>
      <c r="M85" s="28">
        <v>-2.69E-2</v>
      </c>
      <c r="N85" s="5">
        <f t="shared" si="252"/>
        <v>-1.8767499999999999E-2</v>
      </c>
      <c r="O85" s="36">
        <f t="shared" ref="O85" si="323">AVERAGE(N85:N86)</f>
        <v>-1.96425E-2</v>
      </c>
      <c r="P85" s="45">
        <f t="shared" ref="P85" si="324">-(_xlfn.STDEV.S(N85:N86)/SQRT(2))/O85</f>
        <v>4.4546264477535992E-2</v>
      </c>
      <c r="Q85" s="36">
        <f t="shared" ref="Q85" si="325">(-O85*$X$9*$X$10)/($X$11*$X$8*$X$12*10^-3)</f>
        <v>0.10526527331189713</v>
      </c>
      <c r="R85" s="36">
        <f>Q85/L85</f>
        <v>1.069769037722532E-2</v>
      </c>
      <c r="S85" s="33">
        <f t="shared" si="250"/>
        <v>10.697690377225319</v>
      </c>
      <c r="T85" s="33"/>
      <c r="U85" s="34"/>
    </row>
    <row r="86" spans="1:21" x14ac:dyDescent="0.35">
      <c r="A86" s="37"/>
      <c r="B86" s="38"/>
      <c r="C86" s="28">
        <v>-1.7659999999999999E-2</v>
      </c>
      <c r="D86" s="5">
        <f t="shared" si="251"/>
        <v>-9.5274999999999995E-3</v>
      </c>
      <c r="E86" s="36"/>
      <c r="F86" s="45"/>
      <c r="G86" s="36"/>
      <c r="H86" s="36"/>
      <c r="I86" s="33"/>
      <c r="J86" s="33"/>
      <c r="K86" s="34"/>
      <c r="L86" s="36"/>
      <c r="M86" s="28">
        <v>-2.8649999999999998E-2</v>
      </c>
      <c r="N86" s="5">
        <f t="shared" si="252"/>
        <v>-2.0517500000000001E-2</v>
      </c>
      <c r="O86" s="36"/>
      <c r="P86" s="45"/>
      <c r="Q86" s="36"/>
      <c r="R86" s="36"/>
      <c r="S86" s="33"/>
      <c r="T86" s="33"/>
      <c r="U86" s="34"/>
    </row>
    <row r="87" spans="1:21" x14ac:dyDescent="0.35">
      <c r="A87" s="37">
        <v>43</v>
      </c>
      <c r="B87" s="38">
        <v>8.3249999999999993</v>
      </c>
      <c r="C87" s="28">
        <v>-1.7129999999999999E-2</v>
      </c>
      <c r="D87" s="5">
        <f t="shared" si="251"/>
        <v>-8.9975000000000003E-3</v>
      </c>
      <c r="E87" s="36">
        <f t="shared" ref="E87" si="326">AVERAGE(D87:D88)</f>
        <v>-1.0247500000000001E-2</v>
      </c>
      <c r="F87" s="45">
        <f t="shared" ref="F87" si="327">-(_xlfn.STDEV.S(D87:D88)/SQRT(2))/E87</f>
        <v>0.121980970968529</v>
      </c>
      <c r="G87" s="36">
        <f t="shared" ref="G87" si="328">(-E87*$X$9*$X$10)/($X$11*$X$8*$X$12*10^-3)</f>
        <v>5.4916934619506981E-2</v>
      </c>
      <c r="H87" s="36">
        <f>G87/B87</f>
        <v>6.5966287831239626E-3</v>
      </c>
      <c r="I87" s="33">
        <f t="shared" ref="I87" si="329">H87*1000</f>
        <v>6.5966287831239629</v>
      </c>
      <c r="J87" s="33">
        <f t="shared" si="257"/>
        <v>7.2685295914493198</v>
      </c>
      <c r="K87" s="34">
        <f t="shared" ref="K87" si="330">(_xlfn.STDEV.S(I87:I92)/SQRT(3))/J87</f>
        <v>8.9134537518487392E-2</v>
      </c>
      <c r="L87" s="36">
        <v>12.375</v>
      </c>
      <c r="M87" s="28">
        <v>-2.3230000000000001E-2</v>
      </c>
      <c r="N87" s="5">
        <f t="shared" si="252"/>
        <v>-1.5097500000000002E-2</v>
      </c>
      <c r="O87" s="36">
        <f t="shared" ref="O87" si="331">AVERAGE(N87:N88)</f>
        <v>-1.5622500000000001E-2</v>
      </c>
      <c r="P87" s="45">
        <f t="shared" ref="P87" si="332">-(_xlfn.STDEV.S(N87:N88)/SQRT(2))/O87</f>
        <v>3.3605376860297666E-2</v>
      </c>
      <c r="Q87" s="36">
        <f t="shared" ref="Q87" si="333">(-O87*$X$9*$X$10)/($X$11*$X$8*$X$12*10^-3)</f>
        <v>8.3721864951768504E-2</v>
      </c>
      <c r="R87" s="36">
        <f>Q87/L87</f>
        <v>6.7654032284257381E-3</v>
      </c>
      <c r="S87" s="33">
        <f t="shared" si="250"/>
        <v>6.7654032284257379</v>
      </c>
      <c r="T87" s="33">
        <f t="shared" ref="T87" si="334">AVERAGE(S87:S92)</f>
        <v>6.7570752602381576</v>
      </c>
      <c r="U87" s="34">
        <f t="shared" ref="U87" si="335">(_xlfn.STDEV.S(S87:S92)/SQRT(3))/T87</f>
        <v>0.19574348123798807</v>
      </c>
    </row>
    <row r="88" spans="1:21" x14ac:dyDescent="0.35">
      <c r="A88" s="37"/>
      <c r="B88" s="38"/>
      <c r="C88" s="28">
        <v>-1.9630000000000002E-2</v>
      </c>
      <c r="D88" s="5">
        <f t="shared" si="251"/>
        <v>-1.1497500000000003E-2</v>
      </c>
      <c r="E88" s="36"/>
      <c r="F88" s="45"/>
      <c r="G88" s="36"/>
      <c r="H88" s="36"/>
      <c r="I88" s="33"/>
      <c r="J88" s="33"/>
      <c r="K88" s="34"/>
      <c r="L88" s="36"/>
      <c r="M88" s="28">
        <v>-2.4279999999999999E-2</v>
      </c>
      <c r="N88" s="5">
        <f t="shared" si="252"/>
        <v>-1.6147500000000002E-2</v>
      </c>
      <c r="O88" s="36"/>
      <c r="P88" s="45"/>
      <c r="Q88" s="36"/>
      <c r="R88" s="36"/>
      <c r="S88" s="33"/>
      <c r="T88" s="33"/>
      <c r="U88" s="34"/>
    </row>
    <row r="89" spans="1:21" x14ac:dyDescent="0.35">
      <c r="A89" s="37">
        <v>44</v>
      </c>
      <c r="B89" s="38">
        <v>5.8650000000000002</v>
      </c>
      <c r="C89" s="28">
        <v>-1.8939999999999999E-2</v>
      </c>
      <c r="D89" s="5">
        <f t="shared" si="251"/>
        <v>-1.0807499999999999E-2</v>
      </c>
      <c r="E89" s="36">
        <f t="shared" ref="E89" si="336">AVERAGE(D89:D90)</f>
        <v>-9.3725000000000006E-3</v>
      </c>
      <c r="F89" s="45">
        <f t="shared" ref="F89" si="337">-(_xlfn.STDEV.S(D89:D90)/SQRT(2))/E89</f>
        <v>0.15310749533208839</v>
      </c>
      <c r="G89" s="36">
        <f t="shared" ref="G89" si="338">(-E89*$X$9*$X$10)/($X$11*$X$8*$X$12*10^-3)</f>
        <v>5.0227759914255099E-2</v>
      </c>
      <c r="H89" s="36">
        <f>G89/B89</f>
        <v>8.5639829350818587E-3</v>
      </c>
      <c r="I89" s="33">
        <f t="shared" ref="I89" si="339">H89*1000</f>
        <v>8.5639829350818584</v>
      </c>
      <c r="J89" s="33"/>
      <c r="K89" s="34"/>
      <c r="L89" s="36">
        <v>8.49</v>
      </c>
      <c r="M89" s="28">
        <v>-2.1989999999999999E-2</v>
      </c>
      <c r="N89" s="5">
        <f t="shared" si="252"/>
        <v>-1.38575E-2</v>
      </c>
      <c r="O89" s="36">
        <f t="shared" ref="O89" si="340">AVERAGE(N89:N90)</f>
        <v>-1.43275E-2</v>
      </c>
      <c r="P89" s="45">
        <f t="shared" ref="P89" si="341">-(_xlfn.STDEV.S(N89:N90)/SQRT(2))/O89</f>
        <v>3.2804048159134527E-2</v>
      </c>
      <c r="Q89" s="36">
        <f t="shared" ref="Q89" si="342">(-O89*$X$9*$X$10)/($X$11*$X$8*$X$12*10^-3)</f>
        <v>7.6781886387995713E-2</v>
      </c>
      <c r="R89" s="36">
        <f>Q89/L89</f>
        <v>9.0438028725554429E-3</v>
      </c>
      <c r="S89" s="33">
        <f t="shared" si="250"/>
        <v>9.0438028725554425</v>
      </c>
      <c r="T89" s="33"/>
      <c r="U89" s="34"/>
    </row>
    <row r="90" spans="1:21" x14ac:dyDescent="0.35">
      <c r="A90" s="37"/>
      <c r="B90" s="38"/>
      <c r="C90" s="28">
        <v>-1.6070000000000001E-2</v>
      </c>
      <c r="D90" s="5">
        <f t="shared" si="251"/>
        <v>-7.9375000000000018E-3</v>
      </c>
      <c r="E90" s="36"/>
      <c r="F90" s="45"/>
      <c r="G90" s="36"/>
      <c r="H90" s="36"/>
      <c r="I90" s="33"/>
      <c r="J90" s="33"/>
      <c r="K90" s="34"/>
      <c r="L90" s="36"/>
      <c r="M90" s="28">
        <v>-2.2929999999999999E-2</v>
      </c>
      <c r="N90" s="5">
        <f t="shared" si="252"/>
        <v>-1.47975E-2</v>
      </c>
      <c r="O90" s="36"/>
      <c r="P90" s="45"/>
      <c r="Q90" s="36"/>
      <c r="R90" s="36"/>
      <c r="S90" s="33"/>
      <c r="T90" s="33"/>
      <c r="U90" s="34"/>
    </row>
    <row r="91" spans="1:21" x14ac:dyDescent="0.35">
      <c r="A91" s="37">
        <v>45</v>
      </c>
      <c r="B91" s="38">
        <v>6.3450000000000006</v>
      </c>
      <c r="C91" s="28">
        <v>-1.478E-2</v>
      </c>
      <c r="D91" s="5">
        <f t="shared" si="251"/>
        <v>-6.6475000000000006E-3</v>
      </c>
      <c r="E91" s="36">
        <f t="shared" ref="E91" si="343">AVERAGE(D91:D92)</f>
        <v>-7.8674999999999995E-3</v>
      </c>
      <c r="F91" s="45">
        <f t="shared" ref="F91" si="344">-(_xlfn.STDEV.S(D91:D92)/SQRT(2))/E91</f>
        <v>0.15506831903400059</v>
      </c>
      <c r="G91" s="36">
        <f t="shared" ref="G91" si="345">(-E91*$X$9*$X$10)/($X$11*$X$8*$X$12*10^-3)</f>
        <v>4.216237942122187E-2</v>
      </c>
      <c r="H91" s="36">
        <f>G91/B91</f>
        <v>6.6449770561421376E-3</v>
      </c>
      <c r="I91" s="33">
        <f t="shared" ref="I91" si="346">H91*1000</f>
        <v>6.644977056142138</v>
      </c>
      <c r="J91" s="33"/>
      <c r="K91" s="34"/>
      <c r="L91" s="36">
        <v>10.41</v>
      </c>
      <c r="M91" s="28">
        <v>-1.6590000000000001E-2</v>
      </c>
      <c r="N91" s="5">
        <f t="shared" si="252"/>
        <v>-8.4575000000000015E-3</v>
      </c>
      <c r="O91" s="36">
        <f t="shared" ref="O91" si="347">AVERAGE(N91:N92)</f>
        <v>-8.6675000000000016E-3</v>
      </c>
      <c r="P91" s="45">
        <f t="shared" ref="P91" si="348">-(_xlfn.STDEV.S(N91:N92)/SQRT(2))/O91</f>
        <v>2.4228439573117978E-2</v>
      </c>
      <c r="Q91" s="36">
        <f t="shared" ref="Q91" si="349">(-O91*$X$9*$X$10)/($X$11*$X$8*$X$12*10^-3)</f>
        <v>4.6449624866023595E-2</v>
      </c>
      <c r="R91" s="36">
        <f>Q91/L91</f>
        <v>4.4620196797332942E-3</v>
      </c>
      <c r="S91" s="46">
        <f t="shared" si="250"/>
        <v>4.4620196797332943</v>
      </c>
      <c r="T91" s="33"/>
      <c r="U91" s="34"/>
    </row>
    <row r="92" spans="1:21" x14ac:dyDescent="0.35">
      <c r="A92" s="37"/>
      <c r="B92" s="38"/>
      <c r="C92" s="28">
        <v>-1.7219999999999999E-2</v>
      </c>
      <c r="D92" s="5">
        <f t="shared" si="251"/>
        <v>-9.0875000000000001E-3</v>
      </c>
      <c r="E92" s="36"/>
      <c r="F92" s="45"/>
      <c r="G92" s="36"/>
      <c r="H92" s="36"/>
      <c r="I92" s="33"/>
      <c r="J92" s="33"/>
      <c r="K92" s="34"/>
      <c r="L92" s="36"/>
      <c r="M92" s="28">
        <v>-1.7010000000000001E-2</v>
      </c>
      <c r="N92" s="5">
        <f t="shared" si="252"/>
        <v>-8.8775000000000017E-3</v>
      </c>
      <c r="O92" s="36"/>
      <c r="P92" s="45"/>
      <c r="Q92" s="36"/>
      <c r="R92" s="36"/>
      <c r="S92" s="46"/>
      <c r="T92" s="33"/>
      <c r="U92" s="34"/>
    </row>
    <row r="93" spans="1:21" x14ac:dyDescent="0.35">
      <c r="A93" s="37">
        <v>46</v>
      </c>
      <c r="B93" s="38">
        <v>7.9949999999999992</v>
      </c>
      <c r="C93" s="28">
        <v>-1.4019999999999999E-2</v>
      </c>
      <c r="D93" s="5">
        <f t="shared" si="251"/>
        <v>-5.8875000000000004E-3</v>
      </c>
      <c r="E93" s="36">
        <f t="shared" ref="E93" si="350">AVERAGE(D93:D94)</f>
        <v>-7.0274999999999999E-3</v>
      </c>
      <c r="F93" s="45">
        <f t="shared" ref="F93" si="351">-(_xlfn.STDEV.S(D93:D94)/SQRT(2))/E93</f>
        <v>0.16221985058697966</v>
      </c>
      <c r="G93" s="36">
        <f t="shared" ref="G93" si="352">(-E93*$X$9*$X$10)/($X$11*$X$8*$X$12*10^-3)</f>
        <v>3.7660771704180064E-2</v>
      </c>
      <c r="H93" s="36">
        <f>G93/B93</f>
        <v>4.7105405508668001E-3</v>
      </c>
      <c r="I93" s="46">
        <f t="shared" ref="I93" si="353">H93*1000</f>
        <v>4.7105405508668001</v>
      </c>
      <c r="J93" s="33">
        <f t="shared" si="257"/>
        <v>8.4301938430925976</v>
      </c>
      <c r="K93" s="34">
        <f t="shared" ref="K93" si="354">(_xlfn.STDEV.S(I93:I98)/SQRT(3))/J93</f>
        <v>0.27099209607613572</v>
      </c>
      <c r="L93" s="36">
        <v>9.0150000000000006</v>
      </c>
      <c r="M93" s="28">
        <v>-2.4289999999999999E-2</v>
      </c>
      <c r="N93" s="5">
        <f t="shared" si="252"/>
        <v>-1.6157499999999998E-2</v>
      </c>
      <c r="O93" s="36">
        <f t="shared" ref="O93" si="355">AVERAGE(N93:N94)</f>
        <v>-1.6382500000000001E-2</v>
      </c>
      <c r="P93" s="45">
        <f t="shared" ref="P93" si="356">-(_xlfn.STDEV.S(N93:N94)/SQRT(2))/O93</f>
        <v>1.3734167556844375E-2</v>
      </c>
      <c r="Q93" s="36">
        <f t="shared" ref="Q93" si="357">(-O93*$X$9*$X$10)/($X$11*$X$8*$X$12*10^-3)</f>
        <v>8.7794748124330135E-2</v>
      </c>
      <c r="R93" s="36">
        <f>Q93/L93</f>
        <v>9.7387407791824886E-3</v>
      </c>
      <c r="S93" s="33">
        <f t="shared" si="250"/>
        <v>9.7387407791824891</v>
      </c>
      <c r="T93" s="33">
        <f t="shared" ref="T93" si="358">AVERAGE(S93:S98)</f>
        <v>12.073621831175222</v>
      </c>
      <c r="U93" s="34">
        <f t="shared" ref="U93" si="359">(_xlfn.STDEV.S(S93:S98)/SQRT(3))/T93</f>
        <v>0.12996944419890111</v>
      </c>
    </row>
    <row r="94" spans="1:21" x14ac:dyDescent="0.35">
      <c r="A94" s="37"/>
      <c r="B94" s="38"/>
      <c r="C94" s="28">
        <v>-1.6299999999999999E-2</v>
      </c>
      <c r="D94" s="5">
        <f t="shared" si="251"/>
        <v>-8.1674999999999994E-3</v>
      </c>
      <c r="E94" s="36"/>
      <c r="F94" s="45"/>
      <c r="G94" s="36"/>
      <c r="H94" s="36"/>
      <c r="I94" s="46"/>
      <c r="J94" s="33"/>
      <c r="K94" s="34"/>
      <c r="L94" s="36"/>
      <c r="M94" s="28">
        <v>-2.4740000000000002E-2</v>
      </c>
      <c r="N94" s="5">
        <f t="shared" si="252"/>
        <v>-1.6607500000000004E-2</v>
      </c>
      <c r="O94" s="36"/>
      <c r="P94" s="45"/>
      <c r="Q94" s="36"/>
      <c r="R94" s="36"/>
      <c r="S94" s="33"/>
      <c r="T94" s="33"/>
      <c r="U94" s="34"/>
    </row>
    <row r="95" spans="1:21" x14ac:dyDescent="0.35">
      <c r="A95" s="37">
        <v>47</v>
      </c>
      <c r="B95" s="38">
        <v>6.0600000000000005</v>
      </c>
      <c r="C95" s="28">
        <v>-1.6789999999999999E-2</v>
      </c>
      <c r="D95" s="5">
        <f t="shared" si="251"/>
        <v>-8.6575000000000003E-3</v>
      </c>
      <c r="E95" s="36">
        <f t="shared" ref="E95" si="360">AVERAGE(D95:D96)</f>
        <v>-9.0375000000000004E-3</v>
      </c>
      <c r="F95" s="45">
        <f t="shared" ref="F95" si="361">-(_xlfn.STDEV.S(D95:D96)/SQRT(2))/E95</f>
        <v>4.2047026279391435E-2</v>
      </c>
      <c r="G95" s="36">
        <f t="shared" ref="G95" si="362">(-E95*$X$9*$X$10)/($X$11*$X$8*$X$12*10^-3)</f>
        <v>4.8432475884244375E-2</v>
      </c>
      <c r="H95" s="36">
        <f>G95/B95</f>
        <v>7.9921577366739889E-3</v>
      </c>
      <c r="I95" s="33">
        <f t="shared" ref="I95" si="363">H95*1000</f>
        <v>7.9921577366739891</v>
      </c>
      <c r="J95" s="33"/>
      <c r="K95" s="34"/>
      <c r="L95" s="36">
        <v>7.26</v>
      </c>
      <c r="M95" s="28">
        <v>-2.249E-2</v>
      </c>
      <c r="N95" s="5">
        <f t="shared" si="252"/>
        <v>-1.43575E-2</v>
      </c>
      <c r="O95" s="36">
        <f t="shared" ref="O95" si="364">AVERAGE(N95:N96)</f>
        <v>-1.5477500000000002E-2</v>
      </c>
      <c r="P95" s="45">
        <f t="shared" ref="P95" si="365">-(_xlfn.STDEV.S(N95:N96)/SQRT(2))/O95</f>
        <v>7.2363107737037635E-2</v>
      </c>
      <c r="Q95" s="36">
        <f t="shared" ref="Q95" si="366">(-O95*$X$9*$X$10)/($X$11*$X$8*$X$12*10^-3)</f>
        <v>8.2944801714898195E-2</v>
      </c>
      <c r="R95" s="36">
        <f>Q95/L95</f>
        <v>1.142490381747909E-2</v>
      </c>
      <c r="S95" s="33">
        <f t="shared" si="250"/>
        <v>11.424903817479089</v>
      </c>
      <c r="T95" s="33"/>
      <c r="U95" s="34"/>
    </row>
    <row r="96" spans="1:21" x14ac:dyDescent="0.35">
      <c r="A96" s="37"/>
      <c r="B96" s="38"/>
      <c r="C96" s="28">
        <v>-1.755E-2</v>
      </c>
      <c r="D96" s="5">
        <f t="shared" si="251"/>
        <v>-9.4175000000000005E-3</v>
      </c>
      <c r="E96" s="36"/>
      <c r="F96" s="45"/>
      <c r="G96" s="36"/>
      <c r="H96" s="36"/>
      <c r="I96" s="33"/>
      <c r="J96" s="33"/>
      <c r="K96" s="34"/>
      <c r="L96" s="36"/>
      <c r="M96" s="28">
        <v>-2.4729999999999999E-2</v>
      </c>
      <c r="N96" s="5">
        <f t="shared" si="252"/>
        <v>-1.6597500000000001E-2</v>
      </c>
      <c r="O96" s="36"/>
      <c r="P96" s="45"/>
      <c r="Q96" s="36"/>
      <c r="R96" s="36"/>
      <c r="S96" s="33"/>
      <c r="T96" s="33"/>
      <c r="U96" s="34"/>
    </row>
    <row r="97" spans="1:21" x14ac:dyDescent="0.35">
      <c r="A97" s="37">
        <v>48</v>
      </c>
      <c r="B97" s="38">
        <v>6.585</v>
      </c>
      <c r="C97" s="28">
        <v>-2.23E-2</v>
      </c>
      <c r="D97" s="5">
        <f t="shared" si="251"/>
        <v>-1.4167500000000001E-2</v>
      </c>
      <c r="E97" s="36">
        <f t="shared" ref="E97" si="367">AVERAGE(D97:D98)</f>
        <v>-1.5467499999999999E-2</v>
      </c>
      <c r="F97" s="45">
        <f t="shared" ref="F97" si="368">-(_xlfn.STDEV.S(D97:D98)/SQRT(2))/E97</f>
        <v>8.4047195732988411E-2</v>
      </c>
      <c r="G97" s="36">
        <f t="shared" ref="G97" si="369">(-E97*$X$9*$X$10)/($X$11*$X$8*$X$12*10^-3)</f>
        <v>8.2891211146838159E-2</v>
      </c>
      <c r="H97" s="36">
        <f>G97/B97</f>
        <v>1.2587883241737003E-2</v>
      </c>
      <c r="I97" s="46">
        <f t="shared" ref="I97" si="370">H97*1000</f>
        <v>12.587883241737003</v>
      </c>
      <c r="J97" s="33"/>
      <c r="K97" s="34"/>
      <c r="L97" s="36">
        <v>6.9750000000000005</v>
      </c>
      <c r="M97" s="28">
        <v>-2.6890000000000001E-2</v>
      </c>
      <c r="N97" s="5">
        <f t="shared" si="252"/>
        <v>-1.8757500000000003E-2</v>
      </c>
      <c r="O97" s="36">
        <f t="shared" ref="O97" si="371">AVERAGE(N97:N98)</f>
        <v>-1.9597500000000004E-2</v>
      </c>
      <c r="P97" s="45">
        <f t="shared" ref="P97" si="372">-(_xlfn.STDEV.S(N97:N98)/SQRT(2))/O97</f>
        <v>4.286261002678915E-2</v>
      </c>
      <c r="Q97" s="36">
        <f t="shared" ref="Q97" si="373">(-O97*$X$9*$X$10)/($X$11*$X$8*$X$12*10^-3)</f>
        <v>0.10502411575562705</v>
      </c>
      <c r="R97" s="36">
        <f>Q97/L97</f>
        <v>1.5057220896864091E-2</v>
      </c>
      <c r="S97" s="46">
        <f t="shared" si="250"/>
        <v>15.057220896864091</v>
      </c>
      <c r="T97" s="33"/>
      <c r="U97" s="34"/>
    </row>
    <row r="98" spans="1:21" x14ac:dyDescent="0.35">
      <c r="A98" s="37"/>
      <c r="B98" s="38"/>
      <c r="C98" s="28">
        <v>-2.4899999999999999E-2</v>
      </c>
      <c r="D98" s="5">
        <f t="shared" si="251"/>
        <v>-1.6767499999999998E-2</v>
      </c>
      <c r="E98" s="36"/>
      <c r="F98" s="45"/>
      <c r="G98" s="36"/>
      <c r="H98" s="36"/>
      <c r="I98" s="46"/>
      <c r="J98" s="33"/>
      <c r="K98" s="34"/>
      <c r="L98" s="36"/>
      <c r="M98" s="28">
        <v>-2.8570000000000002E-2</v>
      </c>
      <c r="N98" s="5">
        <f t="shared" si="252"/>
        <v>-2.0437500000000004E-2</v>
      </c>
      <c r="O98" s="36"/>
      <c r="P98" s="45"/>
      <c r="Q98" s="36"/>
      <c r="R98" s="36"/>
      <c r="S98" s="46"/>
      <c r="T98" s="33"/>
      <c r="U98" s="34"/>
    </row>
    <row r="99" spans="1:21" x14ac:dyDescent="0.35">
      <c r="A99" s="37">
        <v>49</v>
      </c>
      <c r="B99" s="38">
        <v>7.1849999999999996</v>
      </c>
      <c r="C99" s="28">
        <v>-1.7139999999999999E-2</v>
      </c>
      <c r="D99" s="5">
        <f t="shared" si="251"/>
        <v>-9.0074999999999999E-3</v>
      </c>
      <c r="E99" s="36">
        <f t="shared" ref="E99" si="374">AVERAGE(D99:D100)</f>
        <v>-1.02025E-2</v>
      </c>
      <c r="F99" s="45">
        <f t="shared" ref="F99" si="375">-(_xlfn.STDEV.S(D99:D100)/SQRT(2))/E99</f>
        <v>0.11712815486400391</v>
      </c>
      <c r="G99" s="36">
        <f t="shared" ref="G99" si="376">(-E99*$X$9*$X$10)/($X$11*$X$8*$X$12*10^-3)</f>
        <v>5.4675777063236876E-2</v>
      </c>
      <c r="H99" s="36">
        <f>G99/B99</f>
        <v>7.6097114910559328E-3</v>
      </c>
      <c r="I99" s="33">
        <f t="shared" ref="I99" si="377">H99*1000</f>
        <v>7.6097114910559327</v>
      </c>
      <c r="J99" s="33">
        <f t="shared" si="257"/>
        <v>7.5963232784585886</v>
      </c>
      <c r="K99" s="34">
        <f t="shared" ref="K99" si="378">(_xlfn.STDEV.S(I99:I104)/SQRT(3))/J99</f>
        <v>0.14233947764929808</v>
      </c>
      <c r="L99" s="36">
        <v>7.7925000000000013</v>
      </c>
      <c r="M99" s="28">
        <v>-2.6419999999999999E-2</v>
      </c>
      <c r="N99" s="5">
        <f t="shared" si="252"/>
        <v>-1.8287499999999998E-2</v>
      </c>
      <c r="O99" s="36">
        <f t="shared" ref="O99" si="379">AVERAGE(N99:N100)</f>
        <v>-1.7112499999999999E-2</v>
      </c>
      <c r="P99" s="45">
        <f t="shared" ref="P99" si="380">-(_xlfn.STDEV.S(N99:N100)/SQRT(2))/O99</f>
        <v>6.8663257852446979E-2</v>
      </c>
      <c r="Q99" s="36">
        <f t="shared" ref="Q99" si="381">(-O99*$X$9*$X$10)/($X$11*$X$8*$X$12*10^-3)</f>
        <v>9.1706859592711687E-2</v>
      </c>
      <c r="R99" s="36">
        <f>Q99/L99</f>
        <v>1.1768605658352476E-2</v>
      </c>
      <c r="S99" s="33">
        <f t="shared" si="250"/>
        <v>11.768605658352476</v>
      </c>
      <c r="T99" s="33">
        <f t="shared" ref="T99" si="382">AVERAGE(S99:S104)</f>
        <v>9.5098056874916548</v>
      </c>
      <c r="U99" s="34">
        <f t="shared" ref="U99" si="383">(_xlfn.STDEV.S(S99:S104)/SQRT(3))/T99</f>
        <v>0.13785727596179345</v>
      </c>
    </row>
    <row r="100" spans="1:21" x14ac:dyDescent="0.35">
      <c r="A100" s="37"/>
      <c r="B100" s="38"/>
      <c r="C100" s="28">
        <v>-1.9529999999999999E-2</v>
      </c>
      <c r="D100" s="5">
        <f t="shared" si="251"/>
        <v>-1.13975E-2</v>
      </c>
      <c r="E100" s="36"/>
      <c r="F100" s="45"/>
      <c r="G100" s="36"/>
      <c r="H100" s="36"/>
      <c r="I100" s="33"/>
      <c r="J100" s="33"/>
      <c r="K100" s="34"/>
      <c r="L100" s="36"/>
      <c r="M100" s="28">
        <v>-2.4070000000000001E-2</v>
      </c>
      <c r="N100" s="5">
        <f t="shared" si="252"/>
        <v>-1.59375E-2</v>
      </c>
      <c r="O100" s="36"/>
      <c r="P100" s="45"/>
      <c r="Q100" s="36"/>
      <c r="R100" s="36"/>
      <c r="S100" s="33"/>
      <c r="T100" s="33"/>
      <c r="U100" s="34"/>
    </row>
    <row r="101" spans="1:21" x14ac:dyDescent="0.35">
      <c r="A101" s="37">
        <v>50</v>
      </c>
      <c r="B101" s="38">
        <v>4.9050000000000002</v>
      </c>
      <c r="C101" s="28">
        <v>-1.24E-2</v>
      </c>
      <c r="D101" s="5">
        <f t="shared" si="251"/>
        <v>-4.2675000000000005E-3</v>
      </c>
      <c r="E101" s="36">
        <f t="shared" ref="E101" si="384">AVERAGE(D101:D102)</f>
        <v>-5.232500000000001E-3</v>
      </c>
      <c r="F101" s="45">
        <f t="shared" ref="F101" si="385">-(_xlfn.STDEV.S(D101:D102)/SQRT(2))/E101</f>
        <v>0.18442427138079318</v>
      </c>
      <c r="G101" s="36">
        <f t="shared" ref="G101" si="386">(-E101*$X$9*$X$10)/($X$11*$X$8*$X$12*10^-3)</f>
        <v>2.8041264737406226E-2</v>
      </c>
      <c r="H101" s="36">
        <f>G101/B101</f>
        <v>5.7168735448330735E-3</v>
      </c>
      <c r="I101" s="46">
        <f t="shared" ref="I101" si="387">H101*1000</f>
        <v>5.7168735448330734</v>
      </c>
      <c r="J101" s="33"/>
      <c r="K101" s="34"/>
      <c r="L101" s="36">
        <v>7.8825000000000012</v>
      </c>
      <c r="M101" s="28">
        <v>-2.4E-2</v>
      </c>
      <c r="N101" s="5">
        <f t="shared" si="252"/>
        <v>-1.58675E-2</v>
      </c>
      <c r="O101" s="36">
        <f t="shared" ref="O101" si="388">AVERAGE(N101:N102)</f>
        <v>-1.40225E-2</v>
      </c>
      <c r="P101" s="45">
        <f t="shared" ref="P101" si="389">-(_xlfn.STDEV.S(N101:N102)/SQRT(2))/O101</f>
        <v>0.13157425566054542</v>
      </c>
      <c r="Q101" s="36">
        <f t="shared" ref="Q101" si="390">(-O101*$X$9*$X$10)/($X$11*$X$8*$X$12*10^-3)</f>
        <v>7.5147374062165068E-2</v>
      </c>
      <c r="R101" s="36">
        <f>Q101/L101</f>
        <v>9.5334442197481835E-3</v>
      </c>
      <c r="S101" s="33">
        <f t="shared" si="250"/>
        <v>9.5334442197481835</v>
      </c>
      <c r="T101" s="33"/>
      <c r="U101" s="34"/>
    </row>
    <row r="102" spans="1:21" x14ac:dyDescent="0.35">
      <c r="A102" s="37"/>
      <c r="B102" s="38"/>
      <c r="C102" s="28">
        <v>-1.4330000000000001E-2</v>
      </c>
      <c r="D102" s="5">
        <f t="shared" si="251"/>
        <v>-6.1975000000000016E-3</v>
      </c>
      <c r="E102" s="36"/>
      <c r="F102" s="45"/>
      <c r="G102" s="36"/>
      <c r="H102" s="36"/>
      <c r="I102" s="46"/>
      <c r="J102" s="33"/>
      <c r="K102" s="34"/>
      <c r="L102" s="36"/>
      <c r="M102" s="28">
        <v>-2.0310000000000002E-2</v>
      </c>
      <c r="N102" s="5">
        <f t="shared" si="252"/>
        <v>-1.2177500000000003E-2</v>
      </c>
      <c r="O102" s="36"/>
      <c r="P102" s="45"/>
      <c r="Q102" s="36"/>
      <c r="R102" s="36"/>
      <c r="S102" s="33"/>
      <c r="T102" s="33"/>
      <c r="U102" s="34"/>
    </row>
    <row r="103" spans="1:21" x14ac:dyDescent="0.35">
      <c r="A103" s="37">
        <v>51</v>
      </c>
      <c r="B103" s="38">
        <v>5.58</v>
      </c>
      <c r="C103" s="28">
        <v>-1.738E-2</v>
      </c>
      <c r="D103" s="5">
        <f t="shared" si="251"/>
        <v>-9.2475000000000005E-3</v>
      </c>
      <c r="E103" s="36">
        <f t="shared" ref="E103" si="391">AVERAGE(D103:D104)</f>
        <v>-9.8525000000000001E-3</v>
      </c>
      <c r="F103" s="45">
        <f>-(_xlfn.STDEV.S(D103:D104)/SQRT(2))/E103</f>
        <v>6.1405734585130628E-2</v>
      </c>
      <c r="G103" s="36">
        <f t="shared" ref="G103" si="392">(-E103*$X$9*$X$10)/($X$11*$X$8*$X$12*10^-3)</f>
        <v>5.2800107181136119E-2</v>
      </c>
      <c r="H103" s="36">
        <f>G103/B103</f>
        <v>9.4623847994867588E-3</v>
      </c>
      <c r="I103" s="33">
        <f t="shared" ref="I103" si="393">H103*1000</f>
        <v>9.4623847994867596</v>
      </c>
      <c r="J103" s="33"/>
      <c r="K103" s="34"/>
      <c r="L103" s="38">
        <v>8.01</v>
      </c>
      <c r="M103" s="28">
        <v>-1.9959999999999999E-2</v>
      </c>
      <c r="N103" s="5">
        <f t="shared" si="252"/>
        <v>-1.1827499999999999E-2</v>
      </c>
      <c r="O103" s="36">
        <f t="shared" ref="O103" si="394">AVERAGE(N103:N104)</f>
        <v>-1.08025E-2</v>
      </c>
      <c r="P103" s="45">
        <f t="shared" ref="P103" si="395">-(_xlfn.STDEV.S(N103:N104)/SQRT(2))/O103</f>
        <v>9.488544318444804E-2</v>
      </c>
      <c r="Q103" s="36">
        <f t="shared" ref="Q103" si="396">(-O103*$X$9*$X$10)/($X$11*$X$8*$X$12*10^-3)</f>
        <v>5.7891211146838158E-2</v>
      </c>
      <c r="R103" s="36">
        <f>Q103/L103</f>
        <v>7.2273671843743025E-3</v>
      </c>
      <c r="S103" s="33">
        <f t="shared" si="250"/>
        <v>7.2273671843743026</v>
      </c>
      <c r="T103" s="33"/>
      <c r="U103" s="34"/>
    </row>
    <row r="104" spans="1:21" x14ac:dyDescent="0.35">
      <c r="A104" s="37"/>
      <c r="B104" s="38"/>
      <c r="C104" s="28">
        <v>-1.8589999999999999E-2</v>
      </c>
      <c r="D104" s="5">
        <f t="shared" si="251"/>
        <v>-1.04575E-2</v>
      </c>
      <c r="E104" s="36"/>
      <c r="F104" s="45"/>
      <c r="G104" s="36"/>
      <c r="H104" s="36"/>
      <c r="I104" s="33"/>
      <c r="J104" s="33"/>
      <c r="K104" s="34"/>
      <c r="L104" s="38"/>
      <c r="M104" s="28">
        <v>-1.7909999999999999E-2</v>
      </c>
      <c r="N104" s="5">
        <f t="shared" si="252"/>
        <v>-9.7774999999999997E-3</v>
      </c>
      <c r="O104" s="36"/>
      <c r="P104" s="45"/>
      <c r="Q104" s="36"/>
      <c r="R104" s="36"/>
      <c r="S104" s="33"/>
      <c r="T104" s="33"/>
      <c r="U104" s="34"/>
    </row>
    <row r="105" spans="1:21" x14ac:dyDescent="0.35">
      <c r="J105" s="14"/>
      <c r="K105" s="14"/>
    </row>
    <row r="106" spans="1:21" x14ac:dyDescent="0.35">
      <c r="J106" s="14"/>
      <c r="K106" s="14"/>
    </row>
    <row r="107" spans="1:21" x14ac:dyDescent="0.35">
      <c r="J107" s="14"/>
      <c r="K107" s="14"/>
    </row>
    <row r="108" spans="1:21" x14ac:dyDescent="0.35">
      <c r="J108" s="14"/>
      <c r="K108" s="14"/>
    </row>
    <row r="109" spans="1:21" x14ac:dyDescent="0.35">
      <c r="J109" s="14"/>
      <c r="K109" s="14"/>
    </row>
    <row r="110" spans="1:21" x14ac:dyDescent="0.35">
      <c r="J110" s="14"/>
      <c r="K110" s="14"/>
    </row>
    <row r="111" spans="1:21" x14ac:dyDescent="0.35">
      <c r="J111" s="14"/>
      <c r="K111" s="14"/>
    </row>
    <row r="112" spans="1:21" x14ac:dyDescent="0.35">
      <c r="J112" s="14"/>
      <c r="K112" s="14"/>
    </row>
    <row r="113" spans="10:11" x14ac:dyDescent="0.35">
      <c r="J113" s="14"/>
      <c r="K113" s="14"/>
    </row>
    <row r="114" spans="10:11" x14ac:dyDescent="0.35">
      <c r="J114" s="14"/>
      <c r="K114" s="14"/>
    </row>
    <row r="115" spans="10:11" x14ac:dyDescent="0.35">
      <c r="J115" s="14"/>
      <c r="K115" s="14"/>
    </row>
    <row r="116" spans="10:11" x14ac:dyDescent="0.35">
      <c r="J116" s="14"/>
      <c r="K116" s="14"/>
    </row>
  </sheetData>
  <mergeCells count="725">
    <mergeCell ref="L101:L102"/>
    <mergeCell ref="O101:O102"/>
    <mergeCell ref="P101:P102"/>
    <mergeCell ref="P99:P100"/>
    <mergeCell ref="Q99:Q100"/>
    <mergeCell ref="R99:R100"/>
    <mergeCell ref="S99:S100"/>
    <mergeCell ref="T99:T104"/>
    <mergeCell ref="U99:U104"/>
    <mergeCell ref="Q101:Q102"/>
    <mergeCell ref="R101:R102"/>
    <mergeCell ref="S101:S102"/>
    <mergeCell ref="P103:P104"/>
    <mergeCell ref="R103:R104"/>
    <mergeCell ref="S103:S104"/>
    <mergeCell ref="A99:A100"/>
    <mergeCell ref="B99:B100"/>
    <mergeCell ref="E99:E100"/>
    <mergeCell ref="F99:F100"/>
    <mergeCell ref="G99:G100"/>
    <mergeCell ref="H99:H100"/>
    <mergeCell ref="I99:I100"/>
    <mergeCell ref="J99:J104"/>
    <mergeCell ref="K99:K104"/>
    <mergeCell ref="A103:A104"/>
    <mergeCell ref="B103:B104"/>
    <mergeCell ref="E103:E104"/>
    <mergeCell ref="F103:F104"/>
    <mergeCell ref="G103:G104"/>
    <mergeCell ref="H103:H104"/>
    <mergeCell ref="G101:G102"/>
    <mergeCell ref="H101:H102"/>
    <mergeCell ref="I101:I102"/>
    <mergeCell ref="T93:T98"/>
    <mergeCell ref="U93:U98"/>
    <mergeCell ref="A95:A96"/>
    <mergeCell ref="B95:B96"/>
    <mergeCell ref="E95:E96"/>
    <mergeCell ref="F95:F96"/>
    <mergeCell ref="G95:G96"/>
    <mergeCell ref="H95:H96"/>
    <mergeCell ref="I95:I96"/>
    <mergeCell ref="K93:K98"/>
    <mergeCell ref="L93:L94"/>
    <mergeCell ref="O93:O94"/>
    <mergeCell ref="P93:P94"/>
    <mergeCell ref="Q93:Q94"/>
    <mergeCell ref="R93:R94"/>
    <mergeCell ref="L95:L96"/>
    <mergeCell ref="O95:O96"/>
    <mergeCell ref="P95:P96"/>
    <mergeCell ref="Q95:Q96"/>
    <mergeCell ref="R95:R96"/>
    <mergeCell ref="S95:S96"/>
    <mergeCell ref="A97:A98"/>
    <mergeCell ref="B97:B98"/>
    <mergeCell ref="E97:E98"/>
    <mergeCell ref="S91:S92"/>
    <mergeCell ref="A93:A94"/>
    <mergeCell ref="B93:B94"/>
    <mergeCell ref="E93:E94"/>
    <mergeCell ref="F93:F94"/>
    <mergeCell ref="G93:G94"/>
    <mergeCell ref="H93:H94"/>
    <mergeCell ref="I93:I94"/>
    <mergeCell ref="J93:J98"/>
    <mergeCell ref="S93:S94"/>
    <mergeCell ref="F97:F98"/>
    <mergeCell ref="G97:G98"/>
    <mergeCell ref="H97:H98"/>
    <mergeCell ref="I97:I98"/>
    <mergeCell ref="L97:L98"/>
    <mergeCell ref="S97:S98"/>
    <mergeCell ref="L91:L92"/>
    <mergeCell ref="O91:O92"/>
    <mergeCell ref="I89:I90"/>
    <mergeCell ref="L89:L90"/>
    <mergeCell ref="O89:O90"/>
    <mergeCell ref="P89:P90"/>
    <mergeCell ref="Q89:Q90"/>
    <mergeCell ref="R89:R90"/>
    <mergeCell ref="R91:R92"/>
    <mergeCell ref="T87:T92"/>
    <mergeCell ref="U87:U92"/>
    <mergeCell ref="A89:A90"/>
    <mergeCell ref="B89:B90"/>
    <mergeCell ref="E89:E90"/>
    <mergeCell ref="F89:F90"/>
    <mergeCell ref="G89:G90"/>
    <mergeCell ref="H89:H90"/>
    <mergeCell ref="J87:J92"/>
    <mergeCell ref="K87:K92"/>
    <mergeCell ref="L87:L88"/>
    <mergeCell ref="O87:O88"/>
    <mergeCell ref="P87:P88"/>
    <mergeCell ref="Q87:Q88"/>
    <mergeCell ref="P91:P92"/>
    <mergeCell ref="Q91:Q92"/>
    <mergeCell ref="S89:S90"/>
    <mergeCell ref="A91:A92"/>
    <mergeCell ref="B91:B92"/>
    <mergeCell ref="E91:E92"/>
    <mergeCell ref="F91:F92"/>
    <mergeCell ref="G91:G92"/>
    <mergeCell ref="H91:H92"/>
    <mergeCell ref="I91:I92"/>
    <mergeCell ref="Q85:Q86"/>
    <mergeCell ref="R85:R86"/>
    <mergeCell ref="S85:S86"/>
    <mergeCell ref="A87:A88"/>
    <mergeCell ref="B87:B88"/>
    <mergeCell ref="E87:E88"/>
    <mergeCell ref="F87:F88"/>
    <mergeCell ref="G87:G88"/>
    <mergeCell ref="H87:H88"/>
    <mergeCell ref="I87:I88"/>
    <mergeCell ref="R87:R88"/>
    <mergeCell ref="S87:S88"/>
    <mergeCell ref="T81:T86"/>
    <mergeCell ref="U81:U86"/>
    <mergeCell ref="A83:A84"/>
    <mergeCell ref="B83:B84"/>
    <mergeCell ref="E83:E84"/>
    <mergeCell ref="F83:F84"/>
    <mergeCell ref="G83:G84"/>
    <mergeCell ref="H83:H84"/>
    <mergeCell ref="S83:S84"/>
    <mergeCell ref="A85:A86"/>
    <mergeCell ref="B85:B86"/>
    <mergeCell ref="E85:E86"/>
    <mergeCell ref="F85:F86"/>
    <mergeCell ref="G85:G86"/>
    <mergeCell ref="H85:H86"/>
    <mergeCell ref="I85:I86"/>
    <mergeCell ref="L85:L86"/>
    <mergeCell ref="O85:O86"/>
    <mergeCell ref="I83:I84"/>
    <mergeCell ref="L83:L84"/>
    <mergeCell ref="O83:O84"/>
    <mergeCell ref="P83:P84"/>
    <mergeCell ref="Q83:Q84"/>
    <mergeCell ref="R83:R84"/>
    <mergeCell ref="P75:P76"/>
    <mergeCell ref="Q75:Q76"/>
    <mergeCell ref="R75:R76"/>
    <mergeCell ref="R79:R80"/>
    <mergeCell ref="S79:S80"/>
    <mergeCell ref="A81:A82"/>
    <mergeCell ref="B81:B82"/>
    <mergeCell ref="E81:E82"/>
    <mergeCell ref="F81:F82"/>
    <mergeCell ref="G81:G82"/>
    <mergeCell ref="H81:H82"/>
    <mergeCell ref="I81:I82"/>
    <mergeCell ref="J81:J86"/>
    <mergeCell ref="A79:A80"/>
    <mergeCell ref="B79:B80"/>
    <mergeCell ref="E79:E80"/>
    <mergeCell ref="F79:F80"/>
    <mergeCell ref="G79:G80"/>
    <mergeCell ref="H79:H80"/>
    <mergeCell ref="P81:P82"/>
    <mergeCell ref="Q81:Q82"/>
    <mergeCell ref="P85:P86"/>
    <mergeCell ref="R81:R82"/>
    <mergeCell ref="S81:S82"/>
    <mergeCell ref="S75:S76"/>
    <mergeCell ref="T75:T80"/>
    <mergeCell ref="U75:U80"/>
    <mergeCell ref="Q77:Q78"/>
    <mergeCell ref="R77:R78"/>
    <mergeCell ref="S77:S78"/>
    <mergeCell ref="P79:P80"/>
    <mergeCell ref="S73:S74"/>
    <mergeCell ref="A75:A76"/>
    <mergeCell ref="B75:B76"/>
    <mergeCell ref="E75:E76"/>
    <mergeCell ref="F75:F76"/>
    <mergeCell ref="G75:G76"/>
    <mergeCell ref="H75:H76"/>
    <mergeCell ref="I75:I76"/>
    <mergeCell ref="J75:J80"/>
    <mergeCell ref="K75:K80"/>
    <mergeCell ref="I79:I80"/>
    <mergeCell ref="L79:L80"/>
    <mergeCell ref="O79:O80"/>
    <mergeCell ref="Q79:Q80"/>
    <mergeCell ref="L75:L76"/>
    <mergeCell ref="O75:O76"/>
    <mergeCell ref="A77:A78"/>
    <mergeCell ref="S69:S70"/>
    <mergeCell ref="T69:T74"/>
    <mergeCell ref="U69:U74"/>
    <mergeCell ref="A71:A72"/>
    <mergeCell ref="B71:B72"/>
    <mergeCell ref="E71:E72"/>
    <mergeCell ref="F71:F72"/>
    <mergeCell ref="G71:G72"/>
    <mergeCell ref="H71:H72"/>
    <mergeCell ref="I71:I72"/>
    <mergeCell ref="K69:K74"/>
    <mergeCell ref="L69:L70"/>
    <mergeCell ref="O69:O70"/>
    <mergeCell ref="P69:P70"/>
    <mergeCell ref="Q69:Q70"/>
    <mergeCell ref="R69:R70"/>
    <mergeCell ref="L71:L72"/>
    <mergeCell ref="O71:O72"/>
    <mergeCell ref="P71:P72"/>
    <mergeCell ref="Q71:Q72"/>
    <mergeCell ref="R71:R72"/>
    <mergeCell ref="S71:S72"/>
    <mergeCell ref="A73:A74"/>
    <mergeCell ref="B73:B74"/>
    <mergeCell ref="A69:A70"/>
    <mergeCell ref="B69:B70"/>
    <mergeCell ref="E69:E70"/>
    <mergeCell ref="F69:F70"/>
    <mergeCell ref="G69:G70"/>
    <mergeCell ref="H69:H70"/>
    <mergeCell ref="I69:I70"/>
    <mergeCell ref="J69:J74"/>
    <mergeCell ref="H67:H68"/>
    <mergeCell ref="I67:I68"/>
    <mergeCell ref="E73:E74"/>
    <mergeCell ref="F73:F74"/>
    <mergeCell ref="G73:G74"/>
    <mergeCell ref="H73:H74"/>
    <mergeCell ref="I73:I74"/>
    <mergeCell ref="T63:T68"/>
    <mergeCell ref="U63:U68"/>
    <mergeCell ref="A65:A66"/>
    <mergeCell ref="B65:B66"/>
    <mergeCell ref="E65:E66"/>
    <mergeCell ref="F65:F66"/>
    <mergeCell ref="G65:G66"/>
    <mergeCell ref="H65:H66"/>
    <mergeCell ref="I65:I66"/>
    <mergeCell ref="L65:L66"/>
    <mergeCell ref="L63:L64"/>
    <mergeCell ref="O63:O64"/>
    <mergeCell ref="P63:P64"/>
    <mergeCell ref="Q63:Q64"/>
    <mergeCell ref="R63:R64"/>
    <mergeCell ref="S63:S64"/>
    <mergeCell ref="O65:O66"/>
    <mergeCell ref="P65:P66"/>
    <mergeCell ref="Q65:Q66"/>
    <mergeCell ref="R65:R66"/>
    <mergeCell ref="S65:S66"/>
    <mergeCell ref="A67:A68"/>
    <mergeCell ref="B67:B68"/>
    <mergeCell ref="E67:E68"/>
    <mergeCell ref="S61:S62"/>
    <mergeCell ref="A63:A64"/>
    <mergeCell ref="B63:B64"/>
    <mergeCell ref="E63:E64"/>
    <mergeCell ref="F63:F64"/>
    <mergeCell ref="G63:G64"/>
    <mergeCell ref="H63:H64"/>
    <mergeCell ref="I63:I64"/>
    <mergeCell ref="J63:J68"/>
    <mergeCell ref="F67:F68"/>
    <mergeCell ref="G67:G68"/>
    <mergeCell ref="R67:R68"/>
    <mergeCell ref="S67:S68"/>
    <mergeCell ref="L67:L68"/>
    <mergeCell ref="O67:O68"/>
    <mergeCell ref="P67:P68"/>
    <mergeCell ref="Q67:Q68"/>
    <mergeCell ref="T57:T62"/>
    <mergeCell ref="U57:U62"/>
    <mergeCell ref="A59:A60"/>
    <mergeCell ref="B59:B60"/>
    <mergeCell ref="E59:E60"/>
    <mergeCell ref="F59:F60"/>
    <mergeCell ref="G59:G60"/>
    <mergeCell ref="H59:H60"/>
    <mergeCell ref="I57:I58"/>
    <mergeCell ref="J57:J62"/>
    <mergeCell ref="K57:K62"/>
    <mergeCell ref="L57:L58"/>
    <mergeCell ref="O57:O58"/>
    <mergeCell ref="P57:P58"/>
    <mergeCell ref="I59:I60"/>
    <mergeCell ref="L59:L60"/>
    <mergeCell ref="O59:O60"/>
    <mergeCell ref="P59:P60"/>
    <mergeCell ref="S59:S60"/>
    <mergeCell ref="A61:A62"/>
    <mergeCell ref="B61:B62"/>
    <mergeCell ref="E61:E62"/>
    <mergeCell ref="F61:F62"/>
    <mergeCell ref="G61:G62"/>
    <mergeCell ref="A57:A58"/>
    <mergeCell ref="B57:B58"/>
    <mergeCell ref="E57:E58"/>
    <mergeCell ref="F57:F58"/>
    <mergeCell ref="G57:G58"/>
    <mergeCell ref="H57:H58"/>
    <mergeCell ref="Q57:Q58"/>
    <mergeCell ref="R57:R58"/>
    <mergeCell ref="S57:S58"/>
    <mergeCell ref="S53:S54"/>
    <mergeCell ref="A55:A56"/>
    <mergeCell ref="B55:B56"/>
    <mergeCell ref="E55:E56"/>
    <mergeCell ref="F55:F56"/>
    <mergeCell ref="G55:G56"/>
    <mergeCell ref="H55:H56"/>
    <mergeCell ref="I55:I56"/>
    <mergeCell ref="L55:L56"/>
    <mergeCell ref="P55:P56"/>
    <mergeCell ref="Q55:Q56"/>
    <mergeCell ref="R55:R56"/>
    <mergeCell ref="S55:S56"/>
    <mergeCell ref="T51:T56"/>
    <mergeCell ref="U51:U56"/>
    <mergeCell ref="A53:A54"/>
    <mergeCell ref="B53:B54"/>
    <mergeCell ref="E53:E54"/>
    <mergeCell ref="F53:F54"/>
    <mergeCell ref="G53:G54"/>
    <mergeCell ref="H53:H54"/>
    <mergeCell ref="I53:I54"/>
    <mergeCell ref="G51:G52"/>
    <mergeCell ref="H51:H52"/>
    <mergeCell ref="I51:I52"/>
    <mergeCell ref="J51:J56"/>
    <mergeCell ref="K51:K56"/>
    <mergeCell ref="L51:L52"/>
    <mergeCell ref="L53:L54"/>
    <mergeCell ref="O53:O54"/>
    <mergeCell ref="P53:P54"/>
    <mergeCell ref="Q53:Q54"/>
    <mergeCell ref="O55:O56"/>
    <mergeCell ref="O51:O52"/>
    <mergeCell ref="P51:P52"/>
    <mergeCell ref="A51:A52"/>
    <mergeCell ref="R53:R54"/>
    <mergeCell ref="T45:T50"/>
    <mergeCell ref="U45:U50"/>
    <mergeCell ref="Q47:Q48"/>
    <mergeCell ref="R47:R48"/>
    <mergeCell ref="S47:S48"/>
    <mergeCell ref="Q49:Q50"/>
    <mergeCell ref="G49:G50"/>
    <mergeCell ref="H49:H50"/>
    <mergeCell ref="I49:I50"/>
    <mergeCell ref="L49:L50"/>
    <mergeCell ref="O49:O50"/>
    <mergeCell ref="P49:P50"/>
    <mergeCell ref="G47:G48"/>
    <mergeCell ref="H47:H48"/>
    <mergeCell ref="I47:I48"/>
    <mergeCell ref="L47:L48"/>
    <mergeCell ref="O47:O48"/>
    <mergeCell ref="P47:P48"/>
    <mergeCell ref="G45:G46"/>
    <mergeCell ref="R41:R42"/>
    <mergeCell ref="S41:S42"/>
    <mergeCell ref="A43:A44"/>
    <mergeCell ref="B43:B44"/>
    <mergeCell ref="E43:E44"/>
    <mergeCell ref="F43:F44"/>
    <mergeCell ref="G43:G44"/>
    <mergeCell ref="H43:H44"/>
    <mergeCell ref="I43:I44"/>
    <mergeCell ref="L43:L44"/>
    <mergeCell ref="H45:H46"/>
    <mergeCell ref="I45:I46"/>
    <mergeCell ref="J45:J50"/>
    <mergeCell ref="K45:K50"/>
    <mergeCell ref="L45:L46"/>
    <mergeCell ref="O45:O46"/>
    <mergeCell ref="O43:O44"/>
    <mergeCell ref="P43:P44"/>
    <mergeCell ref="Q43:Q44"/>
    <mergeCell ref="P45:P46"/>
    <mergeCell ref="Q45:Q46"/>
    <mergeCell ref="R45:R46"/>
    <mergeCell ref="S45:S46"/>
    <mergeCell ref="Q37:Q38"/>
    <mergeCell ref="S39:S40"/>
    <mergeCell ref="T39:T44"/>
    <mergeCell ref="U39:U44"/>
    <mergeCell ref="A41:A42"/>
    <mergeCell ref="B41:B42"/>
    <mergeCell ref="E41:E42"/>
    <mergeCell ref="F41:F42"/>
    <mergeCell ref="G41:G42"/>
    <mergeCell ref="H41:H42"/>
    <mergeCell ref="I41:I42"/>
    <mergeCell ref="K39:K44"/>
    <mergeCell ref="L39:L40"/>
    <mergeCell ref="O39:O40"/>
    <mergeCell ref="P39:P40"/>
    <mergeCell ref="Q39:Q40"/>
    <mergeCell ref="R39:R40"/>
    <mergeCell ref="L41:L42"/>
    <mergeCell ref="O41:O42"/>
    <mergeCell ref="P41:P42"/>
    <mergeCell ref="Q41:Q42"/>
    <mergeCell ref="R43:R44"/>
    <mergeCell ref="S43:S44"/>
    <mergeCell ref="T33:T38"/>
    <mergeCell ref="U33:U38"/>
    <mergeCell ref="A35:A36"/>
    <mergeCell ref="B35:B36"/>
    <mergeCell ref="E35:E36"/>
    <mergeCell ref="F35:F36"/>
    <mergeCell ref="G35:G36"/>
    <mergeCell ref="H35:H36"/>
    <mergeCell ref="I35:I36"/>
    <mergeCell ref="L35:L36"/>
    <mergeCell ref="O35:O36"/>
    <mergeCell ref="P35:P36"/>
    <mergeCell ref="Q35:Q36"/>
    <mergeCell ref="R35:R36"/>
    <mergeCell ref="S35:S36"/>
    <mergeCell ref="A37:A38"/>
    <mergeCell ref="B37:B38"/>
    <mergeCell ref="E37:E38"/>
    <mergeCell ref="F37:F38"/>
    <mergeCell ref="G37:G38"/>
    <mergeCell ref="R37:R38"/>
    <mergeCell ref="S37:S38"/>
    <mergeCell ref="H37:H38"/>
    <mergeCell ref="I37:I38"/>
    <mergeCell ref="Q27:Q28"/>
    <mergeCell ref="R27:R28"/>
    <mergeCell ref="S27:S28"/>
    <mergeCell ref="Q31:Q32"/>
    <mergeCell ref="R31:R32"/>
    <mergeCell ref="S31:S32"/>
    <mergeCell ref="A33:A34"/>
    <mergeCell ref="B33:B34"/>
    <mergeCell ref="E33:E34"/>
    <mergeCell ref="F33:F34"/>
    <mergeCell ref="G33:G34"/>
    <mergeCell ref="H33:H34"/>
    <mergeCell ref="I33:I34"/>
    <mergeCell ref="A31:A32"/>
    <mergeCell ref="B31:B32"/>
    <mergeCell ref="E31:E32"/>
    <mergeCell ref="F31:F32"/>
    <mergeCell ref="G31:G32"/>
    <mergeCell ref="H31:H32"/>
    <mergeCell ref="Q33:Q34"/>
    <mergeCell ref="R33:R34"/>
    <mergeCell ref="S33:S34"/>
    <mergeCell ref="F29:F30"/>
    <mergeCell ref="G29:G30"/>
    <mergeCell ref="H29:H30"/>
    <mergeCell ref="I29:I30"/>
    <mergeCell ref="R25:R26"/>
    <mergeCell ref="S25:S26"/>
    <mergeCell ref="A27:A28"/>
    <mergeCell ref="B27:B28"/>
    <mergeCell ref="E27:E28"/>
    <mergeCell ref="F27:F28"/>
    <mergeCell ref="G27:G28"/>
    <mergeCell ref="H27:H28"/>
    <mergeCell ref="I27:I28"/>
    <mergeCell ref="L27:L28"/>
    <mergeCell ref="H25:H26"/>
    <mergeCell ref="Q25:Q26"/>
    <mergeCell ref="O27:O28"/>
    <mergeCell ref="P27:P28"/>
    <mergeCell ref="L29:L30"/>
    <mergeCell ref="O29:O30"/>
    <mergeCell ref="P29:P30"/>
    <mergeCell ref="Q29:Q30"/>
    <mergeCell ref="R29:R30"/>
    <mergeCell ref="S29:S30"/>
    <mergeCell ref="T23:T32"/>
    <mergeCell ref="U23:U32"/>
    <mergeCell ref="A25:A26"/>
    <mergeCell ref="B25:B26"/>
    <mergeCell ref="E25:E26"/>
    <mergeCell ref="F25:F26"/>
    <mergeCell ref="G25:G26"/>
    <mergeCell ref="I23:I24"/>
    <mergeCell ref="J23:J32"/>
    <mergeCell ref="K23:K32"/>
    <mergeCell ref="L23:L24"/>
    <mergeCell ref="O23:O24"/>
    <mergeCell ref="P23:P24"/>
    <mergeCell ref="I25:I26"/>
    <mergeCell ref="L25:L26"/>
    <mergeCell ref="O25:O26"/>
    <mergeCell ref="P25:P26"/>
    <mergeCell ref="I31:I32"/>
    <mergeCell ref="L31:L32"/>
    <mergeCell ref="O31:O32"/>
    <mergeCell ref="P31:P32"/>
    <mergeCell ref="A29:A30"/>
    <mergeCell ref="B29:B30"/>
    <mergeCell ref="E29:E30"/>
    <mergeCell ref="P21:P22"/>
    <mergeCell ref="Q21:Q22"/>
    <mergeCell ref="R21:R22"/>
    <mergeCell ref="S21:S22"/>
    <mergeCell ref="A23:A24"/>
    <mergeCell ref="B23:B24"/>
    <mergeCell ref="E23:E24"/>
    <mergeCell ref="F23:F24"/>
    <mergeCell ref="G23:G24"/>
    <mergeCell ref="H23:H24"/>
    <mergeCell ref="Q23:Q24"/>
    <mergeCell ref="R23:R24"/>
    <mergeCell ref="S23:S24"/>
    <mergeCell ref="A21:A22"/>
    <mergeCell ref="B21:B22"/>
    <mergeCell ref="E21:E22"/>
    <mergeCell ref="F21:F22"/>
    <mergeCell ref="G21:G22"/>
    <mergeCell ref="H21:H22"/>
    <mergeCell ref="I21:I22"/>
    <mergeCell ref="L21:L22"/>
    <mergeCell ref="O21:O22"/>
    <mergeCell ref="P17:P18"/>
    <mergeCell ref="Q17:Q18"/>
    <mergeCell ref="H15:H16"/>
    <mergeCell ref="R17:R18"/>
    <mergeCell ref="S17:S18"/>
    <mergeCell ref="A19:A20"/>
    <mergeCell ref="B19:B20"/>
    <mergeCell ref="E19:E20"/>
    <mergeCell ref="F19:F20"/>
    <mergeCell ref="G19:G20"/>
    <mergeCell ref="H19:H20"/>
    <mergeCell ref="I19:I20"/>
    <mergeCell ref="L19:L20"/>
    <mergeCell ref="O19:O20"/>
    <mergeCell ref="P19:P20"/>
    <mergeCell ref="Q19:Q20"/>
    <mergeCell ref="R19:R20"/>
    <mergeCell ref="S19:S20"/>
    <mergeCell ref="A17:A18"/>
    <mergeCell ref="B17:B18"/>
    <mergeCell ref="E17:E18"/>
    <mergeCell ref="F17:F18"/>
    <mergeCell ref="G17:G18"/>
    <mergeCell ref="H17:H18"/>
    <mergeCell ref="I17:I18"/>
    <mergeCell ref="L17:L18"/>
    <mergeCell ref="O17:O18"/>
    <mergeCell ref="T13:T22"/>
    <mergeCell ref="U13:U22"/>
    <mergeCell ref="A15:A16"/>
    <mergeCell ref="B15:B16"/>
    <mergeCell ref="E15:E16"/>
    <mergeCell ref="F15:F16"/>
    <mergeCell ref="G15:G16"/>
    <mergeCell ref="I13:I14"/>
    <mergeCell ref="J13:J22"/>
    <mergeCell ref="K13:K22"/>
    <mergeCell ref="L13:L14"/>
    <mergeCell ref="O13:O14"/>
    <mergeCell ref="P13:P14"/>
    <mergeCell ref="I15:I16"/>
    <mergeCell ref="L15:L16"/>
    <mergeCell ref="O15:O16"/>
    <mergeCell ref="P15:P16"/>
    <mergeCell ref="A13:A14"/>
    <mergeCell ref="B13:B14"/>
    <mergeCell ref="E13:E14"/>
    <mergeCell ref="F13:F14"/>
    <mergeCell ref="Q15:Q16"/>
    <mergeCell ref="R15:R16"/>
    <mergeCell ref="S15:S16"/>
    <mergeCell ref="G13:G14"/>
    <mergeCell ref="H13:H14"/>
    <mergeCell ref="L11:L12"/>
    <mergeCell ref="O11:O12"/>
    <mergeCell ref="P11:P12"/>
    <mergeCell ref="Q11:Q12"/>
    <mergeCell ref="R11:R12"/>
    <mergeCell ref="S11:S12"/>
    <mergeCell ref="Q9:Q10"/>
    <mergeCell ref="R9:R10"/>
    <mergeCell ref="S9:S10"/>
    <mergeCell ref="Q13:Q14"/>
    <mergeCell ref="R13:R14"/>
    <mergeCell ref="S13:S14"/>
    <mergeCell ref="A11:A12"/>
    <mergeCell ref="B11:B12"/>
    <mergeCell ref="E11:E12"/>
    <mergeCell ref="F11:F12"/>
    <mergeCell ref="G11:G12"/>
    <mergeCell ref="H11:H12"/>
    <mergeCell ref="I11:I12"/>
    <mergeCell ref="A9:A10"/>
    <mergeCell ref="B9:B10"/>
    <mergeCell ref="E9:E10"/>
    <mergeCell ref="F9:F10"/>
    <mergeCell ref="G9:G10"/>
    <mergeCell ref="H9:H10"/>
    <mergeCell ref="Q7:Q8"/>
    <mergeCell ref="R7:R8"/>
    <mergeCell ref="S7:S8"/>
    <mergeCell ref="A7:A8"/>
    <mergeCell ref="B7:B8"/>
    <mergeCell ref="E7:E8"/>
    <mergeCell ref="F7:F8"/>
    <mergeCell ref="G7:G8"/>
    <mergeCell ref="H7:H8"/>
    <mergeCell ref="A5:A6"/>
    <mergeCell ref="B5:B6"/>
    <mergeCell ref="E5:E6"/>
    <mergeCell ref="F5:F6"/>
    <mergeCell ref="G5:G6"/>
    <mergeCell ref="H5:H6"/>
    <mergeCell ref="P3:P4"/>
    <mergeCell ref="Q3:Q4"/>
    <mergeCell ref="R3:R4"/>
    <mergeCell ref="S3:S4"/>
    <mergeCell ref="T3:T12"/>
    <mergeCell ref="U3:U12"/>
    <mergeCell ref="P5:P6"/>
    <mergeCell ref="Q5:Q6"/>
    <mergeCell ref="R5:R6"/>
    <mergeCell ref="S5:S6"/>
    <mergeCell ref="H3:H4"/>
    <mergeCell ref="I3:I4"/>
    <mergeCell ref="J3:J12"/>
    <mergeCell ref="K3:K12"/>
    <mergeCell ref="L3:L4"/>
    <mergeCell ref="O3:O4"/>
    <mergeCell ref="I5:I6"/>
    <mergeCell ref="L5:L6"/>
    <mergeCell ref="O5:O6"/>
    <mergeCell ref="I7:I8"/>
    <mergeCell ref="I9:I10"/>
    <mergeCell ref="L9:L10"/>
    <mergeCell ref="O9:O10"/>
    <mergeCell ref="P9:P10"/>
    <mergeCell ref="L7:L8"/>
    <mergeCell ref="O7:O8"/>
    <mergeCell ref="P7:P8"/>
    <mergeCell ref="B1:I1"/>
    <mergeCell ref="L1:S1"/>
    <mergeCell ref="A3:A4"/>
    <mergeCell ref="B3:B4"/>
    <mergeCell ref="E3:E4"/>
    <mergeCell ref="F3:F4"/>
    <mergeCell ref="G3:G4"/>
    <mergeCell ref="I103:I104"/>
    <mergeCell ref="L103:L104"/>
    <mergeCell ref="O103:O104"/>
    <mergeCell ref="Q103:Q104"/>
    <mergeCell ref="L99:L100"/>
    <mergeCell ref="O99:O100"/>
    <mergeCell ref="A101:A102"/>
    <mergeCell ref="B101:B102"/>
    <mergeCell ref="E101:E102"/>
    <mergeCell ref="F101:F102"/>
    <mergeCell ref="O97:O98"/>
    <mergeCell ref="P97:P98"/>
    <mergeCell ref="Q97:Q98"/>
    <mergeCell ref="R97:R98"/>
    <mergeCell ref="K81:K86"/>
    <mergeCell ref="L81:L82"/>
    <mergeCell ref="O81:O82"/>
    <mergeCell ref="B77:B78"/>
    <mergeCell ref="E77:E78"/>
    <mergeCell ref="F77:F78"/>
    <mergeCell ref="O73:O74"/>
    <mergeCell ref="P73:P74"/>
    <mergeCell ref="Q73:Q74"/>
    <mergeCell ref="R73:R74"/>
    <mergeCell ref="Q59:Q60"/>
    <mergeCell ref="R59:R60"/>
    <mergeCell ref="P61:P62"/>
    <mergeCell ref="Q61:Q62"/>
    <mergeCell ref="K63:K68"/>
    <mergeCell ref="H61:H62"/>
    <mergeCell ref="I61:I62"/>
    <mergeCell ref="L61:L62"/>
    <mergeCell ref="O61:O62"/>
    <mergeCell ref="R61:R62"/>
    <mergeCell ref="L73:L74"/>
    <mergeCell ref="G77:G78"/>
    <mergeCell ref="H77:H78"/>
    <mergeCell ref="I77:I78"/>
    <mergeCell ref="L77:L78"/>
    <mergeCell ref="O77:O78"/>
    <mergeCell ref="P77:P78"/>
    <mergeCell ref="B51:B52"/>
    <mergeCell ref="E51:E52"/>
    <mergeCell ref="F51:F52"/>
    <mergeCell ref="R49:R50"/>
    <mergeCell ref="S49:S50"/>
    <mergeCell ref="Q51:Q52"/>
    <mergeCell ref="R51:R52"/>
    <mergeCell ref="A49:A50"/>
    <mergeCell ref="B49:B50"/>
    <mergeCell ref="E49:E50"/>
    <mergeCell ref="F49:F50"/>
    <mergeCell ref="S51:S52"/>
    <mergeCell ref="A47:A48"/>
    <mergeCell ref="B47:B48"/>
    <mergeCell ref="E47:E48"/>
    <mergeCell ref="F47:F48"/>
    <mergeCell ref="J33:J38"/>
    <mergeCell ref="K33:K38"/>
    <mergeCell ref="L33:L34"/>
    <mergeCell ref="O33:O34"/>
    <mergeCell ref="P33:P34"/>
    <mergeCell ref="A39:A40"/>
    <mergeCell ref="B39:B40"/>
    <mergeCell ref="E39:E40"/>
    <mergeCell ref="F39:F40"/>
    <mergeCell ref="G39:G40"/>
    <mergeCell ref="H39:H40"/>
    <mergeCell ref="I39:I40"/>
    <mergeCell ref="J39:J44"/>
    <mergeCell ref="L37:L38"/>
    <mergeCell ref="O37:O38"/>
    <mergeCell ref="P37:P38"/>
    <mergeCell ref="A45:A46"/>
    <mergeCell ref="B45:B46"/>
    <mergeCell ref="E45:E46"/>
    <mergeCell ref="F45:F46"/>
  </mergeCells>
  <conditionalFormatting sqref="C2:D117 M2:N117">
    <cfRule type="beginsWith" dxfId="0" priority="3" operator="beginsWith" text="NA">
      <formula>LEFT(C2,LEN("NA"))="NA"</formula>
    </cfRule>
  </conditionalFormatting>
  <conditionalFormatting sqref="K3:K104">
    <cfRule type="iconSet" priority="2">
      <iconSet reverse="1">
        <cfvo type="percent" val="0"/>
        <cfvo type="num" val="0.1"/>
        <cfvo type="num" val="0.15"/>
      </iconSet>
    </cfRule>
  </conditionalFormatting>
  <conditionalFormatting sqref="U3:U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CD044-0D42-4DB8-9314-D5E4ACBEAC9F}">
  <dimension ref="A1:E17"/>
  <sheetViews>
    <sheetView tabSelected="1" workbookViewId="0">
      <selection activeCell="C3" sqref="C3"/>
    </sheetView>
  </sheetViews>
  <sheetFormatPr baseColWidth="10" defaultRowHeight="14.5" x14ac:dyDescent="0.35"/>
  <sheetData>
    <row r="1" spans="1:5" x14ac:dyDescent="0.35">
      <c r="A1">
        <v>12.657526432976143</v>
      </c>
      <c r="C1" t="s">
        <v>106</v>
      </c>
      <c r="D1" t="s">
        <v>104</v>
      </c>
      <c r="E1" t="s">
        <v>105</v>
      </c>
    </row>
    <row r="2" spans="1:5" x14ac:dyDescent="0.35">
      <c r="B2" t="s">
        <v>107</v>
      </c>
      <c r="C2">
        <f>AVERAGE(A1,A5,A7,A9,A13,A15)</f>
        <v>12.544233336056005</v>
      </c>
      <c r="D2">
        <f>_xlfn.STDEV.S(A1,A5,A7,A9,A13,A15)</f>
        <v>3.2036951347305362</v>
      </c>
      <c r="E2" s="48">
        <f>(D2/SQRT(6))/C2</f>
        <v>0.10426329189539381</v>
      </c>
    </row>
    <row r="3" spans="1:5" x14ac:dyDescent="0.35">
      <c r="A3">
        <v>7.211967873141508</v>
      </c>
      <c r="B3" t="s">
        <v>108</v>
      </c>
      <c r="C3">
        <f>AVERAGE(A1,A5,A9,A13,A15)</f>
        <v>13.522073118530608</v>
      </c>
      <c r="D3">
        <f>_xlfn.STDEV.S(A1,A5,A9,A13,A15)</f>
        <v>2.3787177940952446</v>
      </c>
      <c r="E3" s="48">
        <f>(D3/SQRT(5))/C3</f>
        <v>7.8670994310720124E-2</v>
      </c>
    </row>
    <row r="5" spans="1:5" x14ac:dyDescent="0.35">
      <c r="A5">
        <v>10.056206298167716</v>
      </c>
    </row>
    <row r="7" spans="1:5" x14ac:dyDescent="0.35">
      <c r="A7">
        <v>7.6550344236829835</v>
      </c>
    </row>
    <row r="9" spans="1:5" x14ac:dyDescent="0.35">
      <c r="A9">
        <v>13.502007704615005</v>
      </c>
    </row>
    <row r="11" spans="1:5" x14ac:dyDescent="0.35">
      <c r="A11">
        <v>5.8934192017050231</v>
      </c>
    </row>
    <row r="13" spans="1:5" x14ac:dyDescent="0.35">
      <c r="A13">
        <v>15.244662851287861</v>
      </c>
    </row>
    <row r="15" spans="1:5" x14ac:dyDescent="0.35">
      <c r="A15">
        <v>16.149962305606316</v>
      </c>
    </row>
    <row r="17" spans="1:1" x14ac:dyDescent="0.35">
      <c r="A17">
        <v>3.7306442196254772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CF25-5B26-441D-822C-A3BFCF88FD48}">
  <dimension ref="A1:P103"/>
  <sheetViews>
    <sheetView zoomScale="85" zoomScaleNormal="85" workbookViewId="0">
      <pane ySplit="1" topLeftCell="A2" activePane="bottomLeft" state="frozen"/>
      <selection pane="bottomLeft" activeCell="N73" sqref="N73"/>
    </sheetView>
  </sheetViews>
  <sheetFormatPr baseColWidth="10" defaultRowHeight="14.5" x14ac:dyDescent="0.35"/>
  <sheetData>
    <row r="1" spans="1:16" x14ac:dyDescent="0.3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68</v>
      </c>
      <c r="H1" s="4" t="s">
        <v>69</v>
      </c>
      <c r="I1" s="4" t="s">
        <v>70</v>
      </c>
      <c r="J1" s="4" t="s">
        <v>71</v>
      </c>
      <c r="K1" s="4" t="s">
        <v>72</v>
      </c>
      <c r="L1" s="4" t="s">
        <v>73</v>
      </c>
      <c r="M1" s="4" t="s">
        <v>74</v>
      </c>
      <c r="N1" s="4" t="s">
        <v>75</v>
      </c>
      <c r="O1" s="4" t="s">
        <v>77</v>
      </c>
      <c r="P1" s="4" t="s">
        <v>76</v>
      </c>
    </row>
    <row r="2" spans="1:16" x14ac:dyDescent="0.35">
      <c r="A2">
        <v>1</v>
      </c>
      <c r="B2" t="s">
        <v>29</v>
      </c>
      <c r="C2" t="s">
        <v>33</v>
      </c>
      <c r="D2" t="s">
        <v>33</v>
      </c>
      <c r="E2" t="s">
        <v>33</v>
      </c>
      <c r="F2" t="s">
        <v>30</v>
      </c>
      <c r="G2">
        <v>60.08735148373993</v>
      </c>
      <c r="H2">
        <v>17.590956301500505</v>
      </c>
      <c r="I2">
        <v>-1.177532045115689</v>
      </c>
      <c r="J2">
        <v>10.433626476658437</v>
      </c>
      <c r="K2">
        <v>120.37373126302347</v>
      </c>
      <c r="L2">
        <v>1.5932239602838518</v>
      </c>
      <c r="M2">
        <v>2.3400890517679058</v>
      </c>
      <c r="N2">
        <v>8.2649999999999988</v>
      </c>
      <c r="O2">
        <v>860.74999999999989</v>
      </c>
      <c r="P2">
        <v>28.685920577617331</v>
      </c>
    </row>
    <row r="3" spans="1:16" x14ac:dyDescent="0.35">
      <c r="A3">
        <v>2</v>
      </c>
      <c r="B3" t="s">
        <v>29</v>
      </c>
      <c r="C3" t="s">
        <v>33</v>
      </c>
      <c r="D3" t="s">
        <v>33</v>
      </c>
      <c r="E3" t="s">
        <v>33</v>
      </c>
      <c r="F3" t="s">
        <v>30</v>
      </c>
      <c r="G3">
        <v>81.579104480179907</v>
      </c>
      <c r="H3">
        <v>12.617405475486192</v>
      </c>
      <c r="I3">
        <v>17.589351884783603</v>
      </c>
      <c r="J3">
        <v>11.950626348555303</v>
      </c>
      <c r="K3">
        <v>110.29940701856709</v>
      </c>
      <c r="L3">
        <v>1.8662632448721694</v>
      </c>
      <c r="M3">
        <v>5.4997144649523317</v>
      </c>
      <c r="N3">
        <v>5.7149999999999999</v>
      </c>
      <c r="O3">
        <v>578.24999999999977</v>
      </c>
      <c r="P3">
        <v>24.985559566787003</v>
      </c>
    </row>
    <row r="4" spans="1:16" x14ac:dyDescent="0.35">
      <c r="A4">
        <v>3</v>
      </c>
      <c r="B4" t="s">
        <v>29</v>
      </c>
      <c r="C4" t="s">
        <v>33</v>
      </c>
      <c r="D4" t="s">
        <v>33</v>
      </c>
      <c r="E4" t="s">
        <v>33</v>
      </c>
      <c r="F4" t="s">
        <v>30</v>
      </c>
      <c r="G4">
        <v>69.57396392475458</v>
      </c>
      <c r="H4">
        <v>15.489414811808137</v>
      </c>
      <c r="I4">
        <v>15.694480253167567</v>
      </c>
      <c r="J4">
        <v>8.5679018853337556</v>
      </c>
      <c r="K4">
        <v>130.7181889149102</v>
      </c>
      <c r="L4">
        <v>4.3476419711782697</v>
      </c>
      <c r="M4">
        <v>1.3839000713704206</v>
      </c>
      <c r="N4">
        <v>6.4050000000000011</v>
      </c>
      <c r="O4">
        <v>336.99999999999989</v>
      </c>
      <c r="P4">
        <v>21.194945848375454</v>
      </c>
    </row>
    <row r="5" spans="1:16" x14ac:dyDescent="0.35">
      <c r="A5">
        <v>4</v>
      </c>
      <c r="B5" t="s">
        <v>29</v>
      </c>
      <c r="C5" t="s">
        <v>33</v>
      </c>
      <c r="D5" t="s">
        <v>33</v>
      </c>
      <c r="E5" t="s">
        <v>33</v>
      </c>
      <c r="F5" t="s">
        <v>30</v>
      </c>
      <c r="G5">
        <v>82.015840343785285</v>
      </c>
      <c r="H5">
        <v>18.611419909044972</v>
      </c>
      <c r="I5">
        <v>40.961567906905529</v>
      </c>
      <c r="J5">
        <v>12.32690246516613</v>
      </c>
      <c r="K5">
        <v>106.21234567901236</v>
      </c>
      <c r="L5">
        <v>5.4384656084656093</v>
      </c>
      <c r="M5">
        <v>1.3966892937954032</v>
      </c>
      <c r="N5">
        <v>5.625</v>
      </c>
      <c r="O5">
        <v>475.74999999999989</v>
      </c>
      <c r="P5">
        <v>22.217809867629363</v>
      </c>
    </row>
    <row r="6" spans="1:16" x14ac:dyDescent="0.35">
      <c r="A6">
        <v>5</v>
      </c>
      <c r="B6" t="s">
        <v>29</v>
      </c>
      <c r="C6" t="s">
        <v>33</v>
      </c>
      <c r="D6" t="s">
        <v>33</v>
      </c>
      <c r="E6" t="s">
        <v>33</v>
      </c>
      <c r="F6" t="s">
        <v>30</v>
      </c>
      <c r="G6">
        <v>91.681684133469489</v>
      </c>
      <c r="H6">
        <v>15.547281757288271</v>
      </c>
      <c r="I6">
        <v>30.341271591692369</v>
      </c>
      <c r="J6">
        <v>12.7674208039746</v>
      </c>
      <c r="K6">
        <v>127.61599144270622</v>
      </c>
      <c r="L6">
        <v>2.7862347907474261</v>
      </c>
      <c r="M6">
        <v>4.0731411295679347</v>
      </c>
      <c r="N6">
        <v>4.1550000000000002</v>
      </c>
      <c r="O6">
        <v>290.74999999999989</v>
      </c>
      <c r="P6">
        <v>22.217809867629363</v>
      </c>
    </row>
    <row r="7" spans="1:16" x14ac:dyDescent="0.35">
      <c r="A7">
        <v>6</v>
      </c>
      <c r="B7" t="s">
        <v>31</v>
      </c>
      <c r="C7" t="s">
        <v>33</v>
      </c>
      <c r="D7" t="s">
        <v>33</v>
      </c>
      <c r="E7" t="s">
        <v>33</v>
      </c>
      <c r="F7" t="s">
        <v>30</v>
      </c>
      <c r="G7">
        <v>78.80594364023132</v>
      </c>
      <c r="H7">
        <v>22.263235151503142</v>
      </c>
      <c r="I7">
        <v>0.34926439314560359</v>
      </c>
      <c r="J7">
        <v>11.585019860034045</v>
      </c>
      <c r="K7">
        <v>196.80629827688651</v>
      </c>
      <c r="L7">
        <v>2.8799939167586222</v>
      </c>
      <c r="M7">
        <v>1.5513561948212982</v>
      </c>
      <c r="N7">
        <v>5.61</v>
      </c>
      <c r="O7">
        <v>196.99999999999989</v>
      </c>
      <c r="P7">
        <v>22.247894103489774</v>
      </c>
    </row>
    <row r="8" spans="1:16" x14ac:dyDescent="0.35">
      <c r="A8">
        <v>7</v>
      </c>
      <c r="B8" t="s">
        <v>31</v>
      </c>
      <c r="C8" t="s">
        <v>33</v>
      </c>
      <c r="D8" t="s">
        <v>33</v>
      </c>
      <c r="E8" t="s">
        <v>33</v>
      </c>
      <c r="F8" t="s">
        <v>30</v>
      </c>
      <c r="G8">
        <v>71.034099771372581</v>
      </c>
      <c r="H8">
        <v>16.036586927718002</v>
      </c>
      <c r="I8">
        <v>22.202590771352163</v>
      </c>
      <c r="J8">
        <v>11.498202122877986</v>
      </c>
      <c r="K8">
        <v>183.91363713944358</v>
      </c>
      <c r="L8">
        <v>4.1430613464023605</v>
      </c>
      <c r="M8">
        <v>0.25996776333878302</v>
      </c>
      <c r="N8">
        <v>6.51</v>
      </c>
      <c r="O8">
        <v>440.74999999999994</v>
      </c>
      <c r="P8">
        <v>25.617328519855597</v>
      </c>
    </row>
    <row r="9" spans="1:16" x14ac:dyDescent="0.35">
      <c r="A9">
        <v>8</v>
      </c>
      <c r="B9" t="s">
        <v>31</v>
      </c>
      <c r="C9" t="s">
        <v>33</v>
      </c>
      <c r="D9" t="s">
        <v>33</v>
      </c>
      <c r="E9" t="s">
        <v>33</v>
      </c>
      <c r="F9" t="s">
        <v>30</v>
      </c>
      <c r="G9">
        <v>59.488040542742198</v>
      </c>
      <c r="H9">
        <v>23.757357823532189</v>
      </c>
      <c r="I9">
        <v>36.479856967123716</v>
      </c>
      <c r="J9">
        <v>13.407566194275734</v>
      </c>
      <c r="K9">
        <v>139.27875243664718</v>
      </c>
      <c r="L9">
        <v>6.2333895438183928</v>
      </c>
      <c r="M9">
        <v>0.63438139630764834</v>
      </c>
      <c r="N9">
        <v>7.6950000000000003</v>
      </c>
      <c r="O9">
        <v>625.75</v>
      </c>
      <c r="P9">
        <v>28.32490974729242</v>
      </c>
    </row>
    <row r="10" spans="1:16" x14ac:dyDescent="0.35">
      <c r="A10">
        <v>9</v>
      </c>
      <c r="B10" t="s">
        <v>31</v>
      </c>
      <c r="C10" t="s">
        <v>33</v>
      </c>
      <c r="D10" t="s">
        <v>33</v>
      </c>
      <c r="E10" t="s">
        <v>33</v>
      </c>
      <c r="F10" t="s">
        <v>30</v>
      </c>
      <c r="G10">
        <v>59.607440247437488</v>
      </c>
      <c r="H10">
        <v>28.637009798023978</v>
      </c>
      <c r="I10">
        <v>-1.9940809478489616</v>
      </c>
      <c r="J10">
        <v>22.902086879767982</v>
      </c>
      <c r="K10">
        <v>243.4329287270464</v>
      </c>
      <c r="L10">
        <v>8.4332010582010586</v>
      </c>
      <c r="M10">
        <v>10.158189749640481</v>
      </c>
      <c r="N10">
        <v>3.57</v>
      </c>
      <c r="O10">
        <v>595.75</v>
      </c>
      <c r="P10">
        <v>30.942238267148014</v>
      </c>
    </row>
    <row r="11" spans="1:16" x14ac:dyDescent="0.35">
      <c r="A11">
        <v>10</v>
      </c>
      <c r="B11" t="s">
        <v>31</v>
      </c>
      <c r="C11" t="s">
        <v>33</v>
      </c>
      <c r="D11" t="s">
        <v>33</v>
      </c>
      <c r="E11" t="s">
        <v>33</v>
      </c>
      <c r="F11" t="s">
        <v>30</v>
      </c>
      <c r="G11">
        <v>63.573473178192955</v>
      </c>
      <c r="H11">
        <v>12.601950105739903</v>
      </c>
      <c r="I11">
        <v>10.030793310536072</v>
      </c>
      <c r="J11">
        <v>14.90740740740741</v>
      </c>
      <c r="K11" t="s">
        <v>1</v>
      </c>
      <c r="L11">
        <v>3.5336890064667843</v>
      </c>
      <c r="M11">
        <v>11.027748005239969</v>
      </c>
      <c r="N11">
        <v>6.7499999999999991</v>
      </c>
      <c r="O11">
        <v>474.49999999999989</v>
      </c>
      <c r="P11">
        <v>26.279181708784598</v>
      </c>
    </row>
    <row r="12" spans="1:16" x14ac:dyDescent="0.35">
      <c r="A12">
        <v>11</v>
      </c>
      <c r="B12" t="s">
        <v>32</v>
      </c>
      <c r="C12" t="s">
        <v>33</v>
      </c>
      <c r="D12" t="s">
        <v>33</v>
      </c>
      <c r="E12" t="s">
        <v>33</v>
      </c>
      <c r="F12" t="s">
        <v>30</v>
      </c>
      <c r="G12">
        <v>95.245663702671266</v>
      </c>
      <c r="H12">
        <v>38.81968871641994</v>
      </c>
      <c r="I12">
        <v>36.992274996832798</v>
      </c>
      <c r="J12">
        <v>18.21038720486165</v>
      </c>
      <c r="K12">
        <v>238.90686803308162</v>
      </c>
      <c r="L12">
        <v>8.5963382476327457</v>
      </c>
      <c r="M12">
        <v>8.6415513631197474</v>
      </c>
      <c r="N12">
        <v>4.6349999999999998</v>
      </c>
      <c r="O12">
        <v>228.24999999999989</v>
      </c>
      <c r="P12">
        <v>26.730445246690735</v>
      </c>
    </row>
    <row r="13" spans="1:16" x14ac:dyDescent="0.35">
      <c r="A13">
        <v>12</v>
      </c>
      <c r="B13" t="s">
        <v>32</v>
      </c>
      <c r="C13" t="s">
        <v>33</v>
      </c>
      <c r="D13" t="s">
        <v>33</v>
      </c>
      <c r="E13" t="s">
        <v>33</v>
      </c>
      <c r="F13" t="s">
        <v>30</v>
      </c>
      <c r="G13">
        <v>104.78707259605574</v>
      </c>
      <c r="H13">
        <v>49.738183844412454</v>
      </c>
      <c r="I13">
        <v>1.6101245246425013</v>
      </c>
      <c r="J13">
        <v>21.184452668405829</v>
      </c>
      <c r="K13">
        <v>225.02445842068479</v>
      </c>
      <c r="L13">
        <v>7.3877358490566047</v>
      </c>
      <c r="M13">
        <v>24.267427046047441</v>
      </c>
      <c r="N13">
        <v>3.9750000000000001</v>
      </c>
      <c r="O13">
        <v>435.74999999999989</v>
      </c>
      <c r="P13">
        <v>20.412755716004817</v>
      </c>
    </row>
    <row r="14" spans="1:16" x14ac:dyDescent="0.35">
      <c r="A14">
        <v>13</v>
      </c>
      <c r="B14" t="s">
        <v>32</v>
      </c>
      <c r="C14" t="s">
        <v>33</v>
      </c>
      <c r="D14" t="s">
        <v>33</v>
      </c>
      <c r="E14" t="s">
        <v>33</v>
      </c>
      <c r="F14" t="s">
        <v>30</v>
      </c>
      <c r="G14">
        <v>81.739125671385892</v>
      </c>
      <c r="H14">
        <v>37.483017677567425</v>
      </c>
      <c r="I14">
        <v>90.370137213369134</v>
      </c>
      <c r="J14">
        <v>14.514236580712767</v>
      </c>
      <c r="K14">
        <v>203.82750438460741</v>
      </c>
      <c r="L14">
        <v>5.4805345536543317</v>
      </c>
      <c r="M14">
        <v>6.9135315935555983</v>
      </c>
      <c r="N14">
        <v>5.3849999999999998</v>
      </c>
      <c r="O14">
        <v>283.24999999999994</v>
      </c>
      <c r="P14">
        <v>20.503008423586042</v>
      </c>
    </row>
    <row r="15" spans="1:16" x14ac:dyDescent="0.35">
      <c r="A15">
        <v>14</v>
      </c>
      <c r="B15" t="s">
        <v>32</v>
      </c>
      <c r="C15" t="s">
        <v>33</v>
      </c>
      <c r="D15" t="s">
        <v>33</v>
      </c>
      <c r="E15" t="s">
        <v>33</v>
      </c>
      <c r="F15" t="s">
        <v>30</v>
      </c>
      <c r="G15">
        <v>105.99470026498676</v>
      </c>
      <c r="H15">
        <v>36.636662355866548</v>
      </c>
      <c r="I15">
        <v>19.737102003165539</v>
      </c>
      <c r="J15">
        <v>23.807496321325413</v>
      </c>
      <c r="K15">
        <v>153.74764595103579</v>
      </c>
      <c r="L15">
        <v>5.2208266074791503</v>
      </c>
      <c r="M15">
        <v>4.0117233152275933</v>
      </c>
      <c r="N15">
        <v>3.54</v>
      </c>
      <c r="O15">
        <v>311.99999999999989</v>
      </c>
      <c r="P15">
        <v>23.15042117930205</v>
      </c>
    </row>
    <row r="16" spans="1:16" x14ac:dyDescent="0.35">
      <c r="A16">
        <v>15</v>
      </c>
      <c r="B16" t="s">
        <v>32</v>
      </c>
      <c r="C16" t="s">
        <v>33</v>
      </c>
      <c r="D16" t="s">
        <v>33</v>
      </c>
      <c r="E16" t="s">
        <v>33</v>
      </c>
      <c r="F16" t="s">
        <v>30</v>
      </c>
      <c r="G16">
        <v>77.317329535822054</v>
      </c>
      <c r="H16">
        <v>34.016173654792958</v>
      </c>
      <c r="I16">
        <v>-1.6084503555398404</v>
      </c>
      <c r="J16">
        <v>14.660408273890923</v>
      </c>
      <c r="K16">
        <v>204.69348659003828</v>
      </c>
      <c r="L16">
        <v>4.6831896551724137</v>
      </c>
      <c r="M16">
        <v>3.7051409986325172</v>
      </c>
      <c r="N16">
        <v>5.22</v>
      </c>
      <c r="O16">
        <v>140.74999999999989</v>
      </c>
      <c r="P16">
        <v>18.367027677496992</v>
      </c>
    </row>
    <row r="17" spans="1:16" x14ac:dyDescent="0.35">
      <c r="A17">
        <v>16</v>
      </c>
      <c r="B17" t="s">
        <v>29</v>
      </c>
      <c r="C17" t="s">
        <v>34</v>
      </c>
      <c r="D17" t="s">
        <v>33</v>
      </c>
      <c r="E17" t="s">
        <v>34</v>
      </c>
      <c r="F17" t="s">
        <v>30</v>
      </c>
      <c r="G17">
        <v>65.687648372462078</v>
      </c>
      <c r="H17" t="s">
        <v>1</v>
      </c>
      <c r="I17">
        <v>5.81316412272463</v>
      </c>
      <c r="J17">
        <v>14.997221660354375</v>
      </c>
      <c r="K17">
        <v>129.0993813770387</v>
      </c>
      <c r="L17">
        <v>3.7364166924904456</v>
      </c>
      <c r="M17">
        <v>4.1601470621286358</v>
      </c>
      <c r="N17">
        <v>6.9149999999999991</v>
      </c>
      <c r="O17">
        <v>506.99999999999994</v>
      </c>
      <c r="P17">
        <v>27.061371841155236</v>
      </c>
    </row>
    <row r="18" spans="1:16" x14ac:dyDescent="0.35">
      <c r="A18">
        <v>17</v>
      </c>
      <c r="B18" t="s">
        <v>29</v>
      </c>
      <c r="C18" t="s">
        <v>34</v>
      </c>
      <c r="D18" t="s">
        <v>33</v>
      </c>
      <c r="E18" t="s">
        <v>34</v>
      </c>
      <c r="F18" t="s">
        <v>30</v>
      </c>
      <c r="G18">
        <v>65.206027447915361</v>
      </c>
      <c r="H18">
        <v>28.443960732995606</v>
      </c>
      <c r="I18">
        <v>31.760100088074367</v>
      </c>
      <c r="J18">
        <v>12.437585023497403</v>
      </c>
      <c r="K18">
        <v>158.01282051282047</v>
      </c>
      <c r="L18">
        <v>5.7691449175824188</v>
      </c>
      <c r="M18">
        <v>5.6081155357682704</v>
      </c>
      <c r="N18">
        <v>6.2399999999999993</v>
      </c>
      <c r="O18" t="s">
        <v>1</v>
      </c>
      <c r="P18">
        <v>19.299638989169679</v>
      </c>
    </row>
    <row r="19" spans="1:16" x14ac:dyDescent="0.35">
      <c r="A19">
        <v>18</v>
      </c>
      <c r="B19" t="s">
        <v>29</v>
      </c>
      <c r="C19" t="s">
        <v>34</v>
      </c>
      <c r="D19" t="s">
        <v>33</v>
      </c>
      <c r="E19" t="s">
        <v>34</v>
      </c>
      <c r="F19" t="s">
        <v>30</v>
      </c>
      <c r="G19">
        <v>88.812723384994783</v>
      </c>
      <c r="H19">
        <v>40.738601880592789</v>
      </c>
      <c r="I19">
        <v>13.239158948085599</v>
      </c>
      <c r="J19">
        <v>21.277130225080388</v>
      </c>
      <c r="K19">
        <v>169.57671957671957</v>
      </c>
      <c r="L19">
        <v>5.6003440728143108</v>
      </c>
      <c r="M19">
        <v>9.3608048792936263</v>
      </c>
      <c r="N19">
        <v>5.04</v>
      </c>
      <c r="O19">
        <v>446.99999999999989</v>
      </c>
      <c r="P19">
        <v>30.821901323706378</v>
      </c>
    </row>
    <row r="20" spans="1:16" x14ac:dyDescent="0.35">
      <c r="A20">
        <v>19</v>
      </c>
      <c r="B20" t="s">
        <v>31</v>
      </c>
      <c r="C20" t="s">
        <v>34</v>
      </c>
      <c r="D20" t="s">
        <v>33</v>
      </c>
      <c r="E20" t="s">
        <v>34</v>
      </c>
      <c r="F20" t="s">
        <v>30</v>
      </c>
      <c r="G20">
        <v>64.272753080555233</v>
      </c>
      <c r="H20">
        <v>27.955114744133041</v>
      </c>
      <c r="I20">
        <v>4.4683328261601352</v>
      </c>
      <c r="J20">
        <v>14.05074376889787</v>
      </c>
      <c r="K20">
        <v>160.31956409690008</v>
      </c>
      <c r="L20">
        <v>3.8723084771792537</v>
      </c>
      <c r="M20">
        <v>1.9894921290406899</v>
      </c>
      <c r="N20">
        <v>7.5449999999999999</v>
      </c>
      <c r="O20">
        <v>233.24999999999997</v>
      </c>
      <c r="P20">
        <v>26.610108303249099</v>
      </c>
    </row>
    <row r="21" spans="1:16" x14ac:dyDescent="0.35">
      <c r="A21">
        <v>20</v>
      </c>
      <c r="B21" t="s">
        <v>31</v>
      </c>
      <c r="C21" t="s">
        <v>34</v>
      </c>
      <c r="D21" t="s">
        <v>33</v>
      </c>
      <c r="E21" t="s">
        <v>34</v>
      </c>
      <c r="F21" t="s">
        <v>30</v>
      </c>
      <c r="G21">
        <v>72.940114668984748</v>
      </c>
      <c r="H21">
        <v>34.940547243642804</v>
      </c>
      <c r="I21">
        <v>14.544162104626244</v>
      </c>
      <c r="J21">
        <v>17.309170977212361</v>
      </c>
      <c r="K21">
        <v>137.83715780998386</v>
      </c>
      <c r="L21">
        <v>6.0364942776627561</v>
      </c>
      <c r="M21" t="s">
        <v>1</v>
      </c>
      <c r="N21">
        <v>5.52</v>
      </c>
      <c r="O21">
        <v>620.74999999999989</v>
      </c>
      <c r="P21">
        <v>25.948255114320098</v>
      </c>
    </row>
    <row r="22" spans="1:16" x14ac:dyDescent="0.35">
      <c r="A22">
        <v>21</v>
      </c>
      <c r="B22" t="s">
        <v>31</v>
      </c>
      <c r="C22" t="s">
        <v>34</v>
      </c>
      <c r="D22" t="s">
        <v>33</v>
      </c>
      <c r="E22" t="s">
        <v>34</v>
      </c>
      <c r="F22" t="s">
        <v>30</v>
      </c>
      <c r="G22">
        <v>69.785001270694806</v>
      </c>
      <c r="H22">
        <v>31.302518537273979</v>
      </c>
      <c r="I22">
        <v>0.32456751186133176</v>
      </c>
      <c r="J22">
        <v>13.249197298942773</v>
      </c>
      <c r="K22">
        <v>166.4706823454124</v>
      </c>
      <c r="L22">
        <v>4.4111299667455173</v>
      </c>
      <c r="M22">
        <v>2.1027256726214318</v>
      </c>
      <c r="N22">
        <v>6.9449999999999994</v>
      </c>
      <c r="O22">
        <v>488.24999999999989</v>
      </c>
      <c r="P22">
        <v>33.318892900120339</v>
      </c>
    </row>
    <row r="23" spans="1:16" x14ac:dyDescent="0.35">
      <c r="A23">
        <v>22</v>
      </c>
      <c r="B23" t="s">
        <v>32</v>
      </c>
      <c r="C23" t="s">
        <v>34</v>
      </c>
      <c r="D23" t="s">
        <v>33</v>
      </c>
      <c r="E23" t="s">
        <v>34</v>
      </c>
      <c r="F23" t="s">
        <v>30</v>
      </c>
      <c r="G23">
        <v>99.597509013438213</v>
      </c>
      <c r="H23" t="s">
        <v>1</v>
      </c>
      <c r="I23">
        <v>-9.8634251033692966</v>
      </c>
      <c r="J23">
        <v>19.319399785637724</v>
      </c>
      <c r="K23">
        <v>206.26834381551359</v>
      </c>
      <c r="L23">
        <v>5.7681191973644799</v>
      </c>
      <c r="M23">
        <v>3.5437184439186495</v>
      </c>
      <c r="N23">
        <v>3.9750000000000001</v>
      </c>
      <c r="O23" t="s">
        <v>1</v>
      </c>
      <c r="P23">
        <v>24.955475330926596</v>
      </c>
    </row>
    <row r="24" spans="1:16" x14ac:dyDescent="0.35">
      <c r="A24">
        <v>23</v>
      </c>
      <c r="B24" t="s">
        <v>32</v>
      </c>
      <c r="C24" t="s">
        <v>34</v>
      </c>
      <c r="D24" t="s">
        <v>33</v>
      </c>
      <c r="E24" t="s">
        <v>34</v>
      </c>
      <c r="F24" t="s">
        <v>30</v>
      </c>
      <c r="G24">
        <v>72.293323822958811</v>
      </c>
      <c r="H24">
        <v>28.922383014802769</v>
      </c>
      <c r="I24">
        <v>11.442847257400279</v>
      </c>
      <c r="J24">
        <v>15.51765655764409</v>
      </c>
      <c r="K24">
        <v>151.25224343286018</v>
      </c>
      <c r="L24">
        <v>2.7719652471855123</v>
      </c>
      <c r="M24">
        <v>6.771612895102562</v>
      </c>
      <c r="N24">
        <v>6.81</v>
      </c>
      <c r="O24">
        <v>390.75</v>
      </c>
      <c r="P24">
        <v>27.332129963898918</v>
      </c>
    </row>
    <row r="25" spans="1:16" x14ac:dyDescent="0.35">
      <c r="A25">
        <v>24</v>
      </c>
      <c r="B25" t="s">
        <v>32</v>
      </c>
      <c r="C25" t="s">
        <v>34</v>
      </c>
      <c r="D25" t="s">
        <v>33</v>
      </c>
      <c r="E25" t="s">
        <v>34</v>
      </c>
      <c r="F25" t="s">
        <v>30</v>
      </c>
      <c r="G25">
        <v>54.80895241597451</v>
      </c>
      <c r="H25">
        <v>28.053367951567338</v>
      </c>
      <c r="I25">
        <v>4.035717639879401</v>
      </c>
      <c r="J25">
        <v>13.499485879103164</v>
      </c>
      <c r="K25">
        <v>205.21303824149354</v>
      </c>
      <c r="L25">
        <v>5.9654982363315714</v>
      </c>
      <c r="M25">
        <v>13.364964839359006</v>
      </c>
      <c r="N25">
        <v>7.38</v>
      </c>
      <c r="O25">
        <v>179.49999999999994</v>
      </c>
      <c r="P25">
        <v>28.565583634175695</v>
      </c>
    </row>
    <row r="26" spans="1:16" x14ac:dyDescent="0.35">
      <c r="A26">
        <v>25</v>
      </c>
      <c r="B26" t="s">
        <v>29</v>
      </c>
      <c r="C26" t="s">
        <v>33</v>
      </c>
      <c r="D26" t="s">
        <v>33</v>
      </c>
      <c r="E26" t="s">
        <v>34</v>
      </c>
      <c r="F26" t="s">
        <v>30</v>
      </c>
      <c r="G26">
        <v>73.48558701864431</v>
      </c>
      <c r="H26">
        <v>17.654176189438651</v>
      </c>
      <c r="I26">
        <v>-1.253763319015986</v>
      </c>
      <c r="J26">
        <v>13.736270489788293</v>
      </c>
      <c r="K26">
        <v>108.13370710159701</v>
      </c>
      <c r="L26">
        <v>1.9437982379496144</v>
      </c>
      <c r="M26">
        <v>13.766384455785325</v>
      </c>
      <c r="N26">
        <v>6.54</v>
      </c>
      <c r="O26">
        <v>408.24999999999989</v>
      </c>
      <c r="P26">
        <v>29.979542719614926</v>
      </c>
    </row>
    <row r="27" spans="1:16" x14ac:dyDescent="0.35">
      <c r="A27">
        <v>26</v>
      </c>
      <c r="B27" t="s">
        <v>29</v>
      </c>
      <c r="C27" t="s">
        <v>33</v>
      </c>
      <c r="D27" t="s">
        <v>33</v>
      </c>
      <c r="E27" t="s">
        <v>34</v>
      </c>
      <c r="F27" t="s">
        <v>30</v>
      </c>
      <c r="G27">
        <v>67.069475397745549</v>
      </c>
      <c r="H27">
        <v>13.200438290752263</v>
      </c>
      <c r="I27">
        <v>8.0602593988809392</v>
      </c>
      <c r="J27">
        <v>10.984066804242454</v>
      </c>
      <c r="K27">
        <v>98.557213930348254</v>
      </c>
      <c r="L27">
        <v>2.6493129590144511</v>
      </c>
      <c r="M27">
        <v>22.681722302589034</v>
      </c>
      <c r="N27">
        <v>7.0349999999999993</v>
      </c>
      <c r="O27" t="s">
        <v>1</v>
      </c>
      <c r="P27">
        <v>37.891696750902526</v>
      </c>
    </row>
    <row r="28" spans="1:16" x14ac:dyDescent="0.35">
      <c r="A28">
        <v>27</v>
      </c>
      <c r="B28" t="s">
        <v>29</v>
      </c>
      <c r="C28" t="s">
        <v>33</v>
      </c>
      <c r="D28" t="s">
        <v>33</v>
      </c>
      <c r="E28" t="s">
        <v>34</v>
      </c>
      <c r="F28" t="s">
        <v>30</v>
      </c>
      <c r="G28">
        <v>89.953213335303303</v>
      </c>
      <c r="H28" t="s">
        <v>1</v>
      </c>
      <c r="I28">
        <v>-7.8371633025682392</v>
      </c>
      <c r="J28">
        <v>13.294903620278893</v>
      </c>
      <c r="K28">
        <v>141.3644214162349</v>
      </c>
      <c r="L28" t="s">
        <v>1</v>
      </c>
      <c r="M28" t="s">
        <v>1</v>
      </c>
      <c r="N28">
        <v>5.79</v>
      </c>
      <c r="O28">
        <v>480.74999999999989</v>
      </c>
      <c r="P28" t="s">
        <v>1</v>
      </c>
    </row>
    <row r="29" spans="1:16" x14ac:dyDescent="0.35">
      <c r="A29">
        <v>28</v>
      </c>
      <c r="B29" t="s">
        <v>31</v>
      </c>
      <c r="C29" t="s">
        <v>33</v>
      </c>
      <c r="D29" t="s">
        <v>33</v>
      </c>
      <c r="E29" t="s">
        <v>34</v>
      </c>
      <c r="F29" t="s">
        <v>30</v>
      </c>
      <c r="G29">
        <v>74.922952937320446</v>
      </c>
      <c r="H29">
        <v>22.51298767780651</v>
      </c>
      <c r="I29">
        <v>17.278679960730265</v>
      </c>
      <c r="J29">
        <v>13.374629594603112</v>
      </c>
      <c r="K29">
        <v>80.223529411764687</v>
      </c>
      <c r="L29">
        <v>1.8802832244008723</v>
      </c>
      <c r="M29">
        <v>6.0647710316709746</v>
      </c>
      <c r="N29">
        <v>6.3750000000000009</v>
      </c>
      <c r="O29">
        <v>466.99999999999989</v>
      </c>
      <c r="P29">
        <v>29.347773766546332</v>
      </c>
    </row>
    <row r="30" spans="1:16" x14ac:dyDescent="0.35">
      <c r="A30">
        <v>29</v>
      </c>
      <c r="B30" t="s">
        <v>31</v>
      </c>
      <c r="C30" t="s">
        <v>33</v>
      </c>
      <c r="D30" t="s">
        <v>33</v>
      </c>
      <c r="E30" t="s">
        <v>34</v>
      </c>
      <c r="F30" t="s">
        <v>30</v>
      </c>
      <c r="G30">
        <v>72.172378212365103</v>
      </c>
      <c r="H30">
        <v>18.054161286096605</v>
      </c>
      <c r="I30">
        <v>-0.56558370241829203</v>
      </c>
      <c r="J30">
        <v>15.45760390615696</v>
      </c>
      <c r="K30">
        <v>91.576954732510288</v>
      </c>
      <c r="L30">
        <v>2.1624426807760142</v>
      </c>
      <c r="M30">
        <v>20.809019094120917</v>
      </c>
      <c r="N30">
        <v>6.75</v>
      </c>
      <c r="O30">
        <v>465.74999999999989</v>
      </c>
      <c r="P30">
        <v>34.762936221419977</v>
      </c>
    </row>
    <row r="31" spans="1:16" x14ac:dyDescent="0.35">
      <c r="A31">
        <v>30</v>
      </c>
      <c r="B31" t="s">
        <v>31</v>
      </c>
      <c r="C31" t="s">
        <v>33</v>
      </c>
      <c r="D31" t="s">
        <v>33</v>
      </c>
      <c r="E31" t="s">
        <v>34</v>
      </c>
      <c r="F31" t="s">
        <v>30</v>
      </c>
      <c r="G31">
        <v>84.968654565508089</v>
      </c>
      <c r="H31">
        <v>16.820397239800979</v>
      </c>
      <c r="I31">
        <v>4.0575209481196248</v>
      </c>
      <c r="J31">
        <v>12.817077527688459</v>
      </c>
      <c r="K31">
        <v>122.03869047619051</v>
      </c>
      <c r="L31">
        <v>2.7682941232048384</v>
      </c>
      <c r="M31">
        <v>12.833558753976764</v>
      </c>
      <c r="N31">
        <v>5.0399999999999991</v>
      </c>
      <c r="O31">
        <v>233.24999999999991</v>
      </c>
      <c r="P31">
        <v>26.459687123947052</v>
      </c>
    </row>
    <row r="32" spans="1:16" x14ac:dyDescent="0.35">
      <c r="A32">
        <v>31</v>
      </c>
      <c r="B32" t="s">
        <v>32</v>
      </c>
      <c r="C32" t="s">
        <v>33</v>
      </c>
      <c r="D32" t="s">
        <v>33</v>
      </c>
      <c r="E32" t="s">
        <v>34</v>
      </c>
      <c r="F32" t="s">
        <v>30</v>
      </c>
      <c r="G32" t="s">
        <v>1</v>
      </c>
      <c r="H32">
        <v>23.41330520941931</v>
      </c>
      <c r="I32">
        <v>18.714166624134453</v>
      </c>
      <c r="J32">
        <v>14.588543527450277</v>
      </c>
      <c r="K32" t="s">
        <v>1</v>
      </c>
      <c r="L32">
        <v>2.6843465781374283</v>
      </c>
      <c r="M32">
        <v>9.0858780096533067</v>
      </c>
      <c r="N32">
        <v>2.2950000000000004</v>
      </c>
      <c r="O32">
        <v>153.24999999999989</v>
      </c>
      <c r="P32" t="s">
        <v>1</v>
      </c>
    </row>
    <row r="33" spans="1:16" x14ac:dyDescent="0.35">
      <c r="A33">
        <v>32</v>
      </c>
      <c r="B33" t="s">
        <v>32</v>
      </c>
      <c r="C33" t="s">
        <v>33</v>
      </c>
      <c r="D33" t="s">
        <v>33</v>
      </c>
      <c r="E33" t="s">
        <v>34</v>
      </c>
      <c r="F33" t="s">
        <v>30</v>
      </c>
      <c r="G33">
        <v>93.808905429083907</v>
      </c>
      <c r="H33" t="s">
        <v>1</v>
      </c>
      <c r="I33">
        <v>6.4078254073776799</v>
      </c>
      <c r="J33">
        <v>13.782612234930191</v>
      </c>
      <c r="K33">
        <v>147.31012658227849</v>
      </c>
      <c r="L33">
        <v>1.8224624941397098</v>
      </c>
      <c r="M33" t="s">
        <v>1</v>
      </c>
      <c r="N33">
        <v>4.74</v>
      </c>
      <c r="O33">
        <v>190.74999999999994</v>
      </c>
      <c r="P33">
        <v>40.117930204572801</v>
      </c>
    </row>
    <row r="34" spans="1:16" x14ac:dyDescent="0.35">
      <c r="A34">
        <v>33</v>
      </c>
      <c r="B34" t="s">
        <v>32</v>
      </c>
      <c r="C34" t="s">
        <v>33</v>
      </c>
      <c r="D34" t="s">
        <v>33</v>
      </c>
      <c r="E34" t="s">
        <v>34</v>
      </c>
      <c r="F34" t="s">
        <v>30</v>
      </c>
      <c r="G34">
        <v>77.630554503874279</v>
      </c>
      <c r="H34">
        <v>23.934538259605205</v>
      </c>
      <c r="I34">
        <v>-1.3981193181521017</v>
      </c>
      <c r="J34">
        <v>14.768951911001059</v>
      </c>
      <c r="K34">
        <v>115.15851031086486</v>
      </c>
      <c r="L34">
        <v>1.9789715516862341</v>
      </c>
      <c r="M34">
        <v>2.7344550240044185</v>
      </c>
      <c r="N34">
        <v>5.415</v>
      </c>
      <c r="O34" t="s">
        <v>1</v>
      </c>
      <c r="P34">
        <v>32.777376654632974</v>
      </c>
    </row>
    <row r="35" spans="1:16" x14ac:dyDescent="0.35">
      <c r="A35">
        <v>34</v>
      </c>
      <c r="B35" t="s">
        <v>29</v>
      </c>
      <c r="C35" t="s">
        <v>33</v>
      </c>
      <c r="D35" t="s">
        <v>34</v>
      </c>
      <c r="E35" t="s">
        <v>34</v>
      </c>
      <c r="F35" t="s">
        <v>30</v>
      </c>
      <c r="G35">
        <v>71.831907222605778</v>
      </c>
      <c r="H35">
        <v>31.369569606160194</v>
      </c>
      <c r="I35">
        <v>-8.4079366165293603</v>
      </c>
      <c r="J35">
        <v>13.795651752525599</v>
      </c>
      <c r="K35">
        <v>92.617218282111892</v>
      </c>
      <c r="L35">
        <v>0.94719900371496157</v>
      </c>
      <c r="M35">
        <v>11.780423099435211</v>
      </c>
      <c r="N35">
        <v>5.64</v>
      </c>
      <c r="O35">
        <v>575.74999999999989</v>
      </c>
      <c r="P35">
        <v>26.219013237063777</v>
      </c>
    </row>
    <row r="36" spans="1:16" x14ac:dyDescent="0.35">
      <c r="A36">
        <v>35</v>
      </c>
      <c r="B36" t="s">
        <v>29</v>
      </c>
      <c r="C36" t="s">
        <v>33</v>
      </c>
      <c r="D36" t="s">
        <v>34</v>
      </c>
      <c r="E36" t="s">
        <v>34</v>
      </c>
      <c r="F36" t="s">
        <v>30</v>
      </c>
      <c r="G36">
        <v>72.108234094468116</v>
      </c>
      <c r="H36">
        <v>30.001356839406363</v>
      </c>
      <c r="I36">
        <v>-0.5809189222908463</v>
      </c>
      <c r="J36">
        <v>11.034214228295818</v>
      </c>
      <c r="K36">
        <v>90.144193672839506</v>
      </c>
      <c r="L36">
        <v>0.62579571759259323</v>
      </c>
      <c r="M36">
        <v>4.7533717399071103</v>
      </c>
      <c r="N36">
        <v>5.76</v>
      </c>
      <c r="O36" t="s">
        <v>1</v>
      </c>
      <c r="P36">
        <v>30.400722021660648</v>
      </c>
    </row>
    <row r="37" spans="1:16" x14ac:dyDescent="0.35">
      <c r="A37">
        <v>36</v>
      </c>
      <c r="B37" t="s">
        <v>29</v>
      </c>
      <c r="C37" t="s">
        <v>33</v>
      </c>
      <c r="D37" t="s">
        <v>34</v>
      </c>
      <c r="E37" t="s">
        <v>34</v>
      </c>
      <c r="F37" t="s">
        <v>30</v>
      </c>
      <c r="G37">
        <v>88.966286191239774</v>
      </c>
      <c r="H37">
        <v>33.632603617444452</v>
      </c>
      <c r="I37">
        <v>-15.628534504323484</v>
      </c>
      <c r="J37">
        <v>13.385462340446262</v>
      </c>
      <c r="K37">
        <v>139.47998503554058</v>
      </c>
      <c r="L37" t="s">
        <v>1</v>
      </c>
      <c r="M37">
        <v>5.6345279639313244</v>
      </c>
      <c r="N37">
        <v>4.4550000000000001</v>
      </c>
      <c r="O37">
        <v>504.49999999999994</v>
      </c>
      <c r="P37">
        <v>22.458483754512635</v>
      </c>
    </row>
    <row r="38" spans="1:16" x14ac:dyDescent="0.35">
      <c r="A38">
        <v>37</v>
      </c>
      <c r="B38" t="s">
        <v>31</v>
      </c>
      <c r="C38" t="s">
        <v>33</v>
      </c>
      <c r="D38" t="s">
        <v>34</v>
      </c>
      <c r="E38" t="s">
        <v>34</v>
      </c>
      <c r="F38" t="s">
        <v>30</v>
      </c>
      <c r="G38">
        <v>64.212976589406551</v>
      </c>
      <c r="H38">
        <v>20.7676538614805</v>
      </c>
      <c r="I38">
        <v>-1.5925714302312277</v>
      </c>
      <c r="J38">
        <v>8.9603786274635624</v>
      </c>
      <c r="K38">
        <v>104.43458980044345</v>
      </c>
      <c r="L38">
        <v>3.0941558441558441</v>
      </c>
      <c r="M38">
        <v>7.0356929818932796</v>
      </c>
      <c r="N38">
        <v>6.7650000000000006</v>
      </c>
      <c r="O38">
        <v>254.49999999999994</v>
      </c>
      <c r="P38">
        <v>35.755716004813479</v>
      </c>
    </row>
    <row r="39" spans="1:16" x14ac:dyDescent="0.35">
      <c r="A39">
        <v>38</v>
      </c>
      <c r="B39" t="s">
        <v>31</v>
      </c>
      <c r="C39" t="s">
        <v>33</v>
      </c>
      <c r="D39" t="s">
        <v>34</v>
      </c>
      <c r="E39" t="s">
        <v>34</v>
      </c>
      <c r="F39" t="s">
        <v>30</v>
      </c>
      <c r="G39">
        <v>83.682589846830027</v>
      </c>
      <c r="H39">
        <v>31.509869596879991</v>
      </c>
      <c r="I39">
        <v>-14.049893834148589</v>
      </c>
      <c r="J39">
        <v>14.207786819549085</v>
      </c>
      <c r="K39">
        <v>128.47833170413816</v>
      </c>
      <c r="L39">
        <v>4.5407647907647926</v>
      </c>
      <c r="M39" t="s">
        <v>1</v>
      </c>
      <c r="N39">
        <v>5.1150000000000002</v>
      </c>
      <c r="O39">
        <v>304.5</v>
      </c>
      <c r="P39">
        <v>33.770156438026476</v>
      </c>
    </row>
    <row r="40" spans="1:16" x14ac:dyDescent="0.35">
      <c r="A40">
        <v>39</v>
      </c>
      <c r="B40" t="s">
        <v>31</v>
      </c>
      <c r="C40" t="s">
        <v>33</v>
      </c>
      <c r="D40" t="s">
        <v>34</v>
      </c>
      <c r="E40" t="s">
        <v>34</v>
      </c>
      <c r="F40" t="s">
        <v>30</v>
      </c>
      <c r="G40">
        <v>71.277201925746866</v>
      </c>
      <c r="H40">
        <v>34.917412841199997</v>
      </c>
      <c r="I40">
        <v>-4.591673604655119</v>
      </c>
      <c r="J40">
        <v>16.262971527899339</v>
      </c>
      <c r="K40">
        <v>121.4156850260002</v>
      </c>
      <c r="L40">
        <v>3.2544344385318595</v>
      </c>
      <c r="M40">
        <v>12.778816830816574</v>
      </c>
      <c r="N40">
        <v>5.2350000000000003</v>
      </c>
      <c r="O40" t="s">
        <v>1</v>
      </c>
      <c r="P40">
        <v>34.823104693140792</v>
      </c>
    </row>
    <row r="41" spans="1:16" x14ac:dyDescent="0.35">
      <c r="A41">
        <v>40</v>
      </c>
      <c r="B41" t="s">
        <v>32</v>
      </c>
      <c r="C41" t="s">
        <v>33</v>
      </c>
      <c r="D41" t="s">
        <v>34</v>
      </c>
      <c r="E41" t="s">
        <v>34</v>
      </c>
      <c r="F41" t="s">
        <v>30</v>
      </c>
      <c r="G41">
        <v>63.864418703184086</v>
      </c>
      <c r="H41">
        <v>19.339980362916315</v>
      </c>
      <c r="I41">
        <v>-1.0041747944657606</v>
      </c>
      <c r="J41">
        <v>8.62350665307296</v>
      </c>
      <c r="K41">
        <v>91.285456187895207</v>
      </c>
      <c r="L41">
        <v>1.748809523809524</v>
      </c>
      <c r="M41">
        <v>6.5846687405780813</v>
      </c>
      <c r="N41">
        <v>6.15</v>
      </c>
      <c r="O41">
        <v>234.49999999999991</v>
      </c>
      <c r="P41">
        <v>26.249097472924188</v>
      </c>
    </row>
    <row r="42" spans="1:16" x14ac:dyDescent="0.35">
      <c r="A42">
        <v>41</v>
      </c>
      <c r="B42" t="s">
        <v>32</v>
      </c>
      <c r="C42" t="s">
        <v>33</v>
      </c>
      <c r="D42" t="s">
        <v>34</v>
      </c>
      <c r="E42" t="s">
        <v>34</v>
      </c>
      <c r="F42" t="s">
        <v>30</v>
      </c>
      <c r="G42">
        <v>70.710779547597681</v>
      </c>
      <c r="H42" t="s">
        <v>1</v>
      </c>
      <c r="I42">
        <v>-0.23422133070458329</v>
      </c>
      <c r="J42">
        <v>8.6626850110439282</v>
      </c>
      <c r="K42">
        <v>83.036338225017474</v>
      </c>
      <c r="L42">
        <v>1.7537547280733869</v>
      </c>
      <c r="M42">
        <v>5.9133128558192762</v>
      </c>
      <c r="N42">
        <v>7.1549999999999994</v>
      </c>
      <c r="O42">
        <v>400.99999999999994</v>
      </c>
      <c r="P42">
        <v>39.847172081829122</v>
      </c>
    </row>
    <row r="43" spans="1:16" x14ac:dyDescent="0.35">
      <c r="A43">
        <v>42</v>
      </c>
      <c r="B43" t="s">
        <v>32</v>
      </c>
      <c r="C43" t="s">
        <v>33</v>
      </c>
      <c r="D43" t="s">
        <v>34</v>
      </c>
      <c r="E43" t="s">
        <v>34</v>
      </c>
      <c r="F43" t="s">
        <v>30</v>
      </c>
      <c r="G43">
        <v>101.67598751507595</v>
      </c>
      <c r="H43">
        <v>20.063212753519803</v>
      </c>
      <c r="I43">
        <v>-3.8954822133688674</v>
      </c>
      <c r="J43">
        <v>11.128974633797785</v>
      </c>
      <c r="K43">
        <v>103.20624546114743</v>
      </c>
      <c r="L43">
        <v>1.5765795206971687</v>
      </c>
      <c r="M43">
        <v>3.7611471884216359</v>
      </c>
      <c r="N43">
        <v>3.8250000000000002</v>
      </c>
      <c r="O43">
        <v>142.24999999999989</v>
      </c>
      <c r="P43">
        <v>17.283995186522265</v>
      </c>
    </row>
    <row r="44" spans="1:16" x14ac:dyDescent="0.35">
      <c r="A44">
        <v>43</v>
      </c>
      <c r="B44" t="s">
        <v>29</v>
      </c>
      <c r="C44" t="s">
        <v>34</v>
      </c>
      <c r="D44" t="s">
        <v>34</v>
      </c>
      <c r="E44" t="s">
        <v>34</v>
      </c>
      <c r="F44" t="s">
        <v>30</v>
      </c>
      <c r="G44">
        <v>53.283915183620209</v>
      </c>
      <c r="H44">
        <v>10.93329812885144</v>
      </c>
      <c r="I44">
        <v>-4.2256925429487113</v>
      </c>
      <c r="J44">
        <v>11.171219450962219</v>
      </c>
      <c r="K44">
        <v>98.001334668001348</v>
      </c>
      <c r="L44">
        <v>3.5274774774774782</v>
      </c>
      <c r="M44" t="s">
        <v>1</v>
      </c>
      <c r="N44">
        <v>8.3249999999999993</v>
      </c>
      <c r="O44">
        <v>412.24999999999994</v>
      </c>
      <c r="P44">
        <v>29.257521058965104</v>
      </c>
    </row>
    <row r="45" spans="1:16" x14ac:dyDescent="0.35">
      <c r="A45">
        <v>44</v>
      </c>
      <c r="B45" t="s">
        <v>29</v>
      </c>
      <c r="C45" t="s">
        <v>34</v>
      </c>
      <c r="D45" t="s">
        <v>34</v>
      </c>
      <c r="E45" t="s">
        <v>34</v>
      </c>
      <c r="F45" t="s">
        <v>30</v>
      </c>
      <c r="G45">
        <v>66.020722455399437</v>
      </c>
      <c r="H45">
        <v>10.751825684320202</v>
      </c>
      <c r="I45">
        <v>-1.9910724592429592</v>
      </c>
      <c r="J45">
        <v>10.527257177161372</v>
      </c>
      <c r="K45">
        <v>65.9529222316946</v>
      </c>
      <c r="L45">
        <v>1.8129846141355095</v>
      </c>
      <c r="M45">
        <v>1.5716245023569799</v>
      </c>
      <c r="N45">
        <v>5.8650000000000002</v>
      </c>
      <c r="O45">
        <v>215.99999999999994</v>
      </c>
      <c r="P45">
        <v>24.05294825511432</v>
      </c>
    </row>
    <row r="46" spans="1:16" x14ac:dyDescent="0.35">
      <c r="A46">
        <v>45</v>
      </c>
      <c r="B46" t="s">
        <v>29</v>
      </c>
      <c r="C46" t="s">
        <v>34</v>
      </c>
      <c r="D46" t="s">
        <v>34</v>
      </c>
      <c r="E46" t="s">
        <v>34</v>
      </c>
      <c r="F46" t="s">
        <v>30</v>
      </c>
      <c r="G46">
        <v>73.751798619682887</v>
      </c>
      <c r="H46">
        <v>9.2230835116238232</v>
      </c>
      <c r="I46">
        <v>-5.2656267413817677</v>
      </c>
      <c r="J46">
        <v>11.331617928388813</v>
      </c>
      <c r="K46">
        <v>90.779266263899814</v>
      </c>
      <c r="L46">
        <v>2.0171269716186977</v>
      </c>
      <c r="M46">
        <v>2.4016513834305901</v>
      </c>
      <c r="N46">
        <v>6.3450000000000006</v>
      </c>
      <c r="O46">
        <v>558.5</v>
      </c>
      <c r="P46">
        <v>25.948255114320098</v>
      </c>
    </row>
    <row r="47" spans="1:16" x14ac:dyDescent="0.35">
      <c r="A47">
        <v>46</v>
      </c>
      <c r="B47" t="s">
        <v>31</v>
      </c>
      <c r="C47" t="s">
        <v>34</v>
      </c>
      <c r="D47" t="s">
        <v>34</v>
      </c>
      <c r="E47" t="s">
        <v>34</v>
      </c>
      <c r="F47" t="s">
        <v>30</v>
      </c>
      <c r="G47">
        <v>53.857062827492364</v>
      </c>
      <c r="H47">
        <v>12.155904666288084</v>
      </c>
      <c r="I47">
        <v>-4.6016485511427145</v>
      </c>
      <c r="J47">
        <v>9.0299604455356945</v>
      </c>
      <c r="K47">
        <v>77.353901744145631</v>
      </c>
      <c r="L47">
        <v>1.8338420838420844</v>
      </c>
      <c r="M47">
        <v>8.6398452408961415</v>
      </c>
      <c r="N47">
        <v>7.9949999999999992</v>
      </c>
      <c r="O47" t="s">
        <v>1</v>
      </c>
      <c r="P47">
        <v>28.445246690734059</v>
      </c>
    </row>
    <row r="48" spans="1:16" x14ac:dyDescent="0.35">
      <c r="A48">
        <v>47</v>
      </c>
      <c r="B48" t="s">
        <v>31</v>
      </c>
      <c r="C48" t="s">
        <v>34</v>
      </c>
      <c r="D48" t="s">
        <v>34</v>
      </c>
      <c r="E48" t="s">
        <v>34</v>
      </c>
      <c r="F48" t="s">
        <v>30</v>
      </c>
      <c r="G48">
        <v>70.218388603855473</v>
      </c>
      <c r="H48">
        <v>11.274154196622289</v>
      </c>
      <c r="I48">
        <v>0.37520977637496866</v>
      </c>
      <c r="J48">
        <v>11.093844513068669</v>
      </c>
      <c r="K48">
        <v>107.17363403006968</v>
      </c>
      <c r="L48">
        <v>3.4651271674786521</v>
      </c>
      <c r="M48" t="s">
        <v>1</v>
      </c>
      <c r="N48">
        <v>6.0600000000000005</v>
      </c>
      <c r="O48">
        <v>188.49999999999989</v>
      </c>
      <c r="P48">
        <v>22.488567990373046</v>
      </c>
    </row>
    <row r="49" spans="1:16" x14ac:dyDescent="0.35">
      <c r="A49">
        <v>48</v>
      </c>
      <c r="B49" t="s">
        <v>31</v>
      </c>
      <c r="C49" t="s">
        <v>34</v>
      </c>
      <c r="D49" t="s">
        <v>34</v>
      </c>
      <c r="E49" t="s">
        <v>34</v>
      </c>
      <c r="F49" t="s">
        <v>30</v>
      </c>
      <c r="G49">
        <v>53.303827342168717</v>
      </c>
      <c r="H49">
        <v>7.4287485057287821</v>
      </c>
      <c r="I49">
        <v>16.966374297051289</v>
      </c>
      <c r="J49">
        <v>9.9765129264356531</v>
      </c>
      <c r="K49">
        <v>89.264321268877097</v>
      </c>
      <c r="L49">
        <v>2.2099558882019021</v>
      </c>
      <c r="M49">
        <v>6.4239506299434979</v>
      </c>
      <c r="N49">
        <v>6.585</v>
      </c>
      <c r="O49">
        <v>362.24999999999989</v>
      </c>
      <c r="P49">
        <v>29.979542719614926</v>
      </c>
    </row>
    <row r="50" spans="1:16" x14ac:dyDescent="0.35">
      <c r="A50">
        <v>49</v>
      </c>
      <c r="B50" t="s">
        <v>32</v>
      </c>
      <c r="C50" t="s">
        <v>34</v>
      </c>
      <c r="D50" t="s">
        <v>34</v>
      </c>
      <c r="E50" t="s">
        <v>34</v>
      </c>
      <c r="F50" t="s">
        <v>30</v>
      </c>
      <c r="G50">
        <v>68.836661468558063</v>
      </c>
      <c r="H50">
        <v>27.991427970962565</v>
      </c>
      <c r="I50">
        <v>7.2629719737507212</v>
      </c>
      <c r="J50">
        <v>10.024456989933029</v>
      </c>
      <c r="K50">
        <v>140.01391788448151</v>
      </c>
      <c r="L50">
        <v>1.9669864466315403</v>
      </c>
      <c r="M50">
        <v>5.04728425973786</v>
      </c>
      <c r="N50">
        <v>7.1849999999999996</v>
      </c>
      <c r="O50">
        <v>415.99999999999994</v>
      </c>
      <c r="P50">
        <v>22.819494584837546</v>
      </c>
    </row>
    <row r="51" spans="1:16" x14ac:dyDescent="0.35">
      <c r="A51">
        <v>50</v>
      </c>
      <c r="B51" t="s">
        <v>32</v>
      </c>
      <c r="C51" t="s">
        <v>34</v>
      </c>
      <c r="D51" t="s">
        <v>34</v>
      </c>
      <c r="E51" t="s">
        <v>34</v>
      </c>
      <c r="F51" t="s">
        <v>30</v>
      </c>
      <c r="G51">
        <v>91.461959465170921</v>
      </c>
      <c r="H51">
        <v>40.884606066724736</v>
      </c>
      <c r="I51">
        <v>1.7855718613853004</v>
      </c>
      <c r="J51">
        <v>13.536944714855565</v>
      </c>
      <c r="K51">
        <v>104.42462340015857</v>
      </c>
      <c r="L51">
        <v>4.5805988382440983</v>
      </c>
      <c r="M51">
        <v>11.090680048466416</v>
      </c>
      <c r="N51">
        <v>4.9050000000000002</v>
      </c>
      <c r="O51">
        <v>385.99999999999994</v>
      </c>
      <c r="P51">
        <v>18.006016847172084</v>
      </c>
    </row>
    <row r="52" spans="1:16" x14ac:dyDescent="0.35">
      <c r="A52">
        <v>51</v>
      </c>
      <c r="B52" t="s">
        <v>32</v>
      </c>
      <c r="C52" t="s">
        <v>34</v>
      </c>
      <c r="D52" t="s">
        <v>34</v>
      </c>
      <c r="E52" t="s">
        <v>34</v>
      </c>
      <c r="F52" t="s">
        <v>30</v>
      </c>
      <c r="G52">
        <v>86.932376599011548</v>
      </c>
      <c r="H52">
        <v>30.082895492274623</v>
      </c>
      <c r="I52">
        <v>-2.515344976362166</v>
      </c>
      <c r="J52">
        <v>11.675036591409375</v>
      </c>
      <c r="K52">
        <v>97.943548387096783</v>
      </c>
      <c r="L52">
        <v>2.8462017124651537</v>
      </c>
      <c r="M52">
        <v>14.774381787658418</v>
      </c>
      <c r="N52">
        <v>5.58</v>
      </c>
      <c r="O52">
        <v>273.5</v>
      </c>
      <c r="P52">
        <v>18.397111913357399</v>
      </c>
    </row>
    <row r="53" spans="1:16" x14ac:dyDescent="0.35">
      <c r="A53">
        <v>1</v>
      </c>
      <c r="B53" t="s">
        <v>29</v>
      </c>
      <c r="C53" t="s">
        <v>33</v>
      </c>
      <c r="D53" t="s">
        <v>33</v>
      </c>
      <c r="E53" t="s">
        <v>33</v>
      </c>
      <c r="F53" t="s">
        <v>4</v>
      </c>
      <c r="G53">
        <v>80.783829570583777</v>
      </c>
      <c r="H53">
        <v>26.164999938003575</v>
      </c>
      <c r="I53">
        <v>-3.6220967659615169</v>
      </c>
      <c r="J53">
        <v>19.011575385395531</v>
      </c>
      <c r="K53">
        <v>95.057439573568587</v>
      </c>
      <c r="L53">
        <v>1.8595930652382264</v>
      </c>
      <c r="M53">
        <v>3.7189815221139786</v>
      </c>
      <c r="N53">
        <v>6.0449999999999999</v>
      </c>
      <c r="O53">
        <v>646.39999999999986</v>
      </c>
      <c r="P53" t="s">
        <v>1</v>
      </c>
    </row>
    <row r="54" spans="1:16" x14ac:dyDescent="0.35">
      <c r="A54">
        <v>2</v>
      </c>
      <c r="B54" t="s">
        <v>29</v>
      </c>
      <c r="C54" t="s">
        <v>33</v>
      </c>
      <c r="D54" t="s">
        <v>33</v>
      </c>
      <c r="E54" t="s">
        <v>33</v>
      </c>
      <c r="F54" t="s">
        <v>4</v>
      </c>
      <c r="G54">
        <v>46.572563777886245</v>
      </c>
      <c r="H54">
        <v>16.934971477088165</v>
      </c>
      <c r="I54">
        <v>20.065894918424465</v>
      </c>
      <c r="J54">
        <v>9.4689521694541465</v>
      </c>
      <c r="K54">
        <v>75.704236610711419</v>
      </c>
      <c r="L54">
        <v>1.8081372996840621</v>
      </c>
      <c r="M54">
        <v>25.178570969590883</v>
      </c>
      <c r="N54">
        <v>10.425000000000001</v>
      </c>
      <c r="O54">
        <v>608.39999999999986</v>
      </c>
      <c r="P54">
        <v>66.953068592057761</v>
      </c>
    </row>
    <row r="55" spans="1:16" x14ac:dyDescent="0.35">
      <c r="A55">
        <v>3</v>
      </c>
      <c r="B55" t="s">
        <v>29</v>
      </c>
      <c r="C55" t="s">
        <v>33</v>
      </c>
      <c r="D55" t="s">
        <v>33</v>
      </c>
      <c r="E55" t="s">
        <v>33</v>
      </c>
      <c r="F55" t="s">
        <v>4</v>
      </c>
      <c r="G55">
        <v>41.287162170745916</v>
      </c>
      <c r="H55">
        <v>19.862300929788628</v>
      </c>
      <c r="I55">
        <v>-6.3105910709290702</v>
      </c>
      <c r="J55">
        <v>12.631691550969203</v>
      </c>
      <c r="K55">
        <v>93.004952627045682</v>
      </c>
      <c r="L55">
        <v>1.3501051664205734</v>
      </c>
      <c r="M55">
        <v>13.082693569962697</v>
      </c>
      <c r="N55">
        <v>10.319999999999999</v>
      </c>
      <c r="O55">
        <v>634.39999999999986</v>
      </c>
      <c r="P55">
        <v>41.29121540312876</v>
      </c>
    </row>
    <row r="56" spans="1:16" x14ac:dyDescent="0.35">
      <c r="A56">
        <v>4</v>
      </c>
      <c r="B56" t="s">
        <v>29</v>
      </c>
      <c r="C56" t="s">
        <v>33</v>
      </c>
      <c r="D56" t="s">
        <v>33</v>
      </c>
      <c r="E56" t="s">
        <v>33</v>
      </c>
      <c r="F56" t="s">
        <v>4</v>
      </c>
      <c r="G56">
        <v>61.736442168951577</v>
      </c>
      <c r="H56">
        <v>25.727611181776464</v>
      </c>
      <c r="I56">
        <v>31.904427513696827</v>
      </c>
      <c r="J56">
        <v>17.179780956252849</v>
      </c>
      <c r="K56">
        <v>119.52107279693483</v>
      </c>
      <c r="L56">
        <v>2.1571097883597878</v>
      </c>
      <c r="M56">
        <v>31.624594990821841</v>
      </c>
      <c r="N56">
        <v>8.7000000000000011</v>
      </c>
      <c r="O56">
        <v>617.39999999999986</v>
      </c>
      <c r="P56">
        <v>39.305655836341757</v>
      </c>
    </row>
    <row r="57" spans="1:16" x14ac:dyDescent="0.35">
      <c r="A57">
        <v>5</v>
      </c>
      <c r="B57" t="s">
        <v>29</v>
      </c>
      <c r="C57" t="s">
        <v>33</v>
      </c>
      <c r="D57" t="s">
        <v>33</v>
      </c>
      <c r="E57" t="s">
        <v>33</v>
      </c>
      <c r="F57" t="s">
        <v>4</v>
      </c>
      <c r="G57">
        <v>59.249788160907841</v>
      </c>
      <c r="H57">
        <v>24.570889170928716</v>
      </c>
      <c r="I57">
        <v>-5.5078483709827246</v>
      </c>
      <c r="J57">
        <v>9.2125591915889711</v>
      </c>
      <c r="K57">
        <v>121.07209215904867</v>
      </c>
      <c r="L57">
        <v>1.6441699403655927</v>
      </c>
      <c r="M57">
        <v>9.4784209840829465</v>
      </c>
      <c r="N57">
        <v>8.9699999999999989</v>
      </c>
      <c r="O57">
        <v>582.40000000000009</v>
      </c>
      <c r="P57">
        <v>55.069795427196148</v>
      </c>
    </row>
    <row r="58" spans="1:16" x14ac:dyDescent="0.35">
      <c r="A58">
        <v>6</v>
      </c>
      <c r="B58" t="s">
        <v>31</v>
      </c>
      <c r="C58" t="s">
        <v>33</v>
      </c>
      <c r="D58" t="s">
        <v>33</v>
      </c>
      <c r="E58" t="s">
        <v>33</v>
      </c>
      <c r="F58" t="s">
        <v>4</v>
      </c>
      <c r="G58">
        <v>56.171833815422225</v>
      </c>
      <c r="H58">
        <v>23.482032101953038</v>
      </c>
      <c r="I58">
        <v>-3.3099380555404814</v>
      </c>
      <c r="J58">
        <v>23.46397844790128</v>
      </c>
      <c r="K58">
        <v>113.93982217511628</v>
      </c>
      <c r="L58">
        <v>2.2430739563092499</v>
      </c>
      <c r="M58">
        <v>39.640548435706371</v>
      </c>
      <c r="N58">
        <v>9.4350000000000005</v>
      </c>
      <c r="O58">
        <v>546.4</v>
      </c>
      <c r="P58">
        <v>36.598074608904938</v>
      </c>
    </row>
    <row r="59" spans="1:16" x14ac:dyDescent="0.35">
      <c r="A59">
        <v>7</v>
      </c>
      <c r="B59" t="s">
        <v>31</v>
      </c>
      <c r="C59" t="s">
        <v>33</v>
      </c>
      <c r="D59" t="s">
        <v>33</v>
      </c>
      <c r="E59" t="s">
        <v>33</v>
      </c>
      <c r="F59" t="s">
        <v>4</v>
      </c>
      <c r="G59">
        <v>60.501655398777338</v>
      </c>
      <c r="H59">
        <v>23.736902764202743</v>
      </c>
      <c r="I59">
        <v>-6.5552767316972673</v>
      </c>
      <c r="J59">
        <v>16.153320425907001</v>
      </c>
      <c r="K59">
        <v>118.8086310111177</v>
      </c>
      <c r="L59">
        <v>2.6949272604245964</v>
      </c>
      <c r="M59">
        <v>33.553597231185719</v>
      </c>
      <c r="N59">
        <v>8.4449999999999985</v>
      </c>
      <c r="O59">
        <v>655.39999999999986</v>
      </c>
      <c r="P59">
        <v>53.264741275571595</v>
      </c>
    </row>
    <row r="60" spans="1:16" x14ac:dyDescent="0.35">
      <c r="A60">
        <v>8</v>
      </c>
      <c r="B60" t="s">
        <v>31</v>
      </c>
      <c r="C60" t="s">
        <v>33</v>
      </c>
      <c r="D60" t="s">
        <v>33</v>
      </c>
      <c r="E60" t="s">
        <v>33</v>
      </c>
      <c r="F60" t="s">
        <v>4</v>
      </c>
      <c r="G60">
        <v>45.069295728578709</v>
      </c>
      <c r="H60">
        <v>15.637265589990054</v>
      </c>
      <c r="I60">
        <v>-0.79219478347563521</v>
      </c>
      <c r="J60">
        <v>22.904762217882375</v>
      </c>
      <c r="K60" t="s">
        <v>1</v>
      </c>
      <c r="L60">
        <v>1.6691975443892619</v>
      </c>
      <c r="M60">
        <v>26.877478152802155</v>
      </c>
      <c r="N60">
        <v>9.7800000000000011</v>
      </c>
      <c r="O60">
        <v>608.39999999999986</v>
      </c>
      <c r="P60">
        <v>39.275571600481342</v>
      </c>
    </row>
    <row r="61" spans="1:16" x14ac:dyDescent="0.35">
      <c r="A61">
        <v>9</v>
      </c>
      <c r="B61" t="s">
        <v>31</v>
      </c>
      <c r="C61" t="s">
        <v>33</v>
      </c>
      <c r="D61" t="s">
        <v>33</v>
      </c>
      <c r="E61" t="s">
        <v>33</v>
      </c>
      <c r="F61" t="s">
        <v>4</v>
      </c>
      <c r="G61">
        <v>46.810722416044193</v>
      </c>
      <c r="H61">
        <v>34.17549314776322</v>
      </c>
      <c r="I61">
        <v>4.8040302368951577</v>
      </c>
      <c r="J61">
        <v>10.020238381679423</v>
      </c>
      <c r="K61">
        <v>153.29877982939209</v>
      </c>
      <c r="L61">
        <v>1.4036097999290422</v>
      </c>
      <c r="M61">
        <v>9.8692056825792669</v>
      </c>
      <c r="N61">
        <v>10.29</v>
      </c>
      <c r="O61">
        <v>647.39999999999986</v>
      </c>
      <c r="P61">
        <v>58.048134777376646</v>
      </c>
    </row>
    <row r="62" spans="1:16" x14ac:dyDescent="0.35">
      <c r="A62">
        <v>10</v>
      </c>
      <c r="B62" t="s">
        <v>31</v>
      </c>
      <c r="C62" t="s">
        <v>33</v>
      </c>
      <c r="D62" t="s">
        <v>33</v>
      </c>
      <c r="E62" t="s">
        <v>33</v>
      </c>
      <c r="F62" t="s">
        <v>4</v>
      </c>
      <c r="G62">
        <v>44.463950950110089</v>
      </c>
      <c r="H62">
        <v>27.259737174102913</v>
      </c>
      <c r="I62">
        <v>7.3214529358989608</v>
      </c>
      <c r="J62">
        <v>8.4112348544536975</v>
      </c>
      <c r="K62">
        <v>174.53397105714984</v>
      </c>
      <c r="L62">
        <v>1.864970960790497</v>
      </c>
      <c r="M62">
        <v>9.8722580675690725</v>
      </c>
      <c r="N62">
        <v>9.06</v>
      </c>
      <c r="O62">
        <v>598.39999999999986</v>
      </c>
      <c r="P62">
        <v>46.646209386281583</v>
      </c>
    </row>
    <row r="63" spans="1:16" x14ac:dyDescent="0.35">
      <c r="A63">
        <v>11</v>
      </c>
      <c r="B63" t="s">
        <v>32</v>
      </c>
      <c r="C63" t="s">
        <v>33</v>
      </c>
      <c r="D63" t="s">
        <v>33</v>
      </c>
      <c r="E63" t="s">
        <v>33</v>
      </c>
      <c r="F63" t="s">
        <v>4</v>
      </c>
      <c r="G63">
        <v>58.605292972286946</v>
      </c>
      <c r="H63">
        <v>27.971016833525223</v>
      </c>
      <c r="I63">
        <v>2.5475620661278913</v>
      </c>
      <c r="J63">
        <v>15.80493522637733</v>
      </c>
      <c r="K63" t="s">
        <v>1</v>
      </c>
      <c r="L63">
        <v>2.325927964412553</v>
      </c>
      <c r="M63">
        <v>9.7270551615792336</v>
      </c>
      <c r="N63">
        <v>8.7600000000000016</v>
      </c>
      <c r="O63">
        <v>593.39999999999986</v>
      </c>
      <c r="P63">
        <v>33.499398315282789</v>
      </c>
    </row>
    <row r="64" spans="1:16" x14ac:dyDescent="0.35">
      <c r="A64">
        <v>12</v>
      </c>
      <c r="B64" t="s">
        <v>32</v>
      </c>
      <c r="C64" t="s">
        <v>33</v>
      </c>
      <c r="D64" t="s">
        <v>33</v>
      </c>
      <c r="E64" t="s">
        <v>33</v>
      </c>
      <c r="F64" t="s">
        <v>4</v>
      </c>
      <c r="G64">
        <v>45.481336970483625</v>
      </c>
      <c r="H64">
        <v>21.528692558570018</v>
      </c>
      <c r="I64">
        <v>5.4990341731269119</v>
      </c>
      <c r="J64">
        <v>12.587496862615039</v>
      </c>
      <c r="K64">
        <v>87.386257439378298</v>
      </c>
      <c r="L64">
        <v>2.1449326152181398</v>
      </c>
      <c r="M64">
        <v>6.1936367902215128</v>
      </c>
      <c r="N64">
        <v>11.295</v>
      </c>
      <c r="O64">
        <v>643.39999999999986</v>
      </c>
      <c r="P64">
        <v>33.07821901323706</v>
      </c>
    </row>
    <row r="65" spans="1:16" x14ac:dyDescent="0.35">
      <c r="A65">
        <v>13</v>
      </c>
      <c r="B65" t="s">
        <v>32</v>
      </c>
      <c r="C65" t="s">
        <v>33</v>
      </c>
      <c r="D65" t="s">
        <v>33</v>
      </c>
      <c r="E65" t="s">
        <v>33</v>
      </c>
      <c r="F65" t="s">
        <v>4</v>
      </c>
      <c r="G65">
        <v>46.990061012728304</v>
      </c>
      <c r="H65">
        <v>22.203741466527035</v>
      </c>
      <c r="I65">
        <v>3.2716516047028792</v>
      </c>
      <c r="J65">
        <v>16.346520831205208</v>
      </c>
      <c r="K65">
        <v>190.68542226436961</v>
      </c>
      <c r="L65">
        <v>2.1741337201863513</v>
      </c>
      <c r="M65">
        <v>3.3678965816383308</v>
      </c>
      <c r="N65">
        <v>10.545000000000002</v>
      </c>
      <c r="O65">
        <v>560.39999999999986</v>
      </c>
      <c r="P65">
        <v>31.363417569193743</v>
      </c>
    </row>
    <row r="66" spans="1:16" x14ac:dyDescent="0.35">
      <c r="A66">
        <v>14</v>
      </c>
      <c r="B66" t="s">
        <v>32</v>
      </c>
      <c r="C66" t="s">
        <v>33</v>
      </c>
      <c r="D66" t="s">
        <v>33</v>
      </c>
      <c r="E66" t="s">
        <v>33</v>
      </c>
      <c r="F66" t="s">
        <v>4</v>
      </c>
      <c r="G66">
        <v>50.319725241054911</v>
      </c>
      <c r="H66">
        <v>25.439014165307949</v>
      </c>
      <c r="I66">
        <v>6.7133818755202617</v>
      </c>
      <c r="J66">
        <v>27.952133489935967</v>
      </c>
      <c r="K66">
        <v>80.100749899822546</v>
      </c>
      <c r="L66">
        <v>2.0113496970143032</v>
      </c>
      <c r="M66">
        <v>5.1315522821409498</v>
      </c>
      <c r="N66">
        <v>9.7050000000000001</v>
      </c>
      <c r="O66">
        <v>724.39999999999986</v>
      </c>
      <c r="P66">
        <v>35.936221419975929</v>
      </c>
    </row>
    <row r="67" spans="1:16" x14ac:dyDescent="0.35">
      <c r="A67">
        <v>15</v>
      </c>
      <c r="B67" t="s">
        <v>32</v>
      </c>
      <c r="C67" t="s">
        <v>33</v>
      </c>
      <c r="D67" t="s">
        <v>33</v>
      </c>
      <c r="E67" t="s">
        <v>33</v>
      </c>
      <c r="F67" t="s">
        <v>4</v>
      </c>
      <c r="G67">
        <v>43.894119332622857</v>
      </c>
      <c r="H67">
        <v>25.454228817083699</v>
      </c>
      <c r="I67">
        <v>9.4635411461566168</v>
      </c>
      <c r="J67">
        <v>12.56597202165872</v>
      </c>
      <c r="K67">
        <v>136.71102239964517</v>
      </c>
      <c r="L67">
        <v>2.6689765310648541</v>
      </c>
      <c r="M67">
        <v>5.5195076085770571</v>
      </c>
      <c r="N67">
        <v>10.020000000000001</v>
      </c>
      <c r="O67">
        <v>448.4</v>
      </c>
      <c r="P67">
        <v>41.561973525872446</v>
      </c>
    </row>
    <row r="68" spans="1:16" x14ac:dyDescent="0.35">
      <c r="A68">
        <v>16</v>
      </c>
      <c r="B68" t="s">
        <v>29</v>
      </c>
      <c r="C68" t="s">
        <v>34</v>
      </c>
      <c r="D68" t="s">
        <v>33</v>
      </c>
      <c r="E68" t="s">
        <v>34</v>
      </c>
      <c r="F68" t="s">
        <v>4</v>
      </c>
      <c r="G68">
        <v>42.708287160597884</v>
      </c>
      <c r="H68">
        <v>19.116597287390626</v>
      </c>
      <c r="I68">
        <v>3.3930566391139019</v>
      </c>
      <c r="J68">
        <v>13.104169856581432</v>
      </c>
      <c r="K68" t="s">
        <v>1</v>
      </c>
      <c r="L68">
        <v>1.637798406399597</v>
      </c>
      <c r="M68">
        <v>8.7786454345939866</v>
      </c>
      <c r="N68">
        <v>12.6</v>
      </c>
      <c r="O68">
        <v>543.39999999999986</v>
      </c>
      <c r="P68">
        <v>47.518652226233456</v>
      </c>
    </row>
    <row r="69" spans="1:16" x14ac:dyDescent="0.35">
      <c r="A69">
        <v>17</v>
      </c>
      <c r="B69" t="s">
        <v>29</v>
      </c>
      <c r="C69" t="s">
        <v>34</v>
      </c>
      <c r="D69" t="s">
        <v>33</v>
      </c>
      <c r="E69" t="s">
        <v>34</v>
      </c>
      <c r="F69" t="s">
        <v>4</v>
      </c>
      <c r="G69">
        <v>54.767568409053716</v>
      </c>
      <c r="H69">
        <v>24.323429710899433</v>
      </c>
      <c r="I69">
        <v>8.537836532813273</v>
      </c>
      <c r="J69">
        <v>15.72194443038874</v>
      </c>
      <c r="K69">
        <v>268.0125046362528</v>
      </c>
      <c r="L69">
        <v>3.3261622802037678</v>
      </c>
      <c r="M69">
        <v>6.4962910829077014</v>
      </c>
      <c r="N69">
        <v>10.485000000000001</v>
      </c>
      <c r="O69">
        <v>645.39999999999986</v>
      </c>
      <c r="P69">
        <v>32.687123947051738</v>
      </c>
    </row>
    <row r="70" spans="1:16" x14ac:dyDescent="0.35">
      <c r="A70">
        <v>18</v>
      </c>
      <c r="B70" t="s">
        <v>29</v>
      </c>
      <c r="C70" t="s">
        <v>34</v>
      </c>
      <c r="D70" t="s">
        <v>33</v>
      </c>
      <c r="E70" t="s">
        <v>34</v>
      </c>
      <c r="F70" t="s">
        <v>4</v>
      </c>
      <c r="G70">
        <v>50.19875834452953</v>
      </c>
      <c r="H70">
        <v>23.636282954020047</v>
      </c>
      <c r="I70">
        <v>5.965446585963587</v>
      </c>
      <c r="J70">
        <v>10.432196039257244</v>
      </c>
      <c r="K70">
        <v>137.45672017626691</v>
      </c>
      <c r="L70">
        <v>1.8189114093859136</v>
      </c>
      <c r="M70">
        <v>5.6677465748086888</v>
      </c>
      <c r="N70">
        <v>10.59</v>
      </c>
      <c r="O70">
        <v>613.39999999999986</v>
      </c>
      <c r="P70">
        <v>63.25270758122744</v>
      </c>
    </row>
    <row r="71" spans="1:16" x14ac:dyDescent="0.35">
      <c r="A71">
        <v>19</v>
      </c>
      <c r="B71" t="s">
        <v>31</v>
      </c>
      <c r="C71" t="s">
        <v>34</v>
      </c>
      <c r="D71" t="s">
        <v>33</v>
      </c>
      <c r="E71" t="s">
        <v>34</v>
      </c>
      <c r="F71" t="s">
        <v>4</v>
      </c>
      <c r="G71">
        <v>47.246273316377632</v>
      </c>
      <c r="H71">
        <v>22.912838058459265</v>
      </c>
      <c r="I71">
        <v>3.2488420549998764</v>
      </c>
      <c r="J71">
        <v>13.395147109602195</v>
      </c>
      <c r="K71">
        <v>360.87316366645967</v>
      </c>
      <c r="L71">
        <v>2.2944793606455613</v>
      </c>
      <c r="M71">
        <v>2.2940655182118115</v>
      </c>
      <c r="N71">
        <v>10.74</v>
      </c>
      <c r="O71">
        <v>449.39999999999986</v>
      </c>
      <c r="P71">
        <v>52.42238267148015</v>
      </c>
    </row>
    <row r="72" spans="1:16" x14ac:dyDescent="0.35">
      <c r="A72">
        <v>20</v>
      </c>
      <c r="B72" t="s">
        <v>31</v>
      </c>
      <c r="C72" t="s">
        <v>34</v>
      </c>
      <c r="D72" t="s">
        <v>33</v>
      </c>
      <c r="E72" t="s">
        <v>34</v>
      </c>
      <c r="F72" t="s">
        <v>4</v>
      </c>
      <c r="G72">
        <v>43.527435888741969</v>
      </c>
      <c r="H72">
        <v>27.353108017323663</v>
      </c>
      <c r="I72">
        <v>7.3759629142709295</v>
      </c>
      <c r="J72">
        <v>18.7720984095305</v>
      </c>
      <c r="K72">
        <v>312.06896551724145</v>
      </c>
      <c r="L72">
        <v>2.3309352764094147</v>
      </c>
      <c r="M72">
        <v>1.5615182762316593</v>
      </c>
      <c r="N72">
        <v>8.6999999999999993</v>
      </c>
      <c r="O72">
        <v>440.39999999999986</v>
      </c>
      <c r="P72">
        <v>30.611311672683513</v>
      </c>
    </row>
    <row r="73" spans="1:16" x14ac:dyDescent="0.35">
      <c r="A73">
        <v>21</v>
      </c>
      <c r="B73" t="s">
        <v>31</v>
      </c>
      <c r="C73" t="s">
        <v>34</v>
      </c>
      <c r="D73" t="s">
        <v>33</v>
      </c>
      <c r="E73" t="s">
        <v>34</v>
      </c>
      <c r="F73" t="s">
        <v>4</v>
      </c>
      <c r="G73">
        <v>64.202036339524199</v>
      </c>
      <c r="H73">
        <v>30.344932252116163</v>
      </c>
      <c r="I73">
        <v>5.1438392414970675</v>
      </c>
      <c r="J73">
        <v>13.701875051654541</v>
      </c>
      <c r="K73">
        <v>376.47574714969983</v>
      </c>
      <c r="L73">
        <v>2.5519547325102883</v>
      </c>
      <c r="M73">
        <v>2.5828896737125091</v>
      </c>
      <c r="N73">
        <v>8.2349999999999994</v>
      </c>
      <c r="O73">
        <v>588.39999999999986</v>
      </c>
      <c r="P73">
        <v>41.832731648616125</v>
      </c>
    </row>
    <row r="74" spans="1:16" x14ac:dyDescent="0.35">
      <c r="A74">
        <v>22</v>
      </c>
      <c r="B74" t="s">
        <v>32</v>
      </c>
      <c r="C74" t="s">
        <v>34</v>
      </c>
      <c r="D74" t="s">
        <v>33</v>
      </c>
      <c r="E74" t="s">
        <v>34</v>
      </c>
      <c r="F74" t="s">
        <v>4</v>
      </c>
      <c r="G74">
        <v>47.220625668123184</v>
      </c>
      <c r="H74">
        <v>30.55036756415041</v>
      </c>
      <c r="I74">
        <v>6.4336409844572762</v>
      </c>
      <c r="J74">
        <v>11.431174117038644</v>
      </c>
      <c r="K74">
        <v>255.96992019643949</v>
      </c>
      <c r="L74">
        <v>3.7066698456546523</v>
      </c>
      <c r="M74">
        <v>5.2702326600463083</v>
      </c>
      <c r="N74">
        <v>10.86</v>
      </c>
      <c r="O74">
        <v>677.4</v>
      </c>
      <c r="P74">
        <v>40.388688327316487</v>
      </c>
    </row>
    <row r="75" spans="1:16" x14ac:dyDescent="0.35">
      <c r="A75">
        <v>23</v>
      </c>
      <c r="B75" t="s">
        <v>32</v>
      </c>
      <c r="C75" t="s">
        <v>34</v>
      </c>
      <c r="D75" t="s">
        <v>33</v>
      </c>
      <c r="E75" t="s">
        <v>34</v>
      </c>
      <c r="F75" t="s">
        <v>4</v>
      </c>
      <c r="G75">
        <v>41.57905054576532</v>
      </c>
      <c r="H75">
        <v>18.536105334008138</v>
      </c>
      <c r="I75">
        <v>3.4464150827897724</v>
      </c>
      <c r="J75">
        <v>10.768790272108328</v>
      </c>
      <c r="K75">
        <v>166.9731196917958</v>
      </c>
      <c r="L75">
        <v>1.7499695110510709</v>
      </c>
      <c r="M75">
        <v>2.8286022448071209</v>
      </c>
      <c r="N75">
        <v>12.690000000000001</v>
      </c>
      <c r="O75">
        <v>564.4</v>
      </c>
      <c r="P75">
        <v>56.303249097472921</v>
      </c>
    </row>
    <row r="76" spans="1:16" x14ac:dyDescent="0.35">
      <c r="A76">
        <v>24</v>
      </c>
      <c r="B76" t="s">
        <v>32</v>
      </c>
      <c r="C76" t="s">
        <v>34</v>
      </c>
      <c r="D76" t="s">
        <v>33</v>
      </c>
      <c r="E76" t="s">
        <v>34</v>
      </c>
      <c r="F76" t="s">
        <v>4</v>
      </c>
      <c r="G76">
        <v>47.805881013401368</v>
      </c>
      <c r="H76">
        <v>21.865464214953128</v>
      </c>
      <c r="I76">
        <v>17.9447438096181</v>
      </c>
      <c r="J76">
        <v>11.963717678861212</v>
      </c>
      <c r="K76">
        <v>193.61892012494425</v>
      </c>
      <c r="L76">
        <v>2.673783427360235</v>
      </c>
      <c r="M76" t="s">
        <v>1</v>
      </c>
      <c r="N76">
        <v>9.9599999999999991</v>
      </c>
      <c r="O76">
        <v>515.4</v>
      </c>
      <c r="P76">
        <v>51.670276774969913</v>
      </c>
    </row>
    <row r="77" spans="1:16" x14ac:dyDescent="0.35">
      <c r="A77">
        <v>25</v>
      </c>
      <c r="B77" t="s">
        <v>29</v>
      </c>
      <c r="C77" t="s">
        <v>33</v>
      </c>
      <c r="D77" t="s">
        <v>33</v>
      </c>
      <c r="E77" t="s">
        <v>34</v>
      </c>
      <c r="F77" t="s">
        <v>4</v>
      </c>
      <c r="G77">
        <v>47.250431552496451</v>
      </c>
      <c r="H77">
        <v>16.292178990511484</v>
      </c>
      <c r="I77">
        <v>-5.7546062369213526</v>
      </c>
      <c r="J77">
        <v>4.7338335119685606</v>
      </c>
      <c r="K77" t="s">
        <v>1</v>
      </c>
      <c r="L77">
        <v>1.8114773478835977</v>
      </c>
      <c r="M77">
        <v>11.89710610932476</v>
      </c>
      <c r="N77">
        <v>12</v>
      </c>
      <c r="O77">
        <v>545.39999999999986</v>
      </c>
      <c r="P77">
        <v>37.651022864019254</v>
      </c>
    </row>
    <row r="78" spans="1:16" x14ac:dyDescent="0.35">
      <c r="A78">
        <v>26</v>
      </c>
      <c r="B78" t="s">
        <v>29</v>
      </c>
      <c r="C78" t="s">
        <v>33</v>
      </c>
      <c r="D78" t="s">
        <v>33</v>
      </c>
      <c r="E78" t="s">
        <v>34</v>
      </c>
      <c r="F78" t="s">
        <v>4</v>
      </c>
      <c r="G78">
        <v>51.477891713879927</v>
      </c>
      <c r="H78">
        <v>18.908860495520429</v>
      </c>
      <c r="I78">
        <v>-5.8584810010701975</v>
      </c>
      <c r="J78">
        <v>8.2635010928954173</v>
      </c>
      <c r="K78">
        <v>177.41953262786603</v>
      </c>
      <c r="L78">
        <v>1.265875968442933</v>
      </c>
      <c r="M78">
        <v>10.776595382704709</v>
      </c>
      <c r="N78">
        <v>10.079999999999998</v>
      </c>
      <c r="O78">
        <v>657.39999999999986</v>
      </c>
      <c r="P78">
        <v>72.157641395908541</v>
      </c>
    </row>
    <row r="79" spans="1:16" x14ac:dyDescent="0.35">
      <c r="A79">
        <v>27</v>
      </c>
      <c r="B79" t="s">
        <v>29</v>
      </c>
      <c r="C79" t="s">
        <v>33</v>
      </c>
      <c r="D79" t="s">
        <v>33</v>
      </c>
      <c r="E79" t="s">
        <v>34</v>
      </c>
      <c r="F79" t="s">
        <v>4</v>
      </c>
      <c r="G79">
        <v>46.79379500785253</v>
      </c>
      <c r="H79">
        <v>12.059759045128775</v>
      </c>
      <c r="I79">
        <v>-2.7580943625167347</v>
      </c>
      <c r="J79">
        <v>11.793168673822274</v>
      </c>
      <c r="K79">
        <v>110.28486333285295</v>
      </c>
      <c r="L79">
        <v>0.98614370809571839</v>
      </c>
      <c r="M79">
        <v>4.1758011592986017</v>
      </c>
      <c r="N79">
        <v>11.565</v>
      </c>
      <c r="O79">
        <v>725.39999999999986</v>
      </c>
      <c r="P79">
        <v>53.896510228640196</v>
      </c>
    </row>
    <row r="80" spans="1:16" x14ac:dyDescent="0.35">
      <c r="A80">
        <v>28</v>
      </c>
      <c r="B80" t="s">
        <v>31</v>
      </c>
      <c r="C80" t="s">
        <v>33</v>
      </c>
      <c r="D80" t="s">
        <v>33</v>
      </c>
      <c r="E80" t="s">
        <v>34</v>
      </c>
      <c r="F80" t="s">
        <v>4</v>
      </c>
      <c r="G80">
        <v>53.74154627520975</v>
      </c>
      <c r="H80">
        <v>17.386356396742656</v>
      </c>
      <c r="I80">
        <v>13.022912644758531</v>
      </c>
      <c r="J80">
        <v>10.863891063981033</v>
      </c>
      <c r="K80">
        <v>221.26751103435041</v>
      </c>
      <c r="L80">
        <v>1.235095916604984</v>
      </c>
      <c r="M80">
        <v>5.2618718380176484</v>
      </c>
      <c r="N80">
        <v>11.58</v>
      </c>
      <c r="O80">
        <v>731.4</v>
      </c>
      <c r="P80">
        <v>50.406738868832733</v>
      </c>
    </row>
    <row r="81" spans="1:16" x14ac:dyDescent="0.35">
      <c r="A81">
        <v>29</v>
      </c>
      <c r="B81" t="s">
        <v>31</v>
      </c>
      <c r="C81" t="s">
        <v>33</v>
      </c>
      <c r="D81" t="s">
        <v>33</v>
      </c>
      <c r="E81" t="s">
        <v>34</v>
      </c>
      <c r="F81" t="s">
        <v>4</v>
      </c>
      <c r="G81">
        <v>48.763034543036582</v>
      </c>
      <c r="H81">
        <v>18.48683204296454</v>
      </c>
      <c r="I81">
        <v>4.4191245876576817</v>
      </c>
      <c r="J81">
        <v>8.6213056387133342</v>
      </c>
      <c r="K81">
        <v>271.97956577266922</v>
      </c>
      <c r="L81">
        <v>1.4115863893450098</v>
      </c>
      <c r="M81">
        <v>2.9591849305786555</v>
      </c>
      <c r="N81">
        <v>10.875</v>
      </c>
      <c r="O81">
        <v>571.39999999999986</v>
      </c>
      <c r="P81">
        <v>60.906137184115529</v>
      </c>
    </row>
    <row r="82" spans="1:16" x14ac:dyDescent="0.35">
      <c r="A82">
        <v>30</v>
      </c>
      <c r="B82" t="s">
        <v>31</v>
      </c>
      <c r="C82" t="s">
        <v>33</v>
      </c>
      <c r="D82" t="s">
        <v>33</v>
      </c>
      <c r="E82" t="s">
        <v>34</v>
      </c>
      <c r="F82" t="s">
        <v>4</v>
      </c>
      <c r="G82">
        <v>58.599843484942383</v>
      </c>
      <c r="H82">
        <v>23.512819517313854</v>
      </c>
      <c r="I82">
        <v>21.626700701859381</v>
      </c>
      <c r="J82">
        <v>10.863622375656572</v>
      </c>
      <c r="K82">
        <v>260.50452532254957</v>
      </c>
      <c r="L82">
        <v>1.8079637882497506</v>
      </c>
      <c r="M82">
        <v>4.8859985275751496</v>
      </c>
      <c r="N82">
        <v>8.6549999999999994</v>
      </c>
      <c r="O82">
        <v>629.39999999999986</v>
      </c>
      <c r="P82">
        <v>46.435619735258726</v>
      </c>
    </row>
    <row r="83" spans="1:16" x14ac:dyDescent="0.35">
      <c r="A83">
        <v>31</v>
      </c>
      <c r="B83" t="s">
        <v>32</v>
      </c>
      <c r="C83" t="s">
        <v>33</v>
      </c>
      <c r="D83" t="s">
        <v>33</v>
      </c>
      <c r="E83" t="s">
        <v>34</v>
      </c>
      <c r="F83" t="s">
        <v>4</v>
      </c>
      <c r="G83">
        <v>66.022620965999053</v>
      </c>
      <c r="H83">
        <v>33.286106727218517</v>
      </c>
      <c r="I83">
        <v>16.422332301974066</v>
      </c>
      <c r="J83" t="s">
        <v>1</v>
      </c>
      <c r="K83">
        <v>310.6545909726824</v>
      </c>
      <c r="L83">
        <v>2.7507244890445683</v>
      </c>
      <c r="M83">
        <v>3.2012284989597961</v>
      </c>
      <c r="N83">
        <v>7.5449999999999999</v>
      </c>
      <c r="O83">
        <v>454.39999999999992</v>
      </c>
      <c r="P83">
        <v>64.967509025270772</v>
      </c>
    </row>
    <row r="84" spans="1:16" x14ac:dyDescent="0.35">
      <c r="A84">
        <v>32</v>
      </c>
      <c r="B84" t="s">
        <v>32</v>
      </c>
      <c r="C84" t="s">
        <v>33</v>
      </c>
      <c r="D84" t="s">
        <v>33</v>
      </c>
      <c r="E84" t="s">
        <v>34</v>
      </c>
      <c r="F84" t="s">
        <v>4</v>
      </c>
      <c r="G84">
        <v>62.670474941861372</v>
      </c>
      <c r="H84">
        <v>24.937934127279402</v>
      </c>
      <c r="I84">
        <v>14.510089318147591</v>
      </c>
      <c r="J84">
        <v>4.46447851133198</v>
      </c>
      <c r="K84">
        <v>377.61497761497765</v>
      </c>
      <c r="L84">
        <v>2.0081036688179545</v>
      </c>
      <c r="M84">
        <v>2.2398109214829476</v>
      </c>
      <c r="N84">
        <v>9.5549999999999997</v>
      </c>
      <c r="O84">
        <v>469.39999999999992</v>
      </c>
      <c r="P84">
        <v>39.335740072202171</v>
      </c>
    </row>
    <row r="85" spans="1:16" x14ac:dyDescent="0.35">
      <c r="A85">
        <v>33</v>
      </c>
      <c r="B85" t="s">
        <v>32</v>
      </c>
      <c r="C85" t="s">
        <v>33</v>
      </c>
      <c r="D85" t="s">
        <v>33</v>
      </c>
      <c r="E85" t="s">
        <v>34</v>
      </c>
      <c r="F85" t="s">
        <v>4</v>
      </c>
      <c r="G85">
        <v>55.072679557325557</v>
      </c>
      <c r="H85">
        <v>19.957174057528672</v>
      </c>
      <c r="I85" t="s">
        <v>1</v>
      </c>
      <c r="J85">
        <v>5.3379789031270137</v>
      </c>
      <c r="K85">
        <v>259.49415492188359</v>
      </c>
      <c r="L85">
        <v>3.0597940175742537</v>
      </c>
      <c r="M85" t="s">
        <v>1</v>
      </c>
      <c r="N85">
        <v>10.169999999999998</v>
      </c>
      <c r="O85">
        <v>461.39999999999992</v>
      </c>
      <c r="P85">
        <v>49.444043321299631</v>
      </c>
    </row>
    <row r="86" spans="1:16" x14ac:dyDescent="0.35">
      <c r="A86">
        <v>34</v>
      </c>
      <c r="B86" t="s">
        <v>29</v>
      </c>
      <c r="C86" t="s">
        <v>33</v>
      </c>
      <c r="D86" t="s">
        <v>34</v>
      </c>
      <c r="E86" t="s">
        <v>34</v>
      </c>
      <c r="F86" t="s">
        <v>4</v>
      </c>
      <c r="G86">
        <v>60.430952369961048</v>
      </c>
      <c r="H86">
        <v>20.084122725234682</v>
      </c>
      <c r="I86">
        <v>-0.87936814647561823</v>
      </c>
      <c r="J86">
        <v>4.6042600727624041</v>
      </c>
      <c r="K86">
        <v>285.28299426186743</v>
      </c>
      <c r="L86">
        <v>1.8342240945674042</v>
      </c>
      <c r="M86">
        <v>8.8946505039526187</v>
      </c>
      <c r="N86">
        <v>8.5200000000000014</v>
      </c>
      <c r="O86">
        <v>558.39999999999986</v>
      </c>
      <c r="P86">
        <v>46.616125150421183</v>
      </c>
    </row>
    <row r="87" spans="1:16" x14ac:dyDescent="0.35">
      <c r="A87">
        <v>35</v>
      </c>
      <c r="B87" t="s">
        <v>29</v>
      </c>
      <c r="C87" t="s">
        <v>33</v>
      </c>
      <c r="D87" t="s">
        <v>34</v>
      </c>
      <c r="E87" t="s">
        <v>34</v>
      </c>
      <c r="F87" t="s">
        <v>4</v>
      </c>
      <c r="G87">
        <v>60.006864228430935</v>
      </c>
      <c r="H87">
        <v>23.645963121568087</v>
      </c>
      <c r="I87">
        <v>-0.89160086778284309</v>
      </c>
      <c r="J87">
        <v>5.587613661925916</v>
      </c>
      <c r="K87">
        <v>209.27796483352037</v>
      </c>
      <c r="L87">
        <v>0.91068199633014435</v>
      </c>
      <c r="M87">
        <v>3.9516277458399647</v>
      </c>
      <c r="N87">
        <v>8.91</v>
      </c>
      <c r="O87">
        <v>548.39999999999986</v>
      </c>
      <c r="P87">
        <v>41.381468110709989</v>
      </c>
    </row>
    <row r="88" spans="1:16" x14ac:dyDescent="0.35">
      <c r="A88">
        <v>36</v>
      </c>
      <c r="B88" t="s">
        <v>29</v>
      </c>
      <c r="C88" t="s">
        <v>33</v>
      </c>
      <c r="D88" t="s">
        <v>34</v>
      </c>
      <c r="E88" t="s">
        <v>34</v>
      </c>
      <c r="F88" t="s">
        <v>4</v>
      </c>
      <c r="G88">
        <v>57.476708951386492</v>
      </c>
      <c r="H88">
        <v>18.3443867182141</v>
      </c>
      <c r="I88">
        <v>-3.8289879199093391</v>
      </c>
      <c r="J88">
        <v>7.5008720893453278</v>
      </c>
      <c r="K88">
        <v>383.5363187808382</v>
      </c>
      <c r="L88">
        <v>2.2156341176155681</v>
      </c>
      <c r="M88">
        <v>5.9398472232012525</v>
      </c>
      <c r="N88">
        <v>8.8949999999999996</v>
      </c>
      <c r="O88">
        <v>670.39999999999986</v>
      </c>
      <c r="P88">
        <v>49.925391095066182</v>
      </c>
    </row>
    <row r="89" spans="1:16" x14ac:dyDescent="0.35">
      <c r="A89">
        <v>37</v>
      </c>
      <c r="B89" t="s">
        <v>31</v>
      </c>
      <c r="C89" t="s">
        <v>33</v>
      </c>
      <c r="D89" t="s">
        <v>34</v>
      </c>
      <c r="E89" t="s">
        <v>34</v>
      </c>
      <c r="F89" t="s">
        <v>4</v>
      </c>
      <c r="G89">
        <v>54.344911114232652</v>
      </c>
      <c r="H89">
        <v>19.748309632089324</v>
      </c>
      <c r="I89">
        <v>-0.59938802244728162</v>
      </c>
      <c r="J89">
        <v>3.161843515541265</v>
      </c>
      <c r="K89">
        <v>182.12698412698407</v>
      </c>
      <c r="L89">
        <v>1.2592469765684053</v>
      </c>
      <c r="M89">
        <v>16.600316439544738</v>
      </c>
      <c r="N89">
        <v>10.5</v>
      </c>
      <c r="O89">
        <v>627.39999999999986</v>
      </c>
      <c r="P89">
        <v>47.067388688327313</v>
      </c>
    </row>
    <row r="90" spans="1:16" x14ac:dyDescent="0.35">
      <c r="A90">
        <v>38</v>
      </c>
      <c r="B90" t="s">
        <v>31</v>
      </c>
      <c r="C90" t="s">
        <v>33</v>
      </c>
      <c r="D90" t="s">
        <v>34</v>
      </c>
      <c r="E90" t="s">
        <v>34</v>
      </c>
      <c r="F90" t="s">
        <v>4</v>
      </c>
      <c r="G90">
        <v>55.890619017961811</v>
      </c>
      <c r="H90">
        <v>19.417267281260532</v>
      </c>
      <c r="I90">
        <v>4.8669499325371675</v>
      </c>
      <c r="J90" t="s">
        <v>1</v>
      </c>
      <c r="K90">
        <v>205.97856739988714</v>
      </c>
      <c r="L90">
        <v>2.7531636362008616</v>
      </c>
      <c r="M90">
        <v>13.976468511536332</v>
      </c>
      <c r="N90">
        <v>8.8650000000000002</v>
      </c>
      <c r="O90">
        <v>637.39999999999986</v>
      </c>
      <c r="P90">
        <v>33.559566787003604</v>
      </c>
    </row>
    <row r="91" spans="1:16" x14ac:dyDescent="0.35">
      <c r="A91">
        <v>39</v>
      </c>
      <c r="B91" t="s">
        <v>31</v>
      </c>
      <c r="C91" t="s">
        <v>33</v>
      </c>
      <c r="D91" t="s">
        <v>34</v>
      </c>
      <c r="E91" t="s">
        <v>34</v>
      </c>
      <c r="F91" t="s">
        <v>4</v>
      </c>
      <c r="G91">
        <v>49.549436380359154</v>
      </c>
      <c r="H91">
        <v>19.861342266419367</v>
      </c>
      <c r="I91">
        <v>4.4161036365615383</v>
      </c>
      <c r="J91">
        <v>10.893863394677878</v>
      </c>
      <c r="K91">
        <v>326.05645292869957</v>
      </c>
      <c r="L91">
        <v>2.1094649558305951</v>
      </c>
      <c r="M91">
        <v>9.0445559799781634</v>
      </c>
      <c r="N91">
        <v>10.215</v>
      </c>
      <c r="O91">
        <v>651.39999999999986</v>
      </c>
      <c r="P91">
        <v>57.005214600882475</v>
      </c>
    </row>
    <row r="92" spans="1:16" x14ac:dyDescent="0.35">
      <c r="A92">
        <v>40</v>
      </c>
      <c r="B92" t="s">
        <v>32</v>
      </c>
      <c r="C92" t="s">
        <v>33</v>
      </c>
      <c r="D92" t="s">
        <v>34</v>
      </c>
      <c r="E92" t="s">
        <v>34</v>
      </c>
      <c r="F92" t="s">
        <v>4</v>
      </c>
      <c r="G92">
        <v>49.348158676896858</v>
      </c>
      <c r="H92">
        <v>22.138579025495613</v>
      </c>
      <c r="I92">
        <v>8.3565239084006357</v>
      </c>
      <c r="J92">
        <v>6.0989485872488638</v>
      </c>
      <c r="K92">
        <v>246.94413885833026</v>
      </c>
      <c r="L92">
        <v>2.39228416889308</v>
      </c>
      <c r="M92">
        <v>4.7314752911518374</v>
      </c>
      <c r="N92">
        <v>9.09</v>
      </c>
      <c r="O92">
        <v>466.39999999999986</v>
      </c>
      <c r="P92" t="s">
        <v>1</v>
      </c>
    </row>
    <row r="93" spans="1:16" x14ac:dyDescent="0.35">
      <c r="A93">
        <v>41</v>
      </c>
      <c r="B93" t="s">
        <v>32</v>
      </c>
      <c r="C93" t="s">
        <v>33</v>
      </c>
      <c r="D93" t="s">
        <v>34</v>
      </c>
      <c r="E93" t="s">
        <v>34</v>
      </c>
      <c r="F93" t="s">
        <v>4</v>
      </c>
      <c r="G93">
        <v>53.043199226015865</v>
      </c>
      <c r="H93">
        <v>23.902972828959843</v>
      </c>
      <c r="I93">
        <v>7.1796488306427797</v>
      </c>
      <c r="J93">
        <v>3.0980291703461029</v>
      </c>
      <c r="K93">
        <v>189.98951781970649</v>
      </c>
      <c r="L93" t="s">
        <v>1</v>
      </c>
      <c r="M93">
        <v>8.7800899242991104</v>
      </c>
      <c r="N93">
        <v>9.5400000000000009</v>
      </c>
      <c r="O93">
        <v>446</v>
      </c>
      <c r="P93">
        <v>39.335740072202164</v>
      </c>
    </row>
    <row r="94" spans="1:16" x14ac:dyDescent="0.35">
      <c r="A94">
        <v>42</v>
      </c>
      <c r="B94" t="s">
        <v>32</v>
      </c>
      <c r="C94" t="s">
        <v>33</v>
      </c>
      <c r="D94" t="s">
        <v>34</v>
      </c>
      <c r="E94" t="s">
        <v>34</v>
      </c>
      <c r="F94" t="s">
        <v>4</v>
      </c>
      <c r="G94">
        <v>48.22665099807341</v>
      </c>
      <c r="H94">
        <v>21.99380760861677</v>
      </c>
      <c r="I94">
        <v>3.8455330197154338</v>
      </c>
      <c r="J94">
        <v>7.3387490305771248</v>
      </c>
      <c r="K94">
        <v>302.10027100271003</v>
      </c>
      <c r="L94">
        <v>2.0116154100529107</v>
      </c>
      <c r="M94">
        <v>1.0162601626016263</v>
      </c>
      <c r="N94">
        <v>9.8399999999999981</v>
      </c>
      <c r="O94">
        <v>416</v>
      </c>
      <c r="P94">
        <v>36.26714801444043</v>
      </c>
    </row>
    <row r="95" spans="1:16" x14ac:dyDescent="0.35">
      <c r="A95">
        <v>43</v>
      </c>
      <c r="B95" t="s">
        <v>29</v>
      </c>
      <c r="C95" t="s">
        <v>34</v>
      </c>
      <c r="D95" t="s">
        <v>34</v>
      </c>
      <c r="E95" t="s">
        <v>34</v>
      </c>
      <c r="F95" t="s">
        <v>4</v>
      </c>
      <c r="G95">
        <v>42.923557436045144</v>
      </c>
      <c r="H95">
        <v>16.82746276985792</v>
      </c>
      <c r="I95">
        <v>1.4654515403782449</v>
      </c>
      <c r="J95">
        <v>7.9617179295635898</v>
      </c>
      <c r="K95">
        <v>237.82716049382717</v>
      </c>
      <c r="L95">
        <v>3.0628387045053711</v>
      </c>
      <c r="M95">
        <v>5.4772808470557663</v>
      </c>
      <c r="N95">
        <v>12.375</v>
      </c>
      <c r="O95">
        <v>592.25</v>
      </c>
      <c r="P95">
        <v>47.097472924187727</v>
      </c>
    </row>
    <row r="96" spans="1:16" x14ac:dyDescent="0.35">
      <c r="A96">
        <v>44</v>
      </c>
      <c r="B96" t="s">
        <v>29</v>
      </c>
      <c r="C96" t="s">
        <v>34</v>
      </c>
      <c r="D96" t="s">
        <v>34</v>
      </c>
      <c r="E96" t="s">
        <v>34</v>
      </c>
      <c r="F96" t="s">
        <v>4</v>
      </c>
      <c r="G96">
        <v>63.601985716706835</v>
      </c>
      <c r="H96">
        <v>23.619024492149908</v>
      </c>
      <c r="I96">
        <v>0.86263711523615727</v>
      </c>
      <c r="J96">
        <v>2.5185673328561311</v>
      </c>
      <c r="K96">
        <v>233.72595210051045</v>
      </c>
      <c r="L96">
        <v>4.1096680034400883</v>
      </c>
      <c r="M96">
        <v>5.2375469785397861</v>
      </c>
      <c r="N96">
        <v>8.49</v>
      </c>
      <c r="O96">
        <v>668.5</v>
      </c>
      <c r="P96">
        <v>63.373044524669083</v>
      </c>
    </row>
    <row r="97" spans="1:16" x14ac:dyDescent="0.35">
      <c r="A97">
        <v>45</v>
      </c>
      <c r="B97" t="s">
        <v>29</v>
      </c>
      <c r="C97" t="s">
        <v>34</v>
      </c>
      <c r="D97" t="s">
        <v>34</v>
      </c>
      <c r="E97" t="s">
        <v>34</v>
      </c>
      <c r="F97" t="s">
        <v>4</v>
      </c>
      <c r="G97">
        <v>42.496716876185225</v>
      </c>
      <c r="H97">
        <v>20.163040778640017</v>
      </c>
      <c r="I97">
        <v>2.0682659655203324</v>
      </c>
      <c r="J97">
        <v>6.7953458058816807</v>
      </c>
      <c r="K97">
        <v>257.67958159888991</v>
      </c>
      <c r="L97">
        <v>1.732284852781971</v>
      </c>
      <c r="M97">
        <v>2.5093101385529826</v>
      </c>
      <c r="N97">
        <v>10.41</v>
      </c>
      <c r="O97">
        <v>597.24999999999977</v>
      </c>
      <c r="P97">
        <v>40.719614921780988</v>
      </c>
    </row>
    <row r="98" spans="1:16" x14ac:dyDescent="0.35">
      <c r="A98">
        <v>46</v>
      </c>
      <c r="B98" t="s">
        <v>31</v>
      </c>
      <c r="C98" t="s">
        <v>34</v>
      </c>
      <c r="D98" t="s">
        <v>34</v>
      </c>
      <c r="E98" t="s">
        <v>34</v>
      </c>
      <c r="F98" t="s">
        <v>4</v>
      </c>
      <c r="G98">
        <v>49.556736805422631</v>
      </c>
      <c r="H98">
        <v>25.12011169974696</v>
      </c>
      <c r="I98">
        <v>4.4590160741698073</v>
      </c>
      <c r="J98">
        <v>11.770307793548803</v>
      </c>
      <c r="K98" t="s">
        <v>1</v>
      </c>
      <c r="L98">
        <v>1.5434692179700498</v>
      </c>
      <c r="M98">
        <v>1.9001913566706441</v>
      </c>
      <c r="N98">
        <v>9.0150000000000006</v>
      </c>
      <c r="O98">
        <v>337.24999999999989</v>
      </c>
      <c r="P98">
        <v>42.825511432009627</v>
      </c>
    </row>
    <row r="99" spans="1:16" x14ac:dyDescent="0.35">
      <c r="A99">
        <v>47</v>
      </c>
      <c r="B99" t="s">
        <v>31</v>
      </c>
      <c r="C99" t="s">
        <v>34</v>
      </c>
      <c r="D99" t="s">
        <v>34</v>
      </c>
      <c r="E99" t="s">
        <v>34</v>
      </c>
      <c r="F99" t="s">
        <v>4</v>
      </c>
      <c r="G99">
        <v>64.822715399277484</v>
      </c>
      <c r="H99">
        <v>29.389396746647883</v>
      </c>
      <c r="I99">
        <v>5.5910506071277721</v>
      </c>
      <c r="J99">
        <v>7.4886544486076803</v>
      </c>
      <c r="K99">
        <v>451.71411080501991</v>
      </c>
      <c r="L99">
        <v>2.9066654095063189</v>
      </c>
      <c r="M99">
        <v>2.5806146823393243</v>
      </c>
      <c r="N99">
        <v>7.26</v>
      </c>
      <c r="O99">
        <v>462.24999999999989</v>
      </c>
      <c r="P99">
        <v>27.693140794223829</v>
      </c>
    </row>
    <row r="100" spans="1:16" x14ac:dyDescent="0.35">
      <c r="A100">
        <v>48</v>
      </c>
      <c r="B100" t="s">
        <v>31</v>
      </c>
      <c r="C100" t="s">
        <v>34</v>
      </c>
      <c r="D100" t="s">
        <v>34</v>
      </c>
      <c r="E100" t="s">
        <v>34</v>
      </c>
      <c r="F100" t="s">
        <v>4</v>
      </c>
      <c r="G100">
        <v>62.048412354372331</v>
      </c>
      <c r="H100">
        <v>32.155071500456103</v>
      </c>
      <c r="I100">
        <v>4.7489713153717519</v>
      </c>
      <c r="J100">
        <v>13.349621792729355</v>
      </c>
      <c r="K100">
        <v>512.16248506571094</v>
      </c>
      <c r="L100">
        <v>3.338932980599647</v>
      </c>
      <c r="M100">
        <v>1.9158147879234901</v>
      </c>
      <c r="N100">
        <v>6.9750000000000005</v>
      </c>
      <c r="O100">
        <v>598.49999999999989</v>
      </c>
      <c r="P100">
        <v>29.979542719614923</v>
      </c>
    </row>
    <row r="101" spans="1:16" x14ac:dyDescent="0.35">
      <c r="A101">
        <v>49</v>
      </c>
      <c r="B101" t="s">
        <v>32</v>
      </c>
      <c r="C101" t="s">
        <v>34</v>
      </c>
      <c r="D101" t="s">
        <v>34</v>
      </c>
      <c r="E101" t="s">
        <v>34</v>
      </c>
      <c r="F101" t="s">
        <v>4</v>
      </c>
      <c r="G101">
        <v>70.20831092263515</v>
      </c>
      <c r="H101">
        <v>31.512141521912064</v>
      </c>
      <c r="I101">
        <v>11.891330900147807</v>
      </c>
      <c r="J101" t="s">
        <v>1</v>
      </c>
      <c r="K101">
        <v>217.26731543863397</v>
      </c>
      <c r="L101">
        <v>2.7154506011580115</v>
      </c>
      <c r="M101" t="s">
        <v>1</v>
      </c>
      <c r="N101">
        <v>7.7925000000000013</v>
      </c>
      <c r="O101">
        <v>483.49999999999989</v>
      </c>
      <c r="P101">
        <v>30.069795427196148</v>
      </c>
    </row>
    <row r="102" spans="1:16" x14ac:dyDescent="0.35">
      <c r="A102">
        <v>50</v>
      </c>
      <c r="B102" t="s">
        <v>32</v>
      </c>
      <c r="C102" t="s">
        <v>34</v>
      </c>
      <c r="D102" t="s">
        <v>34</v>
      </c>
      <c r="E102" t="s">
        <v>34</v>
      </c>
      <c r="F102" t="s">
        <v>4</v>
      </c>
      <c r="G102">
        <v>64.569205835088312</v>
      </c>
      <c r="H102">
        <v>30.678824987669181</v>
      </c>
      <c r="I102">
        <v>14.198550395894218</v>
      </c>
      <c r="J102">
        <v>11.618938257478799</v>
      </c>
      <c r="K102">
        <v>159.77023645910418</v>
      </c>
      <c r="L102">
        <v>3.3679551850341576</v>
      </c>
      <c r="M102" t="s">
        <v>1</v>
      </c>
      <c r="N102">
        <v>7.8825000000000012</v>
      </c>
      <c r="O102">
        <v>459.75</v>
      </c>
      <c r="P102">
        <v>43.186522262334535</v>
      </c>
    </row>
    <row r="103" spans="1:16" x14ac:dyDescent="0.35">
      <c r="A103">
        <v>51</v>
      </c>
      <c r="B103" t="s">
        <v>32</v>
      </c>
      <c r="C103" t="s">
        <v>34</v>
      </c>
      <c r="D103" t="s">
        <v>34</v>
      </c>
      <c r="E103" t="s">
        <v>34</v>
      </c>
      <c r="F103" t="s">
        <v>4</v>
      </c>
      <c r="G103">
        <v>65.010575521993786</v>
      </c>
      <c r="H103">
        <v>31.522833278344809</v>
      </c>
      <c r="I103">
        <v>13.044940648021011</v>
      </c>
      <c r="J103">
        <v>13.551522547512288</v>
      </c>
      <c r="K103">
        <v>167.58912470522958</v>
      </c>
      <c r="L103">
        <v>3.8980081941224265</v>
      </c>
      <c r="M103">
        <v>2.5350145116032619</v>
      </c>
      <c r="N103">
        <v>8.01</v>
      </c>
      <c r="O103">
        <v>569.75</v>
      </c>
      <c r="P103">
        <v>42.915764139590848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F5BA-4B16-4084-A322-386AEF45D549}">
  <dimension ref="A1:V110"/>
  <sheetViews>
    <sheetView zoomScale="85" zoomScaleNormal="85" workbookViewId="0">
      <selection activeCell="G5" sqref="G5:G6"/>
    </sheetView>
  </sheetViews>
  <sheetFormatPr baseColWidth="10" defaultRowHeight="14.5" x14ac:dyDescent="0.35"/>
  <cols>
    <col min="2" max="2" width="13.81640625" bestFit="1" customWidth="1"/>
    <col min="5" max="5" width="11.1796875" bestFit="1" customWidth="1"/>
    <col min="6" max="7" width="11.1796875" customWidth="1"/>
    <col min="8" max="8" width="13.81640625" bestFit="1" customWidth="1"/>
    <col min="9" max="10" width="13.81640625" customWidth="1"/>
    <col min="11" max="11" width="13.81640625" bestFit="1" customWidth="1"/>
    <col min="14" max="14" width="11.453125" style="26"/>
    <col min="17" max="17" width="13.81640625" bestFit="1" customWidth="1"/>
    <col min="18" max="19" width="13.81640625" customWidth="1"/>
  </cols>
  <sheetData>
    <row r="1" spans="1:22" x14ac:dyDescent="0.35">
      <c r="B1" s="31" t="s">
        <v>3</v>
      </c>
      <c r="C1" s="31"/>
      <c r="D1" s="31"/>
      <c r="E1" s="31"/>
      <c r="F1" s="31"/>
      <c r="G1" s="31"/>
      <c r="H1" s="31"/>
      <c r="I1" s="11"/>
      <c r="J1" s="11"/>
      <c r="K1" s="32" t="s">
        <v>4</v>
      </c>
      <c r="L1" s="32"/>
      <c r="M1" s="32"/>
      <c r="N1" s="32"/>
      <c r="O1" s="32"/>
      <c r="P1" s="32"/>
      <c r="Q1" s="32"/>
      <c r="R1" s="12"/>
      <c r="S1" s="12"/>
    </row>
    <row r="2" spans="1:22" s="4" customFormat="1" x14ac:dyDescent="0.35">
      <c r="A2" s="1" t="s">
        <v>0</v>
      </c>
      <c r="B2" s="4" t="s">
        <v>8</v>
      </c>
      <c r="C2" s="3" t="s">
        <v>7</v>
      </c>
      <c r="D2" s="3" t="s">
        <v>2</v>
      </c>
      <c r="E2" s="3" t="s">
        <v>5</v>
      </c>
      <c r="F2" s="3" t="s">
        <v>6</v>
      </c>
      <c r="G2" s="3" t="s">
        <v>9</v>
      </c>
      <c r="H2" s="6" t="s">
        <v>10</v>
      </c>
      <c r="I2" s="6" t="s">
        <v>36</v>
      </c>
      <c r="J2" s="6" t="s">
        <v>37</v>
      </c>
      <c r="K2" s="3" t="s">
        <v>8</v>
      </c>
      <c r="L2" s="3" t="s">
        <v>7</v>
      </c>
      <c r="M2" s="3" t="s">
        <v>2</v>
      </c>
      <c r="N2" s="25" t="s">
        <v>5</v>
      </c>
      <c r="O2" s="3" t="s">
        <v>6</v>
      </c>
      <c r="P2" s="3" t="s">
        <v>9</v>
      </c>
      <c r="Q2" s="6" t="s">
        <v>10</v>
      </c>
      <c r="R2" s="6" t="s">
        <v>36</v>
      </c>
      <c r="S2" s="6" t="s">
        <v>37</v>
      </c>
    </row>
    <row r="3" spans="1:22" x14ac:dyDescent="0.35">
      <c r="A3" s="37">
        <v>1</v>
      </c>
      <c r="B3" s="38">
        <v>8.2649999999999988</v>
      </c>
      <c r="C3" s="5">
        <v>-13.295999999999999</v>
      </c>
      <c r="D3" s="36">
        <f>AVERAGE(C3:C4)</f>
        <v>-10.7897</v>
      </c>
      <c r="E3" s="35">
        <f>-(_xlfn.STDEV.S(C3:C4)/SQRT(2))/D3</f>
        <v>0.23228634716442534</v>
      </c>
      <c r="F3" s="36">
        <f>D3/1000</f>
        <v>-1.0789699999999999E-2</v>
      </c>
      <c r="G3" s="36">
        <f>(-F3*16*0.2)/(39.58*0.6*0.01*10^-3)</f>
        <v>145.38925383190164</v>
      </c>
      <c r="H3" s="33">
        <f>G3/B3</f>
        <v>17.590956301500505</v>
      </c>
      <c r="I3" s="33">
        <f>AVERAGE(H3:H12)</f>
        <v>15.971295651025617</v>
      </c>
      <c r="J3" s="34">
        <f>(_xlfn.STDEV.S(H3:H12)/SQRT(5))/I3</f>
        <v>6.4545586215829814E-2</v>
      </c>
      <c r="K3" s="36">
        <v>6.0449999999999999</v>
      </c>
      <c r="L3" s="5">
        <v>-12.712999999999999</v>
      </c>
      <c r="M3" s="36">
        <f>AVERAGE(L3:L4)</f>
        <v>-11.738</v>
      </c>
      <c r="N3" s="35">
        <f>-(_xlfn.STDEV.S(L3:L4)/SQRT(2))/M3</f>
        <v>8.3063554268188747E-2</v>
      </c>
      <c r="O3" s="36">
        <f>M3/1000</f>
        <v>-1.1738E-2</v>
      </c>
      <c r="P3" s="36">
        <f>(-O3*16*0.2)/(39.58*0.6*0.01*10^-3)</f>
        <v>158.1674246252316</v>
      </c>
      <c r="Q3" s="33">
        <f>P3/K3</f>
        <v>26.164999938003575</v>
      </c>
      <c r="R3" s="33">
        <f>AVERAGE(Q3:Q12)</f>
        <v>22.652154539517113</v>
      </c>
      <c r="S3" s="34">
        <f>(_xlfn.STDEV.S(Q3:Q12)/SQRT(5))/R3</f>
        <v>8.0164358187925569E-2</v>
      </c>
    </row>
    <row r="4" spans="1:22" x14ac:dyDescent="0.35">
      <c r="A4" s="37"/>
      <c r="B4" s="38"/>
      <c r="C4" s="5">
        <v>-8.2834000000000003</v>
      </c>
      <c r="D4" s="36"/>
      <c r="E4" s="35"/>
      <c r="F4" s="36"/>
      <c r="G4" s="36"/>
      <c r="H4" s="33"/>
      <c r="I4" s="33"/>
      <c r="J4" s="34"/>
      <c r="K4" s="36"/>
      <c r="L4" s="5">
        <v>-10.763</v>
      </c>
      <c r="M4" s="36"/>
      <c r="N4" s="35"/>
      <c r="O4" s="36"/>
      <c r="P4" s="36"/>
      <c r="Q4" s="33"/>
      <c r="R4" s="33"/>
      <c r="S4" s="34"/>
    </row>
    <row r="5" spans="1:22" x14ac:dyDescent="0.35">
      <c r="A5" s="37">
        <v>2</v>
      </c>
      <c r="B5" s="38">
        <v>5.7149999999999999</v>
      </c>
      <c r="C5" s="5">
        <v>-6.3087999999999997</v>
      </c>
      <c r="D5" s="36">
        <f t="shared" ref="D5" si="0">AVERAGE(C5:C6)</f>
        <v>-5.3513500000000001</v>
      </c>
      <c r="E5" s="35">
        <f t="shared" ref="E5" si="1">-(_xlfn.STDEV.S(C5:C6)/SQRT(2))/D5</f>
        <v>0.17891746942360329</v>
      </c>
      <c r="F5" s="36">
        <f t="shared" ref="F5" si="2">D5/1000</f>
        <v>-5.3513500000000004E-3</v>
      </c>
      <c r="G5" s="36">
        <f t="shared" ref="G5" si="3">(-F5*16*0.2)/(39.58*0.6*0.01*10^-3)</f>
        <v>72.10847229240359</v>
      </c>
      <c r="H5" s="33">
        <f t="shared" ref="H5" si="4">G5/B5</f>
        <v>12.617405475486192</v>
      </c>
      <c r="I5" s="33"/>
      <c r="J5" s="34"/>
      <c r="K5" s="36">
        <v>10.425000000000001</v>
      </c>
      <c r="L5" s="5">
        <v>-12.958</v>
      </c>
      <c r="M5" s="36">
        <f t="shared" ref="M5" si="5">AVERAGE(L5:L6)</f>
        <v>-13.102</v>
      </c>
      <c r="N5" s="35">
        <f t="shared" ref="N5" si="6">-(_xlfn.STDEV.S(L5:L6)/SQRT(2))/M5</f>
        <v>1.0990688444512295E-2</v>
      </c>
      <c r="O5" s="36">
        <f t="shared" ref="O5" si="7">M5/1000</f>
        <v>-1.3102000000000001E-2</v>
      </c>
      <c r="P5" s="36">
        <f t="shared" ref="P5" si="8">(-O5*16*0.2)/(39.58*0.6*0.01*10^-3)</f>
        <v>176.54707764864412</v>
      </c>
      <c r="Q5" s="33">
        <f t="shared" ref="Q5" si="9">P5/K5</f>
        <v>16.934971477088165</v>
      </c>
      <c r="R5" s="33"/>
      <c r="S5" s="34"/>
    </row>
    <row r="6" spans="1:22" x14ac:dyDescent="0.35">
      <c r="A6" s="37"/>
      <c r="B6" s="38"/>
      <c r="C6" s="5">
        <v>-4.3939000000000004</v>
      </c>
      <c r="D6" s="36"/>
      <c r="E6" s="35"/>
      <c r="F6" s="36"/>
      <c r="G6" s="36"/>
      <c r="H6" s="33"/>
      <c r="I6" s="33"/>
      <c r="J6" s="34"/>
      <c r="K6" s="36"/>
      <c r="L6" s="5">
        <v>-13.246</v>
      </c>
      <c r="M6" s="36"/>
      <c r="N6" s="35"/>
      <c r="O6" s="36"/>
      <c r="P6" s="36"/>
      <c r="Q6" s="33"/>
      <c r="R6" s="33"/>
      <c r="S6" s="34"/>
    </row>
    <row r="7" spans="1:22" x14ac:dyDescent="0.35">
      <c r="A7" s="37">
        <v>3</v>
      </c>
      <c r="B7" s="38">
        <v>6.4050000000000011</v>
      </c>
      <c r="C7" s="5">
        <v>-7.5862999999999996</v>
      </c>
      <c r="D7" s="36">
        <f t="shared" ref="D7" si="10">AVERAGE(C7:C8)</f>
        <v>-7.3625999999999996</v>
      </c>
      <c r="E7" s="35">
        <f t="shared" ref="E7" si="11">-(_xlfn.STDEV.S(C7:C8)/SQRT(2))/D7</f>
        <v>3.0383288512210362E-2</v>
      </c>
      <c r="F7" s="36">
        <f t="shared" ref="F7" si="12">D7/1000</f>
        <v>-7.3625999999999995E-3</v>
      </c>
      <c r="G7" s="36">
        <f t="shared" ref="G7" si="13">(-F7*16*0.2)/(39.58*0.6*0.01*10^-3)</f>
        <v>99.209701869631132</v>
      </c>
      <c r="H7" s="33">
        <f t="shared" ref="H7" si="14">G7/B7</f>
        <v>15.489414811808137</v>
      </c>
      <c r="I7" s="33"/>
      <c r="J7" s="34"/>
      <c r="K7" s="36">
        <v>10.319999999999999</v>
      </c>
      <c r="L7" s="5">
        <v>-14.787000000000001</v>
      </c>
      <c r="M7" s="36">
        <f t="shared" ref="M7" si="15">AVERAGE(L7:L8)</f>
        <v>-15.212</v>
      </c>
      <c r="N7" s="35">
        <f t="shared" ref="N7" si="16">-(_xlfn.STDEV.S(L7:L8)/SQRT(2))/M7</f>
        <v>2.793846962924006E-2</v>
      </c>
      <c r="O7" s="36">
        <f t="shared" ref="O7" si="17">M7/1000</f>
        <v>-1.5212E-2</v>
      </c>
      <c r="P7" s="36">
        <f t="shared" ref="P7" si="18">(-O7*16*0.2)/(39.58*0.6*0.01*10^-3)</f>
        <v>204.97894559541859</v>
      </c>
      <c r="Q7" s="33">
        <f t="shared" ref="Q7" si="19">P7/K7</f>
        <v>19.862300929788628</v>
      </c>
      <c r="R7" s="33"/>
      <c r="S7" s="34"/>
    </row>
    <row r="8" spans="1:22" x14ac:dyDescent="0.35">
      <c r="A8" s="37"/>
      <c r="B8" s="38"/>
      <c r="C8" s="5">
        <v>-7.1388999999999996</v>
      </c>
      <c r="D8" s="36"/>
      <c r="E8" s="35"/>
      <c r="F8" s="36"/>
      <c r="G8" s="36"/>
      <c r="H8" s="33"/>
      <c r="I8" s="33"/>
      <c r="J8" s="34"/>
      <c r="K8" s="36"/>
      <c r="L8" s="5">
        <v>-15.637</v>
      </c>
      <c r="M8" s="36"/>
      <c r="N8" s="35"/>
      <c r="O8" s="36"/>
      <c r="P8" s="36"/>
      <c r="Q8" s="33"/>
      <c r="R8" s="33"/>
      <c r="S8" s="34"/>
      <c r="U8" s="8" t="s">
        <v>13</v>
      </c>
      <c r="V8">
        <v>16</v>
      </c>
    </row>
    <row r="9" spans="1:22" x14ac:dyDescent="0.35">
      <c r="A9" s="37">
        <v>4</v>
      </c>
      <c r="B9" s="38">
        <v>5.625</v>
      </c>
      <c r="C9" s="5">
        <v>-8.6396999999999995</v>
      </c>
      <c r="D9" s="36">
        <f t="shared" ref="D9" si="20">AVERAGE(C9:C10)</f>
        <v>-7.7692499999999995</v>
      </c>
      <c r="E9" s="35">
        <f t="shared" ref="E9" si="21">-(_xlfn.STDEV.S(C9:C10)/SQRT(2))/D9</f>
        <v>0.11203784149049116</v>
      </c>
      <c r="F9" s="36">
        <f t="shared" ref="F9" si="22">D9/1000</f>
        <v>-7.7692499999999992E-3</v>
      </c>
      <c r="G9" s="36">
        <f t="shared" ref="G9" si="23">(-F9*16*0.2)/(39.58*0.6*0.01*10^-3)</f>
        <v>104.68923698837797</v>
      </c>
      <c r="H9" s="33">
        <f t="shared" ref="H9" si="24">G9/B9</f>
        <v>18.611419909044972</v>
      </c>
      <c r="I9" s="33"/>
      <c r="J9" s="34"/>
      <c r="K9" s="36">
        <v>8.7000000000000011</v>
      </c>
      <c r="L9" s="5">
        <v>-17.001999999999999</v>
      </c>
      <c r="M9" s="36">
        <f t="shared" ref="M9" si="25">AVERAGE(L9:L10)</f>
        <v>-16.610999999999997</v>
      </c>
      <c r="N9" s="35">
        <f t="shared" ref="N9" si="26">-(_xlfn.STDEV.S(L9:L10)/SQRT(2))/M9</f>
        <v>2.3538618987417978E-2</v>
      </c>
      <c r="O9" s="36">
        <f t="shared" ref="O9" si="27">M9/1000</f>
        <v>-1.6610999999999997E-2</v>
      </c>
      <c r="P9" s="36">
        <f t="shared" ref="P9" si="28">(-O9*16*0.2)/(39.58*0.6*0.01*10^-3)</f>
        <v>223.83021728145528</v>
      </c>
      <c r="Q9" s="33">
        <f t="shared" ref="Q9" si="29">P9/K9</f>
        <v>25.727611181776464</v>
      </c>
      <c r="R9" s="33"/>
      <c r="S9" s="34"/>
      <c r="U9" s="8" t="s">
        <v>16</v>
      </c>
      <c r="V9">
        <v>0.2</v>
      </c>
    </row>
    <row r="10" spans="1:22" x14ac:dyDescent="0.35">
      <c r="A10" s="37"/>
      <c r="B10" s="38"/>
      <c r="C10" s="5">
        <v>-6.8987999999999996</v>
      </c>
      <c r="D10" s="36"/>
      <c r="E10" s="35"/>
      <c r="F10" s="36"/>
      <c r="G10" s="36"/>
      <c r="H10" s="33"/>
      <c r="I10" s="33"/>
      <c r="J10" s="34"/>
      <c r="K10" s="36"/>
      <c r="L10" s="5">
        <v>-16.22</v>
      </c>
      <c r="M10" s="36"/>
      <c r="N10" s="35"/>
      <c r="O10" s="36"/>
      <c r="P10" s="36"/>
      <c r="Q10" s="33"/>
      <c r="R10" s="33"/>
      <c r="S10" s="34"/>
      <c r="U10" s="8" t="s">
        <v>15</v>
      </c>
      <c r="V10">
        <v>39.58</v>
      </c>
    </row>
    <row r="11" spans="1:22" x14ac:dyDescent="0.35">
      <c r="A11" s="37">
        <v>5</v>
      </c>
      <c r="B11" s="38">
        <v>4.1550000000000002</v>
      </c>
      <c r="C11" s="5">
        <v>-4.5734000000000004</v>
      </c>
      <c r="D11" s="36">
        <f t="shared" ref="D11" si="30">AVERAGE(C11:C12)</f>
        <v>-4.7940500000000004</v>
      </c>
      <c r="E11" s="35">
        <f t="shared" ref="E11" si="31">-(_xlfn.STDEV.S(C11:C12)/SQRT(2))/D11</f>
        <v>4.6025802818076569E-2</v>
      </c>
      <c r="F11" s="36">
        <f t="shared" ref="F11" si="32">D11/1000</f>
        <v>-4.7940500000000002E-3</v>
      </c>
      <c r="G11" s="36">
        <f t="shared" ref="G11" si="33">(-F11*16*0.2)/(39.58*0.6*0.01*10^-3)</f>
        <v>64.598955701532773</v>
      </c>
      <c r="H11" s="33">
        <f t="shared" ref="H11" si="34">G11/B11</f>
        <v>15.547281757288271</v>
      </c>
      <c r="I11" s="33"/>
      <c r="J11" s="34"/>
      <c r="K11" s="36">
        <v>8.9699999999999989</v>
      </c>
      <c r="L11" s="5">
        <v>-15.757999999999999</v>
      </c>
      <c r="M11" s="36">
        <f t="shared" ref="M11" si="35">AVERAGE(L11:L12)</f>
        <v>-16.356499999999997</v>
      </c>
      <c r="N11" s="35">
        <f t="shared" ref="N11" si="36">-(_xlfn.STDEV.S(L11:L12)/SQRT(2))/M11</f>
        <v>3.6590957723229275E-2</v>
      </c>
      <c r="O11" s="36">
        <f t="shared" ref="O11" si="37">M11/1000</f>
        <v>-1.6356499999999996E-2</v>
      </c>
      <c r="P11" s="36">
        <f t="shared" ref="P11" si="38">(-O11*16*0.2)/(39.58*0.6*0.01*10^-3)</f>
        <v>220.40087586323057</v>
      </c>
      <c r="Q11" s="33">
        <f t="shared" ref="Q11" si="39">P11/K11</f>
        <v>24.570889170928716</v>
      </c>
      <c r="R11" s="33"/>
      <c r="S11" s="34"/>
      <c r="U11" s="8" t="s">
        <v>14</v>
      </c>
      <c r="V11">
        <v>0.01</v>
      </c>
    </row>
    <row r="12" spans="1:22" x14ac:dyDescent="0.35">
      <c r="A12" s="37"/>
      <c r="B12" s="38"/>
      <c r="C12" s="5">
        <v>-5.0147000000000004</v>
      </c>
      <c r="D12" s="36"/>
      <c r="E12" s="35"/>
      <c r="F12" s="36"/>
      <c r="G12" s="36"/>
      <c r="H12" s="33"/>
      <c r="I12" s="33"/>
      <c r="J12" s="34"/>
      <c r="K12" s="36"/>
      <c r="L12" s="5">
        <v>-16.954999999999998</v>
      </c>
      <c r="M12" s="36"/>
      <c r="N12" s="35"/>
      <c r="O12" s="36"/>
      <c r="P12" s="36"/>
      <c r="Q12" s="33"/>
      <c r="R12" s="33"/>
      <c r="S12" s="34"/>
    </row>
    <row r="13" spans="1:22" x14ac:dyDescent="0.35">
      <c r="A13" s="37">
        <v>6</v>
      </c>
      <c r="B13" s="38">
        <v>5.61</v>
      </c>
      <c r="C13" s="5">
        <v>-9.3070000000000004</v>
      </c>
      <c r="D13" s="36">
        <f t="shared" ref="D13" si="40">AVERAGE(C13:C14)</f>
        <v>-9.2689000000000004</v>
      </c>
      <c r="E13" s="35">
        <f t="shared" ref="E13" si="41">-(_xlfn.STDEV.S(C13:C14)/SQRT(2))/D13</f>
        <v>4.1105201264443484E-3</v>
      </c>
      <c r="F13" s="36">
        <f t="shared" ref="F13" si="42">D13/1000</f>
        <v>-9.2689000000000001E-3</v>
      </c>
      <c r="G13" s="36">
        <f t="shared" ref="G13" si="43">(-F13*16*0.2)/(39.58*0.6*0.01*10^-3)</f>
        <v>124.89674919993264</v>
      </c>
      <c r="H13" s="33">
        <f t="shared" ref="H13" si="44">G13/B13</f>
        <v>22.263235151503142</v>
      </c>
      <c r="I13" s="33">
        <f>AVERAGE(H13:H22)</f>
        <v>20.659227961303444</v>
      </c>
      <c r="J13" s="34">
        <f t="shared" ref="J13" si="45">(_xlfn.STDEV.S(H13:H22)/SQRT(5))/I13</f>
        <v>0.13780622457849023</v>
      </c>
      <c r="K13" s="36">
        <v>9.4350000000000005</v>
      </c>
      <c r="L13" s="5">
        <v>-16.459</v>
      </c>
      <c r="M13" s="36">
        <f t="shared" ref="M13" si="46">AVERAGE(L13:L14)</f>
        <v>-16.442</v>
      </c>
      <c r="N13" s="35">
        <f t="shared" ref="N13" si="47">-(_xlfn.STDEV.S(L13:L14)/SQRT(2))/M13</f>
        <v>1.0339374771925229E-3</v>
      </c>
      <c r="O13" s="36">
        <f t="shared" ref="O13" si="48">M13/1000</f>
        <v>-1.6442000000000002E-2</v>
      </c>
      <c r="P13" s="36">
        <f t="shared" ref="P13" si="49">(-O13*16*0.2)/(39.58*0.6*0.01*10^-3)</f>
        <v>221.55297288192693</v>
      </c>
      <c r="Q13" s="33">
        <f t="shared" ref="Q13" si="50">P13/K13</f>
        <v>23.482032101953038</v>
      </c>
      <c r="R13" s="33">
        <f>AVERAGE(Q13:Q22)</f>
        <v>24.858286155602393</v>
      </c>
      <c r="S13" s="34">
        <f t="shared" ref="S13" si="51">(_xlfn.STDEV.S(Q13:Q22)/SQRT(5))/R13</f>
        <v>0.12093731197809203</v>
      </c>
    </row>
    <row r="14" spans="1:22" x14ac:dyDescent="0.35">
      <c r="A14" s="37"/>
      <c r="B14" s="38"/>
      <c r="C14" s="5">
        <v>-9.2308000000000003</v>
      </c>
      <c r="D14" s="36"/>
      <c r="E14" s="35"/>
      <c r="F14" s="36"/>
      <c r="G14" s="36"/>
      <c r="H14" s="33"/>
      <c r="I14" s="33"/>
      <c r="J14" s="34"/>
      <c r="K14" s="36"/>
      <c r="L14" s="5">
        <v>-16.425000000000001</v>
      </c>
      <c r="M14" s="36"/>
      <c r="N14" s="35"/>
      <c r="O14" s="36"/>
      <c r="P14" s="36"/>
      <c r="Q14" s="33"/>
      <c r="R14" s="33"/>
      <c r="S14" s="34"/>
    </row>
    <row r="15" spans="1:22" x14ac:dyDescent="0.35">
      <c r="A15" s="37">
        <v>7</v>
      </c>
      <c r="B15" s="38">
        <v>6.51</v>
      </c>
      <c r="C15" s="5">
        <v>-8.8651</v>
      </c>
      <c r="D15" s="36">
        <f t="shared" ref="D15" si="52">AVERAGE(C15:C16)</f>
        <v>-7.7476500000000001</v>
      </c>
      <c r="E15" s="35">
        <f t="shared" ref="E15" si="53">-(_xlfn.STDEV.S(C15:C16)/SQRT(2))/D15</f>
        <v>0.14423083128432498</v>
      </c>
      <c r="F15" s="36">
        <f t="shared" ref="F15" si="54">D15/1000</f>
        <v>-7.74765E-3</v>
      </c>
      <c r="G15" s="36">
        <f t="shared" ref="G15" si="55">(-F15*16*0.2)/(39.58*0.6*0.01*10^-3)</f>
        <v>104.39818089944418</v>
      </c>
      <c r="H15" s="33">
        <f t="shared" ref="H15" si="56">G15/B15</f>
        <v>16.036586927718002</v>
      </c>
      <c r="I15" s="33"/>
      <c r="J15" s="34"/>
      <c r="K15" s="36">
        <v>8.4449999999999985</v>
      </c>
      <c r="L15" s="5">
        <v>-13.763</v>
      </c>
      <c r="M15" s="36">
        <f t="shared" ref="M15" si="57">AVERAGE(L15:L16)</f>
        <v>-14.8765</v>
      </c>
      <c r="N15" s="35">
        <f t="shared" ref="N15" si="58">-(_xlfn.STDEV.S(L15:L16)/SQRT(2))/M15</f>
        <v>7.4849594998823654E-2</v>
      </c>
      <c r="O15" s="36">
        <f t="shared" ref="O15" si="59">M15/1000</f>
        <v>-1.4876500000000001E-2</v>
      </c>
      <c r="P15" s="36">
        <f t="shared" ref="P15" si="60">(-O15*16*0.2)/(39.58*0.6*0.01*10^-3)</f>
        <v>200.45814384369211</v>
      </c>
      <c r="Q15" s="33">
        <f t="shared" ref="Q15" si="61">P15/K15</f>
        <v>23.736902764202743</v>
      </c>
      <c r="R15" s="33"/>
      <c r="S15" s="34"/>
    </row>
    <row r="16" spans="1:22" x14ac:dyDescent="0.35">
      <c r="A16" s="37"/>
      <c r="B16" s="38"/>
      <c r="C16" s="5">
        <v>-6.6302000000000003</v>
      </c>
      <c r="D16" s="36"/>
      <c r="E16" s="35"/>
      <c r="F16" s="36"/>
      <c r="G16" s="36"/>
      <c r="H16" s="33"/>
      <c r="I16" s="33"/>
      <c r="J16" s="34"/>
      <c r="K16" s="36"/>
      <c r="L16" s="5">
        <v>-15.99</v>
      </c>
      <c r="M16" s="36"/>
      <c r="N16" s="35"/>
      <c r="O16" s="36"/>
      <c r="P16" s="36"/>
      <c r="Q16" s="33"/>
      <c r="R16" s="33"/>
      <c r="S16" s="34"/>
    </row>
    <row r="17" spans="1:19" x14ac:dyDescent="0.35">
      <c r="A17" s="37">
        <v>8</v>
      </c>
      <c r="B17" s="38">
        <v>7.6950000000000003</v>
      </c>
      <c r="C17" s="5">
        <v>-14.396000000000001</v>
      </c>
      <c r="D17" s="36">
        <f t="shared" ref="D17" si="62">AVERAGE(C17:C18)</f>
        <v>-13.567</v>
      </c>
      <c r="E17" s="35">
        <f t="shared" ref="E17" si="63">-(_xlfn.STDEV.S(C17:C18)/SQRT(2))/D17</f>
        <v>6.1104149775189839E-2</v>
      </c>
      <c r="F17" s="36">
        <f t="shared" ref="F17" si="64">D17/1000</f>
        <v>-1.3567000000000001E-2</v>
      </c>
      <c r="G17" s="36">
        <f t="shared" ref="G17" si="65">(-F17*16*0.2)/(39.58*0.6*0.01*10^-3)</f>
        <v>182.81286845208021</v>
      </c>
      <c r="H17" s="33">
        <f t="shared" ref="H17" si="66">G17/B17</f>
        <v>23.757357823532189</v>
      </c>
      <c r="I17" s="33"/>
      <c r="J17" s="34"/>
      <c r="K17" s="36">
        <v>9.7800000000000011</v>
      </c>
      <c r="L17" s="5">
        <v>-11.742000000000001</v>
      </c>
      <c r="M17" s="36">
        <f t="shared" ref="M17" si="67">AVERAGE(L17:L18)</f>
        <v>-11.349500000000001</v>
      </c>
      <c r="N17" s="35">
        <f t="shared" ref="N17" si="68">-(_xlfn.STDEV.S(L17:L18)/SQRT(2))/M17</f>
        <v>3.4583021278470419E-2</v>
      </c>
      <c r="O17" s="36">
        <f t="shared" ref="O17" si="69">M17/1000</f>
        <v>-1.13495E-2</v>
      </c>
      <c r="P17" s="36">
        <f t="shared" ref="P17" si="70">(-O17*16*0.2)/(39.58*0.6*0.01*10^-3)</f>
        <v>152.93245747010275</v>
      </c>
      <c r="Q17" s="33">
        <f t="shared" ref="Q17" si="71">P17/K17</f>
        <v>15.637265589990054</v>
      </c>
      <c r="R17" s="33"/>
      <c r="S17" s="34"/>
    </row>
    <row r="18" spans="1:19" x14ac:dyDescent="0.35">
      <c r="A18" s="37"/>
      <c r="B18" s="38"/>
      <c r="C18" s="5">
        <v>-12.738</v>
      </c>
      <c r="D18" s="36"/>
      <c r="E18" s="35"/>
      <c r="F18" s="36"/>
      <c r="G18" s="36"/>
      <c r="H18" s="33"/>
      <c r="I18" s="33"/>
      <c r="J18" s="34"/>
      <c r="K18" s="36"/>
      <c r="L18" s="5">
        <v>-10.957000000000001</v>
      </c>
      <c r="M18" s="36"/>
      <c r="N18" s="35"/>
      <c r="O18" s="36"/>
      <c r="P18" s="36"/>
      <c r="Q18" s="33"/>
      <c r="R18" s="33"/>
      <c r="S18" s="34"/>
    </row>
    <row r="19" spans="1:19" x14ac:dyDescent="0.35">
      <c r="A19" s="37">
        <v>9</v>
      </c>
      <c r="B19" s="38">
        <v>3.57</v>
      </c>
      <c r="C19" s="5">
        <v>-5.7976000000000001</v>
      </c>
      <c r="D19" s="36">
        <f t="shared" ref="D19" si="72">AVERAGE(C19:C20)</f>
        <v>-7.5870499999999996</v>
      </c>
      <c r="E19" s="35">
        <f t="shared" ref="E19" si="73">-(_xlfn.STDEV.S(C19:C20)/SQRT(2))/D19</f>
        <v>0.23585583329489065</v>
      </c>
      <c r="F19" s="36">
        <f t="shared" ref="F19" si="74">D19/1000</f>
        <v>-7.5870499999999997E-3</v>
      </c>
      <c r="G19" s="36">
        <f t="shared" ref="G19" si="75">(-F19*16*0.2)/(39.58*0.6*0.01*10^-3)</f>
        <v>102.2341249789456</v>
      </c>
      <c r="H19" s="33">
        <f t="shared" ref="H19" si="76">G19/B19</f>
        <v>28.637009798023978</v>
      </c>
      <c r="I19" s="33"/>
      <c r="J19" s="34"/>
      <c r="K19" s="36">
        <v>10.29</v>
      </c>
      <c r="L19" s="5">
        <v>-23.971</v>
      </c>
      <c r="M19" s="36">
        <f t="shared" ref="M19" si="77">AVERAGE(L19:L20)</f>
        <v>-26.097999999999999</v>
      </c>
      <c r="N19" s="35">
        <f t="shared" ref="N19" si="78">-(_xlfn.STDEV.S(L19:L20)/SQRT(2))/M19</f>
        <v>8.1500498122461504E-2</v>
      </c>
      <c r="O19" s="36">
        <f t="shared" ref="O19" si="79">M19/1000</f>
        <v>-2.6098E-2</v>
      </c>
      <c r="P19" s="36">
        <f t="shared" ref="P19" si="80">(-O19*16*0.2)/(39.58*0.6*0.01*10^-3)</f>
        <v>351.66582449048349</v>
      </c>
      <c r="Q19" s="33">
        <f t="shared" ref="Q19" si="81">P19/K19</f>
        <v>34.17549314776322</v>
      </c>
      <c r="R19" s="33"/>
      <c r="S19" s="34"/>
    </row>
    <row r="20" spans="1:19" x14ac:dyDescent="0.35">
      <c r="A20" s="37"/>
      <c r="B20" s="38"/>
      <c r="C20" s="5">
        <v>-9.3765000000000001</v>
      </c>
      <c r="D20" s="36"/>
      <c r="E20" s="35"/>
      <c r="F20" s="36"/>
      <c r="G20" s="36"/>
      <c r="H20" s="33"/>
      <c r="I20" s="33"/>
      <c r="J20" s="34"/>
      <c r="K20" s="36"/>
      <c r="L20" s="5">
        <v>-28.225000000000001</v>
      </c>
      <c r="M20" s="36"/>
      <c r="N20" s="35"/>
      <c r="O20" s="36"/>
      <c r="P20" s="36"/>
      <c r="Q20" s="33"/>
      <c r="R20" s="33"/>
      <c r="S20" s="34"/>
    </row>
    <row r="21" spans="1:19" x14ac:dyDescent="0.35">
      <c r="A21" s="37">
        <v>10</v>
      </c>
      <c r="B21" s="38">
        <v>6.7499999999999991</v>
      </c>
      <c r="C21" s="5">
        <v>-6.0762999999999998</v>
      </c>
      <c r="D21" s="36">
        <f t="shared" ref="D21" si="82">AVERAGE(C21:C22)</f>
        <v>-6.3127499999999994</v>
      </c>
      <c r="E21" s="35">
        <f t="shared" ref="E21" si="83">-(_xlfn.STDEV.S(C21:C22)/SQRT(2))/D21</f>
        <v>3.7455942338917282E-2</v>
      </c>
      <c r="F21" s="36">
        <f t="shared" ref="F21" si="84">D21/1000</f>
        <v>-6.3127499999999998E-3</v>
      </c>
      <c r="G21" s="36">
        <f t="shared" ref="G21" si="85">(-F21*16*0.2)/(39.58*0.6*0.01*10^-3)</f>
        <v>85.063163213744332</v>
      </c>
      <c r="H21" s="33">
        <f t="shared" ref="H21" si="86">G21/B21</f>
        <v>12.601950105739903</v>
      </c>
      <c r="I21" s="33"/>
      <c r="J21" s="34"/>
      <c r="K21" s="36">
        <v>9.06</v>
      </c>
      <c r="L21" s="5">
        <v>-18.795000000000002</v>
      </c>
      <c r="M21" s="36">
        <f t="shared" ref="M21" si="87">AVERAGE(L21:L22)</f>
        <v>-18.328499999999998</v>
      </c>
      <c r="N21" s="35">
        <f t="shared" ref="N21" si="88">-(_xlfn.STDEV.S(L21:L22)/SQRT(2))/M21</f>
        <v>2.5452164661592693E-2</v>
      </c>
      <c r="O21" s="36">
        <f t="shared" ref="O21" si="89">M21/1000</f>
        <v>-1.8328499999999998E-2</v>
      </c>
      <c r="P21" s="36">
        <f t="shared" ref="P21" si="90">(-O21*16*0.2)/(39.58*0.6*0.01*10^-3)</f>
        <v>246.9732187973724</v>
      </c>
      <c r="Q21" s="33">
        <f t="shared" ref="Q21" si="91">P21/K21</f>
        <v>27.259737174102913</v>
      </c>
      <c r="R21" s="33"/>
      <c r="S21" s="34"/>
    </row>
    <row r="22" spans="1:19" x14ac:dyDescent="0.35">
      <c r="A22" s="37"/>
      <c r="B22" s="38"/>
      <c r="C22" s="5">
        <v>-6.5491999999999999</v>
      </c>
      <c r="D22" s="36"/>
      <c r="E22" s="35"/>
      <c r="F22" s="36"/>
      <c r="G22" s="36"/>
      <c r="H22" s="33"/>
      <c r="I22" s="33"/>
      <c r="J22" s="34"/>
      <c r="K22" s="36"/>
      <c r="L22" s="5">
        <v>-17.861999999999998</v>
      </c>
      <c r="M22" s="36"/>
      <c r="N22" s="35"/>
      <c r="O22" s="36"/>
      <c r="P22" s="36"/>
      <c r="Q22" s="33"/>
      <c r="R22" s="33"/>
      <c r="S22" s="34"/>
    </row>
    <row r="23" spans="1:19" x14ac:dyDescent="0.35">
      <c r="A23" s="37">
        <v>11</v>
      </c>
      <c r="B23" s="38">
        <v>4.6349999999999998</v>
      </c>
      <c r="C23" s="5">
        <v>-12.67</v>
      </c>
      <c r="D23" s="36">
        <f t="shared" ref="D23" si="92">AVERAGE(C23:C24)</f>
        <v>-13.353</v>
      </c>
      <c r="E23" s="35">
        <f t="shared" ref="E23" si="93">-(_xlfn.STDEV.S(C23:C24)/SQRT(2))/D23</f>
        <v>5.114955440724929E-2</v>
      </c>
      <c r="F23" s="36">
        <f t="shared" ref="F23" si="94">D23/1000</f>
        <v>-1.3353E-2</v>
      </c>
      <c r="G23" s="36">
        <f t="shared" ref="G23" si="95">(-F23*16*0.2)/(39.58*0.6*0.01*10^-3)</f>
        <v>179.9292572006064</v>
      </c>
      <c r="H23" s="33">
        <f t="shared" ref="H23" si="96">G23/B23</f>
        <v>38.81968871641994</v>
      </c>
      <c r="I23" s="33">
        <f>AVERAGE(H23:H32)</f>
        <v>39.338745249811865</v>
      </c>
      <c r="J23" s="34">
        <f t="shared" ref="J23" si="97">(_xlfn.STDEV.S(H23:H32)/SQRT(5))/I23</f>
        <v>6.9031839997860139E-2</v>
      </c>
      <c r="K23" s="36">
        <v>8.7600000000000016</v>
      </c>
      <c r="L23" s="5">
        <v>-17.329999999999998</v>
      </c>
      <c r="M23" s="36">
        <f t="shared" ref="M23" si="98">AVERAGE(L23:L24)</f>
        <v>-18.183999999999997</v>
      </c>
      <c r="N23" s="35">
        <f t="shared" ref="N23" si="99">-(_xlfn.STDEV.S(L23:L24)/SQRT(2))/M23</f>
        <v>4.6964364276286898E-2</v>
      </c>
      <c r="O23" s="36">
        <f t="shared" ref="O23" si="100">M23/1000</f>
        <v>-1.8183999999999999E-2</v>
      </c>
      <c r="P23" s="36">
        <f t="shared" ref="P23" si="101">(-O23*16*0.2)/(39.58*0.6*0.01*10^-3)</f>
        <v>245.02610746168099</v>
      </c>
      <c r="Q23" s="33">
        <f t="shared" ref="Q23" si="102">P23/K23</f>
        <v>27.971016833525223</v>
      </c>
      <c r="R23" s="33">
        <f>AVERAGE(Q23:Q32)</f>
        <v>24.519338768202786</v>
      </c>
      <c r="S23" s="34">
        <f t="shared" ref="S23" si="103">(_xlfn.STDEV.S(Q23:Q32)/SQRT(5))/R23</f>
        <v>4.8204585815248439E-2</v>
      </c>
    </row>
    <row r="24" spans="1:19" x14ac:dyDescent="0.35">
      <c r="A24" s="37"/>
      <c r="B24" s="38"/>
      <c r="C24" s="5">
        <v>-14.036</v>
      </c>
      <c r="D24" s="36"/>
      <c r="E24" s="35"/>
      <c r="F24" s="36"/>
      <c r="G24" s="36"/>
      <c r="H24" s="33"/>
      <c r="I24" s="33"/>
      <c r="J24" s="34"/>
      <c r="K24" s="36"/>
      <c r="L24" s="5">
        <v>-19.038</v>
      </c>
      <c r="M24" s="36"/>
      <c r="N24" s="35"/>
      <c r="O24" s="36"/>
      <c r="P24" s="36"/>
      <c r="Q24" s="33"/>
      <c r="R24" s="33"/>
      <c r="S24" s="34"/>
    </row>
    <row r="25" spans="1:19" x14ac:dyDescent="0.35">
      <c r="A25" s="37">
        <v>12</v>
      </c>
      <c r="B25" s="38">
        <v>3.9750000000000001</v>
      </c>
      <c r="C25" s="5">
        <v>-13.846</v>
      </c>
      <c r="D25" s="36">
        <f t="shared" ref="D25" si="104">AVERAGE(C25:C26)</f>
        <v>-14.672499999999999</v>
      </c>
      <c r="E25" s="35">
        <f t="shared" ref="E25" si="105">-(_xlfn.STDEV.S(C25:C26)/SQRT(2))/D25</f>
        <v>5.6329868802180959E-2</v>
      </c>
      <c r="F25" s="36">
        <f t="shared" ref="F25" si="106">D25/1000</f>
        <v>-1.46725E-2</v>
      </c>
      <c r="G25" s="36">
        <f t="shared" ref="G25" si="107">(-F25*16*0.2)/(39.58*0.6*0.01*10^-3)</f>
        <v>197.70928078153952</v>
      </c>
      <c r="H25" s="33">
        <f t="shared" ref="H25" si="108">G25/B25</f>
        <v>49.738183844412454</v>
      </c>
      <c r="I25" s="33"/>
      <c r="J25" s="34"/>
      <c r="K25" s="36">
        <v>11.295</v>
      </c>
      <c r="L25" s="5">
        <v>-17.43</v>
      </c>
      <c r="M25" s="36">
        <f t="shared" ref="M25" si="109">AVERAGE(L25:L26)</f>
        <v>-18.045999999999999</v>
      </c>
      <c r="N25" s="35">
        <f t="shared" ref="N25" si="110">-(_xlfn.STDEV.S(L25:L26)/SQRT(2))/M25</f>
        <v>3.4134988363072126E-2</v>
      </c>
      <c r="O25" s="36">
        <f t="shared" ref="O25" si="111">M25/1000</f>
        <v>-1.8046E-2</v>
      </c>
      <c r="P25" s="36">
        <f t="shared" ref="P25" si="112">(-O25*16*0.2)/(39.58*0.6*0.01*10^-3)</f>
        <v>243.16658244904835</v>
      </c>
      <c r="Q25" s="33">
        <f t="shared" ref="Q25" si="113">P25/K25</f>
        <v>21.528692558570018</v>
      </c>
      <c r="R25" s="33"/>
      <c r="S25" s="34"/>
    </row>
    <row r="26" spans="1:19" x14ac:dyDescent="0.35">
      <c r="A26" s="37"/>
      <c r="B26" s="38"/>
      <c r="C26" s="5">
        <v>-15.499000000000001</v>
      </c>
      <c r="D26" s="36"/>
      <c r="E26" s="35"/>
      <c r="F26" s="36"/>
      <c r="G26" s="36"/>
      <c r="H26" s="33"/>
      <c r="I26" s="33"/>
      <c r="J26" s="34"/>
      <c r="K26" s="36"/>
      <c r="L26" s="5">
        <v>-18.661999999999999</v>
      </c>
      <c r="M26" s="36"/>
      <c r="N26" s="35"/>
      <c r="O26" s="36"/>
      <c r="P26" s="36"/>
      <c r="Q26" s="33"/>
      <c r="R26" s="33"/>
      <c r="S26" s="34"/>
    </row>
    <row r="27" spans="1:19" x14ac:dyDescent="0.35">
      <c r="A27" s="37">
        <v>13</v>
      </c>
      <c r="B27" s="38">
        <v>5.3849999999999998</v>
      </c>
      <c r="C27" s="5">
        <v>-14.518000000000001</v>
      </c>
      <c r="D27" s="36">
        <f t="shared" ref="D27" si="114">AVERAGE(C27:C28)</f>
        <v>-14.979500000000002</v>
      </c>
      <c r="E27" s="35">
        <f t="shared" ref="E27" si="115">-(_xlfn.STDEV.S(C27:C28)/SQRT(2))/D27</f>
        <v>3.0808771988384123E-2</v>
      </c>
      <c r="F27" s="36">
        <f t="shared" ref="F27" si="116">D27/1000</f>
        <v>-1.4979500000000001E-2</v>
      </c>
      <c r="G27" s="36">
        <f t="shared" ref="G27" si="117">(-F27*16*0.2)/(39.58*0.6*0.01*10^-3)</f>
        <v>201.84605019370056</v>
      </c>
      <c r="H27" s="33">
        <f t="shared" ref="H27" si="118">G27/B27</f>
        <v>37.483017677567425</v>
      </c>
      <c r="I27" s="33"/>
      <c r="J27" s="34"/>
      <c r="K27" s="36">
        <v>10.545000000000002</v>
      </c>
      <c r="L27" s="5">
        <v>-17.443000000000001</v>
      </c>
      <c r="M27" s="36">
        <f t="shared" ref="M27" si="119">AVERAGE(L27:L28)</f>
        <v>-17.376000000000001</v>
      </c>
      <c r="N27" s="35">
        <f t="shared" ref="N27" si="120">-(_xlfn.STDEV.S(L27:L28)/SQRT(2))/M27</f>
        <v>3.855893186003692E-3</v>
      </c>
      <c r="O27" s="36">
        <f t="shared" ref="O27" si="121">M27/1000</f>
        <v>-1.7376000000000003E-2</v>
      </c>
      <c r="P27" s="36">
        <f t="shared" ref="P27" si="122">(-O27*16*0.2)/(39.58*0.6*0.01*10^-3)</f>
        <v>234.13845376452761</v>
      </c>
      <c r="Q27" s="33">
        <f t="shared" ref="Q27" si="123">P27/K27</f>
        <v>22.203741466527035</v>
      </c>
      <c r="R27" s="33"/>
      <c r="S27" s="34"/>
    </row>
    <row r="28" spans="1:19" x14ac:dyDescent="0.35">
      <c r="A28" s="37"/>
      <c r="B28" s="38"/>
      <c r="C28" s="5">
        <v>-15.441000000000001</v>
      </c>
      <c r="D28" s="36"/>
      <c r="E28" s="35"/>
      <c r="F28" s="36"/>
      <c r="G28" s="36"/>
      <c r="H28" s="33"/>
      <c r="I28" s="33"/>
      <c r="J28" s="34"/>
      <c r="K28" s="36"/>
      <c r="L28" s="5">
        <v>-17.309000000000001</v>
      </c>
      <c r="M28" s="36"/>
      <c r="N28" s="35"/>
      <c r="O28" s="36"/>
      <c r="P28" s="36"/>
      <c r="Q28" s="33"/>
      <c r="R28" s="33"/>
      <c r="S28" s="34"/>
    </row>
    <row r="29" spans="1:19" x14ac:dyDescent="0.35">
      <c r="A29" s="37">
        <v>14</v>
      </c>
      <c r="B29" s="38">
        <v>3.54</v>
      </c>
      <c r="C29" s="5">
        <v>-9.2308000000000003</v>
      </c>
      <c r="D29" s="36">
        <f t="shared" ref="D29" si="124">AVERAGE(C29:C30)</f>
        <v>-9.6249000000000002</v>
      </c>
      <c r="E29" s="35">
        <f t="shared" ref="E29" si="125">-(_xlfn.STDEV.S(C29:C30)/SQRT(2))/D29</f>
        <v>4.0945879957194349E-2</v>
      </c>
      <c r="F29" s="36">
        <f t="shared" ref="F29" si="126">D29/1000</f>
        <v>-9.6249000000000005E-3</v>
      </c>
      <c r="G29" s="36">
        <f t="shared" ref="G29" si="127">(-F29*16*0.2)/(39.58*0.6*0.01*10^-3)</f>
        <v>129.69378473976758</v>
      </c>
      <c r="H29" s="33">
        <f t="shared" ref="H29" si="128">G29/B29</f>
        <v>36.636662355866548</v>
      </c>
      <c r="I29" s="33"/>
      <c r="J29" s="34"/>
      <c r="K29" s="36">
        <v>9.7050000000000001</v>
      </c>
      <c r="L29" s="5">
        <v>-17.93</v>
      </c>
      <c r="M29" s="36">
        <f t="shared" ref="M29" si="129">AVERAGE(L29:L30)</f>
        <v>-18.321999999999999</v>
      </c>
      <c r="N29" s="35">
        <f t="shared" ref="N29" si="130">-(_xlfn.STDEV.S(L29:L30)/SQRT(2))/M29</f>
        <v>2.1395044209147444E-2</v>
      </c>
      <c r="O29" s="36">
        <f t="shared" ref="O29" si="131">M29/1000</f>
        <v>-1.8321999999999998E-2</v>
      </c>
      <c r="P29" s="36">
        <f t="shared" ref="P29" si="132">(-O29*16*0.2)/(39.58*0.6*0.01*10^-3)</f>
        <v>246.88563247431364</v>
      </c>
      <c r="Q29" s="33">
        <f t="shared" ref="Q29" si="133">P29/K29</f>
        <v>25.439014165307949</v>
      </c>
      <c r="R29" s="33"/>
      <c r="S29" s="34"/>
    </row>
    <row r="30" spans="1:19" x14ac:dyDescent="0.35">
      <c r="A30" s="37"/>
      <c r="B30" s="38"/>
      <c r="C30" s="5">
        <v>-10.019</v>
      </c>
      <c r="D30" s="36"/>
      <c r="E30" s="35"/>
      <c r="F30" s="36"/>
      <c r="G30" s="36"/>
      <c r="H30" s="33"/>
      <c r="I30" s="33"/>
      <c r="J30" s="34"/>
      <c r="K30" s="36"/>
      <c r="L30" s="5">
        <v>-18.713999999999999</v>
      </c>
      <c r="M30" s="36"/>
      <c r="N30" s="35"/>
      <c r="O30" s="36"/>
      <c r="P30" s="36"/>
      <c r="Q30" s="33"/>
      <c r="R30" s="33"/>
      <c r="S30" s="34"/>
    </row>
    <row r="31" spans="1:19" x14ac:dyDescent="0.35">
      <c r="A31" s="37">
        <v>15</v>
      </c>
      <c r="B31" s="38">
        <v>5.22</v>
      </c>
      <c r="C31" s="5">
        <v>-14.287000000000001</v>
      </c>
      <c r="D31" s="36">
        <f t="shared" ref="D31" si="134">AVERAGE(C31:C32)</f>
        <v>-13.1775</v>
      </c>
      <c r="E31" s="35">
        <f t="shared" ref="E31" si="135">-(_xlfn.STDEV.S(C31:C32)/SQRT(2))/D31</f>
        <v>8.4196547144754358E-2</v>
      </c>
      <c r="F31" s="36">
        <f t="shared" ref="F31" si="136">D31/1000</f>
        <v>-1.31775E-2</v>
      </c>
      <c r="G31" s="36">
        <f t="shared" ref="G31" si="137">(-F31*16*0.2)/(39.58*0.6*0.01*10^-3)</f>
        <v>177.56442647801924</v>
      </c>
      <c r="H31" s="33">
        <f t="shared" ref="H31" si="138">G31/B31</f>
        <v>34.016173654792958</v>
      </c>
      <c r="I31" s="33"/>
      <c r="J31" s="34"/>
      <c r="K31" s="36">
        <v>10.020000000000001</v>
      </c>
      <c r="L31" s="5">
        <v>-20.004999999999999</v>
      </c>
      <c r="M31" s="36">
        <f t="shared" ref="M31" si="139">AVERAGE(L31:L32)</f>
        <v>-18.927999999999997</v>
      </c>
      <c r="N31" s="35">
        <f t="shared" ref="N31" si="140">-(_xlfn.STDEV.S(L31:L32)/SQRT(2))/M31</f>
        <v>5.6899830938292484E-2</v>
      </c>
      <c r="O31" s="36">
        <f t="shared" ref="O31" si="141">M31/1000</f>
        <v>-1.8927999999999997E-2</v>
      </c>
      <c r="P31" s="36">
        <f t="shared" ref="P31" si="142">(-O31*16*0.2)/(39.58*0.6*0.01*10^-3)</f>
        <v>255.0513727471787</v>
      </c>
      <c r="Q31" s="33">
        <f t="shared" ref="Q31" si="143">P31/K31</f>
        <v>25.454228817083699</v>
      </c>
      <c r="R31" s="33"/>
      <c r="S31" s="34"/>
    </row>
    <row r="32" spans="1:19" x14ac:dyDescent="0.35">
      <c r="A32" s="37"/>
      <c r="B32" s="38"/>
      <c r="C32" s="5">
        <v>-12.068</v>
      </c>
      <c r="D32" s="36"/>
      <c r="E32" s="35"/>
      <c r="F32" s="36"/>
      <c r="G32" s="36"/>
      <c r="H32" s="33"/>
      <c r="I32" s="33"/>
      <c r="J32" s="34"/>
      <c r="K32" s="36"/>
      <c r="L32" s="5">
        <v>-17.850999999999999</v>
      </c>
      <c r="M32" s="36"/>
      <c r="N32" s="35"/>
      <c r="O32" s="36"/>
      <c r="P32" s="36"/>
      <c r="Q32" s="33"/>
      <c r="R32" s="33"/>
      <c r="S32" s="34"/>
    </row>
    <row r="33" spans="1:19" x14ac:dyDescent="0.35">
      <c r="A33" s="37">
        <v>16</v>
      </c>
      <c r="B33" s="38">
        <v>6.9149999999999991</v>
      </c>
      <c r="C33" s="22">
        <v>-2.5548999999999999</v>
      </c>
      <c r="D33" s="36">
        <f t="shared" ref="D33" si="144">AVERAGE(C33:C34)</f>
        <v>-4.8658000000000001</v>
      </c>
      <c r="E33" s="35">
        <f t="shared" ref="E33" si="145">-(_xlfn.STDEV.S(C33:C34)/SQRT(2))/D33</f>
        <v>0.47492704180196477</v>
      </c>
      <c r="F33" s="36">
        <f t="shared" ref="F33" si="146">D33/1000</f>
        <v>-4.8658E-3</v>
      </c>
      <c r="G33" s="36">
        <f t="shared" ref="G33" si="147">(-F33*16*0.2)/(39.58*0.6*0.01*10^-3)</f>
        <v>65.56577395991242</v>
      </c>
      <c r="H33" s="33">
        <f t="shared" ref="H33" si="148">G33/B33</f>
        <v>9.4816737469143071</v>
      </c>
      <c r="I33" s="33">
        <f>AVERAGE(H35:H38)</f>
        <v>34.591281306794201</v>
      </c>
      <c r="J33" s="34">
        <f>(_xlfn.STDEV.S(H35:H38)/SQRT(2))/I33</f>
        <v>0.17771300575070456</v>
      </c>
      <c r="K33" s="36">
        <v>12.6</v>
      </c>
      <c r="L33" s="5">
        <v>-17.561</v>
      </c>
      <c r="M33" s="36">
        <f t="shared" ref="M33" si="149">AVERAGE(L33:L34)</f>
        <v>-17.875500000000002</v>
      </c>
      <c r="N33" s="35">
        <f t="shared" ref="N33" si="150">-(_xlfn.STDEV.S(L33:L34)/SQRT(2))/M33</f>
        <v>1.7593913456966273E-2</v>
      </c>
      <c r="O33" s="36">
        <f t="shared" ref="O33" si="151">M33/1000</f>
        <v>-1.7875500000000002E-2</v>
      </c>
      <c r="P33" s="36">
        <f t="shared" ref="P33" si="152">(-O33*16*0.2)/(39.58*0.6*0.01*10^-3)</f>
        <v>240.86912582112186</v>
      </c>
      <c r="Q33" s="33">
        <f t="shared" ref="Q33" si="153">P33/K33</f>
        <v>19.116597287390626</v>
      </c>
      <c r="R33" s="33">
        <f t="shared" ref="R33" si="154">AVERAGE(Q33:Q38)</f>
        <v>22.358769984103372</v>
      </c>
      <c r="S33" s="34">
        <f t="shared" ref="S33" si="155">(_xlfn.STDEV.S(Q33:Q38)/SQRT(3))/R33</f>
        <v>7.3044153457666322E-2</v>
      </c>
    </row>
    <row r="34" spans="1:19" x14ac:dyDescent="0.35">
      <c r="A34" s="37"/>
      <c r="B34" s="38"/>
      <c r="C34" s="5">
        <v>-7.1767000000000003</v>
      </c>
      <c r="D34" s="36"/>
      <c r="E34" s="35"/>
      <c r="F34" s="36"/>
      <c r="G34" s="36"/>
      <c r="H34" s="33"/>
      <c r="I34" s="33"/>
      <c r="J34" s="34"/>
      <c r="K34" s="36"/>
      <c r="L34" s="5">
        <v>-18.190000000000001</v>
      </c>
      <c r="M34" s="36"/>
      <c r="N34" s="35"/>
      <c r="O34" s="36"/>
      <c r="P34" s="36"/>
      <c r="Q34" s="33"/>
      <c r="R34" s="33"/>
      <c r="S34" s="34"/>
    </row>
    <row r="35" spans="1:19" x14ac:dyDescent="0.35">
      <c r="A35" s="37">
        <v>17</v>
      </c>
      <c r="B35" s="38">
        <v>6.2399999999999993</v>
      </c>
      <c r="C35" s="5">
        <v>-14.333</v>
      </c>
      <c r="D35" s="36">
        <f t="shared" ref="D35" si="156">AVERAGE(C35:C36)</f>
        <v>-13.172000000000001</v>
      </c>
      <c r="E35" s="35">
        <f t="shared" ref="E35" si="157">-(_xlfn.STDEV.S(C35:C36)/SQRT(2))/D35</f>
        <v>8.81415122988157E-2</v>
      </c>
      <c r="F35" s="36">
        <f t="shared" ref="F35" si="158">D35/1000</f>
        <v>-1.3172000000000001E-2</v>
      </c>
      <c r="G35" s="36">
        <f t="shared" ref="G35" si="159">(-F35*16*0.2)/(39.58*0.6*0.01*10^-3)</f>
        <v>177.49031497389257</v>
      </c>
      <c r="H35" s="33">
        <f t="shared" ref="H35" si="160">G35/B35</f>
        <v>28.443960732995606</v>
      </c>
      <c r="I35" s="33"/>
      <c r="J35" s="34"/>
      <c r="K35" s="36">
        <v>10.485000000000001</v>
      </c>
      <c r="L35" s="5">
        <v>-18.181000000000001</v>
      </c>
      <c r="M35" s="36">
        <f t="shared" ref="M35" si="161">AVERAGE(L35:L36)</f>
        <v>-18.926500000000001</v>
      </c>
      <c r="N35" s="35">
        <f t="shared" ref="N35" si="162">-(_xlfn.STDEV.S(L35:L36)/SQRT(2))/M35</f>
        <v>3.938921617837423E-2</v>
      </c>
      <c r="O35" s="36">
        <f t="shared" ref="O35" si="163">M35/1000</f>
        <v>-1.8926500000000002E-2</v>
      </c>
      <c r="P35" s="36">
        <f t="shared" ref="P35" si="164">(-O35*16*0.2)/(39.58*0.6*0.01*10^-3)</f>
        <v>255.03116051878058</v>
      </c>
      <c r="Q35" s="33">
        <f t="shared" ref="Q35" si="165">P35/K35</f>
        <v>24.323429710899433</v>
      </c>
      <c r="R35" s="33"/>
      <c r="S35" s="34"/>
    </row>
    <row r="36" spans="1:19" x14ac:dyDescent="0.35">
      <c r="A36" s="37"/>
      <c r="B36" s="38"/>
      <c r="C36" s="5">
        <v>-12.010999999999999</v>
      </c>
      <c r="D36" s="36"/>
      <c r="E36" s="35"/>
      <c r="F36" s="36"/>
      <c r="G36" s="36"/>
      <c r="H36" s="33"/>
      <c r="I36" s="33"/>
      <c r="J36" s="34"/>
      <c r="K36" s="36"/>
      <c r="L36" s="5">
        <v>-19.672000000000001</v>
      </c>
      <c r="M36" s="36"/>
      <c r="N36" s="35"/>
      <c r="O36" s="36"/>
      <c r="P36" s="36"/>
      <c r="Q36" s="33"/>
      <c r="R36" s="33"/>
      <c r="S36" s="34"/>
    </row>
    <row r="37" spans="1:19" x14ac:dyDescent="0.35">
      <c r="A37" s="37">
        <v>18</v>
      </c>
      <c r="B37" s="38">
        <v>5.04</v>
      </c>
      <c r="C37" s="5">
        <v>-15.068</v>
      </c>
      <c r="D37" s="36">
        <f t="shared" ref="D37" si="166">AVERAGE(C37:C38)</f>
        <v>-15.237500000000001</v>
      </c>
      <c r="E37" s="35">
        <f t="shared" ref="E37" si="167">-(_xlfn.STDEV.S(C37:C38)/SQRT(2))/D37</f>
        <v>1.1123872026251038E-2</v>
      </c>
      <c r="F37" s="36">
        <f t="shared" ref="F37" si="168">D37/1000</f>
        <v>-1.5237500000000001E-2</v>
      </c>
      <c r="G37" s="36">
        <f t="shared" ref="G37" si="169">(-F37*16*0.2)/(39.58*0.6*0.01*10^-3)</f>
        <v>205.32255347818767</v>
      </c>
      <c r="H37" s="33">
        <f t="shared" ref="H37" si="170">G37/B37</f>
        <v>40.738601880592789</v>
      </c>
      <c r="I37" s="33"/>
      <c r="J37" s="34"/>
      <c r="K37" s="36">
        <v>10.59</v>
      </c>
      <c r="L37" s="5">
        <v>-18.170000000000002</v>
      </c>
      <c r="M37" s="36">
        <f t="shared" ref="M37" si="171">AVERAGE(L37:L38)</f>
        <v>-18.576000000000001</v>
      </c>
      <c r="N37" s="35">
        <f t="shared" ref="N37" si="172">-(_xlfn.STDEV.S(L37:L38)/SQRT(2))/M37</f>
        <v>2.1856158484065392E-2</v>
      </c>
      <c r="O37" s="36">
        <f t="shared" ref="O37" si="173">M37/1000</f>
        <v>-1.8576000000000002E-2</v>
      </c>
      <c r="P37" s="36">
        <f t="shared" ref="P37" si="174">(-O37*16*0.2)/(39.58*0.6*0.01*10^-3)</f>
        <v>250.30823648307231</v>
      </c>
      <c r="Q37" s="33">
        <f t="shared" ref="Q37" si="175">P37/K37</f>
        <v>23.636282954020047</v>
      </c>
      <c r="R37" s="33"/>
      <c r="S37" s="34"/>
    </row>
    <row r="38" spans="1:19" x14ac:dyDescent="0.35">
      <c r="A38" s="37"/>
      <c r="B38" s="38"/>
      <c r="C38" s="5">
        <v>-15.407</v>
      </c>
      <c r="D38" s="36"/>
      <c r="E38" s="35"/>
      <c r="F38" s="36"/>
      <c r="G38" s="36"/>
      <c r="H38" s="33"/>
      <c r="I38" s="33"/>
      <c r="J38" s="34"/>
      <c r="K38" s="36"/>
      <c r="L38" s="5">
        <v>-18.981999999999999</v>
      </c>
      <c r="M38" s="36"/>
      <c r="N38" s="35"/>
      <c r="O38" s="36"/>
      <c r="P38" s="36"/>
      <c r="Q38" s="33"/>
      <c r="R38" s="33"/>
      <c r="S38" s="34"/>
    </row>
    <row r="39" spans="1:19" x14ac:dyDescent="0.35">
      <c r="A39" s="37">
        <v>19</v>
      </c>
      <c r="B39" s="38">
        <v>7.5449999999999999</v>
      </c>
      <c r="C39" s="5">
        <v>-15.885</v>
      </c>
      <c r="D39" s="36">
        <f t="shared" ref="D39" si="176">AVERAGE(C39:C40)</f>
        <v>-15.652999999999999</v>
      </c>
      <c r="E39" s="35">
        <f t="shared" ref="E39" si="177">-(_xlfn.STDEV.S(C39:C40)/SQRT(2))/D39</f>
        <v>1.4821439979556646E-2</v>
      </c>
      <c r="F39" s="36">
        <f t="shared" ref="F39" si="178">D39/1000</f>
        <v>-1.5653E-2</v>
      </c>
      <c r="G39" s="36">
        <f t="shared" ref="G39" si="179">(-F39*16*0.2)/(39.58*0.6*0.01*10^-3)</f>
        <v>210.92134074448379</v>
      </c>
      <c r="H39" s="33">
        <f t="shared" ref="H39" si="180">G39/B39</f>
        <v>27.955114744133041</v>
      </c>
      <c r="I39" s="33">
        <f t="shared" ref="I39" si="181">AVERAGE(H39:H44)</f>
        <v>31.399393508349942</v>
      </c>
      <c r="J39" s="34">
        <f t="shared" ref="J39" si="182">(_xlfn.STDEV.S(H39:H44)/SQRT(3))/I39</f>
        <v>6.4240168355205449E-2</v>
      </c>
      <c r="K39" s="36">
        <v>10.74</v>
      </c>
      <c r="L39" s="5">
        <v>-18.178999999999998</v>
      </c>
      <c r="M39" s="36">
        <f t="shared" ref="M39" si="183">AVERAGE(L39:L40)</f>
        <v>-18.262499999999999</v>
      </c>
      <c r="N39" s="35">
        <f t="shared" ref="N39" si="184">-(_xlfn.STDEV.S(L39:L40)/SQRT(2))/M39</f>
        <v>4.5722108145106518E-3</v>
      </c>
      <c r="O39" s="36">
        <f t="shared" ref="O39" si="185">M39/1000</f>
        <v>-1.8262500000000001E-2</v>
      </c>
      <c r="P39" s="36">
        <f t="shared" ref="P39" si="186">(-O39*16*0.2)/(39.58*0.6*0.01*10^-3)</f>
        <v>246.0838807478525</v>
      </c>
      <c r="Q39" s="33">
        <f t="shared" ref="Q39" si="187">P39/K39</f>
        <v>22.912838058459265</v>
      </c>
      <c r="R39" s="33">
        <f t="shared" ref="R39:R99" si="188">AVERAGE(Q39:Q44)</f>
        <v>26.870292775966362</v>
      </c>
      <c r="S39" s="34">
        <f t="shared" ref="S39" si="189">(_xlfn.STDEV.S(Q39:Q44)/SQRT(3))/R39</f>
        <v>8.0348945390303433E-2</v>
      </c>
    </row>
    <row r="40" spans="1:19" x14ac:dyDescent="0.35">
      <c r="A40" s="37"/>
      <c r="B40" s="38"/>
      <c r="C40" s="5">
        <v>-15.420999999999999</v>
      </c>
      <c r="D40" s="36"/>
      <c r="E40" s="35"/>
      <c r="F40" s="36"/>
      <c r="G40" s="36"/>
      <c r="H40" s="33"/>
      <c r="I40" s="33"/>
      <c r="J40" s="34"/>
      <c r="K40" s="36"/>
      <c r="L40" s="5">
        <v>-18.346</v>
      </c>
      <c r="M40" s="36"/>
      <c r="N40" s="35"/>
      <c r="O40" s="36"/>
      <c r="P40" s="36"/>
      <c r="Q40" s="33"/>
      <c r="R40" s="33"/>
      <c r="S40" s="34"/>
    </row>
    <row r="41" spans="1:19" x14ac:dyDescent="0.35">
      <c r="A41" s="37">
        <v>20</v>
      </c>
      <c r="B41" s="38">
        <v>5.52</v>
      </c>
      <c r="C41" s="5">
        <v>-11.67</v>
      </c>
      <c r="D41" s="36">
        <f t="shared" ref="D41" si="190">AVERAGE(C41:C42)</f>
        <v>-14.313500000000001</v>
      </c>
      <c r="E41" s="35">
        <f t="shared" ref="E41" si="191">-(_xlfn.STDEV.S(C41:C42)/SQRT(2))/D41</f>
        <v>0.18468578614594566</v>
      </c>
      <c r="F41" s="36">
        <f t="shared" ref="F41" si="192">D41/1000</f>
        <v>-1.4313500000000002E-2</v>
      </c>
      <c r="G41" s="36">
        <f t="shared" ref="G41" si="193">(-F41*16*0.2)/(39.58*0.6*0.01*10^-3)</f>
        <v>192.87182078490827</v>
      </c>
      <c r="H41" s="33">
        <f t="shared" ref="H41" si="194">G41/B41</f>
        <v>34.940547243642804</v>
      </c>
      <c r="I41" s="33"/>
      <c r="J41" s="34"/>
      <c r="K41" s="36">
        <v>8.6999999999999993</v>
      </c>
      <c r="L41" s="5">
        <v>-16.981999999999999</v>
      </c>
      <c r="M41" s="36">
        <f t="shared" ref="M41" si="195">AVERAGE(L41:L42)</f>
        <v>-17.660499999999999</v>
      </c>
      <c r="N41" s="35">
        <f t="shared" ref="N41" si="196">-(_xlfn.STDEV.S(L41:L42)/SQRT(2))/M41</f>
        <v>3.8419070807734761E-2</v>
      </c>
      <c r="O41" s="36">
        <f t="shared" ref="O41" si="197">M41/1000</f>
        <v>-1.7660499999999999E-2</v>
      </c>
      <c r="P41" s="36">
        <f t="shared" ref="P41" si="198">(-O41*16*0.2)/(39.58*0.6*0.01*10^-3)</f>
        <v>237.97203975071585</v>
      </c>
      <c r="Q41" s="33">
        <f t="shared" ref="Q41" si="199">P41/K41</f>
        <v>27.353108017323663</v>
      </c>
      <c r="R41" s="33"/>
      <c r="S41" s="34"/>
    </row>
    <row r="42" spans="1:19" x14ac:dyDescent="0.35">
      <c r="A42" s="37"/>
      <c r="B42" s="38"/>
      <c r="C42" s="5">
        <v>-16.957000000000001</v>
      </c>
      <c r="D42" s="36"/>
      <c r="E42" s="35"/>
      <c r="F42" s="36"/>
      <c r="G42" s="36"/>
      <c r="H42" s="33"/>
      <c r="I42" s="33"/>
      <c r="J42" s="34"/>
      <c r="K42" s="36"/>
      <c r="L42" s="5">
        <v>-18.338999999999999</v>
      </c>
      <c r="M42" s="36"/>
      <c r="N42" s="35"/>
      <c r="O42" s="36"/>
      <c r="P42" s="36"/>
      <c r="Q42" s="33"/>
      <c r="R42" s="33"/>
      <c r="S42" s="34"/>
    </row>
    <row r="43" spans="1:19" x14ac:dyDescent="0.35">
      <c r="A43" s="37">
        <v>21</v>
      </c>
      <c r="B43" s="38">
        <v>6.9449999999999994</v>
      </c>
      <c r="C43" s="5">
        <v>-17.611000000000001</v>
      </c>
      <c r="D43" s="36">
        <f t="shared" ref="D43" si="200">AVERAGE(C43:C44)</f>
        <v>-16.133500000000002</v>
      </c>
      <c r="E43" s="35">
        <f t="shared" ref="E43" si="201">-(_xlfn.STDEV.S(C43:C44)/SQRT(2))/D43</f>
        <v>9.1579632441813608E-2</v>
      </c>
      <c r="F43" s="36">
        <f t="shared" ref="F43" si="202">D43/1000</f>
        <v>-1.6133500000000002E-2</v>
      </c>
      <c r="G43" s="36">
        <f t="shared" ref="G43" si="203">(-F43*16*0.2)/(39.58*0.6*0.01*10^-3)</f>
        <v>217.39599124136777</v>
      </c>
      <c r="H43" s="33">
        <f t="shared" ref="H43" si="204">G43/B43</f>
        <v>31.302518537273979</v>
      </c>
      <c r="I43" s="33"/>
      <c r="J43" s="34"/>
      <c r="K43" s="36">
        <v>8.2349999999999994</v>
      </c>
      <c r="L43" s="5">
        <v>-18.533000000000001</v>
      </c>
      <c r="M43" s="36">
        <f t="shared" ref="M43" si="205">AVERAGE(L43:L44)</f>
        <v>-18.545000000000002</v>
      </c>
      <c r="N43" s="35">
        <f t="shared" ref="N43" si="206">-(_xlfn.STDEV.S(L43:L44)/SQRT(2))/M43</f>
        <v>6.470746832029484E-4</v>
      </c>
      <c r="O43" s="36">
        <f t="shared" ref="O43" si="207">M43/1000</f>
        <v>-1.8545000000000002E-2</v>
      </c>
      <c r="P43" s="36">
        <f t="shared" ref="P43" si="208">(-O43*16*0.2)/(39.58*0.6*0.01*10^-3)</f>
        <v>249.89051709617658</v>
      </c>
      <c r="Q43" s="33">
        <f t="shared" ref="Q43" si="209">P43/K43</f>
        <v>30.344932252116163</v>
      </c>
      <c r="R43" s="33"/>
      <c r="S43" s="34"/>
    </row>
    <row r="44" spans="1:19" x14ac:dyDescent="0.35">
      <c r="A44" s="37"/>
      <c r="B44" s="38"/>
      <c r="C44" s="5">
        <v>-14.656000000000001</v>
      </c>
      <c r="D44" s="36"/>
      <c r="E44" s="35"/>
      <c r="F44" s="36"/>
      <c r="G44" s="36"/>
      <c r="H44" s="33"/>
      <c r="I44" s="33"/>
      <c r="J44" s="34"/>
      <c r="K44" s="36"/>
      <c r="L44" s="5">
        <v>-18.556999999999999</v>
      </c>
      <c r="M44" s="36"/>
      <c r="N44" s="35"/>
      <c r="O44" s="36"/>
      <c r="P44" s="36"/>
      <c r="Q44" s="33"/>
      <c r="R44" s="33"/>
      <c r="S44" s="34"/>
    </row>
    <row r="45" spans="1:19" x14ac:dyDescent="0.35">
      <c r="A45" s="37">
        <v>22</v>
      </c>
      <c r="B45" s="38">
        <v>3.9750000000000001</v>
      </c>
      <c r="C45" s="5">
        <v>-14.525</v>
      </c>
      <c r="D45" s="36">
        <f t="shared" ref="D45" si="210">AVERAGE(C45:C46)</f>
        <v>-15.064</v>
      </c>
      <c r="E45" s="35">
        <f t="shared" ref="E45" si="211">-(_xlfn.STDEV.S(C45:C46)/SQRT(2))/D45</f>
        <v>3.5780669144981396E-2</v>
      </c>
      <c r="F45" s="36">
        <f t="shared" ref="F45" si="212">D45/1000</f>
        <v>-1.5063999999999999E-2</v>
      </c>
      <c r="G45" s="36">
        <f t="shared" ref="G45" si="213">(-F45*16*0.2)/(39.58*0.6*0.01*10^-3)</f>
        <v>202.98467239346473</v>
      </c>
      <c r="H45" s="33">
        <f t="shared" ref="H45" si="214">G45/B45</f>
        <v>51.065326388293016</v>
      </c>
      <c r="I45" s="33">
        <f>AVERAGE(H47:H50)</f>
        <v>28.487875483185054</v>
      </c>
      <c r="J45" s="34">
        <f>(_xlfn.STDEV.S(H47:H50)/SQRT(2))/I45</f>
        <v>1.5252366989394587E-2</v>
      </c>
      <c r="K45" s="36">
        <v>10.86</v>
      </c>
      <c r="L45" s="5">
        <v>-24.808</v>
      </c>
      <c r="M45" s="36">
        <f t="shared" ref="M45" si="215">AVERAGE(L45:L46)</f>
        <v>-24.622</v>
      </c>
      <c r="N45" s="35">
        <f t="shared" ref="N45" si="216">-(_xlfn.STDEV.S(L45:L46)/SQRT(2))/M45</f>
        <v>7.5542198034278252E-3</v>
      </c>
      <c r="O45" s="36">
        <f t="shared" ref="O45" si="217">M45/1000</f>
        <v>-2.4622000000000002E-2</v>
      </c>
      <c r="P45" s="36">
        <f t="shared" ref="P45" si="218">(-O45*16*0.2)/(39.58*0.6*0.01*10^-3)</f>
        <v>331.77699174667345</v>
      </c>
      <c r="Q45" s="33">
        <f t="shared" ref="Q45" si="219">P45/K45</f>
        <v>30.55036756415041</v>
      </c>
      <c r="R45" s="33">
        <f t="shared" si="188"/>
        <v>23.650645704370561</v>
      </c>
      <c r="S45" s="34">
        <f t="shared" ref="S45" si="220">(_xlfn.STDEV.S(Q45:Q50)/SQRT(3))/R45</f>
        <v>0.15142238449249176</v>
      </c>
    </row>
    <row r="46" spans="1:19" x14ac:dyDescent="0.35">
      <c r="A46" s="37"/>
      <c r="B46" s="38"/>
      <c r="C46" s="5">
        <v>-15.603</v>
      </c>
      <c r="D46" s="36"/>
      <c r="E46" s="35"/>
      <c r="F46" s="36"/>
      <c r="G46" s="36"/>
      <c r="H46" s="33"/>
      <c r="I46" s="33"/>
      <c r="J46" s="34"/>
      <c r="K46" s="36"/>
      <c r="L46" s="5">
        <v>-24.436</v>
      </c>
      <c r="M46" s="36"/>
      <c r="N46" s="35"/>
      <c r="O46" s="36"/>
      <c r="P46" s="36"/>
      <c r="Q46" s="33"/>
      <c r="R46" s="33"/>
      <c r="S46" s="34"/>
    </row>
    <row r="47" spans="1:19" x14ac:dyDescent="0.35">
      <c r="A47" s="37">
        <v>23</v>
      </c>
      <c r="B47" s="38">
        <v>6.81</v>
      </c>
      <c r="C47" s="5">
        <v>-12.478</v>
      </c>
      <c r="D47" s="36">
        <f t="shared" ref="D47" si="221">AVERAGE(C47:C48)</f>
        <v>-14.617000000000001</v>
      </c>
      <c r="E47" s="35">
        <f t="shared" ref="E47" si="222">-(_xlfn.STDEV.S(C47:C48)/SQRT(2))/D47</f>
        <v>0.14633645754942831</v>
      </c>
      <c r="F47" s="36">
        <f t="shared" ref="F47" si="223">D47/1000</f>
        <v>-1.4617000000000002E-2</v>
      </c>
      <c r="G47" s="36">
        <f t="shared" ref="G47" si="224">(-F47*16*0.2)/(39.58*0.6*0.01*10^-3)</f>
        <v>196.96142833080685</v>
      </c>
      <c r="H47" s="33">
        <f t="shared" ref="H47" si="225">G47/B47</f>
        <v>28.922383014802769</v>
      </c>
      <c r="I47" s="33"/>
      <c r="J47" s="34"/>
      <c r="K47" s="36">
        <v>12.690000000000001</v>
      </c>
      <c r="L47" s="5">
        <v>-16.648</v>
      </c>
      <c r="M47" s="36">
        <f t="shared" ref="M47" si="226">AVERAGE(L47:L48)</f>
        <v>-17.456499999999998</v>
      </c>
      <c r="N47" s="35">
        <f t="shared" ref="N47" si="227">-(_xlfn.STDEV.S(L47:L48)/SQRT(2))/M47</f>
        <v>4.6315126170767364E-2</v>
      </c>
      <c r="O47" s="36">
        <f t="shared" ref="O47" si="228">M47/1000</f>
        <v>-1.74565E-2</v>
      </c>
      <c r="P47" s="36">
        <f t="shared" ref="P47" si="229">(-O47*16*0.2)/(39.58*0.6*0.01*10^-3)</f>
        <v>235.22317668856329</v>
      </c>
      <c r="Q47" s="33">
        <f t="shared" ref="Q47" si="230">P47/K47</f>
        <v>18.536105334008138</v>
      </c>
      <c r="R47" s="33"/>
      <c r="S47" s="34"/>
    </row>
    <row r="48" spans="1:19" x14ac:dyDescent="0.35">
      <c r="A48" s="37"/>
      <c r="B48" s="38"/>
      <c r="C48" s="5">
        <v>-16.756</v>
      </c>
      <c r="D48" s="36"/>
      <c r="E48" s="35"/>
      <c r="F48" s="36"/>
      <c r="G48" s="36"/>
      <c r="H48" s="33"/>
      <c r="I48" s="33"/>
      <c r="J48" s="34"/>
      <c r="K48" s="36"/>
      <c r="L48" s="5">
        <v>-18.265000000000001</v>
      </c>
      <c r="M48" s="36"/>
      <c r="N48" s="35"/>
      <c r="O48" s="36"/>
      <c r="P48" s="36"/>
      <c r="Q48" s="33"/>
      <c r="R48" s="33"/>
      <c r="S48" s="34"/>
    </row>
    <row r="49" spans="1:19" x14ac:dyDescent="0.35">
      <c r="A49" s="37">
        <v>24</v>
      </c>
      <c r="B49" s="38">
        <v>7.38</v>
      </c>
      <c r="C49" s="5">
        <v>-14.077</v>
      </c>
      <c r="D49" s="36">
        <f t="shared" ref="D49" si="231">AVERAGE(C49:C50)</f>
        <v>-15.3645</v>
      </c>
      <c r="E49" s="35">
        <f t="shared" ref="E49" si="232">-(_xlfn.STDEV.S(C49:C50)/SQRT(2))/D49</f>
        <v>8.3797064662045659E-2</v>
      </c>
      <c r="F49" s="36">
        <f t="shared" ref="F49" si="233">D49/1000</f>
        <v>-1.53645E-2</v>
      </c>
      <c r="G49" s="36">
        <f t="shared" ref="G49" si="234">(-F49*16*0.2)/(39.58*0.6*0.01*10^-3)</f>
        <v>207.03385548256696</v>
      </c>
      <c r="H49" s="33">
        <f t="shared" ref="H49" si="235">G49/B49</f>
        <v>28.053367951567338</v>
      </c>
      <c r="I49" s="33"/>
      <c r="J49" s="34"/>
      <c r="K49" s="36">
        <v>9.9599999999999991</v>
      </c>
      <c r="L49" s="5">
        <v>-16.251000000000001</v>
      </c>
      <c r="M49" s="36">
        <f t="shared" ref="M49" si="236">AVERAGE(L49:L50)</f>
        <v>-16.161999999999999</v>
      </c>
      <c r="N49" s="35">
        <f t="shared" ref="N49" si="237">-(_xlfn.STDEV.S(L49:L50)/SQRT(2))/M49</f>
        <v>5.5067442148249227E-3</v>
      </c>
      <c r="O49" s="36">
        <f t="shared" ref="O49" si="238">M49/1000</f>
        <v>-1.6161999999999999E-2</v>
      </c>
      <c r="P49" s="36">
        <f t="shared" ref="P49" si="239">(-O49*16*0.2)/(39.58*0.6*0.01*10^-3)</f>
        <v>217.78002358093315</v>
      </c>
      <c r="Q49" s="33">
        <f t="shared" ref="Q49" si="240">P49/K49</f>
        <v>21.865464214953128</v>
      </c>
      <c r="R49" s="33"/>
      <c r="S49" s="34"/>
    </row>
    <row r="50" spans="1:19" x14ac:dyDescent="0.35">
      <c r="A50" s="37"/>
      <c r="B50" s="38"/>
      <c r="C50" s="5">
        <v>-16.652000000000001</v>
      </c>
      <c r="D50" s="36"/>
      <c r="E50" s="35"/>
      <c r="F50" s="36"/>
      <c r="G50" s="36"/>
      <c r="H50" s="33"/>
      <c r="I50" s="33"/>
      <c r="J50" s="34"/>
      <c r="K50" s="36"/>
      <c r="L50" s="5">
        <v>-16.073</v>
      </c>
      <c r="M50" s="36"/>
      <c r="N50" s="35"/>
      <c r="O50" s="36"/>
      <c r="P50" s="36"/>
      <c r="Q50" s="33"/>
      <c r="R50" s="33"/>
      <c r="S50" s="34"/>
    </row>
    <row r="51" spans="1:19" x14ac:dyDescent="0.35">
      <c r="A51" s="37">
        <v>25</v>
      </c>
      <c r="B51" s="38">
        <v>6.54</v>
      </c>
      <c r="C51" s="5">
        <v>-4.7698999999999998</v>
      </c>
      <c r="D51" s="36">
        <f t="shared" ref="D51" si="241">AVERAGE(C51:C52)</f>
        <v>-8.5684500000000003</v>
      </c>
      <c r="E51" s="35">
        <f t="shared" ref="E51" si="242">-(_xlfn.STDEV.S(C51:C52)/SQRT(2))/D51</f>
        <v>0.4433182197480291</v>
      </c>
      <c r="F51" s="36">
        <f t="shared" ref="F51" si="243">D51/1000</f>
        <v>-8.56845E-3</v>
      </c>
      <c r="G51" s="36">
        <f t="shared" ref="G51" si="244">(-F51*16*0.2)/(39.58*0.6*0.01*10^-3)</f>
        <v>115.45831227892877</v>
      </c>
      <c r="H51" s="33">
        <f t="shared" ref="H51" si="245">G51/B51</f>
        <v>17.654176189438651</v>
      </c>
      <c r="I51" s="33">
        <f>AVERAGE(H51:H54)</f>
        <v>15.427307240095457</v>
      </c>
      <c r="J51" s="34">
        <f>(_xlfn.STDEV.S(H51:H54)/SQRT(2))/I51</f>
        <v>0.14434592600551677</v>
      </c>
      <c r="K51" s="36">
        <v>12</v>
      </c>
      <c r="L51" s="5">
        <v>-13.417999999999999</v>
      </c>
      <c r="M51" s="36">
        <f t="shared" ref="M51" si="246">AVERAGE(L51:L52)</f>
        <v>-14.509</v>
      </c>
      <c r="N51" s="35">
        <f t="shared" ref="N51" si="247">-(_xlfn.STDEV.S(L51:L52)/SQRT(2))/M51</f>
        <v>7.5194706733751476E-2</v>
      </c>
      <c r="O51" s="36">
        <f t="shared" ref="O51" si="248">M51/1000</f>
        <v>-1.4509000000000001E-2</v>
      </c>
      <c r="P51" s="36">
        <f t="shared" ref="P51" si="249">(-O51*16*0.2)/(39.58*0.6*0.01*10^-3)</f>
        <v>195.50614788613782</v>
      </c>
      <c r="Q51" s="33">
        <f t="shared" ref="Q51" si="250">P51/K51</f>
        <v>16.292178990511484</v>
      </c>
      <c r="R51" s="33">
        <f t="shared" si="188"/>
        <v>15.753599510386897</v>
      </c>
      <c r="S51" s="34">
        <f t="shared" ref="S51" si="251">(_xlfn.STDEV.S(Q51:Q56)/SQRT(3))/R51</f>
        <v>0.12666436225540634</v>
      </c>
    </row>
    <row r="52" spans="1:19" x14ac:dyDescent="0.35">
      <c r="A52" s="37"/>
      <c r="B52" s="38"/>
      <c r="C52" s="5">
        <v>-12.367000000000001</v>
      </c>
      <c r="D52" s="36"/>
      <c r="E52" s="35"/>
      <c r="F52" s="36"/>
      <c r="G52" s="36"/>
      <c r="H52" s="33"/>
      <c r="I52" s="33"/>
      <c r="J52" s="34"/>
      <c r="K52" s="36"/>
      <c r="L52" s="5">
        <v>-15.6</v>
      </c>
      <c r="M52" s="36"/>
      <c r="N52" s="35"/>
      <c r="O52" s="36"/>
      <c r="P52" s="36"/>
      <c r="Q52" s="33"/>
      <c r="R52" s="33"/>
      <c r="S52" s="34"/>
    </row>
    <row r="53" spans="1:19" x14ac:dyDescent="0.35">
      <c r="A53" s="37">
        <v>26</v>
      </c>
      <c r="B53" s="38">
        <v>7.0349999999999993</v>
      </c>
      <c r="C53" s="5">
        <v>-4.5362</v>
      </c>
      <c r="D53" s="36">
        <f t="shared" ref="D53" si="252">AVERAGE(C53:C54)</f>
        <v>-6.89175</v>
      </c>
      <c r="E53" s="35">
        <f t="shared" ref="E53" si="253">-(_xlfn.STDEV.S(C53:C54)/SQRT(2))/D53</f>
        <v>0.34179272318351639</v>
      </c>
      <c r="F53" s="36">
        <f t="shared" ref="F53" si="254">D53/1000</f>
        <v>-6.8917500000000003E-3</v>
      </c>
      <c r="G53" s="36">
        <f t="shared" ref="G53" si="255">(-F53*16*0.2)/(39.58*0.6*0.01*10^-3)</f>
        <v>92.865083375442168</v>
      </c>
      <c r="H53" s="33">
        <f t="shared" ref="H53" si="256">G53/B53</f>
        <v>13.200438290752263</v>
      </c>
      <c r="I53" s="33"/>
      <c r="J53" s="34"/>
      <c r="K53" s="36">
        <v>10.079999999999998</v>
      </c>
      <c r="L53" s="5">
        <v>-14.057</v>
      </c>
      <c r="M53" s="36">
        <f t="shared" ref="M53" si="257">AVERAGE(L53:L54)</f>
        <v>-14.145</v>
      </c>
      <c r="N53" s="35">
        <f t="shared" ref="N53" si="258">-(_xlfn.STDEV.S(L53:L54)/SQRT(2))/M53</f>
        <v>6.2212796041003944E-3</v>
      </c>
      <c r="O53" s="36">
        <f t="shared" ref="O53" si="259">M53/1000</f>
        <v>-1.4145E-2</v>
      </c>
      <c r="P53" s="36">
        <f t="shared" ref="P53" si="260">(-O53*16*0.2)/(39.58*0.6*0.01*10^-3)</f>
        <v>190.60131379484588</v>
      </c>
      <c r="Q53" s="33">
        <f t="shared" ref="Q53" si="261">P53/K53</f>
        <v>18.908860495520429</v>
      </c>
      <c r="R53" s="33"/>
      <c r="S53" s="34"/>
    </row>
    <row r="54" spans="1:19" x14ac:dyDescent="0.35">
      <c r="A54" s="37"/>
      <c r="B54" s="38"/>
      <c r="C54" s="5">
        <v>-9.2472999999999992</v>
      </c>
      <c r="D54" s="36"/>
      <c r="E54" s="35"/>
      <c r="F54" s="36"/>
      <c r="G54" s="36"/>
      <c r="H54" s="33"/>
      <c r="I54" s="33"/>
      <c r="J54" s="34"/>
      <c r="K54" s="36"/>
      <c r="L54" s="5">
        <v>-14.233000000000001</v>
      </c>
      <c r="M54" s="36"/>
      <c r="N54" s="35"/>
      <c r="O54" s="36"/>
      <c r="P54" s="36"/>
      <c r="Q54" s="33"/>
      <c r="R54" s="33"/>
      <c r="S54" s="34"/>
    </row>
    <row r="55" spans="1:19" x14ac:dyDescent="0.35">
      <c r="A55" s="37">
        <v>27</v>
      </c>
      <c r="B55" s="38">
        <v>5.79</v>
      </c>
      <c r="C55" s="5">
        <v>-15.336</v>
      </c>
      <c r="D55" s="36">
        <f t="shared" ref="D55" si="262">AVERAGE(C55:C56)</f>
        <v>-15.336</v>
      </c>
      <c r="E55" s="35" t="e">
        <f t="shared" ref="E55" si="263">-(_xlfn.STDEV.S(C55:C56)/SQRT(2))/D55</f>
        <v>#DIV/0!</v>
      </c>
      <c r="F55" s="36">
        <f t="shared" ref="F55" si="264">D55/1000</f>
        <v>-1.5336000000000001E-2</v>
      </c>
      <c r="G55" s="36">
        <f t="shared" ref="G55" si="265">(-F55*16*0.2)/(39.58*0.6*0.01*10^-3)</f>
        <v>206.64982314300156</v>
      </c>
      <c r="H55" s="33">
        <f t="shared" ref="H55" si="266">G55/B55</f>
        <v>35.690815741451047</v>
      </c>
      <c r="I55" s="33"/>
      <c r="J55" s="34"/>
      <c r="K55" s="36">
        <v>11.565</v>
      </c>
      <c r="L55" s="5">
        <v>-10.050000000000001</v>
      </c>
      <c r="M55" s="36">
        <f t="shared" ref="M55" si="267">AVERAGE(L55:L56)</f>
        <v>-10.3505</v>
      </c>
      <c r="N55" s="35">
        <f t="shared" ref="N55" si="268">-(_xlfn.STDEV.S(L55:L56)/SQRT(2))/M55</f>
        <v>2.90324138930486E-2</v>
      </c>
      <c r="O55" s="36">
        <f t="shared" ref="O55" si="269">M55/1000</f>
        <v>-1.03505E-2</v>
      </c>
      <c r="P55" s="36">
        <f t="shared" ref="P55" si="270">(-O55*16*0.2)/(39.58*0.6*0.01*10^-3)</f>
        <v>139.47111335691429</v>
      </c>
      <c r="Q55" s="33">
        <f t="shared" ref="Q55" si="271">P55/K55</f>
        <v>12.059759045128775</v>
      </c>
      <c r="R55" s="33"/>
      <c r="S55" s="34"/>
    </row>
    <row r="56" spans="1:19" x14ac:dyDescent="0.35">
      <c r="A56" s="37"/>
      <c r="B56" s="38"/>
      <c r="C56" s="5" t="s">
        <v>1</v>
      </c>
      <c r="D56" s="36"/>
      <c r="E56" s="35"/>
      <c r="F56" s="36"/>
      <c r="G56" s="36"/>
      <c r="H56" s="33"/>
      <c r="I56" s="33"/>
      <c r="J56" s="34"/>
      <c r="K56" s="36"/>
      <c r="L56" s="5">
        <v>-10.651</v>
      </c>
      <c r="M56" s="36"/>
      <c r="N56" s="35"/>
      <c r="O56" s="36"/>
      <c r="P56" s="36"/>
      <c r="Q56" s="33"/>
      <c r="R56" s="33"/>
      <c r="S56" s="34"/>
    </row>
    <row r="57" spans="1:19" x14ac:dyDescent="0.35">
      <c r="A57" s="37">
        <v>28</v>
      </c>
      <c r="B57" s="38">
        <v>6.3750000000000009</v>
      </c>
      <c r="C57" s="5">
        <v>-10.651</v>
      </c>
      <c r="D57" s="36">
        <f t="shared" ref="D57" si="272">AVERAGE(C57:C58)</f>
        <v>-12.439</v>
      </c>
      <c r="E57" s="35">
        <f t="shared" ref="E57" si="273">-(_xlfn.STDEV.S(C57:C58)/SQRT(2))/D57</f>
        <v>0.14374145831658494</v>
      </c>
      <c r="F57" s="36">
        <f t="shared" ref="F57" si="274">D57/1000</f>
        <v>-1.2439E-2</v>
      </c>
      <c r="G57" s="36">
        <f t="shared" ref="G57" si="275">(-F57*16*0.2)/(39.58*0.6*0.01*10^-3)</f>
        <v>167.61327269664815</v>
      </c>
      <c r="H57" s="33">
        <f t="shared" ref="H57" si="276">G57/B57</f>
        <v>26.292278070062451</v>
      </c>
      <c r="I57" s="33">
        <f t="shared" ref="I57" si="277">AVERAGE(H57:H62)</f>
        <v>20.388945531986678</v>
      </c>
      <c r="J57" s="34">
        <f t="shared" ref="J57" si="278">(_xlfn.STDEV.S(H57:H62)/SQRT(3))/I57</f>
        <v>0.14581804185886429</v>
      </c>
      <c r="K57" s="36">
        <v>11.58</v>
      </c>
      <c r="L57" s="5">
        <v>-14.750999999999999</v>
      </c>
      <c r="M57" s="36">
        <f t="shared" ref="M57" si="279">AVERAGE(L57:L58)</f>
        <v>-14.9415</v>
      </c>
      <c r="N57" s="35">
        <f t="shared" ref="N57" si="280">-(_xlfn.STDEV.S(L57:L58)/SQRT(2))/M57</f>
        <v>1.2749723923300881E-2</v>
      </c>
      <c r="O57" s="36">
        <f t="shared" ref="O57" si="281">M57/1000</f>
        <v>-1.49415E-2</v>
      </c>
      <c r="P57" s="36">
        <f t="shared" ref="P57" si="282">(-O57*16*0.2)/(39.58*0.6*0.01*10^-3)</f>
        <v>201.33400707427995</v>
      </c>
      <c r="Q57" s="33">
        <f t="shared" ref="Q57" si="283">P57/K57</f>
        <v>17.386356396742656</v>
      </c>
      <c r="R57" s="33">
        <f t="shared" si="188"/>
        <v>19.795335985673685</v>
      </c>
      <c r="S57" s="34">
        <f t="shared" ref="S57" si="284">(_xlfn.STDEV.S(Q57:Q62)/SQRT(3))/R57</f>
        <v>9.5259504919023782E-2</v>
      </c>
    </row>
    <row r="58" spans="1:19" x14ac:dyDescent="0.35">
      <c r="A58" s="37"/>
      <c r="B58" s="38"/>
      <c r="C58" s="15">
        <v>-14.227</v>
      </c>
      <c r="D58" s="36"/>
      <c r="E58" s="35"/>
      <c r="F58" s="36"/>
      <c r="G58" s="36"/>
      <c r="H58" s="33"/>
      <c r="I58" s="33"/>
      <c r="J58" s="34"/>
      <c r="K58" s="36"/>
      <c r="L58" s="5">
        <v>-15.132</v>
      </c>
      <c r="M58" s="36"/>
      <c r="N58" s="35"/>
      <c r="O58" s="36"/>
      <c r="P58" s="36"/>
      <c r="Q58" s="33"/>
      <c r="R58" s="33"/>
      <c r="S58" s="34"/>
    </row>
    <row r="59" spans="1:19" x14ac:dyDescent="0.35">
      <c r="A59" s="37">
        <v>29</v>
      </c>
      <c r="B59" s="38">
        <v>6.75</v>
      </c>
      <c r="C59" s="5">
        <v>-7.7408999999999999</v>
      </c>
      <c r="D59" s="36">
        <f t="shared" ref="D59" si="285">AVERAGE(C59:C60)</f>
        <v>-9.0439499999999988</v>
      </c>
      <c r="E59" s="35">
        <f t="shared" ref="E59" si="286">-(_xlfn.STDEV.S(C59:C60)/SQRT(2))/D59</f>
        <v>0.14407974391720507</v>
      </c>
      <c r="F59" s="36">
        <f t="shared" ref="F59" si="287">D59/1000</f>
        <v>-9.0439499999999985E-3</v>
      </c>
      <c r="G59" s="36">
        <f t="shared" ref="G59" si="288">(-F59*16*0.2)/(39.58*0.6*0.01*10^-3)</f>
        <v>121.86558868115209</v>
      </c>
      <c r="H59" s="33">
        <f t="shared" ref="H59" si="289">G59/B59</f>
        <v>18.054161286096605</v>
      </c>
      <c r="I59" s="33"/>
      <c r="J59" s="34"/>
      <c r="K59" s="36">
        <v>10.875</v>
      </c>
      <c r="L59" s="5">
        <v>-14.548</v>
      </c>
      <c r="M59" s="36">
        <f t="shared" ref="M59" si="290">AVERAGE(L59:L60)</f>
        <v>-14.92</v>
      </c>
      <c r="N59" s="35">
        <f t="shared" ref="N59" si="291">-(_xlfn.STDEV.S(L59:L60)/SQRT(2))/M59</f>
        <v>2.4932975871313663E-2</v>
      </c>
      <c r="O59" s="36">
        <f t="shared" ref="O59" si="292">M59/1000</f>
        <v>-1.4919999999999999E-2</v>
      </c>
      <c r="P59" s="36">
        <f t="shared" ref="P59" si="293">(-O59*16*0.2)/(39.58*0.6*0.01*10^-3)</f>
        <v>201.04429846723937</v>
      </c>
      <c r="Q59" s="33">
        <f t="shared" ref="Q59" si="294">P59/K59</f>
        <v>18.48683204296454</v>
      </c>
      <c r="R59" s="33"/>
      <c r="S59" s="34"/>
    </row>
    <row r="60" spans="1:19" x14ac:dyDescent="0.35">
      <c r="A60" s="37"/>
      <c r="B60" s="38"/>
      <c r="C60" s="5">
        <v>-10.347</v>
      </c>
      <c r="D60" s="36"/>
      <c r="E60" s="35"/>
      <c r="F60" s="36"/>
      <c r="G60" s="36"/>
      <c r="H60" s="33"/>
      <c r="I60" s="33"/>
      <c r="J60" s="34"/>
      <c r="K60" s="36"/>
      <c r="L60" s="5">
        <v>-15.292</v>
      </c>
      <c r="M60" s="36"/>
      <c r="N60" s="35"/>
      <c r="O60" s="36"/>
      <c r="P60" s="36"/>
      <c r="Q60" s="33"/>
      <c r="R60" s="33"/>
      <c r="S60" s="34"/>
    </row>
    <row r="61" spans="1:19" x14ac:dyDescent="0.35">
      <c r="A61" s="37">
        <v>30</v>
      </c>
      <c r="B61" s="38">
        <v>5.0399999999999991</v>
      </c>
      <c r="C61" s="5">
        <v>-5.3013000000000003</v>
      </c>
      <c r="D61" s="36">
        <f t="shared" ref="D61" si="295">AVERAGE(C61:C62)</f>
        <v>-6.2913499999999996</v>
      </c>
      <c r="E61" s="35">
        <f t="shared" ref="E61" si="296">-(_xlfn.STDEV.S(C61:C62)/SQRT(2))/D61</f>
        <v>0.15736686084862614</v>
      </c>
      <c r="F61" s="36">
        <f t="shared" ref="F61" si="297">D61/1000</f>
        <v>-6.2913499999999994E-3</v>
      </c>
      <c r="G61" s="36">
        <f t="shared" ref="G61" si="298">(-F61*16*0.2)/(39.58*0.6*0.01*10^-3)</f>
        <v>84.774802088596928</v>
      </c>
      <c r="H61" s="33">
        <f t="shared" ref="H61" si="299">G61/B61</f>
        <v>16.820397239800979</v>
      </c>
      <c r="I61" s="33"/>
      <c r="J61" s="34"/>
      <c r="K61" s="36">
        <v>8.6549999999999994</v>
      </c>
      <c r="L61" s="5">
        <v>-14.939</v>
      </c>
      <c r="M61" s="36">
        <f t="shared" ref="M61" si="300">AVERAGE(L61:L62)</f>
        <v>-15.102499999999999</v>
      </c>
      <c r="N61" s="35">
        <f t="shared" ref="N61" si="301">-(_xlfn.STDEV.S(L61:L62)/SQRT(2))/M61</f>
        <v>1.0826022181757985E-2</v>
      </c>
      <c r="O61" s="36">
        <f t="shared" ref="O61" si="302">M61/1000</f>
        <v>-1.51025E-2</v>
      </c>
      <c r="P61" s="36">
        <f t="shared" ref="P61" si="303">(-O61*16*0.2)/(39.58*0.6*0.01*10^-3)</f>
        <v>203.50345292235139</v>
      </c>
      <c r="Q61" s="33">
        <f t="shared" ref="Q61" si="304">P61/K61</f>
        <v>23.512819517313854</v>
      </c>
      <c r="R61" s="33"/>
      <c r="S61" s="34"/>
    </row>
    <row r="62" spans="1:19" x14ac:dyDescent="0.35">
      <c r="A62" s="37"/>
      <c r="B62" s="38"/>
      <c r="C62" s="5">
        <v>-7.2813999999999997</v>
      </c>
      <c r="D62" s="36"/>
      <c r="E62" s="35"/>
      <c r="F62" s="36"/>
      <c r="G62" s="36"/>
      <c r="H62" s="33"/>
      <c r="I62" s="33"/>
      <c r="J62" s="34"/>
      <c r="K62" s="36"/>
      <c r="L62" s="5">
        <v>-15.266</v>
      </c>
      <c r="M62" s="36"/>
      <c r="N62" s="35"/>
      <c r="O62" s="36"/>
      <c r="P62" s="36"/>
      <c r="Q62" s="33"/>
      <c r="R62" s="33"/>
      <c r="S62" s="34"/>
    </row>
    <row r="63" spans="1:19" x14ac:dyDescent="0.35">
      <c r="A63" s="37">
        <v>31</v>
      </c>
      <c r="B63" s="38">
        <v>2.2950000000000004</v>
      </c>
      <c r="C63" s="5">
        <v>-4.1153000000000004</v>
      </c>
      <c r="D63" s="36">
        <f t="shared" ref="D63" si="305">AVERAGE(C63:C64)</f>
        <v>-3.9877000000000002</v>
      </c>
      <c r="E63" s="35">
        <f t="shared" ref="E63" si="306">-(_xlfn.STDEV.S(C63:C64)/SQRT(2))/D63</f>
        <v>3.1998395064824374E-2</v>
      </c>
      <c r="F63" s="36">
        <f t="shared" ref="F63" si="307">D63/1000</f>
        <v>-3.9877000000000003E-3</v>
      </c>
      <c r="G63" s="36">
        <f t="shared" ref="G63" si="308">(-F63*16*0.2)/(39.58*0.6*0.01*10^-3)</f>
        <v>53.733535455617329</v>
      </c>
      <c r="H63" s="33">
        <f t="shared" ref="H63" si="309">G63/B63</f>
        <v>23.41330520941931</v>
      </c>
      <c r="I63" s="33">
        <f>AVERAGE(H63,H67)</f>
        <v>23.673921734512255</v>
      </c>
      <c r="J63" s="34">
        <f>(_xlfn.STDEV.S(H63,H67)/SQRT(2))/I63</f>
        <v>1.1008591141577368E-2</v>
      </c>
      <c r="K63" s="36">
        <v>7.5449999999999999</v>
      </c>
      <c r="L63" s="5">
        <v>-19.738</v>
      </c>
      <c r="M63" s="36">
        <f t="shared" ref="M63" si="310">AVERAGE(L63:L64)</f>
        <v>-18.637999999999998</v>
      </c>
      <c r="N63" s="35">
        <f t="shared" ref="N63" si="311">-(_xlfn.STDEV.S(L63:L64)/SQRT(2))/M63</f>
        <v>5.9019208069535332E-2</v>
      </c>
      <c r="O63" s="36">
        <f t="shared" ref="O63" si="312">M63/1000</f>
        <v>-1.8637999999999998E-2</v>
      </c>
      <c r="P63" s="36">
        <f t="shared" ref="P63" si="313">(-O63*16*0.2)/(39.58*0.6*0.01*10^-3)</f>
        <v>251.14367525686373</v>
      </c>
      <c r="Q63" s="33">
        <f t="shared" ref="Q63" si="314">P63/K63</f>
        <v>33.286106727218517</v>
      </c>
      <c r="R63" s="33">
        <f t="shared" si="188"/>
        <v>26.060404970675531</v>
      </c>
      <c r="S63" s="34">
        <f t="shared" ref="S63" si="315">(_xlfn.STDEV.S(Q63:Q68)/SQRT(3))/R63</f>
        <v>0.14920901269532308</v>
      </c>
    </row>
    <row r="64" spans="1:19" x14ac:dyDescent="0.35">
      <c r="A64" s="37"/>
      <c r="B64" s="38"/>
      <c r="C64" s="5">
        <v>-3.8601000000000001</v>
      </c>
      <c r="D64" s="36"/>
      <c r="E64" s="35"/>
      <c r="F64" s="36"/>
      <c r="G64" s="36"/>
      <c r="H64" s="33"/>
      <c r="I64" s="33"/>
      <c r="J64" s="34"/>
      <c r="K64" s="36"/>
      <c r="L64" s="5">
        <v>-17.538</v>
      </c>
      <c r="M64" s="36"/>
      <c r="N64" s="35"/>
      <c r="O64" s="36"/>
      <c r="P64" s="36"/>
      <c r="Q64" s="33"/>
      <c r="R64" s="33"/>
      <c r="S64" s="34"/>
    </row>
    <row r="65" spans="1:19" x14ac:dyDescent="0.35">
      <c r="A65" s="37">
        <v>32</v>
      </c>
      <c r="B65" s="38">
        <v>4.74</v>
      </c>
      <c r="C65" s="5">
        <v>-4.5495000000000001</v>
      </c>
      <c r="D65" s="36">
        <f t="shared" ref="D65" si="316">AVERAGE(C65:C66)</f>
        <v>-4.9444499999999998</v>
      </c>
      <c r="E65" s="35">
        <f t="shared" ref="E65" si="317">-(_xlfn.STDEV.S(C65:C66)/SQRT(2))/D65</f>
        <v>7.9877438339956947E-2</v>
      </c>
      <c r="F65" s="36">
        <f t="shared" ref="F65" si="318">D65/1000</f>
        <v>-4.9444499999999995E-3</v>
      </c>
      <c r="G65" s="36">
        <f t="shared" ref="G65" si="319">(-F65*16*0.2)/(39.58*0.6*0.01*10^-3)</f>
        <v>66.625568468923689</v>
      </c>
      <c r="H65" s="33">
        <f t="shared" ref="H65" si="320">G65/B65</f>
        <v>14.056027103148457</v>
      </c>
      <c r="I65" s="33"/>
      <c r="J65" s="34"/>
      <c r="K65" s="36">
        <v>9.5549999999999997</v>
      </c>
      <c r="L65" s="5">
        <v>-15.791</v>
      </c>
      <c r="M65" s="36">
        <f t="shared" ref="M65" si="321">AVERAGE(L65:L66)</f>
        <v>-17.683500000000002</v>
      </c>
      <c r="N65" s="35">
        <f t="shared" ref="N65" si="322">-(_xlfn.STDEV.S(L65:L66)/SQRT(2))/M65</f>
        <v>0.10702066898521141</v>
      </c>
      <c r="O65" s="36">
        <f t="shared" ref="O65" si="323">M65/1000</f>
        <v>-1.7683500000000001E-2</v>
      </c>
      <c r="P65" s="36">
        <f t="shared" ref="P65" si="324">(-O65*16*0.2)/(39.58*0.6*0.01*10^-3)</f>
        <v>238.28196058615467</v>
      </c>
      <c r="Q65" s="33">
        <f t="shared" ref="Q65" si="325">P65/K65</f>
        <v>24.937934127279402</v>
      </c>
      <c r="R65" s="33"/>
      <c r="S65" s="34"/>
    </row>
    <row r="66" spans="1:19" x14ac:dyDescent="0.35">
      <c r="A66" s="37"/>
      <c r="B66" s="38"/>
      <c r="C66" s="5">
        <v>-5.3394000000000004</v>
      </c>
      <c r="D66" s="36"/>
      <c r="E66" s="35"/>
      <c r="F66" s="36"/>
      <c r="G66" s="36"/>
      <c r="H66" s="33"/>
      <c r="I66" s="33"/>
      <c r="J66" s="34"/>
      <c r="K66" s="36"/>
      <c r="L66" s="5">
        <v>-19.576000000000001</v>
      </c>
      <c r="M66" s="36"/>
      <c r="N66" s="35"/>
      <c r="O66" s="36"/>
      <c r="P66" s="36"/>
      <c r="Q66" s="33"/>
      <c r="R66" s="33"/>
      <c r="S66" s="34"/>
    </row>
    <row r="67" spans="1:19" x14ac:dyDescent="0.35">
      <c r="A67" s="37">
        <v>33</v>
      </c>
      <c r="B67" s="38">
        <v>5.415</v>
      </c>
      <c r="C67" s="5">
        <v>-8.0786999999999995</v>
      </c>
      <c r="D67" s="36">
        <f t="shared" ref="D67" si="326">AVERAGE(C67:C68)</f>
        <v>-9.6183499999999995</v>
      </c>
      <c r="E67" s="35">
        <f t="shared" ref="E67" si="327">-(_xlfn.STDEV.S(C67:C68)/SQRT(2))/D67</f>
        <v>0.16007423310650964</v>
      </c>
      <c r="F67" s="36">
        <f t="shared" ref="F67" si="328">D67/1000</f>
        <v>-9.6183499999999995E-3</v>
      </c>
      <c r="G67" s="36">
        <f t="shared" ref="G67" si="329">(-F67*16*0.2)/(39.58*0.6*0.01*10^-3)</f>
        <v>129.60552467576218</v>
      </c>
      <c r="H67" s="33">
        <f t="shared" ref="H67" si="330">G67/B67</f>
        <v>23.934538259605205</v>
      </c>
      <c r="I67" s="33"/>
      <c r="J67" s="34"/>
      <c r="K67" s="36">
        <v>10.169999999999998</v>
      </c>
      <c r="L67" s="5">
        <v>-15.385</v>
      </c>
      <c r="M67" s="36">
        <f t="shared" ref="M67" si="331">AVERAGE(L67:L68)</f>
        <v>-15.0625</v>
      </c>
      <c r="N67" s="35">
        <f t="shared" ref="N67" si="332">-(_xlfn.STDEV.S(L67:L68)/SQRT(2))/M67</f>
        <v>2.1410788381742721E-2</v>
      </c>
      <c r="O67" s="36">
        <f t="shared" ref="O67" si="333">M67/1000</f>
        <v>-1.50625E-2</v>
      </c>
      <c r="P67" s="36">
        <f t="shared" ref="P67" si="334">(-O67*16*0.2)/(39.58*0.6*0.01*10^-3)</f>
        <v>202.96446016506655</v>
      </c>
      <c r="Q67" s="33">
        <f t="shared" ref="Q67" si="335">P67/K67</f>
        <v>19.957174057528672</v>
      </c>
      <c r="R67" s="33"/>
      <c r="S67" s="34"/>
    </row>
    <row r="68" spans="1:19" x14ac:dyDescent="0.35">
      <c r="A68" s="37"/>
      <c r="B68" s="38"/>
      <c r="C68" s="5">
        <v>-11.157999999999999</v>
      </c>
      <c r="D68" s="36"/>
      <c r="E68" s="35"/>
      <c r="F68" s="36"/>
      <c r="G68" s="36"/>
      <c r="H68" s="33"/>
      <c r="I68" s="33"/>
      <c r="J68" s="34"/>
      <c r="K68" s="36"/>
      <c r="L68" s="5">
        <v>-14.74</v>
      </c>
      <c r="M68" s="36"/>
      <c r="N68" s="35"/>
      <c r="O68" s="36"/>
      <c r="P68" s="36"/>
      <c r="Q68" s="33"/>
      <c r="R68" s="33"/>
      <c r="S68" s="34"/>
    </row>
    <row r="69" spans="1:19" x14ac:dyDescent="0.35">
      <c r="A69" s="37">
        <v>34</v>
      </c>
      <c r="B69" s="38">
        <v>5.64</v>
      </c>
      <c r="C69" s="5">
        <v>-12.138</v>
      </c>
      <c r="D69" s="36">
        <f t="shared" ref="D69" si="336">AVERAGE(C69:C70)</f>
        <v>-13.129999999999999</v>
      </c>
      <c r="E69" s="35">
        <f t="shared" ref="E69" si="337">-(_xlfn.STDEV.S(C69:C70)/SQRT(2))/D69</f>
        <v>7.5552170601675558E-2</v>
      </c>
      <c r="F69" s="36">
        <f t="shared" ref="F69" si="338">D69/1000</f>
        <v>-1.3129999999999999E-2</v>
      </c>
      <c r="G69" s="36">
        <f t="shared" ref="G69" si="339">(-F69*16*0.2)/(39.58*0.6*0.01*10^-3)</f>
        <v>176.92437257874349</v>
      </c>
      <c r="H69" s="33">
        <f t="shared" ref="H69" si="340">G69/B69</f>
        <v>31.369569606160194</v>
      </c>
      <c r="I69" s="33">
        <f t="shared" ref="I69" si="341">AVERAGE(H69:H74)</f>
        <v>31.667843354336998</v>
      </c>
      <c r="J69" s="34">
        <f t="shared" ref="J69" si="342">(_xlfn.STDEV.S(H69:H74)/SQRT(3))/I69</f>
        <v>3.3434752842074512E-2</v>
      </c>
      <c r="K69" s="36">
        <v>8.5200000000000014</v>
      </c>
      <c r="L69" s="5">
        <v>-12.265000000000001</v>
      </c>
      <c r="M69" s="36">
        <f t="shared" ref="M69" si="343">AVERAGE(L69:L70)</f>
        <v>-12.699</v>
      </c>
      <c r="N69" s="35">
        <f t="shared" ref="N69" si="344">-(_xlfn.STDEV.S(L69:L70)/SQRT(2))/M69</f>
        <v>3.4175919363729365E-2</v>
      </c>
      <c r="O69" s="36">
        <f t="shared" ref="O69" si="345">M69/1000</f>
        <v>-1.2699E-2</v>
      </c>
      <c r="P69" s="36">
        <f t="shared" ref="P69" si="346">(-O69*16*0.2)/(39.58*0.6*0.01*10^-3)</f>
        <v>171.11672561899951</v>
      </c>
      <c r="Q69" s="33">
        <f t="shared" ref="Q69" si="347">P69/K69</f>
        <v>20.084122725234682</v>
      </c>
      <c r="R69" s="33">
        <f t="shared" si="188"/>
        <v>20.691490855005622</v>
      </c>
      <c r="S69" s="34">
        <f t="shared" ref="S69" si="348">(_xlfn.STDEV.S(Q69:Q74)/SQRT(3))/R69</f>
        <v>7.5406476811459497E-2</v>
      </c>
    </row>
    <row r="70" spans="1:19" x14ac:dyDescent="0.35">
      <c r="A70" s="37"/>
      <c r="B70" s="38"/>
      <c r="C70" s="5">
        <v>-14.122</v>
      </c>
      <c r="D70" s="36"/>
      <c r="E70" s="35"/>
      <c r="F70" s="36"/>
      <c r="G70" s="36"/>
      <c r="H70" s="33"/>
      <c r="I70" s="33"/>
      <c r="J70" s="34"/>
      <c r="K70" s="36"/>
      <c r="L70" s="5">
        <v>-13.132999999999999</v>
      </c>
      <c r="M70" s="36"/>
      <c r="N70" s="35"/>
      <c r="O70" s="36"/>
      <c r="P70" s="36"/>
      <c r="Q70" s="33"/>
      <c r="R70" s="33"/>
      <c r="S70" s="34"/>
    </row>
    <row r="71" spans="1:19" x14ac:dyDescent="0.35">
      <c r="A71" s="37">
        <v>35</v>
      </c>
      <c r="B71" s="38">
        <v>5.76</v>
      </c>
      <c r="C71" s="5">
        <v>-11.369</v>
      </c>
      <c r="D71" s="36">
        <f t="shared" ref="D71" si="349">AVERAGE(C71:C72)</f>
        <v>-12.8245</v>
      </c>
      <c r="E71" s="35">
        <f t="shared" ref="E71" si="350">-(_xlfn.STDEV.S(C71:C72)/SQRT(2))/D71</f>
        <v>0.11349370345822385</v>
      </c>
      <c r="F71" s="36">
        <f t="shared" ref="F71" si="351">D71/1000</f>
        <v>-1.2824500000000001E-2</v>
      </c>
      <c r="G71" s="36">
        <f t="shared" ref="G71" si="352">(-F71*16*0.2)/(39.58*0.6*0.01*10^-3)</f>
        <v>172.80781539498065</v>
      </c>
      <c r="H71" s="33">
        <f t="shared" ref="H71" si="353">G71/B71</f>
        <v>30.001356839406363</v>
      </c>
      <c r="I71" s="33"/>
      <c r="J71" s="34"/>
      <c r="K71" s="36">
        <v>8.91</v>
      </c>
      <c r="L71" s="5">
        <v>-14.606</v>
      </c>
      <c r="M71" s="36">
        <f t="shared" ref="M71" si="354">AVERAGE(L71:L72)</f>
        <v>-15.6355</v>
      </c>
      <c r="N71" s="35">
        <f t="shared" ref="N71" si="355">-(_xlfn.STDEV.S(L71:L72)/SQRT(2))/M71</f>
        <v>6.5843752997985311E-2</v>
      </c>
      <c r="O71" s="36">
        <f t="shared" ref="O71" si="356">M71/1000</f>
        <v>-1.56355E-2</v>
      </c>
      <c r="P71" s="36">
        <f t="shared" ref="P71" si="357">(-O71*16*0.2)/(39.58*0.6*0.01*10^-3)</f>
        <v>210.68553141317167</v>
      </c>
      <c r="Q71" s="33">
        <f t="shared" ref="Q71" si="358">P71/K71</f>
        <v>23.645963121568087</v>
      </c>
      <c r="R71" s="33"/>
      <c r="S71" s="34"/>
    </row>
    <row r="72" spans="1:19" x14ac:dyDescent="0.35">
      <c r="A72" s="37"/>
      <c r="B72" s="38"/>
      <c r="C72" s="5">
        <v>-14.28</v>
      </c>
      <c r="D72" s="36"/>
      <c r="E72" s="35"/>
      <c r="F72" s="36"/>
      <c r="G72" s="36"/>
      <c r="H72" s="33"/>
      <c r="I72" s="33"/>
      <c r="J72" s="34"/>
      <c r="K72" s="36"/>
      <c r="L72" s="5">
        <v>-16.664999999999999</v>
      </c>
      <c r="M72" s="36"/>
      <c r="N72" s="35"/>
      <c r="O72" s="36"/>
      <c r="P72" s="36"/>
      <c r="Q72" s="33"/>
      <c r="R72" s="33"/>
      <c r="S72" s="34"/>
    </row>
    <row r="73" spans="1:19" x14ac:dyDescent="0.35">
      <c r="A73" s="37">
        <v>36</v>
      </c>
      <c r="B73" s="38">
        <v>4.4550000000000001</v>
      </c>
      <c r="C73" s="5">
        <v>-11.845000000000001</v>
      </c>
      <c r="D73" s="36">
        <f t="shared" ref="D73" si="359">AVERAGE(C73:C74)</f>
        <v>-11.1195</v>
      </c>
      <c r="E73" s="35">
        <f t="shared" ref="E73" si="360">-(_xlfn.STDEV.S(C73:C74)/SQRT(2))/D73</f>
        <v>6.524573946670266E-2</v>
      </c>
      <c r="F73" s="36">
        <f t="shared" ref="F73" si="361">D73/1000</f>
        <v>-1.1119500000000001E-2</v>
      </c>
      <c r="G73" s="36">
        <f t="shared" ref="G73" si="362">(-F73*16*0.2)/(39.58*0.6*0.01*10^-3)</f>
        <v>149.83324911571503</v>
      </c>
      <c r="H73" s="33">
        <f t="shared" ref="H73" si="363">G73/B73</f>
        <v>33.632603617444452</v>
      </c>
      <c r="I73" s="33"/>
      <c r="J73" s="34"/>
      <c r="K73" s="36">
        <v>8.8949999999999996</v>
      </c>
      <c r="L73" s="5">
        <v>-10.587999999999999</v>
      </c>
      <c r="M73" s="36">
        <f t="shared" ref="M73" si="364">AVERAGE(L73:L74)</f>
        <v>-12.109500000000001</v>
      </c>
      <c r="N73" s="35">
        <f t="shared" ref="N73" si="365">-(_xlfn.STDEV.S(L73:L74)/SQRT(2))/M73</f>
        <v>0.12564515463066131</v>
      </c>
      <c r="O73" s="36">
        <f t="shared" ref="O73" si="366">M73/1000</f>
        <v>-1.21095E-2</v>
      </c>
      <c r="P73" s="36">
        <f t="shared" ref="P73" si="367">(-O73*16*0.2)/(39.58*0.6*0.01*10^-3)</f>
        <v>163.17331985851442</v>
      </c>
      <c r="Q73" s="33">
        <f t="shared" ref="Q73" si="368">P73/K73</f>
        <v>18.3443867182141</v>
      </c>
      <c r="R73" s="33"/>
      <c r="S73" s="34"/>
    </row>
    <row r="74" spans="1:19" x14ac:dyDescent="0.35">
      <c r="A74" s="37"/>
      <c r="B74" s="38"/>
      <c r="C74" s="5">
        <v>-10.394</v>
      </c>
      <c r="D74" s="36"/>
      <c r="E74" s="35"/>
      <c r="F74" s="36"/>
      <c r="G74" s="36"/>
      <c r="H74" s="33"/>
      <c r="I74" s="33"/>
      <c r="J74" s="34"/>
      <c r="K74" s="36"/>
      <c r="L74" s="5">
        <v>-13.631</v>
      </c>
      <c r="M74" s="36"/>
      <c r="N74" s="35"/>
      <c r="O74" s="36"/>
      <c r="P74" s="36"/>
      <c r="Q74" s="33"/>
      <c r="R74" s="33"/>
      <c r="S74" s="34"/>
    </row>
    <row r="75" spans="1:19" x14ac:dyDescent="0.35">
      <c r="A75" s="37">
        <v>37</v>
      </c>
      <c r="B75" s="38">
        <v>6.7650000000000006</v>
      </c>
      <c r="C75" s="5">
        <v>-11.968999999999999</v>
      </c>
      <c r="D75" s="36">
        <f t="shared" ref="D75" si="369">AVERAGE(C75:C76)</f>
        <v>-10.426349999999999</v>
      </c>
      <c r="E75" s="35">
        <f t="shared" ref="E75" si="370">-(_xlfn.STDEV.S(C75:C76)/SQRT(2))/D75</f>
        <v>0.14795685930359134</v>
      </c>
      <c r="F75" s="36">
        <f t="shared" ref="F75" si="371">D75/1000</f>
        <v>-1.0426349999999999E-2</v>
      </c>
      <c r="G75" s="36">
        <f t="shared" ref="G75" si="372">(-F75*16*0.2)/(39.58*0.6*0.01*10^-3)</f>
        <v>140.49317837291559</v>
      </c>
      <c r="H75" s="33">
        <f t="shared" ref="H75" si="373">G75/B75</f>
        <v>20.7676538614805</v>
      </c>
      <c r="I75" s="33">
        <f t="shared" ref="I75" si="374">AVERAGE(H75:H80)</f>
        <v>29.064978766520159</v>
      </c>
      <c r="J75" s="34">
        <f t="shared" ref="J75" si="375">(_xlfn.STDEV.S(H75:H80)/SQRT(3))/I75</f>
        <v>0.14669494100485259</v>
      </c>
      <c r="K75" s="36">
        <v>10.5</v>
      </c>
      <c r="L75" s="5">
        <v>-15.313000000000001</v>
      </c>
      <c r="M75" s="36">
        <f t="shared" ref="M75" si="376">AVERAGE(L75:L76)</f>
        <v>-15.388500000000001</v>
      </c>
      <c r="N75" s="35">
        <f t="shared" ref="N75" si="377">-(_xlfn.STDEV.S(L75:L76)/SQRT(2))/M75</f>
        <v>4.9062611690548069E-3</v>
      </c>
      <c r="O75" s="36">
        <f t="shared" ref="O75" si="378">M75/1000</f>
        <v>-1.5388500000000001E-2</v>
      </c>
      <c r="P75" s="36">
        <f t="shared" ref="P75" si="379">(-O75*16*0.2)/(39.58*0.6*0.01*10^-3)</f>
        <v>207.35725113693789</v>
      </c>
      <c r="Q75" s="33">
        <f t="shared" ref="Q75" si="380">P75/K75</f>
        <v>19.748309632089324</v>
      </c>
      <c r="R75" s="33">
        <f t="shared" si="188"/>
        <v>19.67563972658974</v>
      </c>
      <c r="S75" s="34">
        <f t="shared" ref="S75" si="381">(_xlfn.STDEV.S(Q75:Q80)/SQRT(3))/R75</f>
        <v>6.7719935021087448E-3</v>
      </c>
    </row>
    <row r="76" spans="1:19" x14ac:dyDescent="0.35">
      <c r="A76" s="37"/>
      <c r="B76" s="38"/>
      <c r="C76" s="5">
        <v>-8.8836999999999993</v>
      </c>
      <c r="D76" s="36"/>
      <c r="E76" s="35"/>
      <c r="F76" s="36"/>
      <c r="G76" s="36"/>
      <c r="H76" s="33"/>
      <c r="I76" s="33"/>
      <c r="J76" s="34"/>
      <c r="K76" s="36"/>
      <c r="L76" s="5">
        <v>-15.464</v>
      </c>
      <c r="M76" s="36"/>
      <c r="N76" s="35"/>
      <c r="O76" s="36"/>
      <c r="P76" s="36"/>
      <c r="Q76" s="33"/>
      <c r="R76" s="33"/>
      <c r="S76" s="34"/>
    </row>
    <row r="77" spans="1:19" x14ac:dyDescent="0.35">
      <c r="A77" s="37">
        <v>38</v>
      </c>
      <c r="B77" s="38">
        <v>5.1150000000000002</v>
      </c>
      <c r="C77" s="5">
        <v>-13.978</v>
      </c>
      <c r="D77" s="36">
        <f t="shared" ref="D77" si="382">AVERAGE(C77:C78)</f>
        <v>-11.96105</v>
      </c>
      <c r="E77" s="35">
        <f t="shared" ref="E77" si="383">-(_xlfn.STDEV.S(C77:C78)/SQRT(2))/D77</f>
        <v>0.16862650018184031</v>
      </c>
      <c r="F77" s="36">
        <f t="shared" ref="F77" si="384">D77/1000</f>
        <v>-1.1961050000000001E-2</v>
      </c>
      <c r="G77" s="36">
        <f t="shared" ref="G77" si="385">(-F77*16*0.2)/(39.58*0.6*0.01*10^-3)</f>
        <v>161.17298298804116</v>
      </c>
      <c r="H77" s="33">
        <f t="shared" ref="H77" si="386">G77/B77</f>
        <v>31.509869596879991</v>
      </c>
      <c r="I77" s="33"/>
      <c r="J77" s="34"/>
      <c r="K77" s="36">
        <v>8.8650000000000002</v>
      </c>
      <c r="L77" s="5">
        <v>-12.989000000000001</v>
      </c>
      <c r="M77" s="36">
        <f t="shared" ref="M77" si="387">AVERAGE(L77:L78)</f>
        <v>-12.7745</v>
      </c>
      <c r="N77" s="35">
        <f t="shared" ref="N77" si="388">-(_xlfn.STDEV.S(L77:L78)/SQRT(2))/M77</f>
        <v>1.6791263845943098E-2</v>
      </c>
      <c r="O77" s="36">
        <f t="shared" ref="O77" si="389">M77/1000</f>
        <v>-1.2774499999999999E-2</v>
      </c>
      <c r="P77" s="36">
        <f t="shared" ref="P77" si="390">(-O77*16*0.2)/(39.58*0.6*0.01*10^-3)</f>
        <v>172.13407444837463</v>
      </c>
      <c r="Q77" s="33">
        <f t="shared" ref="Q77" si="391">P77/K77</f>
        <v>19.417267281260532</v>
      </c>
      <c r="R77" s="33"/>
      <c r="S77" s="34"/>
    </row>
    <row r="78" spans="1:19" x14ac:dyDescent="0.35">
      <c r="A78" s="37"/>
      <c r="B78" s="38"/>
      <c r="C78" s="5">
        <v>-9.9441000000000006</v>
      </c>
      <c r="D78" s="36"/>
      <c r="E78" s="35"/>
      <c r="F78" s="36"/>
      <c r="G78" s="36"/>
      <c r="H78" s="33"/>
      <c r="I78" s="33"/>
      <c r="J78" s="34"/>
      <c r="K78" s="36"/>
      <c r="L78" s="5">
        <v>-12.56</v>
      </c>
      <c r="M78" s="36"/>
      <c r="N78" s="35"/>
      <c r="O78" s="36"/>
      <c r="P78" s="36"/>
      <c r="Q78" s="33"/>
      <c r="R78" s="33"/>
      <c r="S78" s="34"/>
    </row>
    <row r="79" spans="1:19" x14ac:dyDescent="0.35">
      <c r="A79" s="37">
        <v>39</v>
      </c>
      <c r="B79" s="38">
        <v>5.2350000000000003</v>
      </c>
      <c r="C79" s="5">
        <v>-14.314</v>
      </c>
      <c r="D79" s="36">
        <f t="shared" ref="D79" si="392">AVERAGE(C79:C80)</f>
        <v>-13.5655</v>
      </c>
      <c r="E79" s="35">
        <f t="shared" ref="E79" si="393">-(_xlfn.STDEV.S(C79:C80)/SQRT(2))/D79</f>
        <v>5.5176735100070019E-2</v>
      </c>
      <c r="F79" s="36">
        <f t="shared" ref="F79" si="394">D79/1000</f>
        <v>-1.3565499999999999E-2</v>
      </c>
      <c r="G79" s="36">
        <f t="shared" ref="G79" si="395">(-F79*16*0.2)/(39.58*0.6*0.01*10^-3)</f>
        <v>182.792656223682</v>
      </c>
      <c r="H79" s="33">
        <f t="shared" ref="H79" si="396">G79/B79</f>
        <v>34.917412841199997</v>
      </c>
      <c r="I79" s="33"/>
      <c r="J79" s="34"/>
      <c r="K79" s="36">
        <v>10.215</v>
      </c>
      <c r="L79" s="5">
        <v>-14.74</v>
      </c>
      <c r="M79" s="36">
        <f t="shared" ref="M79" si="397">AVERAGE(L79:L80)</f>
        <v>-15.0565</v>
      </c>
      <c r="N79" s="35">
        <f t="shared" ref="N79" si="398">-(_xlfn.STDEV.S(L79:L80)/SQRT(2))/M79</f>
        <v>2.1020821572078477E-2</v>
      </c>
      <c r="O79" s="36">
        <f t="shared" ref="O79" si="399">M79/1000</f>
        <v>-1.50565E-2</v>
      </c>
      <c r="P79" s="36">
        <f t="shared" ref="P79" si="400">(-O79*16*0.2)/(39.58*0.6*0.01*10^-3)</f>
        <v>202.88361125147384</v>
      </c>
      <c r="Q79" s="33">
        <f t="shared" ref="Q79" si="401">P79/K79</f>
        <v>19.861342266419367</v>
      </c>
      <c r="R79" s="33"/>
      <c r="S79" s="34"/>
    </row>
    <row r="80" spans="1:19" x14ac:dyDescent="0.35">
      <c r="A80" s="37"/>
      <c r="B80" s="38"/>
      <c r="C80" s="5">
        <v>-12.817</v>
      </c>
      <c r="D80" s="36"/>
      <c r="E80" s="35"/>
      <c r="F80" s="36"/>
      <c r="G80" s="36"/>
      <c r="H80" s="33"/>
      <c r="I80" s="33"/>
      <c r="J80" s="34"/>
      <c r="K80" s="36"/>
      <c r="L80" s="5">
        <v>-15.372999999999999</v>
      </c>
      <c r="M80" s="36"/>
      <c r="N80" s="35"/>
      <c r="O80" s="36"/>
      <c r="P80" s="36"/>
      <c r="Q80" s="33"/>
      <c r="R80" s="33"/>
      <c r="S80" s="34"/>
    </row>
    <row r="81" spans="1:19" x14ac:dyDescent="0.35">
      <c r="A81" s="37">
        <v>40</v>
      </c>
      <c r="B81" s="38">
        <v>6.15</v>
      </c>
      <c r="C81" s="5">
        <v>-10.755000000000001</v>
      </c>
      <c r="D81" s="36">
        <f t="shared" ref="D81" si="402">AVERAGE(C81:C82)</f>
        <v>-8.8269000000000002</v>
      </c>
      <c r="E81" s="35">
        <f t="shared" ref="E81" si="403">-(_xlfn.STDEV.S(C81:C82)/SQRT(2))/D81</f>
        <v>0.21843455799884437</v>
      </c>
      <c r="F81" s="36">
        <f t="shared" ref="F81" si="404">D81/1000</f>
        <v>-8.8269000000000004E-3</v>
      </c>
      <c r="G81" s="36">
        <f t="shared" ref="G81" si="405">(-F81*16*0.2)/(39.58*0.6*0.01*10^-3)</f>
        <v>118.94087923193534</v>
      </c>
      <c r="H81" s="33">
        <f t="shared" ref="H81" si="406">G81/B81</f>
        <v>19.339980362916315</v>
      </c>
      <c r="I81" s="33">
        <f>AVERAGE(H81,H85)</f>
        <v>19.701596558218057</v>
      </c>
      <c r="J81" s="34">
        <f>(_xlfn.STDEV.S(H81,H85)/SQRT(2))/I81</f>
        <v>1.8354664518338466E-2</v>
      </c>
      <c r="K81" s="36">
        <v>9.09</v>
      </c>
      <c r="L81" s="5">
        <v>-14.143000000000001</v>
      </c>
      <c r="M81" s="36">
        <f t="shared" ref="M81" si="407">AVERAGE(L81:L82)</f>
        <v>-14.9345</v>
      </c>
      <c r="N81" s="35">
        <f t="shared" ref="N81" si="408">-(_xlfn.STDEV.S(L81:L82)/SQRT(2))/M81</f>
        <v>5.2998091666945669E-2</v>
      </c>
      <c r="O81" s="36">
        <f t="shared" ref="O81" si="409">M81/1000</f>
        <v>-1.49345E-2</v>
      </c>
      <c r="P81" s="36">
        <f t="shared" ref="P81" si="410">(-O81*16*0.2)/(39.58*0.6*0.01*10^-3)</f>
        <v>201.23968334175512</v>
      </c>
      <c r="Q81" s="33">
        <f t="shared" ref="Q81" si="411">P81/K81</f>
        <v>22.138579025495613</v>
      </c>
      <c r="R81" s="33">
        <f t="shared" si="188"/>
        <v>22.67845315435741</v>
      </c>
      <c r="S81" s="34">
        <f t="shared" ref="S81" si="412">(_xlfn.STDEV.S(Q81:Q86)/SQRT(3))/R81</f>
        <v>2.7060245293613713E-2</v>
      </c>
    </row>
    <row r="82" spans="1:19" x14ac:dyDescent="0.35">
      <c r="A82" s="37"/>
      <c r="B82" s="38"/>
      <c r="C82" s="5">
        <v>-6.8987999999999996</v>
      </c>
      <c r="D82" s="36"/>
      <c r="E82" s="35"/>
      <c r="F82" s="36"/>
      <c r="G82" s="36"/>
      <c r="H82" s="33"/>
      <c r="I82" s="33"/>
      <c r="J82" s="34"/>
      <c r="K82" s="36"/>
      <c r="L82" s="5">
        <v>-15.726000000000001</v>
      </c>
      <c r="M82" s="36"/>
      <c r="N82" s="35"/>
      <c r="O82" s="36"/>
      <c r="P82" s="36"/>
      <c r="Q82" s="33"/>
      <c r="R82" s="33"/>
      <c r="S82" s="34"/>
    </row>
    <row r="83" spans="1:19" x14ac:dyDescent="0.35">
      <c r="A83" s="37">
        <v>41</v>
      </c>
      <c r="B83" s="38">
        <v>7.1549999999999994</v>
      </c>
      <c r="C83" s="5">
        <v>-4.6744000000000003</v>
      </c>
      <c r="D83" s="36">
        <f t="shared" ref="D83" si="413">AVERAGE(C83:C84)</f>
        <v>-5.1094500000000007</v>
      </c>
      <c r="E83" s="35">
        <f t="shared" ref="E83" si="414">-(_xlfn.STDEV.S(C83:C84)/SQRT(2))/D83</f>
        <v>8.5146150759866493E-2</v>
      </c>
      <c r="F83" s="36">
        <f t="shared" ref="F83" si="415">D83/1000</f>
        <v>-5.1094500000000006E-3</v>
      </c>
      <c r="G83" s="36">
        <f t="shared" ref="G83" si="416">(-F83*16*0.2)/(39.58*0.6*0.01*10^-3)</f>
        <v>68.848913592723605</v>
      </c>
      <c r="H83" s="33">
        <f t="shared" ref="H83" si="417">G83/B83</f>
        <v>9.6224896705413858</v>
      </c>
      <c r="I83" s="33"/>
      <c r="J83" s="34"/>
      <c r="K83" s="36">
        <v>9.5400000000000009</v>
      </c>
      <c r="L83" s="5">
        <v>-16.218</v>
      </c>
      <c r="M83" s="36">
        <f t="shared" ref="M83" si="418">AVERAGE(L83:L84)</f>
        <v>-16.923000000000002</v>
      </c>
      <c r="N83" s="35">
        <f t="shared" ref="N83" si="419">-(_xlfn.STDEV.S(L83:L84)/SQRT(2))/M83</f>
        <v>4.1659280269455763E-2</v>
      </c>
      <c r="O83" s="36">
        <f t="shared" ref="O83" si="420">M83/1000</f>
        <v>-1.6923000000000001E-2</v>
      </c>
      <c r="P83" s="36">
        <f t="shared" ref="P83" si="421">(-O83*16*0.2)/(39.58*0.6*0.01*10^-3)</f>
        <v>228.03436078827693</v>
      </c>
      <c r="Q83" s="33">
        <f t="shared" ref="Q83" si="422">P83/K83</f>
        <v>23.902972828959843</v>
      </c>
      <c r="R83" s="33"/>
      <c r="S83" s="34"/>
    </row>
    <row r="84" spans="1:19" x14ac:dyDescent="0.35">
      <c r="A84" s="37"/>
      <c r="B84" s="38"/>
      <c r="C84" s="5">
        <v>-5.5445000000000002</v>
      </c>
      <c r="D84" s="36"/>
      <c r="E84" s="35"/>
      <c r="F84" s="36"/>
      <c r="G84" s="36"/>
      <c r="H84" s="33"/>
      <c r="I84" s="33"/>
      <c r="J84" s="34"/>
      <c r="K84" s="36"/>
      <c r="L84" s="5">
        <v>-17.628</v>
      </c>
      <c r="M84" s="36"/>
      <c r="N84" s="35"/>
      <c r="O84" s="36"/>
      <c r="P84" s="36"/>
      <c r="Q84" s="33"/>
      <c r="R84" s="33"/>
      <c r="S84" s="34"/>
    </row>
    <row r="85" spans="1:19" x14ac:dyDescent="0.35">
      <c r="A85" s="37">
        <v>42</v>
      </c>
      <c r="B85" s="38">
        <v>3.8250000000000002</v>
      </c>
      <c r="C85" s="5">
        <v>-4.782</v>
      </c>
      <c r="D85" s="36">
        <f t="shared" ref="D85" si="423">AVERAGE(C85:C86)</f>
        <v>-5.6951999999999998</v>
      </c>
      <c r="E85" s="35">
        <f t="shared" ref="E85" si="424">-(_xlfn.STDEV.S(C85:C86)/SQRT(2))/D85</f>
        <v>0.16034555415086368</v>
      </c>
      <c r="F85" s="36">
        <f t="shared" ref="F85" si="425">D85/1000</f>
        <v>-5.6952000000000001E-3</v>
      </c>
      <c r="G85" s="36">
        <f t="shared" ref="G85" si="426">(-F85*16*0.2)/(39.58*0.6*0.01*10^-3)</f>
        <v>76.741788782213249</v>
      </c>
      <c r="H85" s="33">
        <f t="shared" ref="H85" si="427">G85/B85</f>
        <v>20.063212753519803</v>
      </c>
      <c r="I85" s="33"/>
      <c r="J85" s="34"/>
      <c r="K85" s="36">
        <v>9.8399999999999981</v>
      </c>
      <c r="L85" s="5">
        <v>-16.027999999999999</v>
      </c>
      <c r="M85" s="36">
        <f t="shared" ref="M85" si="428">AVERAGE(L85:L86)</f>
        <v>-16.061</v>
      </c>
      <c r="N85" s="35">
        <f t="shared" ref="N85" si="429">-(_xlfn.STDEV.S(L85:L86)/SQRT(2))/M85</f>
        <v>2.0546665836499128E-3</v>
      </c>
      <c r="O85" s="36">
        <f t="shared" ref="O85" si="430">M85/1000</f>
        <v>-1.6060999999999999E-2</v>
      </c>
      <c r="P85" s="36">
        <f t="shared" ref="P85" si="431">(-O85*16*0.2)/(39.58*0.6*0.01*10^-3)</f>
        <v>216.41906686878897</v>
      </c>
      <c r="Q85" s="33">
        <f t="shared" ref="Q85" si="432">P85/K85</f>
        <v>21.99380760861677</v>
      </c>
      <c r="R85" s="33"/>
      <c r="S85" s="34"/>
    </row>
    <row r="86" spans="1:19" x14ac:dyDescent="0.35">
      <c r="A86" s="37"/>
      <c r="B86" s="38"/>
      <c r="C86" s="5">
        <v>-6.6083999999999996</v>
      </c>
      <c r="D86" s="36"/>
      <c r="E86" s="35"/>
      <c r="F86" s="36"/>
      <c r="G86" s="36"/>
      <c r="H86" s="33"/>
      <c r="I86" s="33"/>
      <c r="J86" s="34"/>
      <c r="K86" s="36"/>
      <c r="L86" s="5">
        <v>-16.094000000000001</v>
      </c>
      <c r="M86" s="36"/>
      <c r="N86" s="35"/>
      <c r="O86" s="36"/>
      <c r="P86" s="36"/>
      <c r="Q86" s="33"/>
      <c r="R86" s="33"/>
      <c r="S86" s="34"/>
    </row>
    <row r="87" spans="1:19" x14ac:dyDescent="0.35">
      <c r="A87" s="37">
        <v>43</v>
      </c>
      <c r="B87" s="38">
        <v>8.3249999999999993</v>
      </c>
      <c r="C87" s="5">
        <v>-6.3348000000000004</v>
      </c>
      <c r="D87" s="36">
        <f t="shared" ref="D87" si="433">AVERAGE(C87:C88)</f>
        <v>-6.7548000000000004</v>
      </c>
      <c r="E87" s="35">
        <f t="shared" ref="E87" si="434">-(_xlfn.STDEV.S(C87:C88)/SQRT(2))/D87</f>
        <v>6.2178006750754994E-2</v>
      </c>
      <c r="F87" s="36">
        <f t="shared" ref="F87" si="435">D87/1000</f>
        <v>-6.7548E-3</v>
      </c>
      <c r="G87" s="36">
        <f t="shared" ref="G87" si="436">(-F87*16*0.2)/(39.58*0.6*0.01*10^-3)</f>
        <v>91.019706922688229</v>
      </c>
      <c r="H87" s="33">
        <f t="shared" ref="H87" si="437">G87/B87</f>
        <v>10.93329812885144</v>
      </c>
      <c r="I87" s="33">
        <f t="shared" ref="I87" si="438">AVERAGE(H87:H92)</f>
        <v>10.302735774931822</v>
      </c>
      <c r="J87" s="34">
        <f t="shared" ref="J87" si="439">(_xlfn.STDEV.S(H87:H92)/SQRT(3))/I87</f>
        <v>5.2642528544648792E-2</v>
      </c>
      <c r="K87" s="36">
        <v>12.375</v>
      </c>
      <c r="L87" s="5">
        <v>-16.117999999999999</v>
      </c>
      <c r="M87" s="36">
        <f t="shared" ref="M87" si="440">AVERAGE(L87:L88)</f>
        <v>-15.453999999999999</v>
      </c>
      <c r="N87" s="35">
        <f t="shared" ref="N87" si="441">-(_xlfn.STDEV.S(L87:L88)/SQRT(2))/M87</f>
        <v>4.2966222337258941E-2</v>
      </c>
      <c r="O87" s="36">
        <f t="shared" ref="O87" si="442">M87/1000</f>
        <v>-1.5453999999999999E-2</v>
      </c>
      <c r="P87" s="36">
        <f t="shared" ref="P87" si="443">(-O87*16*0.2)/(39.58*0.6*0.01*10^-3)</f>
        <v>208.23985177699174</v>
      </c>
      <c r="Q87" s="33">
        <f t="shared" ref="Q87" si="444">P87/K87</f>
        <v>16.82746276985792</v>
      </c>
      <c r="R87" s="33">
        <f t="shared" si="188"/>
        <v>20.203176013549282</v>
      </c>
      <c r="S87" s="34">
        <f t="shared" ref="S87" si="445">(_xlfn.STDEV.S(Q87:Q92)/SQRT(3))/R87</f>
        <v>9.7047003558358477E-2</v>
      </c>
    </row>
    <row r="88" spans="1:19" x14ac:dyDescent="0.35">
      <c r="A88" s="37"/>
      <c r="B88" s="38"/>
      <c r="C88" s="5">
        <v>-7.1748000000000003</v>
      </c>
      <c r="D88" s="36"/>
      <c r="E88" s="35"/>
      <c r="F88" s="36"/>
      <c r="G88" s="36"/>
      <c r="H88" s="33"/>
      <c r="I88" s="33"/>
      <c r="J88" s="34"/>
      <c r="K88" s="36"/>
      <c r="L88" s="5">
        <v>-14.79</v>
      </c>
      <c r="M88" s="36"/>
      <c r="N88" s="35"/>
      <c r="O88" s="36"/>
      <c r="P88" s="36"/>
      <c r="Q88" s="33"/>
      <c r="R88" s="33"/>
      <c r="S88" s="34"/>
    </row>
    <row r="89" spans="1:19" x14ac:dyDescent="0.35">
      <c r="A89" s="37">
        <v>44</v>
      </c>
      <c r="B89" s="38">
        <v>5.8650000000000002</v>
      </c>
      <c r="C89" s="5">
        <v>-3.911</v>
      </c>
      <c r="D89" s="36">
        <f t="shared" ref="D89" si="446">AVERAGE(C89:C90)</f>
        <v>-4.6798000000000002</v>
      </c>
      <c r="E89" s="35">
        <f t="shared" ref="E89" si="447">-(_xlfn.STDEV.S(C89:C90)/SQRT(2))/D89</f>
        <v>0.16428052480875241</v>
      </c>
      <c r="F89" s="36">
        <f t="shared" ref="F89" si="448">D89/1000</f>
        <v>-4.6798000000000005E-3</v>
      </c>
      <c r="G89" s="36">
        <f t="shared" ref="G89" si="449">(-F89*16*0.2)/(39.58*0.6*0.01*10^-3)</f>
        <v>63.059457638537992</v>
      </c>
      <c r="H89" s="33">
        <f t="shared" ref="H89" si="450">G89/B89</f>
        <v>10.751825684320202</v>
      </c>
      <c r="I89" s="33"/>
      <c r="J89" s="34"/>
      <c r="K89" s="36">
        <v>8.49</v>
      </c>
      <c r="L89" s="5">
        <v>-15.712999999999999</v>
      </c>
      <c r="M89" s="36">
        <f t="shared" ref="M89" si="451">AVERAGE(L89:L90)</f>
        <v>-14.881499999999999</v>
      </c>
      <c r="N89" s="35">
        <f t="shared" ref="N89" si="452">-(_xlfn.STDEV.S(L89:L90)/SQRT(2))/M89</f>
        <v>5.5874743809427758E-2</v>
      </c>
      <c r="O89" s="36">
        <f t="shared" ref="O89" si="453">M89/1000</f>
        <v>-1.4881499999999999E-2</v>
      </c>
      <c r="P89" s="36">
        <f t="shared" ref="P89" si="454">(-O89*16*0.2)/(39.58*0.6*0.01*10^-3)</f>
        <v>200.52551793835272</v>
      </c>
      <c r="Q89" s="33">
        <f t="shared" ref="Q89" si="455">P89/K89</f>
        <v>23.619024492149908</v>
      </c>
      <c r="R89" s="33"/>
      <c r="S89" s="34"/>
    </row>
    <row r="90" spans="1:19" x14ac:dyDescent="0.35">
      <c r="A90" s="37"/>
      <c r="B90" s="38"/>
      <c r="C90" s="5">
        <v>-5.4485999999999999</v>
      </c>
      <c r="D90" s="36"/>
      <c r="E90" s="35"/>
      <c r="F90" s="36"/>
      <c r="G90" s="36"/>
      <c r="H90" s="33"/>
      <c r="I90" s="33"/>
      <c r="J90" s="34"/>
      <c r="K90" s="36"/>
      <c r="L90" s="5">
        <v>-14.05</v>
      </c>
      <c r="M90" s="36"/>
      <c r="N90" s="35"/>
      <c r="O90" s="36"/>
      <c r="P90" s="36"/>
      <c r="Q90" s="33"/>
      <c r="R90" s="33"/>
      <c r="S90" s="34"/>
    </row>
    <row r="91" spans="1:19" x14ac:dyDescent="0.35">
      <c r="A91" s="37">
        <v>45</v>
      </c>
      <c r="B91" s="38">
        <v>6.3450000000000006</v>
      </c>
      <c r="C91" s="5">
        <v>-3.8574999999999999</v>
      </c>
      <c r="D91" s="36">
        <f t="shared" ref="D91" si="456">AVERAGE(C91:C92)</f>
        <v>-4.3429500000000001</v>
      </c>
      <c r="E91" s="35">
        <f t="shared" ref="E91" si="457">-(_xlfn.STDEV.S(C91:C92)/SQRT(2))/D91</f>
        <v>0.11177885999148124</v>
      </c>
      <c r="F91" s="36">
        <f t="shared" ref="F91" si="458">D91/1000</f>
        <v>-4.3429499999999999E-3</v>
      </c>
      <c r="G91" s="36">
        <f t="shared" ref="G91" si="459">(-F91*16*0.2)/(39.58*0.6*0.01*10^-3)</f>
        <v>58.520464881253162</v>
      </c>
      <c r="H91" s="33">
        <f t="shared" ref="H91" si="460">G91/B91</f>
        <v>9.2230835116238232</v>
      </c>
      <c r="I91" s="33"/>
      <c r="J91" s="34"/>
      <c r="K91" s="36">
        <v>10.41</v>
      </c>
      <c r="L91" s="5">
        <v>-16.065999999999999</v>
      </c>
      <c r="M91" s="36">
        <f t="shared" ref="M91" si="461">AVERAGE(L91:L92)</f>
        <v>-15.576999999999998</v>
      </c>
      <c r="N91" s="35">
        <f t="shared" ref="N91" si="462">-(_xlfn.STDEV.S(L91:L92)/SQRT(2))/M91</f>
        <v>3.139243756820953E-2</v>
      </c>
      <c r="O91" s="36">
        <f t="shared" ref="O91" si="463">M91/1000</f>
        <v>-1.5576999999999999E-2</v>
      </c>
      <c r="P91" s="36">
        <f t="shared" ref="P91" si="464">(-O91*16*0.2)/(39.58*0.6*0.01*10^-3)</f>
        <v>209.89725450564259</v>
      </c>
      <c r="Q91" s="33">
        <f t="shared" ref="Q91" si="465">P91/K91</f>
        <v>20.163040778640017</v>
      </c>
      <c r="R91" s="33"/>
      <c r="S91" s="34"/>
    </row>
    <row r="92" spans="1:19" x14ac:dyDescent="0.35">
      <c r="A92" s="37"/>
      <c r="B92" s="38"/>
      <c r="C92" s="5">
        <v>-4.8284000000000002</v>
      </c>
      <c r="D92" s="36"/>
      <c r="E92" s="35"/>
      <c r="F92" s="36"/>
      <c r="G92" s="36"/>
      <c r="H92" s="33"/>
      <c r="I92" s="33"/>
      <c r="J92" s="34"/>
      <c r="K92" s="36"/>
      <c r="L92" s="5">
        <v>-15.087999999999999</v>
      </c>
      <c r="M92" s="36"/>
      <c r="N92" s="35"/>
      <c r="O92" s="36"/>
      <c r="P92" s="36"/>
      <c r="Q92" s="33"/>
      <c r="R92" s="33"/>
      <c r="S92" s="34"/>
    </row>
    <row r="93" spans="1:19" x14ac:dyDescent="0.35">
      <c r="A93" s="37">
        <v>46</v>
      </c>
      <c r="B93" s="38">
        <v>7.9949999999999992</v>
      </c>
      <c r="C93" s="5">
        <v>-8.1611999999999991</v>
      </c>
      <c r="D93" s="36">
        <f t="shared" ref="D93" si="466">AVERAGE(C93:C94)</f>
        <v>-7.2124499999999996</v>
      </c>
      <c r="E93" s="35">
        <f t="shared" ref="E93" si="467">-(_xlfn.STDEV.S(C93:C94)/SQRT(2))/D93</f>
        <v>0.13154337291766313</v>
      </c>
      <c r="F93" s="36">
        <f t="shared" ref="F93" si="468">D93/1000</f>
        <v>-7.2124499999999996E-3</v>
      </c>
      <c r="G93" s="36">
        <f t="shared" ref="G93" si="469">(-F93*16*0.2)/(39.58*0.6*0.01*10^-3)</f>
        <v>97.186457806973223</v>
      </c>
      <c r="H93" s="33">
        <f t="shared" ref="H93" si="470">G93/B93</f>
        <v>12.155904666288084</v>
      </c>
      <c r="I93" s="33">
        <f t="shared" ref="I93" si="471">AVERAGE(H93:H98)</f>
        <v>10.286269122879718</v>
      </c>
      <c r="J93" s="34">
        <f t="shared" ref="J93" si="472">(_xlfn.STDEV.S(H93:H98)/SQRT(3))/I93</f>
        <v>0.14108680201127896</v>
      </c>
      <c r="K93" s="36">
        <v>9.0150000000000006</v>
      </c>
      <c r="L93" s="5">
        <v>-17.184000000000001</v>
      </c>
      <c r="M93" s="36">
        <f t="shared" ref="M93" si="473">AVERAGE(L93:L94)</f>
        <v>-16.806000000000001</v>
      </c>
      <c r="N93" s="35">
        <f t="shared" ref="N93" si="474">-(_xlfn.STDEV.S(L93:L94)/SQRT(2))/M93</f>
        <v>2.2491967154587653E-2</v>
      </c>
      <c r="O93" s="36">
        <f t="shared" ref="O93" si="475">M93/1000</f>
        <v>-1.6806000000000001E-2</v>
      </c>
      <c r="P93" s="36">
        <f t="shared" ref="P93" si="476">(-O93*16*0.2)/(39.58*0.6*0.01*10^-3)</f>
        <v>226.45780697321885</v>
      </c>
      <c r="Q93" s="33">
        <f t="shared" ref="Q93" si="477">P93/K93</f>
        <v>25.12011169974696</v>
      </c>
      <c r="R93" s="33">
        <f t="shared" si="188"/>
        <v>28.888193315616984</v>
      </c>
      <c r="S93" s="34">
        <f t="shared" ref="S93" si="478">(_xlfn.STDEV.S(Q93:Q98)/SQRT(3))/R93</f>
        <v>7.0832453163093639E-2</v>
      </c>
    </row>
    <row r="94" spans="1:19" x14ac:dyDescent="0.35">
      <c r="A94" s="37"/>
      <c r="B94" s="38"/>
      <c r="C94" s="5">
        <v>-6.2637</v>
      </c>
      <c r="D94" s="36"/>
      <c r="E94" s="35"/>
      <c r="F94" s="36"/>
      <c r="G94" s="36"/>
      <c r="H94" s="33"/>
      <c r="I94" s="33"/>
      <c r="J94" s="34"/>
      <c r="K94" s="36"/>
      <c r="L94" s="5">
        <v>-16.428000000000001</v>
      </c>
      <c r="M94" s="36"/>
      <c r="N94" s="35"/>
      <c r="O94" s="36"/>
      <c r="P94" s="36"/>
      <c r="Q94" s="33"/>
      <c r="R94" s="33"/>
      <c r="S94" s="34"/>
    </row>
    <row r="95" spans="1:19" x14ac:dyDescent="0.35">
      <c r="A95" s="37">
        <v>47</v>
      </c>
      <c r="B95" s="38">
        <v>6.0600000000000005</v>
      </c>
      <c r="C95" s="5">
        <v>-5.1330999999999998</v>
      </c>
      <c r="D95" s="36">
        <f t="shared" ref="D95" si="479">AVERAGE(C95:C96)</f>
        <v>-5.0702999999999996</v>
      </c>
      <c r="E95" s="35">
        <f t="shared" ref="E95" si="480">-(_xlfn.STDEV.S(C95:C96)/SQRT(2))/D95</f>
        <v>1.238585488038178E-2</v>
      </c>
      <c r="F95" s="36">
        <f t="shared" ref="F95" si="481">D95/1000</f>
        <v>-5.0702999999999998E-3</v>
      </c>
      <c r="G95" s="36">
        <f t="shared" ref="G95" si="482">(-F95*16*0.2)/(39.58*0.6*0.01*10^-3)</f>
        <v>68.321374431531083</v>
      </c>
      <c r="H95" s="33">
        <f t="shared" ref="H95" si="483">G95/B95</f>
        <v>11.274154196622289</v>
      </c>
      <c r="I95" s="33"/>
      <c r="J95" s="34"/>
      <c r="K95" s="36">
        <v>7.26</v>
      </c>
      <c r="L95" s="5">
        <v>-16.170999999999999</v>
      </c>
      <c r="M95" s="36">
        <f t="shared" ref="M95" si="484">AVERAGE(L95:L96)</f>
        <v>-15.834499999999998</v>
      </c>
      <c r="N95" s="35">
        <f t="shared" ref="N95" si="485">-(_xlfn.STDEV.S(L95:L96)/SQRT(2))/M95</f>
        <v>2.1251065710947613E-2</v>
      </c>
      <c r="O95" s="36">
        <f t="shared" ref="O95" si="486">M95/1000</f>
        <v>-1.5834499999999998E-2</v>
      </c>
      <c r="P95" s="36">
        <f t="shared" ref="P95" si="487">(-O95*16*0.2)/(39.58*0.6*0.01*10^-3)</f>
        <v>213.36702038066363</v>
      </c>
      <c r="Q95" s="33">
        <f t="shared" ref="Q95" si="488">P95/K95</f>
        <v>29.389396746647883</v>
      </c>
      <c r="R95" s="33"/>
      <c r="S95" s="34"/>
    </row>
    <row r="96" spans="1:19" x14ac:dyDescent="0.35">
      <c r="A96" s="37"/>
      <c r="B96" s="38"/>
      <c r="C96" s="5">
        <v>-5.0075000000000003</v>
      </c>
      <c r="D96" s="36"/>
      <c r="E96" s="35"/>
      <c r="F96" s="36"/>
      <c r="G96" s="36"/>
      <c r="H96" s="33"/>
      <c r="I96" s="33"/>
      <c r="J96" s="34"/>
      <c r="K96" s="36"/>
      <c r="L96" s="5">
        <v>-15.497999999999999</v>
      </c>
      <c r="M96" s="36"/>
      <c r="N96" s="35"/>
      <c r="O96" s="36"/>
      <c r="P96" s="36"/>
      <c r="Q96" s="33"/>
      <c r="R96" s="33"/>
      <c r="S96" s="34"/>
    </row>
    <row r="97" spans="1:19" x14ac:dyDescent="0.35">
      <c r="A97" s="37">
        <v>48</v>
      </c>
      <c r="B97" s="38">
        <v>6.585</v>
      </c>
      <c r="C97" s="5">
        <v>-1.7195</v>
      </c>
      <c r="D97" s="36">
        <f t="shared" ref="D97" si="489">AVERAGE(C97:C98)</f>
        <v>-3.63035</v>
      </c>
      <c r="E97" s="35">
        <f t="shared" ref="E97" si="490">-(_xlfn.STDEV.S(C97:C98)/SQRT(2))/D97</f>
        <v>0.5263542082719298</v>
      </c>
      <c r="F97" s="36">
        <f t="shared" ref="F97" si="491">D97/1000</f>
        <v>-3.6303500000000001E-3</v>
      </c>
      <c r="G97" s="36">
        <f t="shared" ref="G97" si="492">(-F97*16*0.2)/(39.58*0.6*0.01*10^-3)</f>
        <v>48.918308910224027</v>
      </c>
      <c r="H97" s="33">
        <f t="shared" ref="H97" si="493">G97/B97</f>
        <v>7.4287485057287821</v>
      </c>
      <c r="I97" s="33"/>
      <c r="J97" s="34"/>
      <c r="K97" s="36">
        <v>6.9750000000000005</v>
      </c>
      <c r="L97" s="5">
        <v>-16.247</v>
      </c>
      <c r="M97" s="36">
        <f t="shared" ref="M97" si="494">AVERAGE(L97:L98)</f>
        <v>-16.644500000000001</v>
      </c>
      <c r="N97" s="35">
        <f t="shared" ref="N97" si="495">-(_xlfn.STDEV.S(L97:L98)/SQRT(2))/M97</f>
        <v>2.3881762744450166E-2</v>
      </c>
      <c r="O97" s="36">
        <f t="shared" ref="O97" si="496">M97/1000</f>
        <v>-1.66445E-2</v>
      </c>
      <c r="P97" s="36">
        <f t="shared" ref="P97" si="497">(-O97*16*0.2)/(39.58*0.6*0.01*10^-3)</f>
        <v>224.28162371568135</v>
      </c>
      <c r="Q97" s="33">
        <f t="shared" ref="Q97" si="498">P97/K97</f>
        <v>32.155071500456103</v>
      </c>
      <c r="R97" s="33"/>
      <c r="S97" s="34"/>
    </row>
    <row r="98" spans="1:19" x14ac:dyDescent="0.35">
      <c r="A98" s="37"/>
      <c r="B98" s="38"/>
      <c r="C98" s="5">
        <v>-5.5411999999999999</v>
      </c>
      <c r="D98" s="36"/>
      <c r="E98" s="35"/>
      <c r="F98" s="36"/>
      <c r="G98" s="36"/>
      <c r="H98" s="33"/>
      <c r="I98" s="33"/>
      <c r="J98" s="34"/>
      <c r="K98" s="36"/>
      <c r="L98" s="5">
        <v>-17.042000000000002</v>
      </c>
      <c r="M98" s="36"/>
      <c r="N98" s="35"/>
      <c r="O98" s="36"/>
      <c r="P98" s="36"/>
      <c r="Q98" s="33"/>
      <c r="R98" s="33"/>
      <c r="S98" s="34"/>
    </row>
    <row r="99" spans="1:19" x14ac:dyDescent="0.35">
      <c r="A99" s="37">
        <v>49</v>
      </c>
      <c r="B99" s="38">
        <v>7.1849999999999996</v>
      </c>
      <c r="C99" s="5">
        <v>-11.522</v>
      </c>
      <c r="D99" s="36">
        <f t="shared" ref="D99" si="499">AVERAGE(C99:C100)</f>
        <v>-14.9255</v>
      </c>
      <c r="E99" s="35">
        <f t="shared" ref="E99" si="500">-(_xlfn.STDEV.S(C99:C100)/SQRT(2))/D99</f>
        <v>0.22803256172322556</v>
      </c>
      <c r="F99" s="36">
        <f t="shared" ref="F99" si="501">D99/1000</f>
        <v>-1.49255E-2</v>
      </c>
      <c r="G99" s="36">
        <f t="shared" ref="G99" si="502">(-F99*16*0.2)/(39.58*0.6*0.01*10^-3)</f>
        <v>201.11840997136602</v>
      </c>
      <c r="H99" s="33">
        <f t="shared" ref="H99" si="503">G99/B99</f>
        <v>27.991427970962565</v>
      </c>
      <c r="I99" s="33">
        <f t="shared" ref="I99" si="504">AVERAGE(H99:H104)</f>
        <v>32.98630984332064</v>
      </c>
      <c r="J99" s="34">
        <f t="shared" ref="J99" si="505">(_xlfn.STDEV.S(H99:H104)/SQRT(3))/I99</f>
        <v>0.12111185667081209</v>
      </c>
      <c r="K99" s="36">
        <v>7.7925000000000013</v>
      </c>
      <c r="L99" s="5">
        <v>-18.437999999999999</v>
      </c>
      <c r="M99" s="36">
        <f t="shared" ref="M99" si="506">AVERAGE(L99:L100)</f>
        <v>-18.223500000000001</v>
      </c>
      <c r="N99" s="35">
        <f t="shared" ref="N99" si="507">-(_xlfn.STDEV.S(L99:L100)/SQRT(2))/M99</f>
        <v>1.1770516091859371E-2</v>
      </c>
      <c r="O99" s="36">
        <f t="shared" ref="O99" si="508">M99/1000</f>
        <v>-1.82235E-2</v>
      </c>
      <c r="P99" s="36">
        <f t="shared" ref="P99" si="509">(-O99*16*0.2)/(39.58*0.6*0.01*10^-3)</f>
        <v>245.55836280949978</v>
      </c>
      <c r="Q99" s="33">
        <f t="shared" ref="Q99" si="510">P99/K99</f>
        <v>31.512141521912064</v>
      </c>
      <c r="R99" s="33">
        <f t="shared" si="188"/>
        <v>31.237933262642017</v>
      </c>
      <c r="S99" s="34">
        <f t="shared" ref="S99" si="511">(_xlfn.STDEV.S(Q99:Q104)/SQRT(3))/R99</f>
        <v>8.9497334125211679E-3</v>
      </c>
    </row>
    <row r="100" spans="1:19" x14ac:dyDescent="0.35">
      <c r="A100" s="37"/>
      <c r="B100" s="38"/>
      <c r="C100" s="5">
        <v>-18.329000000000001</v>
      </c>
      <c r="D100" s="36"/>
      <c r="E100" s="35"/>
      <c r="F100" s="36"/>
      <c r="G100" s="36"/>
      <c r="H100" s="33"/>
      <c r="I100" s="33"/>
      <c r="J100" s="34"/>
      <c r="K100" s="36"/>
      <c r="L100" s="5">
        <v>-18.009</v>
      </c>
      <c r="M100" s="36"/>
      <c r="N100" s="35"/>
      <c r="O100" s="36"/>
      <c r="P100" s="36"/>
      <c r="Q100" s="33"/>
      <c r="R100" s="33"/>
      <c r="S100" s="34"/>
    </row>
    <row r="101" spans="1:19" x14ac:dyDescent="0.35">
      <c r="A101" s="37">
        <v>50</v>
      </c>
      <c r="B101" s="38">
        <v>4.9050000000000002</v>
      </c>
      <c r="C101" s="5">
        <v>-17.652000000000001</v>
      </c>
      <c r="D101" s="36">
        <f t="shared" ref="D101" si="512">AVERAGE(C101:C102)</f>
        <v>-14.8825</v>
      </c>
      <c r="E101" s="35">
        <f t="shared" ref="E101" si="513">-(_xlfn.STDEV.S(C101:C102)/SQRT(2))/D101</f>
        <v>0.18609104653116074</v>
      </c>
      <c r="F101" s="36">
        <f t="shared" ref="F101" si="514">D101/1000</f>
        <v>-1.48825E-2</v>
      </c>
      <c r="G101" s="36">
        <f t="shared" ref="G101" si="515">(-F101*16*0.2)/(39.58*0.6*0.01*10^-3)</f>
        <v>200.53899275728483</v>
      </c>
      <c r="H101" s="33">
        <f t="shared" ref="H101" si="516">G101/B101</f>
        <v>40.884606066724736</v>
      </c>
      <c r="I101" s="33"/>
      <c r="J101" s="34"/>
      <c r="K101" s="36">
        <v>7.8825000000000012</v>
      </c>
      <c r="L101" s="5">
        <v>-17.760000000000002</v>
      </c>
      <c r="M101" s="36">
        <f t="shared" ref="M101" si="517">AVERAGE(L101:L102)</f>
        <v>-17.9465</v>
      </c>
      <c r="N101" s="35">
        <f t="shared" ref="N101" si="518">-(_xlfn.STDEV.S(L101:L102)/SQRT(2))/M101</f>
        <v>1.0391998439807135E-2</v>
      </c>
      <c r="O101" s="36">
        <f t="shared" ref="O101" si="519">M101/1000</f>
        <v>-1.7946500000000001E-2</v>
      </c>
      <c r="P101" s="36">
        <f t="shared" ref="P101" si="520">(-O101*16*0.2)/(39.58*0.6*0.01*10^-3)</f>
        <v>241.82583796530236</v>
      </c>
      <c r="Q101" s="33">
        <f t="shared" ref="Q101" si="521">P101/K101</f>
        <v>30.678824987669181</v>
      </c>
      <c r="R101" s="33"/>
      <c r="S101" s="34"/>
    </row>
    <row r="102" spans="1:19" x14ac:dyDescent="0.35">
      <c r="A102" s="37"/>
      <c r="B102" s="38"/>
      <c r="C102" s="5">
        <v>-12.113</v>
      </c>
      <c r="D102" s="36"/>
      <c r="E102" s="35"/>
      <c r="F102" s="36"/>
      <c r="G102" s="36"/>
      <c r="H102" s="33"/>
      <c r="I102" s="33"/>
      <c r="J102" s="34"/>
      <c r="K102" s="36"/>
      <c r="L102" s="5">
        <v>-18.132999999999999</v>
      </c>
      <c r="M102" s="36"/>
      <c r="N102" s="35"/>
      <c r="O102" s="36"/>
      <c r="P102" s="36"/>
      <c r="Q102" s="33"/>
      <c r="R102" s="33"/>
      <c r="S102" s="34"/>
    </row>
    <row r="103" spans="1:19" x14ac:dyDescent="0.35">
      <c r="A103" s="37">
        <v>51</v>
      </c>
      <c r="B103" s="38">
        <v>5.58</v>
      </c>
      <c r="C103" s="5">
        <v>-11.691000000000001</v>
      </c>
      <c r="D103" s="36">
        <f t="shared" ref="D103" si="522">AVERAGE(C103:C104)</f>
        <v>-12.4575</v>
      </c>
      <c r="E103" s="35">
        <f t="shared" ref="E103" si="523">-(_xlfn.STDEV.S(C103:C104)/SQRT(2))/D103</f>
        <v>6.1529199277543627E-2</v>
      </c>
      <c r="F103" s="36">
        <f t="shared" ref="F103" si="524">D103/1000</f>
        <v>-1.24575E-2</v>
      </c>
      <c r="G103" s="36">
        <f t="shared" ref="G103" si="525">(-F103*16*0.2)/(39.58*0.6*0.01*10^-3)</f>
        <v>167.8625568468924</v>
      </c>
      <c r="H103" s="33">
        <f t="shared" ref="H103" si="526">G103/B103</f>
        <v>30.082895492274623</v>
      </c>
      <c r="I103" s="33"/>
      <c r="J103" s="34"/>
      <c r="K103" s="38">
        <v>8.01</v>
      </c>
      <c r="L103" s="5">
        <v>-19.129000000000001</v>
      </c>
      <c r="M103" s="36">
        <f t="shared" ref="M103" si="527">AVERAGE(L103:L104)</f>
        <v>-18.738500000000002</v>
      </c>
      <c r="N103" s="35">
        <f t="shared" ref="N103" si="528">-(_xlfn.STDEV.S(L103:L104)/SQRT(2))/M103</f>
        <v>2.0839448194892925E-2</v>
      </c>
      <c r="O103" s="36">
        <f t="shared" ref="O103" si="529">M103/1000</f>
        <v>-1.8738500000000002E-2</v>
      </c>
      <c r="P103" s="36">
        <f t="shared" ref="P103" si="530">(-O103*16*0.2)/(39.58*0.6*0.01*10^-3)</f>
        <v>252.49789455954192</v>
      </c>
      <c r="Q103" s="33">
        <f t="shared" ref="Q103" si="531">P103/K103</f>
        <v>31.522833278344809</v>
      </c>
      <c r="R103" s="33"/>
      <c r="S103" s="34"/>
    </row>
    <row r="104" spans="1:19" x14ac:dyDescent="0.35">
      <c r="A104" s="37"/>
      <c r="B104" s="38"/>
      <c r="C104" s="5">
        <v>-13.224</v>
      </c>
      <c r="D104" s="36"/>
      <c r="E104" s="35"/>
      <c r="F104" s="36"/>
      <c r="G104" s="36"/>
      <c r="H104" s="33"/>
      <c r="I104" s="33"/>
      <c r="J104" s="34"/>
      <c r="K104" s="38"/>
      <c r="L104" s="5">
        <v>-18.347999999999999</v>
      </c>
      <c r="M104" s="36"/>
      <c r="N104" s="35"/>
      <c r="O104" s="36"/>
      <c r="P104" s="36"/>
      <c r="Q104" s="33"/>
      <c r="R104" s="33"/>
      <c r="S104" s="34"/>
    </row>
    <row r="105" spans="1:19" x14ac:dyDescent="0.35">
      <c r="I105" s="14"/>
      <c r="J105" s="14"/>
    </row>
    <row r="106" spans="1:19" x14ac:dyDescent="0.35">
      <c r="I106" s="14"/>
      <c r="J106" s="14"/>
      <c r="R106" s="14"/>
    </row>
    <row r="107" spans="1:19" x14ac:dyDescent="0.35">
      <c r="I107" s="14"/>
      <c r="J107" s="14"/>
    </row>
    <row r="108" spans="1:19" x14ac:dyDescent="0.35">
      <c r="I108" s="14"/>
      <c r="J108" s="14"/>
    </row>
    <row r="109" spans="1:19" x14ac:dyDescent="0.35">
      <c r="I109" s="14"/>
      <c r="J109" s="14"/>
    </row>
    <row r="110" spans="1:19" x14ac:dyDescent="0.35">
      <c r="I110" s="14"/>
      <c r="J110" s="14"/>
    </row>
  </sheetData>
  <mergeCells count="725">
    <mergeCell ref="Q101:Q102"/>
    <mergeCell ref="Q103:Q104"/>
    <mergeCell ref="Q89:Q90"/>
    <mergeCell ref="Q91:Q92"/>
    <mergeCell ref="Q93:Q94"/>
    <mergeCell ref="Q95:Q96"/>
    <mergeCell ref="Q97:Q98"/>
    <mergeCell ref="Q99:Q100"/>
    <mergeCell ref="Q77:Q78"/>
    <mergeCell ref="Q79:Q80"/>
    <mergeCell ref="Q81:Q82"/>
    <mergeCell ref="Q83:Q84"/>
    <mergeCell ref="Q85:Q86"/>
    <mergeCell ref="Q87:Q88"/>
    <mergeCell ref="Q65:Q66"/>
    <mergeCell ref="Q67:Q68"/>
    <mergeCell ref="Q69:Q70"/>
    <mergeCell ref="Q71:Q72"/>
    <mergeCell ref="Q73:Q74"/>
    <mergeCell ref="Q75:Q76"/>
    <mergeCell ref="Q53:Q54"/>
    <mergeCell ref="Q55:Q56"/>
    <mergeCell ref="Q57:Q58"/>
    <mergeCell ref="Q59:Q60"/>
    <mergeCell ref="Q61:Q62"/>
    <mergeCell ref="Q63:Q64"/>
    <mergeCell ref="Q45:Q46"/>
    <mergeCell ref="Q47:Q48"/>
    <mergeCell ref="Q49:Q50"/>
    <mergeCell ref="Q51:Q52"/>
    <mergeCell ref="Q29:Q30"/>
    <mergeCell ref="Q31:Q32"/>
    <mergeCell ref="Q33:Q34"/>
    <mergeCell ref="Q35:Q36"/>
    <mergeCell ref="Q37:Q38"/>
    <mergeCell ref="Q39:Q40"/>
    <mergeCell ref="Q21:Q22"/>
    <mergeCell ref="Q23:Q24"/>
    <mergeCell ref="Q25:Q26"/>
    <mergeCell ref="Q27:Q28"/>
    <mergeCell ref="H99:H100"/>
    <mergeCell ref="H101:H102"/>
    <mergeCell ref="H103:H104"/>
    <mergeCell ref="H91:H92"/>
    <mergeCell ref="H93:H94"/>
    <mergeCell ref="H95:H96"/>
    <mergeCell ref="H97:H98"/>
    <mergeCell ref="H57:H58"/>
    <mergeCell ref="H59:H60"/>
    <mergeCell ref="H61:H62"/>
    <mergeCell ref="H39:H40"/>
    <mergeCell ref="H41:H42"/>
    <mergeCell ref="H43:H44"/>
    <mergeCell ref="H45:H46"/>
    <mergeCell ref="H47:H48"/>
    <mergeCell ref="H49:H50"/>
    <mergeCell ref="H27:H28"/>
    <mergeCell ref="H29:H30"/>
    <mergeCell ref="Q41:Q42"/>
    <mergeCell ref="Q43:Q44"/>
    <mergeCell ref="Q7:Q8"/>
    <mergeCell ref="Q9:Q10"/>
    <mergeCell ref="Q11:Q12"/>
    <mergeCell ref="Q13:Q14"/>
    <mergeCell ref="Q15:Q16"/>
    <mergeCell ref="H87:H88"/>
    <mergeCell ref="H89:H90"/>
    <mergeCell ref="H75:H76"/>
    <mergeCell ref="H77:H78"/>
    <mergeCell ref="H79:H80"/>
    <mergeCell ref="H81:H82"/>
    <mergeCell ref="H83:H84"/>
    <mergeCell ref="H85:H86"/>
    <mergeCell ref="H63:H64"/>
    <mergeCell ref="H65:H66"/>
    <mergeCell ref="H67:H68"/>
    <mergeCell ref="H69:H70"/>
    <mergeCell ref="H71:H72"/>
    <mergeCell ref="H73:H74"/>
    <mergeCell ref="H51:H52"/>
    <mergeCell ref="H53:H54"/>
    <mergeCell ref="H55:H56"/>
    <mergeCell ref="Q17:Q18"/>
    <mergeCell ref="Q19:Q20"/>
    <mergeCell ref="P97:P98"/>
    <mergeCell ref="P99:P100"/>
    <mergeCell ref="P101:P102"/>
    <mergeCell ref="P103:P104"/>
    <mergeCell ref="H3:H4"/>
    <mergeCell ref="H5:H6"/>
    <mergeCell ref="H7:H8"/>
    <mergeCell ref="H9:H10"/>
    <mergeCell ref="H11:H12"/>
    <mergeCell ref="H13:H14"/>
    <mergeCell ref="P85:P86"/>
    <mergeCell ref="P87:P88"/>
    <mergeCell ref="P89:P90"/>
    <mergeCell ref="P91:P92"/>
    <mergeCell ref="P93:P94"/>
    <mergeCell ref="P95:P96"/>
    <mergeCell ref="P73:P74"/>
    <mergeCell ref="P75:P76"/>
    <mergeCell ref="P77:P78"/>
    <mergeCell ref="P79:P80"/>
    <mergeCell ref="P81:P82"/>
    <mergeCell ref="P83:P84"/>
    <mergeCell ref="P61:P62"/>
    <mergeCell ref="P63:P64"/>
    <mergeCell ref="P65:P66"/>
    <mergeCell ref="P67:P68"/>
    <mergeCell ref="P69:P70"/>
    <mergeCell ref="P71:P72"/>
    <mergeCell ref="P49:P50"/>
    <mergeCell ref="P51:P52"/>
    <mergeCell ref="P53:P54"/>
    <mergeCell ref="P55:P56"/>
    <mergeCell ref="P57:P58"/>
    <mergeCell ref="P59:P60"/>
    <mergeCell ref="P39:P40"/>
    <mergeCell ref="P41:P42"/>
    <mergeCell ref="P43:P44"/>
    <mergeCell ref="P45:P46"/>
    <mergeCell ref="P47:P48"/>
    <mergeCell ref="P25:P26"/>
    <mergeCell ref="P27:P28"/>
    <mergeCell ref="P29:P30"/>
    <mergeCell ref="P31:P32"/>
    <mergeCell ref="P33:P34"/>
    <mergeCell ref="P35:P36"/>
    <mergeCell ref="P15:P16"/>
    <mergeCell ref="P17:P18"/>
    <mergeCell ref="P19:P20"/>
    <mergeCell ref="P21:P22"/>
    <mergeCell ref="P23:P24"/>
    <mergeCell ref="K81:K82"/>
    <mergeCell ref="K83:K84"/>
    <mergeCell ref="K85:K86"/>
    <mergeCell ref="K75:K76"/>
    <mergeCell ref="K77:K78"/>
    <mergeCell ref="K79:K80"/>
    <mergeCell ref="K63:K64"/>
    <mergeCell ref="K65:K66"/>
    <mergeCell ref="K67:K68"/>
    <mergeCell ref="K69:K70"/>
    <mergeCell ref="K71:K72"/>
    <mergeCell ref="K73:K74"/>
    <mergeCell ref="K51:K52"/>
    <mergeCell ref="K53:K54"/>
    <mergeCell ref="K55:K56"/>
    <mergeCell ref="K57:K58"/>
    <mergeCell ref="K59:K60"/>
    <mergeCell ref="K61:K62"/>
    <mergeCell ref="P37:P38"/>
    <mergeCell ref="P7:P8"/>
    <mergeCell ref="P9:P10"/>
    <mergeCell ref="P11:P12"/>
    <mergeCell ref="B3:B4"/>
    <mergeCell ref="B5:B6"/>
    <mergeCell ref="B7:B8"/>
    <mergeCell ref="B9:B10"/>
    <mergeCell ref="B11:B12"/>
    <mergeCell ref="P13:P14"/>
    <mergeCell ref="F7:F8"/>
    <mergeCell ref="F9:F10"/>
    <mergeCell ref="G7:G8"/>
    <mergeCell ref="G9:G10"/>
    <mergeCell ref="B101:B102"/>
    <mergeCell ref="B103:B104"/>
    <mergeCell ref="B89:B90"/>
    <mergeCell ref="B91:B92"/>
    <mergeCell ref="B93:B94"/>
    <mergeCell ref="B95:B96"/>
    <mergeCell ref="B97:B98"/>
    <mergeCell ref="B99:B100"/>
    <mergeCell ref="B77:B78"/>
    <mergeCell ref="B79:B80"/>
    <mergeCell ref="B81:B82"/>
    <mergeCell ref="B83:B84"/>
    <mergeCell ref="B85:B86"/>
    <mergeCell ref="B87:B88"/>
    <mergeCell ref="K99:K100"/>
    <mergeCell ref="K101:K102"/>
    <mergeCell ref="K103:K104"/>
    <mergeCell ref="K87:K88"/>
    <mergeCell ref="K89:K90"/>
    <mergeCell ref="K91:K92"/>
    <mergeCell ref="K93:K94"/>
    <mergeCell ref="K95:K96"/>
    <mergeCell ref="K97:K98"/>
    <mergeCell ref="G99:G100"/>
    <mergeCell ref="G101:G102"/>
    <mergeCell ref="G71:G72"/>
    <mergeCell ref="G49:G50"/>
    <mergeCell ref="G51:G52"/>
    <mergeCell ref="G53:G54"/>
    <mergeCell ref="G55:G56"/>
    <mergeCell ref="G57:G58"/>
    <mergeCell ref="G59:G60"/>
    <mergeCell ref="G103:G104"/>
    <mergeCell ref="K3:K4"/>
    <mergeCell ref="K5:K6"/>
    <mergeCell ref="K7:K8"/>
    <mergeCell ref="K9:K10"/>
    <mergeCell ref="K11:K12"/>
    <mergeCell ref="K13:K14"/>
    <mergeCell ref="G85:G86"/>
    <mergeCell ref="G87:G88"/>
    <mergeCell ref="G89:G90"/>
    <mergeCell ref="G91:G92"/>
    <mergeCell ref="G93:G94"/>
    <mergeCell ref="G95:G96"/>
    <mergeCell ref="G73:G74"/>
    <mergeCell ref="G75:G76"/>
    <mergeCell ref="G77:G78"/>
    <mergeCell ref="G79:G80"/>
    <mergeCell ref="G81:G82"/>
    <mergeCell ref="G83:G84"/>
    <mergeCell ref="G61:G62"/>
    <mergeCell ref="G63:G64"/>
    <mergeCell ref="G65:G66"/>
    <mergeCell ref="G67:G68"/>
    <mergeCell ref="G69:G70"/>
    <mergeCell ref="O93:O94"/>
    <mergeCell ref="O95:O96"/>
    <mergeCell ref="O97:O98"/>
    <mergeCell ref="O99:O100"/>
    <mergeCell ref="O101:O102"/>
    <mergeCell ref="O103:O104"/>
    <mergeCell ref="O81:O82"/>
    <mergeCell ref="O83:O84"/>
    <mergeCell ref="O85:O86"/>
    <mergeCell ref="O87:O88"/>
    <mergeCell ref="O89:O90"/>
    <mergeCell ref="O91:O92"/>
    <mergeCell ref="O69:O70"/>
    <mergeCell ref="O71:O72"/>
    <mergeCell ref="O73:O74"/>
    <mergeCell ref="O75:O76"/>
    <mergeCell ref="O77:O78"/>
    <mergeCell ref="O79:O80"/>
    <mergeCell ref="O57:O58"/>
    <mergeCell ref="O59:O60"/>
    <mergeCell ref="O61:O62"/>
    <mergeCell ref="O63:O64"/>
    <mergeCell ref="O65:O66"/>
    <mergeCell ref="O67:O68"/>
    <mergeCell ref="O45:O46"/>
    <mergeCell ref="O47:O48"/>
    <mergeCell ref="O49:O50"/>
    <mergeCell ref="O51:O52"/>
    <mergeCell ref="O53:O54"/>
    <mergeCell ref="O55:O56"/>
    <mergeCell ref="O33:O34"/>
    <mergeCell ref="O35:O36"/>
    <mergeCell ref="O37:O38"/>
    <mergeCell ref="O39:O40"/>
    <mergeCell ref="O41:O42"/>
    <mergeCell ref="O43:O44"/>
    <mergeCell ref="O21:O22"/>
    <mergeCell ref="O23:O24"/>
    <mergeCell ref="O25:O26"/>
    <mergeCell ref="O27:O28"/>
    <mergeCell ref="O29:O30"/>
    <mergeCell ref="O31:O32"/>
    <mergeCell ref="F103:F104"/>
    <mergeCell ref="O3:O4"/>
    <mergeCell ref="O5:O6"/>
    <mergeCell ref="O7:O8"/>
    <mergeCell ref="O9:O10"/>
    <mergeCell ref="O11:O12"/>
    <mergeCell ref="O13:O14"/>
    <mergeCell ref="O15:O16"/>
    <mergeCell ref="O17:O18"/>
    <mergeCell ref="O19:O20"/>
    <mergeCell ref="N93:N94"/>
    <mergeCell ref="N95:N96"/>
    <mergeCell ref="N97:N98"/>
    <mergeCell ref="N99:N100"/>
    <mergeCell ref="N101:N102"/>
    <mergeCell ref="N103:N104"/>
    <mergeCell ref="N81:N82"/>
    <mergeCell ref="N83:N84"/>
    <mergeCell ref="N85:N86"/>
    <mergeCell ref="N87:N88"/>
    <mergeCell ref="N89:N90"/>
    <mergeCell ref="N91:N92"/>
    <mergeCell ref="N69:N70"/>
    <mergeCell ref="N71:N72"/>
    <mergeCell ref="N73:N74"/>
    <mergeCell ref="N75:N76"/>
    <mergeCell ref="N77:N78"/>
    <mergeCell ref="N79:N80"/>
    <mergeCell ref="N31:N32"/>
    <mergeCell ref="N57:N58"/>
    <mergeCell ref="N59:N60"/>
    <mergeCell ref="N61:N62"/>
    <mergeCell ref="N63:N64"/>
    <mergeCell ref="N65:N66"/>
    <mergeCell ref="N67:N68"/>
    <mergeCell ref="N45:N46"/>
    <mergeCell ref="N47:N48"/>
    <mergeCell ref="N49:N50"/>
    <mergeCell ref="N51:N52"/>
    <mergeCell ref="N53:N54"/>
    <mergeCell ref="N55:N56"/>
    <mergeCell ref="E103:E104"/>
    <mergeCell ref="N3:N4"/>
    <mergeCell ref="N5:N6"/>
    <mergeCell ref="N7:N8"/>
    <mergeCell ref="N9:N10"/>
    <mergeCell ref="N11:N12"/>
    <mergeCell ref="N13:N14"/>
    <mergeCell ref="N15:N16"/>
    <mergeCell ref="N17:N18"/>
    <mergeCell ref="N19:N20"/>
    <mergeCell ref="E95:E96"/>
    <mergeCell ref="E97:E98"/>
    <mergeCell ref="F95:F96"/>
    <mergeCell ref="F97:F98"/>
    <mergeCell ref="N33:N34"/>
    <mergeCell ref="N35:N36"/>
    <mergeCell ref="N37:N38"/>
    <mergeCell ref="N39:N40"/>
    <mergeCell ref="N41:N42"/>
    <mergeCell ref="N43:N44"/>
    <mergeCell ref="N21:N22"/>
    <mergeCell ref="N23:N24"/>
    <mergeCell ref="N25:N26"/>
    <mergeCell ref="N27:N28"/>
    <mergeCell ref="A103:A104"/>
    <mergeCell ref="D103:D104"/>
    <mergeCell ref="M103:M104"/>
    <mergeCell ref="E3:E4"/>
    <mergeCell ref="E5:E6"/>
    <mergeCell ref="E7:E8"/>
    <mergeCell ref="E9:E10"/>
    <mergeCell ref="E11:E12"/>
    <mergeCell ref="A99:A100"/>
    <mergeCell ref="D99:D100"/>
    <mergeCell ref="M99:M100"/>
    <mergeCell ref="A101:A102"/>
    <mergeCell ref="D101:D102"/>
    <mergeCell ref="M101:M102"/>
    <mergeCell ref="E99:E100"/>
    <mergeCell ref="E101:E102"/>
    <mergeCell ref="F99:F100"/>
    <mergeCell ref="F101:F102"/>
    <mergeCell ref="A95:A96"/>
    <mergeCell ref="D95:D96"/>
    <mergeCell ref="M95:M96"/>
    <mergeCell ref="A97:A98"/>
    <mergeCell ref="D97:D98"/>
    <mergeCell ref="M97:M98"/>
    <mergeCell ref="A93:A94"/>
    <mergeCell ref="D93:D94"/>
    <mergeCell ref="M93:M94"/>
    <mergeCell ref="E91:E92"/>
    <mergeCell ref="E93:E94"/>
    <mergeCell ref="F91:F92"/>
    <mergeCell ref="F93:F94"/>
    <mergeCell ref="I93:I98"/>
    <mergeCell ref="J93:J98"/>
    <mergeCell ref="G97:G98"/>
    <mergeCell ref="A87:A88"/>
    <mergeCell ref="D87:D88"/>
    <mergeCell ref="M87:M88"/>
    <mergeCell ref="A89:A90"/>
    <mergeCell ref="D89:D90"/>
    <mergeCell ref="M89:M90"/>
    <mergeCell ref="E87:E88"/>
    <mergeCell ref="E89:E90"/>
    <mergeCell ref="F87:F88"/>
    <mergeCell ref="F89:F90"/>
    <mergeCell ref="I87:I92"/>
    <mergeCell ref="J87:J92"/>
    <mergeCell ref="A91:A92"/>
    <mergeCell ref="D91:D92"/>
    <mergeCell ref="M91:M92"/>
    <mergeCell ref="A81:A82"/>
    <mergeCell ref="D81:D82"/>
    <mergeCell ref="M81:M82"/>
    <mergeCell ref="E79:E80"/>
    <mergeCell ref="E81:E82"/>
    <mergeCell ref="F79:F80"/>
    <mergeCell ref="F81:F82"/>
    <mergeCell ref="I81:I86"/>
    <mergeCell ref="J81:J86"/>
    <mergeCell ref="A83:A84"/>
    <mergeCell ref="D83:D84"/>
    <mergeCell ref="M83:M84"/>
    <mergeCell ref="A85:A86"/>
    <mergeCell ref="D85:D86"/>
    <mergeCell ref="M85:M86"/>
    <mergeCell ref="E83:E84"/>
    <mergeCell ref="E85:E86"/>
    <mergeCell ref="F83:F84"/>
    <mergeCell ref="F85:F86"/>
    <mergeCell ref="A75:A76"/>
    <mergeCell ref="D75:D76"/>
    <mergeCell ref="M75:M76"/>
    <mergeCell ref="A77:A78"/>
    <mergeCell ref="D77:D78"/>
    <mergeCell ref="M77:M78"/>
    <mergeCell ref="E75:E76"/>
    <mergeCell ref="E77:E78"/>
    <mergeCell ref="F75:F76"/>
    <mergeCell ref="F77:F78"/>
    <mergeCell ref="B75:B76"/>
    <mergeCell ref="I75:I80"/>
    <mergeCell ref="J75:J80"/>
    <mergeCell ref="A79:A80"/>
    <mergeCell ref="D79:D80"/>
    <mergeCell ref="M79:M80"/>
    <mergeCell ref="A69:A70"/>
    <mergeCell ref="D69:D70"/>
    <mergeCell ref="M69:M70"/>
    <mergeCell ref="E67:E68"/>
    <mergeCell ref="E69:E70"/>
    <mergeCell ref="F67:F68"/>
    <mergeCell ref="F69:F70"/>
    <mergeCell ref="B67:B68"/>
    <mergeCell ref="B69:B70"/>
    <mergeCell ref="I69:I74"/>
    <mergeCell ref="J69:J74"/>
    <mergeCell ref="A71:A72"/>
    <mergeCell ref="D71:D72"/>
    <mergeCell ref="M71:M72"/>
    <mergeCell ref="A73:A74"/>
    <mergeCell ref="D73:D74"/>
    <mergeCell ref="M73:M74"/>
    <mergeCell ref="E71:E72"/>
    <mergeCell ref="E73:E74"/>
    <mergeCell ref="F71:F72"/>
    <mergeCell ref="F73:F74"/>
    <mergeCell ref="B71:B72"/>
    <mergeCell ref="B73:B74"/>
    <mergeCell ref="A63:A64"/>
    <mergeCell ref="D63:D64"/>
    <mergeCell ref="M63:M64"/>
    <mergeCell ref="A65:A66"/>
    <mergeCell ref="D65:D66"/>
    <mergeCell ref="M65:M66"/>
    <mergeCell ref="E63:E64"/>
    <mergeCell ref="E65:E66"/>
    <mergeCell ref="F63:F64"/>
    <mergeCell ref="F65:F66"/>
    <mergeCell ref="B63:B64"/>
    <mergeCell ref="B65:B66"/>
    <mergeCell ref="I63:I68"/>
    <mergeCell ref="J63:J68"/>
    <mergeCell ref="A67:A68"/>
    <mergeCell ref="D67:D68"/>
    <mergeCell ref="M67:M68"/>
    <mergeCell ref="A57:A58"/>
    <mergeCell ref="D57:D58"/>
    <mergeCell ref="M57:M58"/>
    <mergeCell ref="E55:E56"/>
    <mergeCell ref="E57:E58"/>
    <mergeCell ref="F55:F56"/>
    <mergeCell ref="F57:F58"/>
    <mergeCell ref="B57:B58"/>
    <mergeCell ref="B55:B56"/>
    <mergeCell ref="I57:I62"/>
    <mergeCell ref="J57:J62"/>
    <mergeCell ref="A59:A60"/>
    <mergeCell ref="D59:D60"/>
    <mergeCell ref="M59:M60"/>
    <mergeCell ref="A61:A62"/>
    <mergeCell ref="D61:D62"/>
    <mergeCell ref="M61:M62"/>
    <mergeCell ref="E59:E60"/>
    <mergeCell ref="E61:E62"/>
    <mergeCell ref="F59:F60"/>
    <mergeCell ref="F61:F62"/>
    <mergeCell ref="B59:B60"/>
    <mergeCell ref="B61:B62"/>
    <mergeCell ref="A53:A54"/>
    <mergeCell ref="D53:D54"/>
    <mergeCell ref="M53:M54"/>
    <mergeCell ref="E51:E52"/>
    <mergeCell ref="E53:E54"/>
    <mergeCell ref="F51:F52"/>
    <mergeCell ref="F53:F54"/>
    <mergeCell ref="B51:B52"/>
    <mergeCell ref="B53:B54"/>
    <mergeCell ref="I51:I56"/>
    <mergeCell ref="J51:J56"/>
    <mergeCell ref="A55:A56"/>
    <mergeCell ref="D55:D56"/>
    <mergeCell ref="M55:M56"/>
    <mergeCell ref="F49:F50"/>
    <mergeCell ref="G47:G48"/>
    <mergeCell ref="K47:K48"/>
    <mergeCell ref="K49:K50"/>
    <mergeCell ref="B47:B48"/>
    <mergeCell ref="B49:B50"/>
    <mergeCell ref="A51:A52"/>
    <mergeCell ref="D51:D52"/>
    <mergeCell ref="M51:M52"/>
    <mergeCell ref="A45:A46"/>
    <mergeCell ref="D45:D46"/>
    <mergeCell ref="M45:M46"/>
    <mergeCell ref="E43:E44"/>
    <mergeCell ref="E45:E46"/>
    <mergeCell ref="F43:F44"/>
    <mergeCell ref="F45:F46"/>
    <mergeCell ref="G43:G44"/>
    <mergeCell ref="G45:G46"/>
    <mergeCell ref="K43:K44"/>
    <mergeCell ref="K45:K46"/>
    <mergeCell ref="B43:B44"/>
    <mergeCell ref="B45:B46"/>
    <mergeCell ref="I45:I50"/>
    <mergeCell ref="J45:J50"/>
    <mergeCell ref="A47:A48"/>
    <mergeCell ref="D47:D48"/>
    <mergeCell ref="M47:M48"/>
    <mergeCell ref="A49:A50"/>
    <mergeCell ref="D49:D50"/>
    <mergeCell ref="M49:M50"/>
    <mergeCell ref="E47:E48"/>
    <mergeCell ref="E49:E50"/>
    <mergeCell ref="F47:F48"/>
    <mergeCell ref="A39:A40"/>
    <mergeCell ref="D39:D40"/>
    <mergeCell ref="M39:M40"/>
    <mergeCell ref="A41:A42"/>
    <mergeCell ref="D41:D42"/>
    <mergeCell ref="M41:M42"/>
    <mergeCell ref="E39:E40"/>
    <mergeCell ref="E41:E42"/>
    <mergeCell ref="F39:F40"/>
    <mergeCell ref="F41:F42"/>
    <mergeCell ref="G39:G40"/>
    <mergeCell ref="G41:G42"/>
    <mergeCell ref="K39:K40"/>
    <mergeCell ref="K41:K42"/>
    <mergeCell ref="B39:B40"/>
    <mergeCell ref="B41:B42"/>
    <mergeCell ref="I39:I44"/>
    <mergeCell ref="J39:J44"/>
    <mergeCell ref="A43:A44"/>
    <mergeCell ref="D43:D44"/>
    <mergeCell ref="M43:M44"/>
    <mergeCell ref="A37:A38"/>
    <mergeCell ref="D37:D38"/>
    <mergeCell ref="M37:M38"/>
    <mergeCell ref="E35:E36"/>
    <mergeCell ref="E37:E38"/>
    <mergeCell ref="F35:F36"/>
    <mergeCell ref="F37:F38"/>
    <mergeCell ref="G35:G36"/>
    <mergeCell ref="G37:G38"/>
    <mergeCell ref="K35:K36"/>
    <mergeCell ref="K37:K38"/>
    <mergeCell ref="B35:B36"/>
    <mergeCell ref="B37:B38"/>
    <mergeCell ref="H35:H36"/>
    <mergeCell ref="H37:H38"/>
    <mergeCell ref="B29:B30"/>
    <mergeCell ref="B27:B28"/>
    <mergeCell ref="A31:A32"/>
    <mergeCell ref="D31:D32"/>
    <mergeCell ref="M31:M32"/>
    <mergeCell ref="A33:A34"/>
    <mergeCell ref="D33:D34"/>
    <mergeCell ref="M33:M34"/>
    <mergeCell ref="E31:E32"/>
    <mergeCell ref="E33:E34"/>
    <mergeCell ref="F31:F32"/>
    <mergeCell ref="F33:F34"/>
    <mergeCell ref="G31:G32"/>
    <mergeCell ref="G33:G34"/>
    <mergeCell ref="K31:K32"/>
    <mergeCell ref="K33:K34"/>
    <mergeCell ref="B31:B32"/>
    <mergeCell ref="B33:B34"/>
    <mergeCell ref="H31:H32"/>
    <mergeCell ref="H33:H34"/>
    <mergeCell ref="I33:I38"/>
    <mergeCell ref="J33:J38"/>
    <mergeCell ref="A35:A36"/>
    <mergeCell ref="D35:D36"/>
    <mergeCell ref="D29:D30"/>
    <mergeCell ref="M29:M30"/>
    <mergeCell ref="E27:E28"/>
    <mergeCell ref="E29:E30"/>
    <mergeCell ref="F27:F28"/>
    <mergeCell ref="F29:F30"/>
    <mergeCell ref="G29:G30"/>
    <mergeCell ref="G27:G28"/>
    <mergeCell ref="K27:K28"/>
    <mergeCell ref="K29:K30"/>
    <mergeCell ref="A23:A24"/>
    <mergeCell ref="D23:D24"/>
    <mergeCell ref="M23:M24"/>
    <mergeCell ref="A25:A26"/>
    <mergeCell ref="D25:D26"/>
    <mergeCell ref="M25:M26"/>
    <mergeCell ref="E23:E24"/>
    <mergeCell ref="E25:E26"/>
    <mergeCell ref="F23:F24"/>
    <mergeCell ref="F25:F26"/>
    <mergeCell ref="G23:G24"/>
    <mergeCell ref="K23:K24"/>
    <mergeCell ref="K25:K26"/>
    <mergeCell ref="G25:G26"/>
    <mergeCell ref="B23:B24"/>
    <mergeCell ref="B25:B26"/>
    <mergeCell ref="H23:H24"/>
    <mergeCell ref="H25:H26"/>
    <mergeCell ref="I23:I32"/>
    <mergeCell ref="J23:J32"/>
    <mergeCell ref="A27:A28"/>
    <mergeCell ref="D27:D28"/>
    <mergeCell ref="M27:M28"/>
    <mergeCell ref="A29:A30"/>
    <mergeCell ref="M19:M20"/>
    <mergeCell ref="A21:A22"/>
    <mergeCell ref="D21:D22"/>
    <mergeCell ref="M21:M22"/>
    <mergeCell ref="E19:E20"/>
    <mergeCell ref="E21:E22"/>
    <mergeCell ref="F19:F20"/>
    <mergeCell ref="F21:F22"/>
    <mergeCell ref="G19:G20"/>
    <mergeCell ref="G21:G22"/>
    <mergeCell ref="K19:K20"/>
    <mergeCell ref="K21:K22"/>
    <mergeCell ref="B19:B20"/>
    <mergeCell ref="B21:B22"/>
    <mergeCell ref="H19:H20"/>
    <mergeCell ref="H21:H22"/>
    <mergeCell ref="G15:G16"/>
    <mergeCell ref="G17:G18"/>
    <mergeCell ref="K15:K16"/>
    <mergeCell ref="K17:K18"/>
    <mergeCell ref="B17:B18"/>
    <mergeCell ref="B15:B16"/>
    <mergeCell ref="H15:H16"/>
    <mergeCell ref="H17:H18"/>
    <mergeCell ref="A19:A20"/>
    <mergeCell ref="D19:D20"/>
    <mergeCell ref="A11:A12"/>
    <mergeCell ref="D11:D12"/>
    <mergeCell ref="M11:M12"/>
    <mergeCell ref="A13:A14"/>
    <mergeCell ref="D13:D14"/>
    <mergeCell ref="M13:M14"/>
    <mergeCell ref="E13:E14"/>
    <mergeCell ref="F11:F12"/>
    <mergeCell ref="F13:F14"/>
    <mergeCell ref="G11:G12"/>
    <mergeCell ref="G13:G14"/>
    <mergeCell ref="B13:B14"/>
    <mergeCell ref="I13:I22"/>
    <mergeCell ref="J13:J22"/>
    <mergeCell ref="A15:A16"/>
    <mergeCell ref="D15:D16"/>
    <mergeCell ref="M15:M16"/>
    <mergeCell ref="A17:A18"/>
    <mergeCell ref="D17:D18"/>
    <mergeCell ref="M17:M18"/>
    <mergeCell ref="E15:E16"/>
    <mergeCell ref="E17:E18"/>
    <mergeCell ref="F15:F16"/>
    <mergeCell ref="F17:F18"/>
    <mergeCell ref="B1:H1"/>
    <mergeCell ref="K1:Q1"/>
    <mergeCell ref="A3:A4"/>
    <mergeCell ref="D3:D4"/>
    <mergeCell ref="M3:M4"/>
    <mergeCell ref="A5:A6"/>
    <mergeCell ref="D5:D6"/>
    <mergeCell ref="M5:M6"/>
    <mergeCell ref="F3:F4"/>
    <mergeCell ref="F5:F6"/>
    <mergeCell ref="G3:G4"/>
    <mergeCell ref="G5:G6"/>
    <mergeCell ref="P3:P4"/>
    <mergeCell ref="P5:P6"/>
    <mergeCell ref="Q3:Q4"/>
    <mergeCell ref="Q5:Q6"/>
    <mergeCell ref="I3:I12"/>
    <mergeCell ref="J3:J12"/>
    <mergeCell ref="A7:A8"/>
    <mergeCell ref="D7:D8"/>
    <mergeCell ref="M7:M8"/>
    <mergeCell ref="A9:A10"/>
    <mergeCell ref="D9:D10"/>
    <mergeCell ref="M9:M10"/>
    <mergeCell ref="I99:I104"/>
    <mergeCell ref="J99:J104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R45:R50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M35:M36"/>
    <mergeCell ref="N29:N30"/>
    <mergeCell ref="R75:R80"/>
    <mergeCell ref="S75:S80"/>
    <mergeCell ref="R81:R86"/>
    <mergeCell ref="S81:S86"/>
    <mergeCell ref="R87:R92"/>
    <mergeCell ref="S87:S92"/>
    <mergeCell ref="R93:R98"/>
    <mergeCell ref="S93:S98"/>
    <mergeCell ref="R99:R104"/>
    <mergeCell ref="S99:S104"/>
  </mergeCells>
  <conditionalFormatting sqref="E1 J1 N1 S1 E3:E1048576 J3:J1048576 N3:N1048576 S3:S1048576">
    <cfRule type="cellIs" dxfId="5" priority="1" operator="greaterThanOrEqual">
      <formula>0.15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954B2-10AD-4885-8D50-5FC2E1DA003F}">
  <dimension ref="A1:Y153"/>
  <sheetViews>
    <sheetView zoomScale="85" zoomScaleNormal="85" workbookViewId="0">
      <pane ySplit="1" topLeftCell="A11" activePane="bottomLeft" state="frozen"/>
      <selection pane="bottomLeft" activeCell="J54" sqref="J54"/>
    </sheetView>
  </sheetViews>
  <sheetFormatPr baseColWidth="10" defaultRowHeight="14.5" x14ac:dyDescent="0.35"/>
  <cols>
    <col min="6" max="7" width="7.7265625" customWidth="1"/>
  </cols>
  <sheetData>
    <row r="1" spans="1:25" x14ac:dyDescent="0.35">
      <c r="A1" s="4" t="s">
        <v>23</v>
      </c>
      <c r="B1" s="4" t="s">
        <v>24</v>
      </c>
      <c r="C1" s="4" t="s">
        <v>27</v>
      </c>
      <c r="D1" s="4" t="s">
        <v>25</v>
      </c>
      <c r="E1" s="4" t="s">
        <v>97</v>
      </c>
      <c r="F1" s="4" t="s">
        <v>81</v>
      </c>
      <c r="G1" s="4" t="s">
        <v>78</v>
      </c>
      <c r="H1" s="4" t="s">
        <v>82</v>
      </c>
      <c r="I1" s="4" t="s">
        <v>79</v>
      </c>
      <c r="J1" s="4" t="s">
        <v>83</v>
      </c>
      <c r="K1" s="4" t="s">
        <v>80</v>
      </c>
      <c r="L1" s="4" t="s">
        <v>84</v>
      </c>
      <c r="M1" s="4" t="s">
        <v>85</v>
      </c>
      <c r="N1" s="4" t="s">
        <v>86</v>
      </c>
      <c r="O1" s="4" t="s">
        <v>87</v>
      </c>
      <c r="P1" s="4" t="s">
        <v>88</v>
      </c>
      <c r="Q1" s="4" t="s">
        <v>89</v>
      </c>
      <c r="R1" s="4" t="s">
        <v>90</v>
      </c>
      <c r="S1" s="4" t="s">
        <v>91</v>
      </c>
      <c r="T1" s="4" t="s">
        <v>92</v>
      </c>
      <c r="U1" s="4" t="s">
        <v>92</v>
      </c>
      <c r="V1" s="4" t="s">
        <v>93</v>
      </c>
      <c r="W1" s="4" t="s">
        <v>94</v>
      </c>
      <c r="X1" s="4" t="s">
        <v>96</v>
      </c>
      <c r="Y1" s="4" t="s">
        <v>95</v>
      </c>
    </row>
    <row r="2" spans="1:25" x14ac:dyDescent="0.35">
      <c r="A2">
        <v>1</v>
      </c>
      <c r="B2" t="s">
        <v>29</v>
      </c>
      <c r="C2" t="s">
        <v>33</v>
      </c>
      <c r="D2" t="s">
        <v>1</v>
      </c>
      <c r="E2" t="s">
        <v>1</v>
      </c>
      <c r="F2" s="24">
        <v>80.783829570583777</v>
      </c>
      <c r="G2" s="24">
        <v>60.08735148373993</v>
      </c>
    </row>
    <row r="3" spans="1:25" x14ac:dyDescent="0.35">
      <c r="A3">
        <v>2</v>
      </c>
      <c r="B3" t="s">
        <v>29</v>
      </c>
      <c r="C3" t="s">
        <v>33</v>
      </c>
      <c r="D3" t="s">
        <v>1</v>
      </c>
      <c r="E3" t="s">
        <v>1</v>
      </c>
      <c r="F3" s="24">
        <v>46.572563777886245</v>
      </c>
      <c r="G3" s="24">
        <v>81.579104480179907</v>
      </c>
    </row>
    <row r="4" spans="1:25" x14ac:dyDescent="0.35">
      <c r="A4">
        <v>3</v>
      </c>
      <c r="B4" t="s">
        <v>29</v>
      </c>
      <c r="C4" t="s">
        <v>33</v>
      </c>
      <c r="D4" t="s">
        <v>1</v>
      </c>
      <c r="E4" t="s">
        <v>1</v>
      </c>
      <c r="F4" s="24">
        <v>41.287162170745916</v>
      </c>
      <c r="G4" s="24">
        <v>69.57396392475458</v>
      </c>
    </row>
    <row r="5" spans="1:25" x14ac:dyDescent="0.35">
      <c r="A5">
        <v>4</v>
      </c>
      <c r="B5" t="s">
        <v>29</v>
      </c>
      <c r="C5" t="s">
        <v>33</v>
      </c>
      <c r="D5" t="s">
        <v>1</v>
      </c>
      <c r="E5" t="s">
        <v>1</v>
      </c>
      <c r="F5" s="24">
        <v>61.736442168951577</v>
      </c>
      <c r="G5" s="24">
        <v>82.015840343785285</v>
      </c>
    </row>
    <row r="6" spans="1:25" x14ac:dyDescent="0.35">
      <c r="A6">
        <v>5</v>
      </c>
      <c r="B6" t="s">
        <v>29</v>
      </c>
      <c r="C6" t="s">
        <v>33</v>
      </c>
      <c r="D6" t="s">
        <v>1</v>
      </c>
      <c r="E6" t="s">
        <v>1</v>
      </c>
      <c r="F6" s="24">
        <v>59.249788160907841</v>
      </c>
      <c r="G6" s="24">
        <v>91.681684133469489</v>
      </c>
    </row>
    <row r="7" spans="1:25" x14ac:dyDescent="0.35">
      <c r="A7">
        <v>6</v>
      </c>
      <c r="B7" t="s">
        <v>31</v>
      </c>
      <c r="C7" t="s">
        <v>33</v>
      </c>
      <c r="D7" t="s">
        <v>1</v>
      </c>
      <c r="E7" t="s">
        <v>1</v>
      </c>
      <c r="F7" s="24">
        <v>56.171833815422225</v>
      </c>
      <c r="G7" s="24">
        <v>78.80594364023132</v>
      </c>
    </row>
    <row r="8" spans="1:25" x14ac:dyDescent="0.35">
      <c r="A8">
        <v>7</v>
      </c>
      <c r="B8" t="s">
        <v>31</v>
      </c>
      <c r="C8" t="s">
        <v>33</v>
      </c>
      <c r="D8" t="s">
        <v>1</v>
      </c>
      <c r="E8" t="s">
        <v>1</v>
      </c>
      <c r="F8" s="24">
        <v>60.501655398777338</v>
      </c>
      <c r="G8" s="24">
        <v>71.034099771372581</v>
      </c>
    </row>
    <row r="9" spans="1:25" x14ac:dyDescent="0.35">
      <c r="A9">
        <v>8</v>
      </c>
      <c r="B9" t="s">
        <v>31</v>
      </c>
      <c r="C9" t="s">
        <v>33</v>
      </c>
      <c r="D9" t="s">
        <v>1</v>
      </c>
      <c r="E9" t="s">
        <v>1</v>
      </c>
      <c r="F9" s="24">
        <v>45.069295728578709</v>
      </c>
      <c r="G9" s="24">
        <v>59.488040542742198</v>
      </c>
    </row>
    <row r="10" spans="1:25" x14ac:dyDescent="0.35">
      <c r="A10">
        <v>9</v>
      </c>
      <c r="B10" t="s">
        <v>31</v>
      </c>
      <c r="C10" t="s">
        <v>33</v>
      </c>
      <c r="D10" t="s">
        <v>1</v>
      </c>
      <c r="E10" t="s">
        <v>1</v>
      </c>
      <c r="F10" s="24">
        <v>46.810722416044193</v>
      </c>
      <c r="G10" s="24">
        <v>128.48158339048501</v>
      </c>
    </row>
    <row r="11" spans="1:25" x14ac:dyDescent="0.35">
      <c r="A11">
        <v>10</v>
      </c>
      <c r="B11" t="s">
        <v>31</v>
      </c>
      <c r="C11" t="s">
        <v>33</v>
      </c>
      <c r="D11" t="s">
        <v>1</v>
      </c>
      <c r="E11" t="s">
        <v>1</v>
      </c>
      <c r="F11" s="24">
        <v>44.463950950110089</v>
      </c>
      <c r="G11" s="24">
        <v>63.573473178192955</v>
      </c>
    </row>
    <row r="12" spans="1:25" x14ac:dyDescent="0.35">
      <c r="A12">
        <v>11</v>
      </c>
      <c r="B12" t="s">
        <v>32</v>
      </c>
      <c r="C12" t="s">
        <v>33</v>
      </c>
      <c r="D12" t="s">
        <v>1</v>
      </c>
      <c r="E12" t="s">
        <v>1</v>
      </c>
      <c r="F12" s="24">
        <v>58.605292972286946</v>
      </c>
      <c r="G12" s="24">
        <v>95.245663702671266</v>
      </c>
    </row>
    <row r="13" spans="1:25" x14ac:dyDescent="0.35">
      <c r="A13">
        <v>12</v>
      </c>
      <c r="B13" t="s">
        <v>32</v>
      </c>
      <c r="C13" t="s">
        <v>33</v>
      </c>
      <c r="D13" t="s">
        <v>1</v>
      </c>
      <c r="E13" t="s">
        <v>1</v>
      </c>
      <c r="F13" s="24">
        <v>45.481336970483625</v>
      </c>
      <c r="G13" s="24">
        <v>104.78707259605574</v>
      </c>
    </row>
    <row r="14" spans="1:25" x14ac:dyDescent="0.35">
      <c r="A14">
        <v>13</v>
      </c>
      <c r="B14" t="s">
        <v>32</v>
      </c>
      <c r="C14" t="s">
        <v>33</v>
      </c>
      <c r="D14" t="s">
        <v>1</v>
      </c>
      <c r="E14" t="s">
        <v>1</v>
      </c>
      <c r="F14" s="24">
        <v>46.990061012728304</v>
      </c>
      <c r="G14" s="24">
        <v>81.739125671385892</v>
      </c>
    </row>
    <row r="15" spans="1:25" x14ac:dyDescent="0.35">
      <c r="A15">
        <v>14</v>
      </c>
      <c r="B15" t="s">
        <v>32</v>
      </c>
      <c r="C15" t="s">
        <v>33</v>
      </c>
      <c r="D15" t="s">
        <v>1</v>
      </c>
      <c r="E15" t="s">
        <v>1</v>
      </c>
      <c r="F15" s="24">
        <v>50.319725241054911</v>
      </c>
      <c r="G15" s="24">
        <v>105.99470026498676</v>
      </c>
    </row>
    <row r="16" spans="1:25" x14ac:dyDescent="0.35">
      <c r="A16">
        <v>15</v>
      </c>
      <c r="B16" t="s">
        <v>32</v>
      </c>
      <c r="C16" t="s">
        <v>33</v>
      </c>
      <c r="D16" t="s">
        <v>1</v>
      </c>
      <c r="E16" t="s">
        <v>1</v>
      </c>
      <c r="F16" s="24">
        <v>43.894119332622857</v>
      </c>
      <c r="G16" s="24">
        <v>77.317329535822054</v>
      </c>
    </row>
    <row r="17" spans="1:7" x14ac:dyDescent="0.35">
      <c r="A17">
        <v>16</v>
      </c>
      <c r="B17" t="s">
        <v>29</v>
      </c>
      <c r="C17" t="s">
        <v>34</v>
      </c>
      <c r="D17" t="s">
        <v>34</v>
      </c>
      <c r="E17" t="s">
        <v>33</v>
      </c>
      <c r="F17" s="24">
        <v>42.708287160597884</v>
      </c>
      <c r="G17" s="24">
        <v>65.687648372462078</v>
      </c>
    </row>
    <row r="18" spans="1:7" x14ac:dyDescent="0.35">
      <c r="A18">
        <v>17</v>
      </c>
      <c r="B18" t="s">
        <v>29</v>
      </c>
      <c r="C18" t="s">
        <v>34</v>
      </c>
      <c r="D18" t="s">
        <v>34</v>
      </c>
      <c r="E18" t="s">
        <v>33</v>
      </c>
      <c r="F18" s="24">
        <v>54.767568409053716</v>
      </c>
      <c r="G18" s="24">
        <v>65.206027447915361</v>
      </c>
    </row>
    <row r="19" spans="1:7" x14ac:dyDescent="0.35">
      <c r="A19">
        <v>18</v>
      </c>
      <c r="B19" t="s">
        <v>29</v>
      </c>
      <c r="C19" t="s">
        <v>34</v>
      </c>
      <c r="D19" t="s">
        <v>34</v>
      </c>
      <c r="E19" t="s">
        <v>33</v>
      </c>
      <c r="F19" s="24">
        <v>50.19875834452953</v>
      </c>
      <c r="G19" s="24">
        <v>88.812723384994783</v>
      </c>
    </row>
    <row r="20" spans="1:7" x14ac:dyDescent="0.35">
      <c r="A20">
        <v>19</v>
      </c>
      <c r="B20" t="s">
        <v>31</v>
      </c>
      <c r="C20" t="s">
        <v>34</v>
      </c>
      <c r="D20" t="s">
        <v>34</v>
      </c>
      <c r="E20" t="s">
        <v>33</v>
      </c>
      <c r="F20" s="24">
        <v>47.246273316377632</v>
      </c>
      <c r="G20" s="24">
        <v>64.272753080555233</v>
      </c>
    </row>
    <row r="21" spans="1:7" x14ac:dyDescent="0.35">
      <c r="A21">
        <v>20</v>
      </c>
      <c r="B21" t="s">
        <v>31</v>
      </c>
      <c r="C21" t="s">
        <v>34</v>
      </c>
      <c r="D21" t="s">
        <v>34</v>
      </c>
      <c r="E21" t="s">
        <v>33</v>
      </c>
      <c r="F21" s="24">
        <v>43.527435888741969</v>
      </c>
      <c r="G21" s="24">
        <v>72.940114668984748</v>
      </c>
    </row>
    <row r="22" spans="1:7" x14ac:dyDescent="0.35">
      <c r="A22">
        <v>21</v>
      </c>
      <c r="B22" t="s">
        <v>31</v>
      </c>
      <c r="C22" t="s">
        <v>34</v>
      </c>
      <c r="D22" t="s">
        <v>34</v>
      </c>
      <c r="E22" t="s">
        <v>33</v>
      </c>
      <c r="F22" s="24">
        <v>64.202036339524199</v>
      </c>
      <c r="G22" s="24">
        <v>69.785001270694806</v>
      </c>
    </row>
    <row r="23" spans="1:7" x14ac:dyDescent="0.35">
      <c r="A23">
        <v>22</v>
      </c>
      <c r="B23" t="s">
        <v>32</v>
      </c>
      <c r="C23" t="s">
        <v>34</v>
      </c>
      <c r="D23" t="s">
        <v>34</v>
      </c>
      <c r="E23" t="s">
        <v>33</v>
      </c>
      <c r="F23" s="24">
        <v>47.220625668123184</v>
      </c>
      <c r="G23" s="24">
        <v>99.597509013438213</v>
      </c>
    </row>
    <row r="24" spans="1:7" x14ac:dyDescent="0.35">
      <c r="A24">
        <v>23</v>
      </c>
      <c r="B24" t="s">
        <v>32</v>
      </c>
      <c r="C24" t="s">
        <v>34</v>
      </c>
      <c r="D24" t="s">
        <v>34</v>
      </c>
      <c r="E24" t="s">
        <v>33</v>
      </c>
      <c r="F24" s="24">
        <v>41.57905054576532</v>
      </c>
      <c r="G24" s="24">
        <v>72.293323822958811</v>
      </c>
    </row>
    <row r="25" spans="1:7" x14ac:dyDescent="0.35">
      <c r="A25">
        <v>24</v>
      </c>
      <c r="B25" t="s">
        <v>32</v>
      </c>
      <c r="C25" t="s">
        <v>34</v>
      </c>
      <c r="D25" t="s">
        <v>34</v>
      </c>
      <c r="E25" t="s">
        <v>33</v>
      </c>
      <c r="F25" s="24">
        <v>47.805881013401368</v>
      </c>
      <c r="G25" s="24">
        <v>54.80895241597451</v>
      </c>
    </row>
    <row r="26" spans="1:7" x14ac:dyDescent="0.35">
      <c r="A26">
        <v>25</v>
      </c>
      <c r="B26" t="s">
        <v>29</v>
      </c>
      <c r="C26" t="s">
        <v>34</v>
      </c>
      <c r="D26" t="s">
        <v>33</v>
      </c>
      <c r="E26" t="s">
        <v>33</v>
      </c>
      <c r="F26" s="24">
        <v>47.250431552496451</v>
      </c>
      <c r="G26" s="24">
        <v>73.48558701864431</v>
      </c>
    </row>
    <row r="27" spans="1:7" x14ac:dyDescent="0.35">
      <c r="A27">
        <v>26</v>
      </c>
      <c r="B27" t="s">
        <v>29</v>
      </c>
      <c r="C27" t="s">
        <v>34</v>
      </c>
      <c r="D27" t="s">
        <v>33</v>
      </c>
      <c r="E27" t="s">
        <v>33</v>
      </c>
      <c r="F27" s="24">
        <v>51.477891713879927</v>
      </c>
      <c r="G27" s="24">
        <v>67.069475397745549</v>
      </c>
    </row>
    <row r="28" spans="1:7" x14ac:dyDescent="0.35">
      <c r="A28">
        <v>27</v>
      </c>
      <c r="B28" t="s">
        <v>29</v>
      </c>
      <c r="C28" t="s">
        <v>34</v>
      </c>
      <c r="D28" t="s">
        <v>33</v>
      </c>
      <c r="E28" t="s">
        <v>33</v>
      </c>
      <c r="F28" s="24">
        <v>46.79379500785253</v>
      </c>
      <c r="G28" s="24">
        <v>89.953213335303303</v>
      </c>
    </row>
    <row r="29" spans="1:7" x14ac:dyDescent="0.35">
      <c r="A29">
        <v>28</v>
      </c>
      <c r="B29" t="s">
        <v>31</v>
      </c>
      <c r="C29" t="s">
        <v>34</v>
      </c>
      <c r="D29" t="s">
        <v>33</v>
      </c>
      <c r="E29" t="s">
        <v>33</v>
      </c>
      <c r="F29" s="24">
        <v>53.74154627520975</v>
      </c>
      <c r="G29" s="24">
        <v>74.922952937320446</v>
      </c>
    </row>
    <row r="30" spans="1:7" x14ac:dyDescent="0.35">
      <c r="A30">
        <v>29</v>
      </c>
      <c r="B30" t="s">
        <v>31</v>
      </c>
      <c r="C30" t="s">
        <v>34</v>
      </c>
      <c r="D30" t="s">
        <v>33</v>
      </c>
      <c r="E30" t="s">
        <v>33</v>
      </c>
      <c r="F30" s="24">
        <v>48.763034543036582</v>
      </c>
      <c r="G30" s="24">
        <v>72.172378212365103</v>
      </c>
    </row>
    <row r="31" spans="1:7" x14ac:dyDescent="0.35">
      <c r="A31">
        <v>30</v>
      </c>
      <c r="B31" t="s">
        <v>31</v>
      </c>
      <c r="C31" t="s">
        <v>34</v>
      </c>
      <c r="D31" t="s">
        <v>33</v>
      </c>
      <c r="E31" t="s">
        <v>33</v>
      </c>
      <c r="F31" s="24">
        <v>58.599843484942383</v>
      </c>
      <c r="G31" s="24">
        <v>84.968654565508089</v>
      </c>
    </row>
    <row r="32" spans="1:7" x14ac:dyDescent="0.35">
      <c r="A32">
        <v>31</v>
      </c>
      <c r="B32" t="s">
        <v>32</v>
      </c>
      <c r="C32" t="s">
        <v>34</v>
      </c>
      <c r="D32" t="s">
        <v>33</v>
      </c>
      <c r="E32" t="s">
        <v>33</v>
      </c>
      <c r="F32" s="24">
        <v>66.022620965999053</v>
      </c>
      <c r="G32" s="24">
        <v>148.43206520380829</v>
      </c>
    </row>
    <row r="33" spans="1:7" x14ac:dyDescent="0.35">
      <c r="A33">
        <v>32</v>
      </c>
      <c r="B33" t="s">
        <v>32</v>
      </c>
      <c r="C33" t="s">
        <v>34</v>
      </c>
      <c r="D33" t="s">
        <v>33</v>
      </c>
      <c r="E33" t="s">
        <v>33</v>
      </c>
      <c r="F33" s="24">
        <v>62.670474941861372</v>
      </c>
      <c r="G33" s="24">
        <v>93.808905429083907</v>
      </c>
    </row>
    <row r="34" spans="1:7" x14ac:dyDescent="0.35">
      <c r="A34">
        <v>33</v>
      </c>
      <c r="B34" t="s">
        <v>32</v>
      </c>
      <c r="C34" t="s">
        <v>34</v>
      </c>
      <c r="D34" t="s">
        <v>33</v>
      </c>
      <c r="E34" t="s">
        <v>33</v>
      </c>
      <c r="F34" s="24">
        <v>55.072679557325557</v>
      </c>
      <c r="G34" s="24">
        <v>77.630554503874279</v>
      </c>
    </row>
    <row r="35" spans="1:7" x14ac:dyDescent="0.35">
      <c r="A35">
        <v>34</v>
      </c>
      <c r="B35" t="s">
        <v>29</v>
      </c>
      <c r="C35" t="s">
        <v>34</v>
      </c>
      <c r="D35" t="s">
        <v>33</v>
      </c>
      <c r="E35" t="s">
        <v>34</v>
      </c>
      <c r="F35" s="24">
        <v>60.430952369961048</v>
      </c>
      <c r="G35" s="24">
        <v>71.831907222605778</v>
      </c>
    </row>
    <row r="36" spans="1:7" x14ac:dyDescent="0.35">
      <c r="A36">
        <v>35</v>
      </c>
      <c r="B36" t="s">
        <v>29</v>
      </c>
      <c r="C36" t="s">
        <v>34</v>
      </c>
      <c r="D36" t="s">
        <v>33</v>
      </c>
      <c r="E36" t="s">
        <v>34</v>
      </c>
      <c r="F36" s="24">
        <v>60.006864228430935</v>
      </c>
      <c r="G36" s="24">
        <v>72.108234094468116</v>
      </c>
    </row>
    <row r="37" spans="1:7" x14ac:dyDescent="0.35">
      <c r="A37">
        <v>36</v>
      </c>
      <c r="B37" t="s">
        <v>29</v>
      </c>
      <c r="C37" t="s">
        <v>34</v>
      </c>
      <c r="D37" t="s">
        <v>33</v>
      </c>
      <c r="E37" t="s">
        <v>34</v>
      </c>
      <c r="F37" s="24">
        <v>57.476708951386492</v>
      </c>
      <c r="G37" s="24">
        <v>88.966286191239774</v>
      </c>
    </row>
    <row r="38" spans="1:7" x14ac:dyDescent="0.35">
      <c r="A38">
        <v>37</v>
      </c>
      <c r="B38" t="s">
        <v>31</v>
      </c>
      <c r="C38" t="s">
        <v>34</v>
      </c>
      <c r="D38" t="s">
        <v>33</v>
      </c>
      <c r="E38" t="s">
        <v>34</v>
      </c>
      <c r="F38" s="24">
        <v>54.344911114232652</v>
      </c>
      <c r="G38" s="24">
        <v>64.212976589406551</v>
      </c>
    </row>
    <row r="39" spans="1:7" x14ac:dyDescent="0.35">
      <c r="A39">
        <v>38</v>
      </c>
      <c r="B39" t="s">
        <v>31</v>
      </c>
      <c r="C39" t="s">
        <v>34</v>
      </c>
      <c r="D39" t="s">
        <v>33</v>
      </c>
      <c r="E39" t="s">
        <v>34</v>
      </c>
      <c r="F39" s="24">
        <v>55.890619017961811</v>
      </c>
      <c r="G39" s="24">
        <v>83.682589846830027</v>
      </c>
    </row>
    <row r="40" spans="1:7" x14ac:dyDescent="0.35">
      <c r="A40">
        <v>39</v>
      </c>
      <c r="B40" t="s">
        <v>31</v>
      </c>
      <c r="C40" t="s">
        <v>34</v>
      </c>
      <c r="D40" t="s">
        <v>33</v>
      </c>
      <c r="E40" t="s">
        <v>34</v>
      </c>
      <c r="F40" s="24">
        <v>49.549436380359154</v>
      </c>
      <c r="G40" s="24">
        <v>71.277201925746866</v>
      </c>
    </row>
    <row r="41" spans="1:7" x14ac:dyDescent="0.35">
      <c r="A41">
        <v>40</v>
      </c>
      <c r="B41" t="s">
        <v>32</v>
      </c>
      <c r="C41" t="s">
        <v>34</v>
      </c>
      <c r="D41" t="s">
        <v>33</v>
      </c>
      <c r="E41" t="s">
        <v>34</v>
      </c>
      <c r="F41" s="24">
        <v>49.348158676896858</v>
      </c>
      <c r="G41" s="24">
        <v>63.864418703184086</v>
      </c>
    </row>
    <row r="42" spans="1:7" x14ac:dyDescent="0.35">
      <c r="A42">
        <v>41</v>
      </c>
      <c r="B42" t="s">
        <v>32</v>
      </c>
      <c r="C42" t="s">
        <v>34</v>
      </c>
      <c r="D42" t="s">
        <v>33</v>
      </c>
      <c r="E42" t="s">
        <v>34</v>
      </c>
      <c r="F42" s="24">
        <v>53.043199226015865</v>
      </c>
      <c r="G42" s="24">
        <v>70.710779547597681</v>
      </c>
    </row>
    <row r="43" spans="1:7" x14ac:dyDescent="0.35">
      <c r="A43">
        <v>42</v>
      </c>
      <c r="B43" t="s">
        <v>32</v>
      </c>
      <c r="C43" t="s">
        <v>34</v>
      </c>
      <c r="D43" t="s">
        <v>33</v>
      </c>
      <c r="E43" t="s">
        <v>34</v>
      </c>
      <c r="F43" s="24">
        <v>48.22665099807341</v>
      </c>
      <c r="G43" s="24">
        <v>101.67598751507595</v>
      </c>
    </row>
    <row r="44" spans="1:7" x14ac:dyDescent="0.35">
      <c r="A44">
        <v>43</v>
      </c>
      <c r="B44" t="s">
        <v>29</v>
      </c>
      <c r="C44" t="s">
        <v>34</v>
      </c>
      <c r="D44" t="s">
        <v>34</v>
      </c>
      <c r="E44" t="s">
        <v>34</v>
      </c>
      <c r="F44" s="24">
        <v>42.923557436045144</v>
      </c>
      <c r="G44" s="24">
        <v>53.283915183620209</v>
      </c>
    </row>
    <row r="45" spans="1:7" x14ac:dyDescent="0.35">
      <c r="A45">
        <v>44</v>
      </c>
      <c r="B45" t="s">
        <v>29</v>
      </c>
      <c r="C45" t="s">
        <v>34</v>
      </c>
      <c r="D45" t="s">
        <v>34</v>
      </c>
      <c r="E45" t="s">
        <v>34</v>
      </c>
      <c r="F45" s="24">
        <v>63.601985716706835</v>
      </c>
      <c r="G45" s="24">
        <v>66.020722455399437</v>
      </c>
    </row>
    <row r="46" spans="1:7" x14ac:dyDescent="0.35">
      <c r="A46">
        <v>45</v>
      </c>
      <c r="B46" t="s">
        <v>29</v>
      </c>
      <c r="C46" t="s">
        <v>34</v>
      </c>
      <c r="D46" t="s">
        <v>34</v>
      </c>
      <c r="E46" t="s">
        <v>34</v>
      </c>
      <c r="F46" s="24">
        <v>42.496716876185225</v>
      </c>
      <c r="G46" s="24">
        <v>73.751798619682887</v>
      </c>
    </row>
    <row r="47" spans="1:7" x14ac:dyDescent="0.35">
      <c r="A47">
        <v>46</v>
      </c>
      <c r="B47" t="s">
        <v>31</v>
      </c>
      <c r="C47" t="s">
        <v>34</v>
      </c>
      <c r="D47" t="s">
        <v>34</v>
      </c>
      <c r="E47" t="s">
        <v>34</v>
      </c>
      <c r="F47" s="24">
        <v>49.556736805422631</v>
      </c>
      <c r="G47" s="24">
        <v>53.857062827492364</v>
      </c>
    </row>
    <row r="48" spans="1:7" x14ac:dyDescent="0.35">
      <c r="A48">
        <v>47</v>
      </c>
      <c r="B48" t="s">
        <v>31</v>
      </c>
      <c r="C48" t="s">
        <v>34</v>
      </c>
      <c r="D48" t="s">
        <v>34</v>
      </c>
      <c r="E48" t="s">
        <v>34</v>
      </c>
      <c r="F48" s="24">
        <v>64.822715399277484</v>
      </c>
      <c r="G48" s="24">
        <v>70.218388603855473</v>
      </c>
    </row>
    <row r="49" spans="1:9" x14ac:dyDescent="0.35">
      <c r="A49">
        <v>48</v>
      </c>
      <c r="B49" t="s">
        <v>31</v>
      </c>
      <c r="C49" t="s">
        <v>34</v>
      </c>
      <c r="D49" t="s">
        <v>34</v>
      </c>
      <c r="E49" t="s">
        <v>34</v>
      </c>
      <c r="F49" s="24">
        <v>62.048412354372331</v>
      </c>
      <c r="G49" s="24">
        <v>53.303827342168717</v>
      </c>
    </row>
    <row r="50" spans="1:9" x14ac:dyDescent="0.35">
      <c r="A50">
        <v>49</v>
      </c>
      <c r="B50" t="s">
        <v>32</v>
      </c>
      <c r="C50" t="s">
        <v>34</v>
      </c>
      <c r="D50" t="s">
        <v>34</v>
      </c>
      <c r="E50" t="s">
        <v>34</v>
      </c>
      <c r="F50" s="24">
        <v>70.20831092263515</v>
      </c>
      <c r="G50" s="24">
        <v>68.836661468558063</v>
      </c>
    </row>
    <row r="51" spans="1:9" x14ac:dyDescent="0.35">
      <c r="A51">
        <v>50</v>
      </c>
      <c r="B51" t="s">
        <v>32</v>
      </c>
      <c r="C51" t="s">
        <v>34</v>
      </c>
      <c r="D51" t="s">
        <v>34</v>
      </c>
      <c r="E51" t="s">
        <v>34</v>
      </c>
      <c r="F51" s="24">
        <v>64.569205835088312</v>
      </c>
      <c r="G51" s="24">
        <v>91.461959465170921</v>
      </c>
    </row>
    <row r="52" spans="1:9" x14ac:dyDescent="0.35">
      <c r="A52">
        <v>51</v>
      </c>
      <c r="B52" t="s">
        <v>32</v>
      </c>
      <c r="C52" t="s">
        <v>34</v>
      </c>
      <c r="D52" t="s">
        <v>34</v>
      </c>
      <c r="E52" t="s">
        <v>34</v>
      </c>
      <c r="F52" s="24">
        <v>65.010575521993786</v>
      </c>
      <c r="G52" s="24">
        <v>86.932376599011548</v>
      </c>
    </row>
    <row r="53" spans="1:9" x14ac:dyDescent="0.35">
      <c r="H53">
        <v>26.164999938003575</v>
      </c>
      <c r="I53">
        <v>17.590956301500505</v>
      </c>
    </row>
    <row r="55" spans="1:9" x14ac:dyDescent="0.35">
      <c r="H55">
        <v>16.934971477088165</v>
      </c>
      <c r="I55">
        <v>12.617405475486192</v>
      </c>
    </row>
    <row r="57" spans="1:9" x14ac:dyDescent="0.35">
      <c r="H57">
        <v>19.862300929788628</v>
      </c>
      <c r="I57">
        <v>15.489414811808137</v>
      </c>
    </row>
    <row r="59" spans="1:9" x14ac:dyDescent="0.35">
      <c r="H59">
        <v>25.727611181776464</v>
      </c>
      <c r="I59">
        <v>18.611419909044972</v>
      </c>
    </row>
    <row r="61" spans="1:9" x14ac:dyDescent="0.35">
      <c r="H61">
        <v>24.570889170928716</v>
      </c>
      <c r="I61">
        <v>15.547281757288271</v>
      </c>
    </row>
    <row r="63" spans="1:9" x14ac:dyDescent="0.35">
      <c r="H63">
        <v>23.482032101953038</v>
      </c>
      <c r="I63">
        <v>22.263235151503142</v>
      </c>
    </row>
    <row r="65" spans="8:9" x14ac:dyDescent="0.35">
      <c r="H65">
        <v>23.736902764202743</v>
      </c>
      <c r="I65">
        <v>16.036586927718002</v>
      </c>
    </row>
    <row r="67" spans="8:9" x14ac:dyDescent="0.35">
      <c r="H67">
        <v>15.637265589990054</v>
      </c>
      <c r="I67">
        <v>23.757357823532189</v>
      </c>
    </row>
    <row r="69" spans="8:9" x14ac:dyDescent="0.35">
      <c r="H69">
        <v>34.17549314776322</v>
      </c>
      <c r="I69">
        <v>28.637009798023978</v>
      </c>
    </row>
    <row r="71" spans="8:9" x14ac:dyDescent="0.35">
      <c r="H71">
        <v>27.259737174102913</v>
      </c>
      <c r="I71">
        <v>12.601950105739903</v>
      </c>
    </row>
    <row r="73" spans="8:9" x14ac:dyDescent="0.35">
      <c r="H73">
        <v>27.971016833525223</v>
      </c>
      <c r="I73">
        <v>38.81968871641994</v>
      </c>
    </row>
    <row r="75" spans="8:9" x14ac:dyDescent="0.35">
      <c r="H75">
        <v>21.528692558570018</v>
      </c>
      <c r="I75">
        <v>49.738183844412454</v>
      </c>
    </row>
    <row r="77" spans="8:9" x14ac:dyDescent="0.35">
      <c r="H77">
        <v>22.203741466527035</v>
      </c>
      <c r="I77">
        <v>37.483017677567425</v>
      </c>
    </row>
    <row r="79" spans="8:9" x14ac:dyDescent="0.35">
      <c r="H79">
        <v>25.439014165307949</v>
      </c>
      <c r="I79">
        <v>36.636662355866548</v>
      </c>
    </row>
    <row r="81" spans="8:9" x14ac:dyDescent="0.35">
      <c r="H81">
        <v>25.454228817083699</v>
      </c>
      <c r="I81">
        <v>34.016173654792958</v>
      </c>
    </row>
    <row r="83" spans="8:9" x14ac:dyDescent="0.35">
      <c r="H83">
        <v>19.116597287390626</v>
      </c>
      <c r="I83">
        <v>9.4816737469143071</v>
      </c>
    </row>
    <row r="85" spans="8:9" x14ac:dyDescent="0.35">
      <c r="H85">
        <v>24.323429710899433</v>
      </c>
      <c r="I85">
        <v>28.443960732995606</v>
      </c>
    </row>
    <row r="87" spans="8:9" x14ac:dyDescent="0.35">
      <c r="H87">
        <v>23.636282954020047</v>
      </c>
      <c r="I87">
        <v>40.738601880592789</v>
      </c>
    </row>
    <row r="89" spans="8:9" x14ac:dyDescent="0.35">
      <c r="H89">
        <v>22.912838058459265</v>
      </c>
      <c r="I89">
        <v>27.955114744133041</v>
      </c>
    </row>
    <row r="91" spans="8:9" x14ac:dyDescent="0.35">
      <c r="H91">
        <v>27.353108017323663</v>
      </c>
      <c r="I91">
        <v>34.940547243642804</v>
      </c>
    </row>
    <row r="93" spans="8:9" x14ac:dyDescent="0.35">
      <c r="H93">
        <v>30.344932252116163</v>
      </c>
      <c r="I93">
        <v>31.302518537273979</v>
      </c>
    </row>
    <row r="95" spans="8:9" x14ac:dyDescent="0.35">
      <c r="H95">
        <v>30.55036756415041</v>
      </c>
      <c r="I95">
        <v>51.065326388293016</v>
      </c>
    </row>
    <row r="97" spans="8:9" x14ac:dyDescent="0.35">
      <c r="H97">
        <v>18.536105334008138</v>
      </c>
      <c r="I97">
        <v>28.922383014802769</v>
      </c>
    </row>
    <row r="99" spans="8:9" x14ac:dyDescent="0.35">
      <c r="H99">
        <v>21.865464214953128</v>
      </c>
      <c r="I99">
        <v>28.053367951567338</v>
      </c>
    </row>
    <row r="101" spans="8:9" x14ac:dyDescent="0.35">
      <c r="H101">
        <v>16.292178990511484</v>
      </c>
      <c r="I101">
        <v>17.654176189438651</v>
      </c>
    </row>
    <row r="103" spans="8:9" x14ac:dyDescent="0.35">
      <c r="H103">
        <v>18.908860495520429</v>
      </c>
      <c r="I103">
        <v>13.200438290752263</v>
      </c>
    </row>
    <row r="105" spans="8:9" x14ac:dyDescent="0.35">
      <c r="H105">
        <v>12.059759045128775</v>
      </c>
      <c r="I105">
        <v>35.690815741451047</v>
      </c>
    </row>
    <row r="107" spans="8:9" x14ac:dyDescent="0.35">
      <c r="H107">
        <v>17.386356396742656</v>
      </c>
      <c r="I107">
        <v>26.292278070062451</v>
      </c>
    </row>
    <row r="109" spans="8:9" x14ac:dyDescent="0.35">
      <c r="H109">
        <v>18.48683204296454</v>
      </c>
      <c r="I109">
        <v>18.054161286096605</v>
      </c>
    </row>
    <row r="111" spans="8:9" x14ac:dyDescent="0.35">
      <c r="H111">
        <v>23.512819517313854</v>
      </c>
      <c r="I111">
        <v>16.820397239800979</v>
      </c>
    </row>
    <row r="113" spans="8:9" x14ac:dyDescent="0.35">
      <c r="H113">
        <v>33.286106727218517</v>
      </c>
      <c r="I113">
        <v>23.41330520941931</v>
      </c>
    </row>
    <row r="115" spans="8:9" x14ac:dyDescent="0.35">
      <c r="H115">
        <v>24.937934127279402</v>
      </c>
      <c r="I115">
        <v>14.056027103148457</v>
      </c>
    </row>
    <row r="117" spans="8:9" x14ac:dyDescent="0.35">
      <c r="H117">
        <v>19.957174057528672</v>
      </c>
      <c r="I117">
        <v>23.934538259605205</v>
      </c>
    </row>
    <row r="119" spans="8:9" x14ac:dyDescent="0.35">
      <c r="H119">
        <v>20.084122725234682</v>
      </c>
      <c r="I119">
        <v>31.369569606160194</v>
      </c>
    </row>
    <row r="121" spans="8:9" x14ac:dyDescent="0.35">
      <c r="H121">
        <v>23.645963121568087</v>
      </c>
      <c r="I121">
        <v>30.001356839406363</v>
      </c>
    </row>
    <row r="123" spans="8:9" x14ac:dyDescent="0.35">
      <c r="H123">
        <v>18.3443867182141</v>
      </c>
      <c r="I123">
        <v>33.632603617444452</v>
      </c>
    </row>
    <row r="125" spans="8:9" x14ac:dyDescent="0.35">
      <c r="H125">
        <v>19.748309632089324</v>
      </c>
      <c r="I125">
        <v>20.7676538614805</v>
      </c>
    </row>
    <row r="127" spans="8:9" x14ac:dyDescent="0.35">
      <c r="H127">
        <v>19.417267281260532</v>
      </c>
      <c r="I127">
        <v>31.509869596879991</v>
      </c>
    </row>
    <row r="129" spans="8:9" x14ac:dyDescent="0.35">
      <c r="H129">
        <v>19.861342266419367</v>
      </c>
      <c r="I129">
        <v>34.917412841199997</v>
      </c>
    </row>
    <row r="131" spans="8:9" x14ac:dyDescent="0.35">
      <c r="H131">
        <v>22.138579025495613</v>
      </c>
      <c r="I131">
        <v>19.339980362916315</v>
      </c>
    </row>
    <row r="133" spans="8:9" x14ac:dyDescent="0.35">
      <c r="H133">
        <v>23.902972828959843</v>
      </c>
      <c r="I133">
        <v>9.6224896705413858</v>
      </c>
    </row>
    <row r="135" spans="8:9" x14ac:dyDescent="0.35">
      <c r="H135">
        <v>21.99380760861677</v>
      </c>
      <c r="I135">
        <v>20.063212753519803</v>
      </c>
    </row>
    <row r="137" spans="8:9" x14ac:dyDescent="0.35">
      <c r="H137">
        <v>16.82746276985792</v>
      </c>
      <c r="I137">
        <v>10.93329812885144</v>
      </c>
    </row>
    <row r="139" spans="8:9" x14ac:dyDescent="0.35">
      <c r="H139">
        <v>23.619024492149908</v>
      </c>
      <c r="I139">
        <v>10.751825684320202</v>
      </c>
    </row>
    <row r="141" spans="8:9" x14ac:dyDescent="0.35">
      <c r="H141">
        <v>20.163040778640017</v>
      </c>
      <c r="I141">
        <v>9.2230835116238232</v>
      </c>
    </row>
    <row r="143" spans="8:9" x14ac:dyDescent="0.35">
      <c r="H143">
        <v>25.12011169974696</v>
      </c>
      <c r="I143">
        <v>12.155904666288084</v>
      </c>
    </row>
    <row r="145" spans="8:9" x14ac:dyDescent="0.35">
      <c r="H145">
        <v>29.389396746647883</v>
      </c>
      <c r="I145">
        <v>11.274154196622289</v>
      </c>
    </row>
    <row r="147" spans="8:9" x14ac:dyDescent="0.35">
      <c r="H147">
        <v>32.155071500456103</v>
      </c>
      <c r="I147">
        <v>7.4287485057287821</v>
      </c>
    </row>
    <row r="149" spans="8:9" x14ac:dyDescent="0.35">
      <c r="H149">
        <v>31.512141521912064</v>
      </c>
      <c r="I149">
        <v>27.991427970962565</v>
      </c>
    </row>
    <row r="151" spans="8:9" x14ac:dyDescent="0.35">
      <c r="H151">
        <v>30.678824987669181</v>
      </c>
      <c r="I151">
        <v>40.884606066724736</v>
      </c>
    </row>
    <row r="153" spans="8:9" x14ac:dyDescent="0.35">
      <c r="H153">
        <v>31.522833278344809</v>
      </c>
      <c r="I153">
        <v>30.082895492274623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BCDEF-D871-4233-A7A1-987915CF626C}">
  <dimension ref="A1:X116"/>
  <sheetViews>
    <sheetView topLeftCell="K1" zoomScale="70" zoomScaleNormal="70" workbookViewId="0">
      <selection activeCell="W8" sqref="W8"/>
    </sheetView>
  </sheetViews>
  <sheetFormatPr baseColWidth="10" defaultRowHeight="14.5" x14ac:dyDescent="0.35"/>
  <cols>
    <col min="2" max="2" width="13.81640625" bestFit="1" customWidth="1"/>
    <col min="6" max="6" width="7.81640625" bestFit="1" customWidth="1"/>
    <col min="8" max="8" width="15.26953125" bestFit="1" customWidth="1"/>
    <col min="9" max="9" width="20.7265625" bestFit="1" customWidth="1"/>
    <col min="10" max="11" width="15.54296875" customWidth="1"/>
    <col min="12" max="12" width="13.81640625" bestFit="1" customWidth="1"/>
    <col min="13" max="13" width="11.54296875" bestFit="1" customWidth="1"/>
    <col min="14" max="14" width="11.54296875" customWidth="1"/>
    <col min="16" max="16" width="7.81640625" bestFit="1" customWidth="1"/>
    <col min="18" max="18" width="14" bestFit="1" customWidth="1"/>
    <col min="19" max="21" width="15.54296875" customWidth="1"/>
  </cols>
  <sheetData>
    <row r="1" spans="1:24" x14ac:dyDescent="0.35">
      <c r="B1" s="31" t="s">
        <v>3</v>
      </c>
      <c r="C1" s="31"/>
      <c r="D1" s="31"/>
      <c r="E1" s="31"/>
      <c r="F1" s="31"/>
      <c r="G1" s="31"/>
      <c r="H1" s="31"/>
      <c r="I1" s="31"/>
      <c r="J1" s="11"/>
      <c r="K1" s="11"/>
      <c r="L1" s="32" t="s">
        <v>4</v>
      </c>
      <c r="M1" s="32"/>
      <c r="N1" s="32"/>
      <c r="O1" s="32"/>
      <c r="P1" s="32"/>
      <c r="Q1" s="32"/>
      <c r="R1" s="32"/>
      <c r="S1" s="32"/>
      <c r="T1" s="12"/>
      <c r="U1" s="12"/>
    </row>
    <row r="2" spans="1:24" x14ac:dyDescent="0.35">
      <c r="A2" s="1" t="s">
        <v>0</v>
      </c>
      <c r="B2" s="4" t="s">
        <v>8</v>
      </c>
      <c r="C2" s="3" t="s">
        <v>6</v>
      </c>
      <c r="D2" s="9" t="s">
        <v>18</v>
      </c>
      <c r="E2" s="3" t="s">
        <v>2</v>
      </c>
      <c r="F2" s="3" t="s">
        <v>5</v>
      </c>
      <c r="G2" s="3" t="s">
        <v>9</v>
      </c>
      <c r="H2" s="3" t="s">
        <v>10</v>
      </c>
      <c r="I2" s="6" t="s">
        <v>17</v>
      </c>
      <c r="J2" s="6" t="s">
        <v>36</v>
      </c>
      <c r="K2" s="6" t="s">
        <v>37</v>
      </c>
      <c r="L2" s="3" t="s">
        <v>8</v>
      </c>
      <c r="M2" s="3" t="s">
        <v>6</v>
      </c>
      <c r="N2" s="9" t="s">
        <v>18</v>
      </c>
      <c r="O2" s="3" t="s">
        <v>2</v>
      </c>
      <c r="P2" s="3" t="s">
        <v>5</v>
      </c>
      <c r="Q2" s="3" t="s">
        <v>9</v>
      </c>
      <c r="R2" s="3" t="s">
        <v>10</v>
      </c>
      <c r="S2" s="6" t="s">
        <v>17</v>
      </c>
      <c r="T2" s="6" t="s">
        <v>36</v>
      </c>
      <c r="U2" s="6" t="s">
        <v>37</v>
      </c>
    </row>
    <row r="3" spans="1:24" x14ac:dyDescent="0.35">
      <c r="A3" s="37">
        <v>1</v>
      </c>
      <c r="B3" s="38">
        <v>8.2649999999999988</v>
      </c>
      <c r="C3" s="5">
        <v>-8.4190000000000001E-2</v>
      </c>
      <c r="D3" s="5">
        <f>C3-$X$14</f>
        <v>4.9528571428571616E-3</v>
      </c>
      <c r="E3" s="36">
        <f>AVERAGE(D3:D4)</f>
        <v>4.9528571428571616E-3</v>
      </c>
      <c r="F3" s="42" t="e">
        <f>_xlfn.STDEV.S(D3:D4)/SQRT(2)</f>
        <v>#DIV/0!</v>
      </c>
      <c r="G3" s="36">
        <f>(-E3*1*0.22)/(6220*0.6*0.03*10^-3)</f>
        <v>-9.7323023528811687E-3</v>
      </c>
      <c r="H3" s="36">
        <f>G3/B3</f>
        <v>-1.177532045115689E-3</v>
      </c>
      <c r="I3" s="33">
        <f>H3*1000</f>
        <v>-1.177532045115689</v>
      </c>
      <c r="J3" s="33">
        <f>AVERAGE(I5:I12)</f>
        <v>26.146667909137264</v>
      </c>
      <c r="K3" s="34">
        <f>(_xlfn.STDEV.S(I5:I12)/SQRT(4))/J3</f>
        <v>0.22614440342488501</v>
      </c>
      <c r="L3" s="36">
        <v>6.0449999999999999</v>
      </c>
      <c r="M3" s="5">
        <v>-7.8E-2</v>
      </c>
      <c r="N3" s="5">
        <f>M3-$X$14</f>
        <v>1.1142857142857163E-2</v>
      </c>
      <c r="O3" s="36">
        <f>AVERAGE(N3:N4)</f>
        <v>1.1142857142857163E-2</v>
      </c>
      <c r="P3" s="42" t="e">
        <f>_xlfn.STDEV.S(N3:N4)/SQRT(2)</f>
        <v>#DIV/0!</v>
      </c>
      <c r="Q3" s="36">
        <f>(-O3*1*0.22)/(6220*0.6*0.03*10^-3)</f>
        <v>-2.1895574950237369E-2</v>
      </c>
      <c r="R3" s="36">
        <f>Q3/L3</f>
        <v>-3.6220967659615169E-3</v>
      </c>
      <c r="S3" s="40">
        <f>R3*1000</f>
        <v>-3.6220967659615169</v>
      </c>
      <c r="T3" s="33">
        <f>AVERAGE(S5,S9)</f>
        <v>25.985161216060646</v>
      </c>
      <c r="U3" s="34">
        <f>(_xlfn.STDEV.S(S5,S9)/SQRT(2))/T3</f>
        <v>0.22779409557704283</v>
      </c>
    </row>
    <row r="4" spans="1:24" x14ac:dyDescent="0.35">
      <c r="A4" s="37"/>
      <c r="B4" s="38"/>
      <c r="C4" s="5" t="s">
        <v>1</v>
      </c>
      <c r="D4" s="5" t="s">
        <v>1</v>
      </c>
      <c r="E4" s="36"/>
      <c r="F4" s="42"/>
      <c r="G4" s="36"/>
      <c r="H4" s="36"/>
      <c r="I4" s="33"/>
      <c r="J4" s="33"/>
      <c r="K4" s="34"/>
      <c r="L4" s="36"/>
      <c r="M4" s="5" t="s">
        <v>1</v>
      </c>
      <c r="N4" s="5" t="s">
        <v>1</v>
      </c>
      <c r="O4" s="36"/>
      <c r="P4" s="42"/>
      <c r="Q4" s="36"/>
      <c r="R4" s="36"/>
      <c r="S4" s="40"/>
      <c r="T4" s="33"/>
      <c r="U4" s="34"/>
    </row>
    <row r="5" spans="1:24" x14ac:dyDescent="0.35">
      <c r="A5" s="37">
        <v>2</v>
      </c>
      <c r="B5" s="38">
        <v>5.7149999999999999</v>
      </c>
      <c r="C5" s="5">
        <v>-0.14030000000000001</v>
      </c>
      <c r="D5" s="5">
        <f>C5-$X$14</f>
        <v>-5.1157142857142845E-2</v>
      </c>
      <c r="E5" s="36">
        <f t="shared" ref="E5" si="0">AVERAGE(D5:D6)</f>
        <v>-5.1157142857142845E-2</v>
      </c>
      <c r="F5" s="42" t="e">
        <f t="shared" ref="F5" si="1">_xlfn.STDEV.S(D5:D6)/SQRT(2)</f>
        <v>#DIV/0!</v>
      </c>
      <c r="G5" s="36">
        <f t="shared" ref="G5" si="2">(-E5*1*0.22)/(6220*0.6*0.03*10^-3)</f>
        <v>0.10052314602153829</v>
      </c>
      <c r="H5" s="36">
        <f>G5/B5</f>
        <v>1.7589351884783604E-2</v>
      </c>
      <c r="I5" s="33">
        <f t="shared" ref="I5" si="3">H5*1000</f>
        <v>17.589351884783603</v>
      </c>
      <c r="J5" s="33"/>
      <c r="K5" s="34"/>
      <c r="L5" s="36">
        <v>10.425000000000001</v>
      </c>
      <c r="M5" s="5">
        <v>-0.1956</v>
      </c>
      <c r="N5" s="5">
        <f>M5-$X$14</f>
        <v>-0.10645714285714283</v>
      </c>
      <c r="O5" s="36">
        <f t="shared" ref="O5" si="4">AVERAGE(N5:N6)</f>
        <v>-0.10645714285714283</v>
      </c>
      <c r="P5" s="42" t="e">
        <f t="shared" ref="P5" si="5">_xlfn.STDEV.S(N5:N6)/SQRT(2)</f>
        <v>#DIV/0!</v>
      </c>
      <c r="Q5" s="36">
        <f t="shared" ref="Q5" si="6">(-O5*1*0.22)/(6220*0.6*0.03*10^-3)</f>
        <v>0.20918695452457506</v>
      </c>
      <c r="R5" s="36">
        <f>Q5/L5</f>
        <v>2.0065894918424466E-2</v>
      </c>
      <c r="S5" s="33">
        <f t="shared" ref="S5" si="7">R5*1000</f>
        <v>20.065894918424465</v>
      </c>
      <c r="T5" s="33"/>
      <c r="U5" s="34"/>
    </row>
    <row r="6" spans="1:24" x14ac:dyDescent="0.35">
      <c r="A6" s="37"/>
      <c r="B6" s="38"/>
      <c r="C6" s="5" t="s">
        <v>1</v>
      </c>
      <c r="D6" s="5" t="s">
        <v>1</v>
      </c>
      <c r="E6" s="36"/>
      <c r="F6" s="42"/>
      <c r="G6" s="36"/>
      <c r="H6" s="36"/>
      <c r="I6" s="33"/>
      <c r="J6" s="33"/>
      <c r="K6" s="34"/>
      <c r="L6" s="36"/>
      <c r="M6" s="5" t="s">
        <v>1</v>
      </c>
      <c r="N6" s="5" t="s">
        <v>1</v>
      </c>
      <c r="O6" s="36"/>
      <c r="P6" s="42"/>
      <c r="Q6" s="36"/>
      <c r="R6" s="36"/>
      <c r="S6" s="33"/>
      <c r="T6" s="33"/>
      <c r="U6" s="34"/>
    </row>
    <row r="7" spans="1:24" x14ac:dyDescent="0.35">
      <c r="A7" s="37">
        <v>3</v>
      </c>
      <c r="B7" s="38">
        <v>6.4050000000000011</v>
      </c>
      <c r="C7" s="5">
        <v>-0.14030000000000001</v>
      </c>
      <c r="D7" s="5">
        <f>C7-$X$14</f>
        <v>-5.1157142857142845E-2</v>
      </c>
      <c r="E7" s="36">
        <f t="shared" ref="E7" si="8">AVERAGE(D7:D8)</f>
        <v>-5.1157142857142845E-2</v>
      </c>
      <c r="F7" s="42" t="e">
        <f t="shared" ref="F7" si="9">_xlfn.STDEV.S(D7:D8)/SQRT(2)</f>
        <v>#DIV/0!</v>
      </c>
      <c r="G7" s="36">
        <f t="shared" ref="G7" si="10">(-E7*1*0.22)/(6220*0.6*0.03*10^-3)</f>
        <v>0.10052314602153829</v>
      </c>
      <c r="H7" s="36">
        <f>G7/B7</f>
        <v>1.5694480253167567E-2</v>
      </c>
      <c r="I7" s="33">
        <f t="shared" ref="I7" si="11">H7*1000</f>
        <v>15.694480253167567</v>
      </c>
      <c r="J7" s="33"/>
      <c r="K7" s="34"/>
      <c r="L7" s="36">
        <v>10.319999999999999</v>
      </c>
      <c r="M7" s="5">
        <v>-5.6000000000000001E-2</v>
      </c>
      <c r="N7" s="5">
        <f>M7-$X$14</f>
        <v>3.3142857142857161E-2</v>
      </c>
      <c r="O7" s="36">
        <f t="shared" ref="O7" si="12">AVERAGE(N7:N8)</f>
        <v>3.3142857142857161E-2</v>
      </c>
      <c r="P7" s="42" t="e">
        <f t="shared" ref="P7" si="13">_xlfn.STDEV.S(N7:N8)/SQRT(2)</f>
        <v>#DIV/0!</v>
      </c>
      <c r="Q7" s="36">
        <f t="shared" ref="Q7" si="14">(-O7*1*0.22)/(6220*0.6*0.03*10^-3)</f>
        <v>-6.5125299851987992E-2</v>
      </c>
      <c r="R7" s="36">
        <f>Q7/L7</f>
        <v>-6.3105910709290699E-3</v>
      </c>
      <c r="S7" s="40">
        <f t="shared" ref="S7" si="15">R7*1000</f>
        <v>-6.3105910709290702</v>
      </c>
      <c r="T7" s="33"/>
      <c r="U7" s="34"/>
    </row>
    <row r="8" spans="1:24" x14ac:dyDescent="0.35">
      <c r="A8" s="37"/>
      <c r="B8" s="38"/>
      <c r="C8" s="5" t="s">
        <v>1</v>
      </c>
      <c r="D8" s="5" t="s">
        <v>1</v>
      </c>
      <c r="E8" s="36"/>
      <c r="F8" s="42"/>
      <c r="G8" s="36"/>
      <c r="H8" s="36"/>
      <c r="I8" s="33"/>
      <c r="J8" s="33"/>
      <c r="K8" s="34"/>
      <c r="L8" s="36"/>
      <c r="M8" s="5" t="s">
        <v>1</v>
      </c>
      <c r="N8" s="5" t="s">
        <v>1</v>
      </c>
      <c r="O8" s="36"/>
      <c r="P8" s="42"/>
      <c r="Q8" s="36"/>
      <c r="R8" s="36"/>
      <c r="S8" s="40"/>
      <c r="T8" s="33"/>
      <c r="U8" s="34"/>
    </row>
    <row r="9" spans="1:24" x14ac:dyDescent="0.35">
      <c r="A9" s="37">
        <v>4</v>
      </c>
      <c r="B9" s="38">
        <v>5.625</v>
      </c>
      <c r="C9" s="5">
        <v>-0.2064</v>
      </c>
      <c r="D9" s="5">
        <f>C9-$X$14</f>
        <v>-0.11725714285714284</v>
      </c>
      <c r="E9" s="36">
        <f t="shared" ref="E9" si="16">AVERAGE(D9:D10)</f>
        <v>-0.11725714285714284</v>
      </c>
      <c r="F9" s="42" t="e">
        <f t="shared" ref="F9" si="17">_xlfn.STDEV.S(D9:D10)/SQRT(2)</f>
        <v>#DIV/0!</v>
      </c>
      <c r="G9" s="36">
        <f t="shared" ref="G9" si="18">(-E9*1*0.22)/(6220*0.6*0.03*10^-3)</f>
        <v>0.23040881947634359</v>
      </c>
      <c r="H9" s="36">
        <f>G9/B9</f>
        <v>4.0961567906905527E-2</v>
      </c>
      <c r="I9" s="33">
        <f t="shared" ref="I9" si="19">H9*1000</f>
        <v>40.961567906905529</v>
      </c>
      <c r="J9" s="33"/>
      <c r="K9" s="34"/>
      <c r="L9" s="36">
        <v>8.7000000000000011</v>
      </c>
      <c r="M9" s="5">
        <v>-0.23039999999999999</v>
      </c>
      <c r="N9" s="5">
        <f>M9-$X$14</f>
        <v>-0.14125714285714283</v>
      </c>
      <c r="O9" s="36">
        <f t="shared" ref="O9" si="20">AVERAGE(N9:N10)</f>
        <v>-0.14125714285714283</v>
      </c>
      <c r="P9" s="42" t="e">
        <f t="shared" ref="P9" si="21">_xlfn.STDEV.S(N9:N10)/SQRT(2)</f>
        <v>#DIV/0!</v>
      </c>
      <c r="Q9" s="36">
        <f t="shared" ref="Q9" si="22">(-O9*1*0.22)/(6220*0.6*0.03*10^-3)</f>
        <v>0.27756851936916244</v>
      </c>
      <c r="R9" s="36">
        <f>Q9/L9</f>
        <v>3.1904427513696827E-2</v>
      </c>
      <c r="S9" s="33">
        <f t="shared" ref="S9" si="23">R9*1000</f>
        <v>31.904427513696827</v>
      </c>
      <c r="T9" s="33"/>
      <c r="U9" s="34"/>
      <c r="W9" s="8" t="s">
        <v>13</v>
      </c>
      <c r="X9">
        <v>1</v>
      </c>
    </row>
    <row r="10" spans="1:24" x14ac:dyDescent="0.35">
      <c r="A10" s="37"/>
      <c r="B10" s="38"/>
      <c r="C10" s="5" t="s">
        <v>1</v>
      </c>
      <c r="D10" s="5" t="s">
        <v>1</v>
      </c>
      <c r="E10" s="36"/>
      <c r="F10" s="42"/>
      <c r="G10" s="36"/>
      <c r="H10" s="36"/>
      <c r="I10" s="33"/>
      <c r="J10" s="33"/>
      <c r="K10" s="34"/>
      <c r="L10" s="36"/>
      <c r="M10" s="5" t="s">
        <v>1</v>
      </c>
      <c r="N10" s="5" t="s">
        <v>1</v>
      </c>
      <c r="O10" s="36"/>
      <c r="P10" s="42"/>
      <c r="Q10" s="36"/>
      <c r="R10" s="36"/>
      <c r="S10" s="33"/>
      <c r="T10" s="33"/>
      <c r="U10" s="34"/>
      <c r="W10" s="8" t="s">
        <v>16</v>
      </c>
      <c r="X10">
        <v>0.22</v>
      </c>
    </row>
    <row r="11" spans="1:24" x14ac:dyDescent="0.35">
      <c r="A11" s="37">
        <v>5</v>
      </c>
      <c r="B11" s="38">
        <v>4.1550000000000002</v>
      </c>
      <c r="C11" s="5">
        <v>-0.15329999999999999</v>
      </c>
      <c r="D11" s="5">
        <f>C11-$X$14</f>
        <v>-6.4157142857142829E-2</v>
      </c>
      <c r="E11" s="36">
        <f t="shared" ref="E11" si="24">AVERAGE(D11:D12)</f>
        <v>-6.4157142857142829E-2</v>
      </c>
      <c r="F11" s="42" t="e">
        <f t="shared" ref="F11" si="25">_xlfn.STDEV.S(D11:D12)/SQRT(2)</f>
        <v>#DIV/0!</v>
      </c>
      <c r="G11" s="36">
        <f t="shared" ref="G11" si="26">(-E11*1*0.22)/(6220*0.6*0.03*10^-3)</f>
        <v>0.1260679834634818</v>
      </c>
      <c r="H11" s="36">
        <f>G11/B11</f>
        <v>3.0341271591692368E-2</v>
      </c>
      <c r="I11" s="33">
        <f t="shared" ref="I11" si="27">H11*1000</f>
        <v>30.341271591692369</v>
      </c>
      <c r="J11" s="33"/>
      <c r="K11" s="34"/>
      <c r="L11" s="36">
        <v>8.9699999999999989</v>
      </c>
      <c r="M11" s="5">
        <v>-6.4000000000000001E-2</v>
      </c>
      <c r="N11" s="5">
        <f>M11-$X$14</f>
        <v>2.5142857142857161E-2</v>
      </c>
      <c r="O11" s="36">
        <f t="shared" ref="O11" si="28">AVERAGE(N11:N12)</f>
        <v>2.5142857142857161E-2</v>
      </c>
      <c r="P11" s="42" t="e">
        <f t="shared" ref="P11" si="29">_xlfn.STDEV.S(N11:N12)/SQRT(2)</f>
        <v>#DIV/0!</v>
      </c>
      <c r="Q11" s="36">
        <f t="shared" ref="Q11" si="30">(-O11*1*0.22)/(6220*0.6*0.03*10^-3)</f>
        <v>-4.9405399887715036E-2</v>
      </c>
      <c r="R11" s="36">
        <f>Q11/L11</f>
        <v>-5.5078483709827247E-3</v>
      </c>
      <c r="S11" s="40">
        <f t="shared" ref="S11" si="31">R11*1000</f>
        <v>-5.5078483709827246</v>
      </c>
      <c r="T11" s="33"/>
      <c r="U11" s="34"/>
      <c r="W11" s="8" t="s">
        <v>15</v>
      </c>
      <c r="X11">
        <v>6220</v>
      </c>
    </row>
    <row r="12" spans="1:24" x14ac:dyDescent="0.35">
      <c r="A12" s="37"/>
      <c r="B12" s="38"/>
      <c r="C12" s="5" t="s">
        <v>1</v>
      </c>
      <c r="D12" s="5" t="s">
        <v>1</v>
      </c>
      <c r="E12" s="36"/>
      <c r="F12" s="42"/>
      <c r="G12" s="36"/>
      <c r="H12" s="36"/>
      <c r="I12" s="33"/>
      <c r="J12" s="33"/>
      <c r="K12" s="34"/>
      <c r="L12" s="36"/>
      <c r="M12" s="5" t="s">
        <v>1</v>
      </c>
      <c r="N12" s="5" t="s">
        <v>1</v>
      </c>
      <c r="O12" s="36"/>
      <c r="P12" s="42"/>
      <c r="Q12" s="36"/>
      <c r="R12" s="36"/>
      <c r="S12" s="40"/>
      <c r="T12" s="33"/>
      <c r="U12" s="34"/>
      <c r="W12" s="8" t="s">
        <v>14</v>
      </c>
      <c r="X12">
        <v>0.03</v>
      </c>
    </row>
    <row r="13" spans="1:24" x14ac:dyDescent="0.35">
      <c r="A13" s="37">
        <v>6</v>
      </c>
      <c r="B13" s="38">
        <v>5.61</v>
      </c>
      <c r="C13" s="5">
        <v>-9.0139999999999998E-2</v>
      </c>
      <c r="D13" s="5">
        <f>C13-$X$14</f>
        <v>-9.9714285714283535E-4</v>
      </c>
      <c r="E13" s="36">
        <f t="shared" ref="E13" si="32">AVERAGE(D13:D14)</f>
        <v>-9.9714285714283535E-4</v>
      </c>
      <c r="F13" s="42" t="e">
        <f t="shared" ref="F13" si="33">_xlfn.STDEV.S(D13:D14)/SQRT(2)</f>
        <v>#DIV/0!</v>
      </c>
      <c r="G13" s="36">
        <f t="shared" ref="G13" si="34">(-E13*1*0.22)/(6220*0.6*0.03*10^-3)</f>
        <v>1.9593732455468363E-3</v>
      </c>
      <c r="H13" s="36">
        <f>G13/B13</f>
        <v>3.4926439314560359E-4</v>
      </c>
      <c r="I13" s="33">
        <f t="shared" ref="I13" si="35">H13*1000</f>
        <v>0.34926439314560359</v>
      </c>
      <c r="J13" s="33">
        <f>AVERAGE(I13:I18,I21)</f>
        <v>17.26562636053939</v>
      </c>
      <c r="K13" s="34">
        <f>(_xlfn.STDEV.S(I13:I18,I21)/SQRT(4))/J13</f>
        <v>0.45237882889952891</v>
      </c>
      <c r="L13" s="36">
        <v>9.4350000000000005</v>
      </c>
      <c r="M13" s="5">
        <v>-7.3249999999999996E-2</v>
      </c>
      <c r="N13" s="5">
        <f>M13-$X$14</f>
        <v>1.5892857142857167E-2</v>
      </c>
      <c r="O13" s="36">
        <f t="shared" ref="O13" si="36">AVERAGE(N13:N14)</f>
        <v>1.5892857142857167E-2</v>
      </c>
      <c r="P13" s="42" t="e">
        <f t="shared" ref="P13" si="37">_xlfn.STDEV.S(N13:N14)/SQRT(2)</f>
        <v>#DIV/0!</v>
      </c>
      <c r="Q13" s="36">
        <f t="shared" ref="Q13" si="38">(-O13*1*0.22)/(6220*0.6*0.03*10^-3)</f>
        <v>-3.1229265554024443E-2</v>
      </c>
      <c r="R13" s="36">
        <f>Q13/L13</f>
        <v>-3.3099380555404812E-3</v>
      </c>
      <c r="S13" s="40">
        <f t="shared" ref="S13" si="39">R13*1000</f>
        <v>-3.3099380555404814</v>
      </c>
      <c r="T13" s="33">
        <f>AVERAGE(S19:S22)</f>
        <v>6.0627415863970597</v>
      </c>
      <c r="U13" s="34">
        <f>(_xlfn.STDEV.S(S19:S22)/SQRT(2))/T13</f>
        <v>0.20761421735771546</v>
      </c>
    </row>
    <row r="14" spans="1:24" x14ac:dyDescent="0.35">
      <c r="A14" s="37"/>
      <c r="B14" s="38"/>
      <c r="C14" s="5" t="s">
        <v>1</v>
      </c>
      <c r="D14" s="5" t="s">
        <v>1</v>
      </c>
      <c r="E14" s="36"/>
      <c r="F14" s="42"/>
      <c r="G14" s="36"/>
      <c r="H14" s="36"/>
      <c r="I14" s="33"/>
      <c r="J14" s="33"/>
      <c r="K14" s="34"/>
      <c r="L14" s="36"/>
      <c r="M14" s="5" t="s">
        <v>1</v>
      </c>
      <c r="N14" s="5" t="s">
        <v>1</v>
      </c>
      <c r="O14" s="36"/>
      <c r="P14" s="42"/>
      <c r="Q14" s="36"/>
      <c r="R14" s="36"/>
      <c r="S14" s="40"/>
      <c r="T14" s="33"/>
      <c r="U14" s="34"/>
      <c r="W14" s="8" t="s">
        <v>12</v>
      </c>
      <c r="X14">
        <v>-8.9142857142857163E-2</v>
      </c>
    </row>
    <row r="15" spans="1:24" x14ac:dyDescent="0.35">
      <c r="A15" s="37">
        <v>7</v>
      </c>
      <c r="B15" s="38">
        <v>6.51</v>
      </c>
      <c r="C15" s="5">
        <v>-0.16270000000000001</v>
      </c>
      <c r="D15" s="5">
        <f>C15-$X$14</f>
        <v>-7.3557142857142849E-2</v>
      </c>
      <c r="E15" s="36">
        <f t="shared" ref="E15" si="40">AVERAGE(D15:D16)</f>
        <v>-7.3557142857142849E-2</v>
      </c>
      <c r="F15" s="42" t="e">
        <f t="shared" ref="F15" si="41">_xlfn.STDEV.S(D15:D16)/SQRT(2)</f>
        <v>#DIV/0!</v>
      </c>
      <c r="G15" s="36">
        <f t="shared" ref="G15" si="42">(-E15*1*0.22)/(6220*0.6*0.03*10^-3)</f>
        <v>0.14453886592150259</v>
      </c>
      <c r="H15" s="36">
        <f>G15/B15</f>
        <v>2.2202590771352164E-2</v>
      </c>
      <c r="I15" s="33">
        <f t="shared" ref="I15" si="43">H15*1000</f>
        <v>22.202590771352163</v>
      </c>
      <c r="J15" s="33"/>
      <c r="K15" s="34"/>
      <c r="L15" s="36">
        <v>8.4449999999999985</v>
      </c>
      <c r="M15" s="5">
        <v>-6.0970000000000003E-2</v>
      </c>
      <c r="N15" s="5">
        <f>M15-$X$14</f>
        <v>2.8172857142857159E-2</v>
      </c>
      <c r="O15" s="36">
        <f t="shared" ref="O15" si="44">AVERAGE(N15:N16)</f>
        <v>2.8172857142857159E-2</v>
      </c>
      <c r="P15" s="42" t="e">
        <f t="shared" ref="P15" si="45">_xlfn.STDEV.S(N15:N16)/SQRT(2)</f>
        <v>#DIV/0!</v>
      </c>
      <c r="Q15" s="36">
        <f t="shared" ref="Q15" si="46">(-O15*1*0.22)/(6220*0.6*0.03*10^-3)</f>
        <v>-5.5359311999183418E-2</v>
      </c>
      <c r="R15" s="36">
        <f>Q15/L15</f>
        <v>-6.5552767316972675E-3</v>
      </c>
      <c r="S15" s="40">
        <f t="shared" ref="S15" si="47">R15*1000</f>
        <v>-6.5552767316972673</v>
      </c>
      <c r="T15" s="33"/>
      <c r="U15" s="34"/>
    </row>
    <row r="16" spans="1:24" x14ac:dyDescent="0.35">
      <c r="A16" s="37"/>
      <c r="B16" s="38"/>
      <c r="C16" s="5" t="s">
        <v>1</v>
      </c>
      <c r="D16" s="5" t="s">
        <v>1</v>
      </c>
      <c r="E16" s="36"/>
      <c r="F16" s="42"/>
      <c r="G16" s="36"/>
      <c r="H16" s="36"/>
      <c r="I16" s="33"/>
      <c r="J16" s="33"/>
      <c r="K16" s="34"/>
      <c r="L16" s="36"/>
      <c r="M16" s="5" t="s">
        <v>1</v>
      </c>
      <c r="N16" s="5" t="s">
        <v>1</v>
      </c>
      <c r="O16" s="36"/>
      <c r="P16" s="42"/>
      <c r="Q16" s="36"/>
      <c r="R16" s="36"/>
      <c r="S16" s="40"/>
      <c r="T16" s="33"/>
      <c r="U16" s="34"/>
    </row>
    <row r="17" spans="1:21" x14ac:dyDescent="0.35">
      <c r="A17" s="37">
        <v>8</v>
      </c>
      <c r="B17" s="38">
        <v>7.6950000000000003</v>
      </c>
      <c r="C17" s="5">
        <v>-0.23200000000000001</v>
      </c>
      <c r="D17" s="5">
        <f>C17-$X$14</f>
        <v>-0.14285714285714285</v>
      </c>
      <c r="E17" s="36">
        <f t="shared" ref="E17" si="48">AVERAGE(D17:D18)</f>
        <v>-0.14285714285714285</v>
      </c>
      <c r="F17" s="42" t="e">
        <f t="shared" ref="F17" si="49">_xlfn.STDEV.S(D17:D18)/SQRT(2)</f>
        <v>#DIV/0!</v>
      </c>
      <c r="G17" s="36">
        <f t="shared" ref="G17" si="50">(-E17*1*0.22)/(6220*0.6*0.03*10^-3)</f>
        <v>0.28071249936201703</v>
      </c>
      <c r="H17" s="36">
        <f>G17/B17</f>
        <v>3.6479856967123719E-2</v>
      </c>
      <c r="I17" s="33">
        <f t="shared" ref="I17" si="51">H17*1000</f>
        <v>36.479856967123716</v>
      </c>
      <c r="J17" s="33"/>
      <c r="K17" s="34"/>
      <c r="L17" s="36">
        <v>9.7800000000000011</v>
      </c>
      <c r="M17" s="5">
        <v>-8.5199999999999998E-2</v>
      </c>
      <c r="N17" s="5">
        <f>M17-$X$14</f>
        <v>3.9428571428571646E-3</v>
      </c>
      <c r="O17" s="36">
        <f t="shared" ref="O17" si="52">AVERAGE(N17:N18)</f>
        <v>3.9428571428571646E-3</v>
      </c>
      <c r="P17" s="42" t="e">
        <f t="shared" ref="P17" si="53">_xlfn.STDEV.S(N17:N18)/SQRT(2)</f>
        <v>#DIV/0!</v>
      </c>
      <c r="Q17" s="36">
        <f t="shared" ref="Q17" si="54">(-O17*1*0.22)/(6220*0.6*0.03*10^-3)</f>
        <v>-7.7476649823917136E-3</v>
      </c>
      <c r="R17" s="36">
        <f>Q17/L17</f>
        <v>-7.9219478347563525E-4</v>
      </c>
      <c r="S17" s="40">
        <f t="shared" ref="S17" si="55">R17*1000</f>
        <v>-0.79219478347563521</v>
      </c>
      <c r="T17" s="33"/>
      <c r="U17" s="34"/>
    </row>
    <row r="18" spans="1:21" x14ac:dyDescent="0.35">
      <c r="A18" s="37"/>
      <c r="B18" s="38"/>
      <c r="C18" s="5" t="s">
        <v>1</v>
      </c>
      <c r="D18" s="5" t="s">
        <v>1</v>
      </c>
      <c r="E18" s="36"/>
      <c r="F18" s="42"/>
      <c r="G18" s="36"/>
      <c r="H18" s="36"/>
      <c r="I18" s="33"/>
      <c r="J18" s="33"/>
      <c r="K18" s="34"/>
      <c r="L18" s="36"/>
      <c r="M18" s="5" t="s">
        <v>1</v>
      </c>
      <c r="N18" s="5" t="s">
        <v>1</v>
      </c>
      <c r="O18" s="36"/>
      <c r="P18" s="42"/>
      <c r="Q18" s="36"/>
      <c r="R18" s="36"/>
      <c r="S18" s="40"/>
      <c r="T18" s="33"/>
      <c r="U18" s="34"/>
    </row>
    <row r="19" spans="1:21" x14ac:dyDescent="0.35">
      <c r="A19" s="37">
        <v>9</v>
      </c>
      <c r="B19" s="38">
        <v>3.57</v>
      </c>
      <c r="C19" s="5">
        <v>-8.5519999999999999E-2</v>
      </c>
      <c r="D19" s="5">
        <f>C19-$X$14</f>
        <v>3.6228571428571638E-3</v>
      </c>
      <c r="E19" s="36">
        <f t="shared" ref="E19" si="56">AVERAGE(D19:D20)</f>
        <v>3.6228571428571638E-3</v>
      </c>
      <c r="F19" s="42" t="e">
        <f t="shared" ref="F19" si="57">_xlfn.STDEV.S(D19:D20)/SQRT(2)</f>
        <v>#DIV/0!</v>
      </c>
      <c r="G19" s="36">
        <f t="shared" ref="G19" si="58">(-E19*1*0.22)/(6220*0.6*0.03*10^-3)</f>
        <v>-7.1188689838207935E-3</v>
      </c>
      <c r="H19" s="36">
        <f>G19/B19</f>
        <v>-1.9940809478489617E-3</v>
      </c>
      <c r="I19" s="33">
        <f t="shared" ref="I19" si="59">H19*1000</f>
        <v>-1.9940809478489616</v>
      </c>
      <c r="J19" s="33"/>
      <c r="K19" s="34"/>
      <c r="L19" s="36">
        <v>10.29</v>
      </c>
      <c r="M19" s="5">
        <v>-0.1143</v>
      </c>
      <c r="N19" s="5">
        <f>M19-$X$14</f>
        <v>-2.5157142857142836E-2</v>
      </c>
      <c r="O19" s="36">
        <f t="shared" ref="O19" si="60">AVERAGE(N19:N20)</f>
        <v>-2.5157142857142836E-2</v>
      </c>
      <c r="P19" s="42" t="e">
        <f t="shared" ref="P19" si="61">_xlfn.STDEV.S(N19:N20)/SQRT(2)</f>
        <v>#DIV/0!</v>
      </c>
      <c r="Q19" s="36">
        <f t="shared" ref="Q19" si="62">(-O19*1*0.22)/(6220*0.6*0.03*10^-3)</f>
        <v>4.9433471137651168E-2</v>
      </c>
      <c r="R19" s="36">
        <f>Q19/L19</f>
        <v>4.8040302368951579E-3</v>
      </c>
      <c r="S19" s="33">
        <f t="shared" ref="S19" si="63">R19*1000</f>
        <v>4.8040302368951577</v>
      </c>
      <c r="T19" s="33"/>
      <c r="U19" s="34"/>
    </row>
    <row r="20" spans="1:21" x14ac:dyDescent="0.35">
      <c r="A20" s="37"/>
      <c r="B20" s="38"/>
      <c r="C20" s="5" t="s">
        <v>1</v>
      </c>
      <c r="D20" s="5" t="s">
        <v>1</v>
      </c>
      <c r="E20" s="36"/>
      <c r="F20" s="42"/>
      <c r="G20" s="36"/>
      <c r="H20" s="36"/>
      <c r="I20" s="33"/>
      <c r="J20" s="33"/>
      <c r="K20" s="34"/>
      <c r="L20" s="36"/>
      <c r="M20" s="5" t="s">
        <v>1</v>
      </c>
      <c r="N20" s="5" t="s">
        <v>1</v>
      </c>
      <c r="O20" s="36"/>
      <c r="P20" s="42"/>
      <c r="Q20" s="36"/>
      <c r="R20" s="36"/>
      <c r="S20" s="33"/>
      <c r="T20" s="33"/>
      <c r="U20" s="34"/>
    </row>
    <row r="21" spans="1:21" x14ac:dyDescent="0.35">
      <c r="A21" s="37">
        <v>10</v>
      </c>
      <c r="B21" s="38">
        <v>6.7499999999999991</v>
      </c>
      <c r="C21" s="5">
        <v>-0.1236</v>
      </c>
      <c r="D21" s="5">
        <f>C21-$X$14</f>
        <v>-3.4457142857142839E-2</v>
      </c>
      <c r="E21" s="36">
        <f t="shared" ref="E21" si="64">AVERAGE(D21:D22)</f>
        <v>-3.4457142857142839E-2</v>
      </c>
      <c r="F21" s="42" t="e">
        <f t="shared" ref="F21" si="65">_xlfn.STDEV.S(D21:D22)/SQRT(2)</f>
        <v>#DIV/0!</v>
      </c>
      <c r="G21" s="36">
        <f t="shared" ref="G21" si="66">(-E21*1*0.22)/(6220*0.6*0.03*10^-3)</f>
        <v>6.7707854846118479E-2</v>
      </c>
      <c r="H21" s="36">
        <f>G21/B21</f>
        <v>1.0030793310536072E-2</v>
      </c>
      <c r="I21" s="33">
        <f t="shared" ref="I21" si="67">H21*1000</f>
        <v>10.030793310536072</v>
      </c>
      <c r="J21" s="33"/>
      <c r="K21" s="34"/>
      <c r="L21" s="36">
        <v>9.06</v>
      </c>
      <c r="M21" s="5">
        <v>-0.1229</v>
      </c>
      <c r="N21" s="5">
        <f>M21-$X$14</f>
        <v>-3.3757142857142833E-2</v>
      </c>
      <c r="O21" s="36">
        <f t="shared" ref="O21" si="68">AVERAGE(N21:N22)</f>
        <v>-3.3757142857142833E-2</v>
      </c>
      <c r="P21" s="42" t="e">
        <f t="shared" ref="P21" si="69">_xlfn.STDEV.S(N21:N22)/SQRT(2)</f>
        <v>#DIV/0!</v>
      </c>
      <c r="Q21" s="36">
        <f t="shared" ref="Q21" si="70">(-O21*1*0.22)/(6220*0.6*0.03*10^-3)</f>
        <v>6.633236359924459E-2</v>
      </c>
      <c r="R21" s="36">
        <f>Q21/L21</f>
        <v>7.3214529358989608E-3</v>
      </c>
      <c r="S21" s="33">
        <f t="shared" ref="S21" si="71">R21*1000</f>
        <v>7.3214529358989608</v>
      </c>
      <c r="T21" s="33"/>
      <c r="U21" s="34"/>
    </row>
    <row r="22" spans="1:21" x14ac:dyDescent="0.35">
      <c r="A22" s="37"/>
      <c r="B22" s="38"/>
      <c r="C22" s="5" t="s">
        <v>1</v>
      </c>
      <c r="D22" s="5" t="s">
        <v>1</v>
      </c>
      <c r="E22" s="36"/>
      <c r="F22" s="42"/>
      <c r="G22" s="36"/>
      <c r="H22" s="36"/>
      <c r="I22" s="33"/>
      <c r="J22" s="33"/>
      <c r="K22" s="34"/>
      <c r="L22" s="36"/>
      <c r="M22" s="5" t="s">
        <v>1</v>
      </c>
      <c r="N22" s="5" t="s">
        <v>1</v>
      </c>
      <c r="O22" s="36"/>
      <c r="P22" s="42"/>
      <c r="Q22" s="36"/>
      <c r="R22" s="36"/>
      <c r="S22" s="33"/>
      <c r="T22" s="33"/>
      <c r="U22" s="34"/>
    </row>
    <row r="23" spans="1:21" x14ac:dyDescent="0.35">
      <c r="A23" s="37">
        <v>11</v>
      </c>
      <c r="B23" s="38">
        <v>4.6349999999999998</v>
      </c>
      <c r="C23" s="5">
        <v>-0.1764</v>
      </c>
      <c r="D23" s="5">
        <f>C23-$X$14</f>
        <v>-8.7257142857142839E-2</v>
      </c>
      <c r="E23" s="36">
        <f t="shared" ref="E23" si="72">AVERAGE(D23:D24)</f>
        <v>-8.7257142857142839E-2</v>
      </c>
      <c r="F23" s="42" t="e">
        <f t="shared" ref="F23" si="73">_xlfn.STDEV.S(D23:D24)/SQRT(2)</f>
        <v>#DIV/0!</v>
      </c>
      <c r="G23" s="36">
        <f t="shared" ref="G23" si="74">(-E23*1*0.22)/(6220*0.6*0.03*10^-3)</f>
        <v>0.17145919461032</v>
      </c>
      <c r="H23" s="36">
        <f>G23/B23</f>
        <v>3.6992274996832795E-2</v>
      </c>
      <c r="I23" s="33">
        <f t="shared" ref="I23" si="75">H23*1000</f>
        <v>36.992274996832798</v>
      </c>
      <c r="J23" s="33">
        <f>AVERAGE(I23:I26,I29)</f>
        <v>19.446500508213614</v>
      </c>
      <c r="K23" s="34">
        <f>(_xlfn.STDEV.S(I23:I26,I29)/SQRT(3))/J23</f>
        <v>0.52528631036043161</v>
      </c>
      <c r="L23" s="36">
        <v>8.7600000000000016</v>
      </c>
      <c r="M23" s="5">
        <v>-0.10050000000000001</v>
      </c>
      <c r="N23" s="5">
        <f>M23-$X$14</f>
        <v>-1.1357142857142843E-2</v>
      </c>
      <c r="O23" s="36">
        <f t="shared" ref="O23" si="76">AVERAGE(N23:N24)</f>
        <v>-1.1357142857142843E-2</v>
      </c>
      <c r="P23" s="42" t="e">
        <f t="shared" ref="P23" si="77">_xlfn.STDEV.S(N23:N24)/SQRT(2)</f>
        <v>#DIV/0!</v>
      </c>
      <c r="Q23" s="36">
        <f t="shared" ref="Q23" si="78">(-O23*1*0.22)/(6220*0.6*0.03*10^-3)</f>
        <v>2.2316643699280329E-2</v>
      </c>
      <c r="R23" s="36">
        <f>Q23/L23</f>
        <v>2.5475620661278911E-3</v>
      </c>
      <c r="S23" s="33">
        <f t="shared" ref="S23" si="79">R23*1000</f>
        <v>2.5475620661278913</v>
      </c>
      <c r="T23" s="33">
        <f t="shared" ref="T23" si="80">AVERAGE(S23:S32)</f>
        <v>5.4990341731269128</v>
      </c>
      <c r="U23" s="34">
        <f t="shared" ref="U23" si="81">(_xlfn.STDEV.S(S23:S32)/SQRT(5))/T23</f>
        <v>0.22590577759654162</v>
      </c>
    </row>
    <row r="24" spans="1:21" x14ac:dyDescent="0.35">
      <c r="A24" s="37"/>
      <c r="B24" s="38"/>
      <c r="C24" s="5" t="s">
        <v>1</v>
      </c>
      <c r="D24" s="5" t="s">
        <v>1</v>
      </c>
      <c r="E24" s="36"/>
      <c r="F24" s="42"/>
      <c r="G24" s="36"/>
      <c r="H24" s="36"/>
      <c r="I24" s="33"/>
      <c r="J24" s="33"/>
      <c r="K24" s="34"/>
      <c r="L24" s="36"/>
      <c r="M24" s="5" t="s">
        <v>1</v>
      </c>
      <c r="N24" s="5" t="s">
        <v>1</v>
      </c>
      <c r="O24" s="36"/>
      <c r="P24" s="42"/>
      <c r="Q24" s="36"/>
      <c r="R24" s="36"/>
      <c r="S24" s="33"/>
      <c r="T24" s="33"/>
      <c r="U24" s="34"/>
    </row>
    <row r="25" spans="1:21" x14ac:dyDescent="0.35">
      <c r="A25" s="37">
        <v>12</v>
      </c>
      <c r="B25" s="38">
        <v>3.9750000000000001</v>
      </c>
      <c r="C25" s="5">
        <v>-9.2399999999999996E-2</v>
      </c>
      <c r="D25" s="5">
        <f>C25-$X$14</f>
        <v>-3.2571428571428335E-3</v>
      </c>
      <c r="E25" s="36">
        <f t="shared" ref="E25" si="82">AVERAGE(D25:D26)</f>
        <v>-3.2571428571428335E-3</v>
      </c>
      <c r="F25" s="42" t="e">
        <f t="shared" ref="F25" si="83">_xlfn.STDEV.S(D25:D26)/SQRT(2)</f>
        <v>#DIV/0!</v>
      </c>
      <c r="G25" s="36">
        <f t="shared" ref="G25" si="84">(-E25*1*0.22)/(6220*0.6*0.03*10^-3)</f>
        <v>6.4002449854539435E-3</v>
      </c>
      <c r="H25" s="36">
        <f>G25/B25</f>
        <v>1.6101245246425014E-3</v>
      </c>
      <c r="I25" s="33">
        <f t="shared" ref="I25" si="85">H25*1000</f>
        <v>1.6101245246425013</v>
      </c>
      <c r="J25" s="33"/>
      <c r="K25" s="34"/>
      <c r="L25" s="36">
        <v>11.295</v>
      </c>
      <c r="M25" s="5">
        <v>-7.3380000000000001E-2</v>
      </c>
      <c r="N25" s="5">
        <f>M25-$X$14</f>
        <v>1.5762857142857162E-2</v>
      </c>
      <c r="O25" s="36">
        <f t="shared" ref="O25" si="86">AVERAGE(N25:N26)</f>
        <v>1.5762857142857162E-2</v>
      </c>
      <c r="P25" s="42" t="e">
        <f t="shared" ref="P25" si="87">_xlfn.STDEV.S(N25:N26)/SQRT(2)</f>
        <v>#DIV/0!</v>
      </c>
      <c r="Q25" s="36">
        <f t="shared" ref="Q25" si="88">(-O25*1*0.22)/(6220*0.6*0.03*10^-3)</f>
        <v>-3.0973817179605002E-2</v>
      </c>
      <c r="R25" s="36">
        <f>Q25/L25</f>
        <v>-2.74225915711421E-3</v>
      </c>
      <c r="S25" s="39">
        <f>AVERAGE(S23,S27,S29,S31)</f>
        <v>5.4990341731269119</v>
      </c>
      <c r="T25" s="33"/>
      <c r="U25" s="34"/>
    </row>
    <row r="26" spans="1:21" x14ac:dyDescent="0.35">
      <c r="A26" s="37"/>
      <c r="B26" s="38"/>
      <c r="C26" s="5" t="s">
        <v>1</v>
      </c>
      <c r="D26" s="5" t="s">
        <v>1</v>
      </c>
      <c r="E26" s="36"/>
      <c r="F26" s="42"/>
      <c r="G26" s="36"/>
      <c r="H26" s="36"/>
      <c r="I26" s="33"/>
      <c r="J26" s="33"/>
      <c r="K26" s="34"/>
      <c r="L26" s="36"/>
      <c r="M26" s="5" t="s">
        <v>1</v>
      </c>
      <c r="N26" s="5" t="s">
        <v>1</v>
      </c>
      <c r="O26" s="36"/>
      <c r="P26" s="42"/>
      <c r="Q26" s="36"/>
      <c r="R26" s="36"/>
      <c r="S26" s="39"/>
      <c r="T26" s="33"/>
      <c r="U26" s="34"/>
    </row>
    <row r="27" spans="1:21" x14ac:dyDescent="0.35">
      <c r="A27" s="37">
        <v>13</v>
      </c>
      <c r="B27" s="38">
        <v>5.3849999999999998</v>
      </c>
      <c r="C27" s="5">
        <v>-0.33679999999999999</v>
      </c>
      <c r="D27" s="5">
        <f>C27-$X$14</f>
        <v>-0.24765714285714283</v>
      </c>
      <c r="E27" s="36">
        <f t="shared" ref="E27" si="89">AVERAGE(D27:D28)</f>
        <v>-0.24765714285714283</v>
      </c>
      <c r="F27" s="42" t="e">
        <f t="shared" ref="F27" si="90">_xlfn.STDEV.S(D27:D28)/SQRT(2)</f>
        <v>#DIV/0!</v>
      </c>
      <c r="G27" s="36">
        <f t="shared" ref="G27" si="91">(-E27*1*0.22)/(6220*0.6*0.03*10^-3)</f>
        <v>0.48664318889399277</v>
      </c>
      <c r="H27" s="36">
        <f>G27/B27</f>
        <v>9.0370137213369131E-2</v>
      </c>
      <c r="I27" s="33">
        <f t="shared" ref="I27" si="92">H27*1000</f>
        <v>90.370137213369134</v>
      </c>
      <c r="J27" s="33"/>
      <c r="K27" s="34"/>
      <c r="L27" s="36">
        <v>10.545000000000002</v>
      </c>
      <c r="M27" s="5">
        <v>-0.1067</v>
      </c>
      <c r="N27" s="5">
        <f>M27-$X$14</f>
        <v>-1.7557142857142841E-2</v>
      </c>
      <c r="O27" s="36">
        <f t="shared" ref="O27" si="93">AVERAGE(N27:N28)</f>
        <v>-1.7557142857142841E-2</v>
      </c>
      <c r="P27" s="42" t="e">
        <f t="shared" ref="P27" si="94">_xlfn.STDEV.S(N27:N28)/SQRT(2)</f>
        <v>#DIV/0!</v>
      </c>
      <c r="Q27" s="36">
        <f t="shared" ref="Q27" si="95">(-O27*1*0.22)/(6220*0.6*0.03*10^-3)</f>
        <v>3.4499566171591868E-2</v>
      </c>
      <c r="R27" s="36">
        <f>Q27/L27</f>
        <v>3.2716516047028793E-3</v>
      </c>
      <c r="S27" s="33">
        <f t="shared" ref="S27" si="96">R27*1000</f>
        <v>3.2716516047028792</v>
      </c>
      <c r="T27" s="33"/>
      <c r="U27" s="34"/>
    </row>
    <row r="28" spans="1:21" x14ac:dyDescent="0.35">
      <c r="A28" s="37"/>
      <c r="B28" s="38"/>
      <c r="C28" s="5" t="s">
        <v>1</v>
      </c>
      <c r="D28" s="5" t="s">
        <v>1</v>
      </c>
      <c r="E28" s="36"/>
      <c r="F28" s="42"/>
      <c r="G28" s="36"/>
      <c r="H28" s="36"/>
      <c r="I28" s="33"/>
      <c r="J28" s="33"/>
      <c r="K28" s="34"/>
      <c r="L28" s="36"/>
      <c r="M28" s="5" t="s">
        <v>1</v>
      </c>
      <c r="N28" s="5" t="s">
        <v>1</v>
      </c>
      <c r="O28" s="36"/>
      <c r="P28" s="42"/>
      <c r="Q28" s="36"/>
      <c r="R28" s="36"/>
      <c r="S28" s="33"/>
      <c r="T28" s="33"/>
      <c r="U28" s="34"/>
    </row>
    <row r="29" spans="1:21" x14ac:dyDescent="0.35">
      <c r="A29" s="37">
        <v>14</v>
      </c>
      <c r="B29" s="38">
        <v>3.54</v>
      </c>
      <c r="C29" s="5">
        <v>-0.12470000000000001</v>
      </c>
      <c r="D29" s="5">
        <f>C29-$X$14</f>
        <v>-3.5557142857142843E-2</v>
      </c>
      <c r="E29" s="36">
        <f t="shared" ref="E29" si="97">AVERAGE(D29:D30)</f>
        <v>-3.5557142857142843E-2</v>
      </c>
      <c r="F29" s="42" t="e">
        <f t="shared" ref="F29" si="98">_xlfn.STDEV.S(D29:D30)/SQRT(2)</f>
        <v>#DIV/0!</v>
      </c>
      <c r="G29" s="36">
        <f t="shared" ref="G29" si="99">(-E29*1*0.22)/(6220*0.6*0.03*10^-3)</f>
        <v>6.9869341091206016E-2</v>
      </c>
      <c r="H29" s="36">
        <f>G29/B29</f>
        <v>1.973710200316554E-2</v>
      </c>
      <c r="I29" s="33">
        <f t="shared" ref="I29" si="100">H29*1000</f>
        <v>19.737102003165539</v>
      </c>
      <c r="J29" s="33"/>
      <c r="K29" s="34"/>
      <c r="L29" s="36">
        <v>9.7050000000000001</v>
      </c>
      <c r="M29" s="5">
        <v>-0.12230000000000001</v>
      </c>
      <c r="N29" s="5">
        <f>M29-$X$14</f>
        <v>-3.3157142857142843E-2</v>
      </c>
      <c r="O29" s="36">
        <f t="shared" ref="O29" si="101">AVERAGE(N29:N30)</f>
        <v>-3.3157142857142843E-2</v>
      </c>
      <c r="P29" s="42" t="e">
        <f t="shared" ref="P29" si="102">_xlfn.STDEV.S(N29:N30)/SQRT(2)</f>
        <v>#DIV/0!</v>
      </c>
      <c r="Q29" s="36">
        <f t="shared" ref="Q29" si="103">(-O29*1*0.22)/(6220*0.6*0.03*10^-3)</f>
        <v>6.5153371101924137E-2</v>
      </c>
      <c r="R29" s="36">
        <f>Q29/L29</f>
        <v>6.7133818755202614E-3</v>
      </c>
      <c r="S29" s="33">
        <f t="shared" ref="S29" si="104">R29*1000</f>
        <v>6.7133818755202617</v>
      </c>
      <c r="T29" s="33"/>
      <c r="U29" s="34"/>
    </row>
    <row r="30" spans="1:21" x14ac:dyDescent="0.35">
      <c r="A30" s="37"/>
      <c r="B30" s="38"/>
      <c r="C30" s="5" t="s">
        <v>1</v>
      </c>
      <c r="D30" s="5" t="s">
        <v>1</v>
      </c>
      <c r="E30" s="36"/>
      <c r="F30" s="42"/>
      <c r="G30" s="36"/>
      <c r="H30" s="36"/>
      <c r="I30" s="33"/>
      <c r="J30" s="33"/>
      <c r="K30" s="34"/>
      <c r="L30" s="36"/>
      <c r="M30" s="5" t="s">
        <v>1</v>
      </c>
      <c r="N30" s="5" t="s">
        <v>1</v>
      </c>
      <c r="O30" s="36"/>
      <c r="P30" s="42"/>
      <c r="Q30" s="36"/>
      <c r="R30" s="36"/>
      <c r="S30" s="33"/>
      <c r="T30" s="33"/>
      <c r="U30" s="34"/>
    </row>
    <row r="31" spans="1:21" x14ac:dyDescent="0.35">
      <c r="A31" s="37">
        <v>15</v>
      </c>
      <c r="B31" s="38">
        <v>5.22</v>
      </c>
      <c r="C31" s="5">
        <v>-8.4870000000000001E-2</v>
      </c>
      <c r="D31" s="5">
        <f>C31-$X$14</f>
        <v>4.2728571428571616E-3</v>
      </c>
      <c r="E31" s="36">
        <f t="shared" ref="E31" si="105">AVERAGE(D31:D32)</f>
        <v>4.2728571428571616E-3</v>
      </c>
      <c r="F31" s="42" t="e">
        <f t="shared" ref="F31" si="106">_xlfn.STDEV.S(D31:D32)/SQRT(2)</f>
        <v>#DIV/0!</v>
      </c>
      <c r="G31" s="36">
        <f t="shared" ref="G31" si="107">(-E31*1*0.22)/(6220*0.6*0.03*10^-3)</f>
        <v>-8.3961108559179667E-3</v>
      </c>
      <c r="H31" s="36">
        <f>G31/B31</f>
        <v>-1.6084503555398404E-3</v>
      </c>
      <c r="I31" s="33">
        <f t="shared" ref="I31" si="108">H31*1000</f>
        <v>-1.6084503555398404</v>
      </c>
      <c r="J31" s="33"/>
      <c r="K31" s="34"/>
      <c r="L31" s="36">
        <v>10.020000000000001</v>
      </c>
      <c r="M31" s="5">
        <v>-0.13739999999999999</v>
      </c>
      <c r="N31" s="5">
        <f>M31-$X$14</f>
        <v>-4.8257142857142832E-2</v>
      </c>
      <c r="O31" s="36">
        <f t="shared" ref="O31" si="109">AVERAGE(N31:N32)</f>
        <v>-4.8257142857142832E-2</v>
      </c>
      <c r="P31" s="42" t="e">
        <f t="shared" ref="P31" si="110">_xlfn.STDEV.S(N31:N32)/SQRT(2)</f>
        <v>#DIV/0!</v>
      </c>
      <c r="Q31" s="36">
        <f t="shared" ref="Q31" si="111">(-O31*1*0.22)/(6220*0.6*0.03*10^-3)</f>
        <v>9.4824682284489314E-2</v>
      </c>
      <c r="R31" s="36">
        <f>Q31/L31</f>
        <v>9.463541146156617E-3</v>
      </c>
      <c r="S31" s="33">
        <f t="shared" ref="S31" si="112">R31*1000</f>
        <v>9.4635411461566168</v>
      </c>
      <c r="T31" s="33"/>
      <c r="U31" s="34"/>
    </row>
    <row r="32" spans="1:21" x14ac:dyDescent="0.35">
      <c r="A32" s="37"/>
      <c r="B32" s="38"/>
      <c r="C32" s="5" t="s">
        <v>1</v>
      </c>
      <c r="D32" s="5" t="s">
        <v>1</v>
      </c>
      <c r="E32" s="36"/>
      <c r="F32" s="42"/>
      <c r="G32" s="36"/>
      <c r="H32" s="36"/>
      <c r="I32" s="33"/>
      <c r="J32" s="33"/>
      <c r="K32" s="34"/>
      <c r="L32" s="36"/>
      <c r="M32" s="5" t="s">
        <v>1</v>
      </c>
      <c r="N32" s="5" t="s">
        <v>1</v>
      </c>
      <c r="O32" s="36"/>
      <c r="P32" s="42"/>
      <c r="Q32" s="36"/>
      <c r="R32" s="36"/>
      <c r="S32" s="33"/>
      <c r="T32" s="33"/>
      <c r="U32" s="34"/>
    </row>
    <row r="33" spans="1:21" x14ac:dyDescent="0.35">
      <c r="A33" s="37">
        <v>16</v>
      </c>
      <c r="B33" s="38">
        <v>6.9149999999999991</v>
      </c>
      <c r="C33" s="5">
        <v>-0.1096</v>
      </c>
      <c r="D33" s="5">
        <f>C33-$X$14</f>
        <v>-2.045714285714284E-2</v>
      </c>
      <c r="E33" s="36">
        <f t="shared" ref="E33" si="113">AVERAGE(D33:D34)</f>
        <v>-2.045714285714284E-2</v>
      </c>
      <c r="F33" s="42" t="e">
        <f t="shared" ref="F33" si="114">_xlfn.STDEV.S(D33:D34)/SQRT(2)</f>
        <v>#DIV/0!</v>
      </c>
      <c r="G33" s="36">
        <f t="shared" ref="G33" si="115">(-E33*1*0.22)/(6220*0.6*0.03*10^-3)</f>
        <v>4.0198029908640812E-2</v>
      </c>
      <c r="H33" s="36">
        <f>G33/B33</f>
        <v>5.8131641227246299E-3</v>
      </c>
      <c r="I33" s="33">
        <f t="shared" ref="I33" si="116">H33*1000</f>
        <v>5.81316412272463</v>
      </c>
      <c r="J33" s="33">
        <f>AVERAGE(I33:I38)</f>
        <v>16.937474386294866</v>
      </c>
      <c r="K33" s="34">
        <f>(_xlfn.STDEV.S(I33:I38)/SQRT(3))/J33</f>
        <v>0.4555056665439684</v>
      </c>
      <c r="L33" s="36">
        <v>12.6</v>
      </c>
      <c r="M33" s="5">
        <v>-0.1109</v>
      </c>
      <c r="N33" s="5">
        <f>M33-$X$14</f>
        <v>-2.1757142857142836E-2</v>
      </c>
      <c r="O33" s="36">
        <f t="shared" ref="O33" si="117">AVERAGE(N33:N34)</f>
        <v>-2.1757142857142836E-2</v>
      </c>
      <c r="P33" s="42" t="e">
        <f t="shared" ref="P33" si="118">_xlfn.STDEV.S(N33:N34)/SQRT(2)</f>
        <v>#DIV/0!</v>
      </c>
      <c r="Q33" s="36">
        <f t="shared" ref="Q33" si="119">(-O33*1*0.22)/(6220*0.6*0.03*10^-3)</f>
        <v>4.275251365283516E-2</v>
      </c>
      <c r="R33" s="36">
        <f>Q33/L33</f>
        <v>3.3930566391139018E-3</v>
      </c>
      <c r="S33" s="33">
        <f t="shared" ref="S33" si="120">R33*1000</f>
        <v>3.3930566391139019</v>
      </c>
      <c r="T33" s="33">
        <f>AVERAGE(S33:S38)</f>
        <v>5.965446585963587</v>
      </c>
      <c r="U33" s="34">
        <f>(_xlfn.STDEV.S(S33:S38)/SQRT(3))/T33</f>
        <v>0.2489620863874446</v>
      </c>
    </row>
    <row r="34" spans="1:21" x14ac:dyDescent="0.35">
      <c r="A34" s="37"/>
      <c r="B34" s="38"/>
      <c r="C34" s="5" t="s">
        <v>1</v>
      </c>
      <c r="D34" s="5" t="s">
        <v>1</v>
      </c>
      <c r="E34" s="36"/>
      <c r="F34" s="42"/>
      <c r="G34" s="36"/>
      <c r="H34" s="36"/>
      <c r="I34" s="33"/>
      <c r="J34" s="33"/>
      <c r="K34" s="34"/>
      <c r="L34" s="36"/>
      <c r="M34" s="5" t="s">
        <v>1</v>
      </c>
      <c r="N34" s="5" t="s">
        <v>1</v>
      </c>
      <c r="O34" s="36"/>
      <c r="P34" s="42"/>
      <c r="Q34" s="36"/>
      <c r="R34" s="36"/>
      <c r="S34" s="33"/>
      <c r="T34" s="33"/>
      <c r="U34" s="34"/>
    </row>
    <row r="35" spans="1:21" x14ac:dyDescent="0.35">
      <c r="A35" s="37">
        <v>17</v>
      </c>
      <c r="B35" s="38">
        <v>6.2399999999999993</v>
      </c>
      <c r="C35" s="5">
        <v>-0.19</v>
      </c>
      <c r="D35" s="5">
        <f>C35-$X$14</f>
        <v>-0.10085714285714284</v>
      </c>
      <c r="E35" s="36">
        <f t="shared" ref="E35" si="121">AVERAGE(D35:D36)</f>
        <v>-0.10085714285714284</v>
      </c>
      <c r="F35" s="42" t="e">
        <f t="shared" ref="F35" si="122">_xlfn.STDEV.S(D35:D36)/SQRT(2)</f>
        <v>#DIV/0!</v>
      </c>
      <c r="G35" s="36">
        <f t="shared" ref="G35" si="123">(-E35*1*0.22)/(6220*0.6*0.03*10^-3)</f>
        <v>0.19818302454958403</v>
      </c>
      <c r="H35" s="36">
        <f>G35/B35</f>
        <v>3.1760100088074367E-2</v>
      </c>
      <c r="I35" s="33">
        <f t="shared" ref="I35" si="124">H35*1000</f>
        <v>31.760100088074367</v>
      </c>
      <c r="J35" s="33"/>
      <c r="K35" s="34"/>
      <c r="L35" s="36">
        <v>10.485000000000001</v>
      </c>
      <c r="M35" s="5">
        <v>-0.13469999999999999</v>
      </c>
      <c r="N35" s="5">
        <f>M35-$X$14</f>
        <v>-4.5557142857142824E-2</v>
      </c>
      <c r="O35" s="36">
        <f t="shared" ref="O35" si="125">AVERAGE(N35:N36)</f>
        <v>-4.5557142857142824E-2</v>
      </c>
      <c r="P35" s="42" t="e">
        <f t="shared" ref="P35" si="126">_xlfn.STDEV.S(N35:N36)/SQRT(2)</f>
        <v>#DIV/0!</v>
      </c>
      <c r="Q35" s="36">
        <f t="shared" ref="Q35" si="127">(-O35*1*0.22)/(6220*0.6*0.03*10^-3)</f>
        <v>8.9519216046547168E-2</v>
      </c>
      <c r="R35" s="36">
        <f>Q35/L35</f>
        <v>8.5378365328132727E-3</v>
      </c>
      <c r="S35" s="33">
        <f t="shared" ref="S35" si="128">R35*1000</f>
        <v>8.537836532813273</v>
      </c>
      <c r="T35" s="33"/>
      <c r="U35" s="34"/>
    </row>
    <row r="36" spans="1:21" x14ac:dyDescent="0.35">
      <c r="A36" s="37"/>
      <c r="B36" s="38"/>
      <c r="C36" s="5" t="s">
        <v>1</v>
      </c>
      <c r="D36" s="5" t="s">
        <v>1</v>
      </c>
      <c r="E36" s="36"/>
      <c r="F36" s="42"/>
      <c r="G36" s="36"/>
      <c r="H36" s="36"/>
      <c r="I36" s="33"/>
      <c r="J36" s="33"/>
      <c r="K36" s="34"/>
      <c r="L36" s="36"/>
      <c r="M36" s="5" t="s">
        <v>1</v>
      </c>
      <c r="N36" s="5" t="s">
        <v>1</v>
      </c>
      <c r="O36" s="36"/>
      <c r="P36" s="42"/>
      <c r="Q36" s="36"/>
      <c r="R36" s="36"/>
      <c r="S36" s="33"/>
      <c r="T36" s="33"/>
      <c r="U36" s="34"/>
    </row>
    <row r="37" spans="1:21" x14ac:dyDescent="0.35">
      <c r="A37" s="37">
        <v>18</v>
      </c>
      <c r="B37" s="38">
        <v>5.04</v>
      </c>
      <c r="C37" s="5">
        <v>-0.1231</v>
      </c>
      <c r="D37" s="5">
        <f>C37-$X$14</f>
        <v>-3.3957142857142839E-2</v>
      </c>
      <c r="E37" s="36">
        <f t="shared" ref="E37" si="129">AVERAGE(D37:D38)</f>
        <v>-3.3957142857142839E-2</v>
      </c>
      <c r="F37" s="42" t="e">
        <f t="shared" ref="F37" si="130">_xlfn.STDEV.S(D37:D38)/SQRT(2)</f>
        <v>#DIV/0!</v>
      </c>
      <c r="G37" s="36">
        <f t="shared" ref="G37" si="131">(-E37*1*0.22)/(6220*0.6*0.03*10^-3)</f>
        <v>6.6725361098351421E-2</v>
      </c>
      <c r="H37" s="36">
        <f>G37/B37</f>
        <v>1.3239158948085599E-2</v>
      </c>
      <c r="I37" s="33">
        <f t="shared" ref="I37" si="132">H37*1000</f>
        <v>13.239158948085599</v>
      </c>
      <c r="J37" s="33"/>
      <c r="K37" s="34"/>
      <c r="L37" s="36">
        <v>10.59</v>
      </c>
      <c r="M37" s="5">
        <v>-8.6169999999999997E-2</v>
      </c>
      <c r="N37" s="5">
        <f>M37-$X$14</f>
        <v>2.972857142857166E-3</v>
      </c>
      <c r="O37" s="36">
        <f t="shared" ref="O37" si="133">AVERAGE(N37:N38)</f>
        <v>2.972857142857166E-3</v>
      </c>
      <c r="P37" s="42" t="e">
        <f t="shared" ref="P37" si="134">_xlfn.STDEV.S(N37:N38)/SQRT(2)</f>
        <v>#DIV/0!</v>
      </c>
      <c r="Q37" s="36">
        <f t="shared" ref="Q37" si="135">(-O37*1*0.22)/(6220*0.6*0.03*10^-3)</f>
        <v>-5.8416271117236211E-3</v>
      </c>
      <c r="R37" s="36">
        <f>Q37/L37</f>
        <v>-5.5161729100317481E-4</v>
      </c>
      <c r="S37" s="39">
        <f>AVERAGE(S33:S36)</f>
        <v>5.965446585963587</v>
      </c>
      <c r="T37" s="33"/>
      <c r="U37" s="34"/>
    </row>
    <row r="38" spans="1:21" x14ac:dyDescent="0.35">
      <c r="A38" s="37"/>
      <c r="B38" s="38"/>
      <c r="C38" s="5" t="s">
        <v>1</v>
      </c>
      <c r="D38" s="5" t="s">
        <v>1</v>
      </c>
      <c r="E38" s="36"/>
      <c r="F38" s="42"/>
      <c r="G38" s="36"/>
      <c r="H38" s="36"/>
      <c r="I38" s="33"/>
      <c r="J38" s="33"/>
      <c r="K38" s="34"/>
      <c r="L38" s="36"/>
      <c r="M38" s="5" t="s">
        <v>1</v>
      </c>
      <c r="N38" s="5" t="s">
        <v>1</v>
      </c>
      <c r="O38" s="36"/>
      <c r="P38" s="42"/>
      <c r="Q38" s="36"/>
      <c r="R38" s="36"/>
      <c r="S38" s="39"/>
      <c r="T38" s="33"/>
      <c r="U38" s="34"/>
    </row>
    <row r="39" spans="1:21" x14ac:dyDescent="0.35">
      <c r="A39" s="37">
        <v>19</v>
      </c>
      <c r="B39" s="38">
        <v>7.5449999999999999</v>
      </c>
      <c r="C39" s="5">
        <v>-0.10630000000000001</v>
      </c>
      <c r="D39" s="5">
        <f>C39-$X$14</f>
        <v>-1.7157142857142843E-2</v>
      </c>
      <c r="E39" s="36">
        <f t="shared" ref="E39" si="136">AVERAGE(D39:D40)</f>
        <v>-1.7157142857142843E-2</v>
      </c>
      <c r="F39" s="42" t="e">
        <f t="shared" ref="F39" si="137">_xlfn.STDEV.S(D39:D40)/SQRT(2)</f>
        <v>#DIV/0!</v>
      </c>
      <c r="G39" s="36">
        <f t="shared" ref="G39" si="138">(-E39*1*0.22)/(6220*0.6*0.03*10^-3)</f>
        <v>3.3713571173378219E-2</v>
      </c>
      <c r="H39" s="36">
        <f>G39/B39</f>
        <v>4.4683328261601353E-3</v>
      </c>
      <c r="I39" s="33">
        <f t="shared" ref="I39" si="139">H39*1000</f>
        <v>4.4683328261601352</v>
      </c>
      <c r="J39" s="33">
        <f t="shared" ref="J39" si="140">AVERAGE(I39:I44)</f>
        <v>6.4456874808825697</v>
      </c>
      <c r="K39" s="34">
        <f t="shared" ref="K39" si="141">(_xlfn.STDEV.S(I39:I44)/SQRT(3))/J39</f>
        <v>0.65504719628716535</v>
      </c>
      <c r="L39" s="36">
        <v>10.74</v>
      </c>
      <c r="M39" s="5">
        <v>-0.1069</v>
      </c>
      <c r="N39" s="5">
        <f>M39-$X$14</f>
        <v>-1.7757142857142832E-2</v>
      </c>
      <c r="O39" s="36">
        <f t="shared" ref="O39" si="142">AVERAGE(N39:N40)</f>
        <v>-1.7757142857142832E-2</v>
      </c>
      <c r="P39" s="42" t="e">
        <f t="shared" ref="P39" si="143">_xlfn.STDEV.S(N39:N40)/SQRT(2)</f>
        <v>#DIV/0!</v>
      </c>
      <c r="Q39" s="36">
        <f t="shared" ref="Q39" si="144">(-O39*1*0.22)/(6220*0.6*0.03*10^-3)</f>
        <v>3.4892563670698672E-2</v>
      </c>
      <c r="R39" s="36">
        <f>Q39/L39</f>
        <v>3.2488420549998762E-3</v>
      </c>
      <c r="S39" s="33">
        <f t="shared" ref="S39" si="145">R39*1000</f>
        <v>3.2488420549998764</v>
      </c>
      <c r="T39" s="33">
        <f t="shared" ref="T39" si="146">AVERAGE(S39:S44)</f>
        <v>5.2562147369226242</v>
      </c>
      <c r="U39" s="34">
        <f t="shared" ref="U39" si="147">(_xlfn.STDEV.S(S39:S44)/SQRT(3))/T39</f>
        <v>0.22691640938948596</v>
      </c>
    </row>
    <row r="40" spans="1:21" x14ac:dyDescent="0.35">
      <c r="A40" s="37"/>
      <c r="B40" s="38"/>
      <c r="C40" s="5" t="s">
        <v>1</v>
      </c>
      <c r="D40" s="5" t="s">
        <v>1</v>
      </c>
      <c r="E40" s="36"/>
      <c r="F40" s="42"/>
      <c r="G40" s="36"/>
      <c r="H40" s="36"/>
      <c r="I40" s="33"/>
      <c r="J40" s="33"/>
      <c r="K40" s="34"/>
      <c r="L40" s="36"/>
      <c r="M40" s="5" t="s">
        <v>1</v>
      </c>
      <c r="N40" s="5" t="s">
        <v>1</v>
      </c>
      <c r="O40" s="36"/>
      <c r="P40" s="42"/>
      <c r="Q40" s="36"/>
      <c r="R40" s="36"/>
      <c r="S40" s="33"/>
      <c r="T40" s="33"/>
      <c r="U40" s="34"/>
    </row>
    <row r="41" spans="1:21" x14ac:dyDescent="0.35">
      <c r="A41" s="37">
        <v>20</v>
      </c>
      <c r="B41" s="38">
        <v>5.52</v>
      </c>
      <c r="C41" s="5">
        <v>-0.13</v>
      </c>
      <c r="D41" s="5">
        <f>C41-$X$14</f>
        <v>-4.0857142857142842E-2</v>
      </c>
      <c r="E41" s="36">
        <f t="shared" ref="E41" si="148">AVERAGE(D41:D42)</f>
        <v>-4.0857142857142842E-2</v>
      </c>
      <c r="F41" s="42" t="e">
        <f t="shared" ref="F41" si="149">_xlfn.STDEV.S(D41:D42)/SQRT(2)</f>
        <v>#DIV/0!</v>
      </c>
      <c r="G41" s="36">
        <f t="shared" ref="G41" si="150">(-E41*1*0.22)/(6220*0.6*0.03*10^-3)</f>
        <v>8.028377481753686E-2</v>
      </c>
      <c r="H41" s="36">
        <f>G41/B41</f>
        <v>1.4544162104626245E-2</v>
      </c>
      <c r="I41" s="33">
        <f t="shared" ref="I41" si="151">H41*1000</f>
        <v>14.544162104626244</v>
      </c>
      <c r="J41" s="33"/>
      <c r="K41" s="34"/>
      <c r="L41" s="36">
        <v>8.6999999999999993</v>
      </c>
      <c r="M41" s="5">
        <v>-0.12180000000000001</v>
      </c>
      <c r="N41" s="5">
        <f>M41-$X$14</f>
        <v>-3.2657142857142843E-2</v>
      </c>
      <c r="O41" s="36">
        <f t="shared" ref="O41" si="152">AVERAGE(N41:N42)</f>
        <v>-3.2657142857142843E-2</v>
      </c>
      <c r="P41" s="42" t="e">
        <f t="shared" ref="P41" si="153">_xlfn.STDEV.S(N41:N42)/SQRT(2)</f>
        <v>#DIV/0!</v>
      </c>
      <c r="Q41" s="36">
        <f t="shared" ref="Q41" si="154">(-O41*1*0.22)/(6220*0.6*0.03*10^-3)</f>
        <v>6.417087735415708E-2</v>
      </c>
      <c r="R41" s="36">
        <f>Q41/L41</f>
        <v>7.3759629142709296E-3</v>
      </c>
      <c r="S41" s="33">
        <f t="shared" ref="S41" si="155">R41*1000</f>
        <v>7.3759629142709295</v>
      </c>
      <c r="T41" s="33"/>
      <c r="U41" s="34"/>
    </row>
    <row r="42" spans="1:21" x14ac:dyDescent="0.35">
      <c r="A42" s="37"/>
      <c r="B42" s="38"/>
      <c r="C42" s="5" t="s">
        <v>1</v>
      </c>
      <c r="D42" s="5" t="s">
        <v>1</v>
      </c>
      <c r="E42" s="36"/>
      <c r="F42" s="42"/>
      <c r="G42" s="36"/>
      <c r="H42" s="36"/>
      <c r="I42" s="33"/>
      <c r="J42" s="33"/>
      <c r="K42" s="34"/>
      <c r="L42" s="36"/>
      <c r="M42" s="5" t="s">
        <v>1</v>
      </c>
      <c r="N42" s="5" t="s">
        <v>1</v>
      </c>
      <c r="O42" s="36"/>
      <c r="P42" s="42"/>
      <c r="Q42" s="36"/>
      <c r="R42" s="36"/>
      <c r="S42" s="33"/>
      <c r="T42" s="33"/>
      <c r="U42" s="34"/>
    </row>
    <row r="43" spans="1:21" x14ac:dyDescent="0.35">
      <c r="A43" s="37">
        <v>21</v>
      </c>
      <c r="B43" s="38">
        <v>6.9449999999999994</v>
      </c>
      <c r="C43" s="5">
        <v>-9.0289999999999995E-2</v>
      </c>
      <c r="D43" s="5">
        <f>C43-$X$14</f>
        <v>-1.1471428571428327E-3</v>
      </c>
      <c r="E43" s="36">
        <f t="shared" ref="E43" si="156">AVERAGE(D43:D44)</f>
        <v>-1.1471428571428327E-3</v>
      </c>
      <c r="F43" s="42" t="e">
        <f t="shared" ref="F43" si="157">_xlfn.STDEV.S(D43:D44)/SQRT(2)</f>
        <v>#DIV/0!</v>
      </c>
      <c r="G43" s="36">
        <f t="shared" ref="G43" si="158">(-E43*1*0.22)/(6220*0.6*0.03*10^-3)</f>
        <v>2.2541213698769489E-3</v>
      </c>
      <c r="H43" s="36">
        <f>G43/B43</f>
        <v>3.2456751186133175E-4</v>
      </c>
      <c r="I43" s="33">
        <f t="shared" ref="I43" si="159">H43*1000</f>
        <v>0.32456751186133176</v>
      </c>
      <c r="J43" s="33"/>
      <c r="K43" s="34"/>
      <c r="L43" s="36">
        <v>8.2349999999999994</v>
      </c>
      <c r="M43" s="5">
        <v>-0.11070000000000001</v>
      </c>
      <c r="N43" s="5">
        <f>M43-$X$14</f>
        <v>-2.1557142857142844E-2</v>
      </c>
      <c r="O43" s="36">
        <f t="shared" ref="O43" si="160">AVERAGE(N43:N44)</f>
        <v>-2.1557142857142844E-2</v>
      </c>
      <c r="P43" s="42" t="e">
        <f t="shared" ref="P43" si="161">_xlfn.STDEV.S(N43:N44)/SQRT(2)</f>
        <v>#DIV/0!</v>
      </c>
      <c r="Q43" s="36">
        <f t="shared" ref="Q43" si="162">(-O43*1*0.22)/(6220*0.6*0.03*10^-3)</f>
        <v>4.2359516153728349E-2</v>
      </c>
      <c r="R43" s="36">
        <f>Q43/L43</f>
        <v>5.1438392414970679E-3</v>
      </c>
      <c r="S43" s="33">
        <f t="shared" ref="S43" si="163">R43*1000</f>
        <v>5.1438392414970675</v>
      </c>
      <c r="T43" s="33"/>
      <c r="U43" s="34"/>
    </row>
    <row r="44" spans="1:21" x14ac:dyDescent="0.35">
      <c r="A44" s="37"/>
      <c r="B44" s="38"/>
      <c r="C44" s="5" t="s">
        <v>1</v>
      </c>
      <c r="D44" s="5" t="s">
        <v>1</v>
      </c>
      <c r="E44" s="36"/>
      <c r="F44" s="42"/>
      <c r="G44" s="36"/>
      <c r="H44" s="36"/>
      <c r="I44" s="33"/>
      <c r="J44" s="33"/>
      <c r="K44" s="34"/>
      <c r="L44" s="36"/>
      <c r="M44" s="5" t="s">
        <v>1</v>
      </c>
      <c r="N44" s="5" t="s">
        <v>1</v>
      </c>
      <c r="O44" s="36"/>
      <c r="P44" s="42"/>
      <c r="Q44" s="36"/>
      <c r="R44" s="36"/>
      <c r="S44" s="33"/>
      <c r="T44" s="33"/>
      <c r="U44" s="34"/>
    </row>
    <row r="45" spans="1:21" x14ac:dyDescent="0.35">
      <c r="A45" s="37">
        <v>22</v>
      </c>
      <c r="B45" s="38">
        <v>3.9750000000000001</v>
      </c>
      <c r="C45" s="5">
        <v>-6.9190000000000002E-2</v>
      </c>
      <c r="D45" s="5">
        <f>C45-$X$14</f>
        <v>1.9952857142857161E-2</v>
      </c>
      <c r="E45" s="36">
        <f t="shared" ref="E45" si="164">AVERAGE(D45:D46)</f>
        <v>1.9952857142857161E-2</v>
      </c>
      <c r="F45" s="42" t="e">
        <f t="shared" ref="F45" si="165">_xlfn.STDEV.S(D45:D46)/SQRT(2)</f>
        <v>#DIV/0!</v>
      </c>
      <c r="G45" s="36">
        <f t="shared" ref="G45" si="166">(-E45*1*0.22)/(6220*0.6*0.03*10^-3)</f>
        <v>-3.9207114785892956E-2</v>
      </c>
      <c r="H45" s="36">
        <f>G45/B45</f>
        <v>-9.8634251033692961E-3</v>
      </c>
      <c r="I45" s="33">
        <f t="shared" ref="I45" si="167">H45*1000</f>
        <v>-9.8634251033692966</v>
      </c>
      <c r="J45" s="33">
        <f>AVERAGE(I47:I50)</f>
        <v>7.7392824486398402</v>
      </c>
      <c r="K45" s="34">
        <f>(_xlfn.STDEV.S(I47:I50)/SQRT(2))/J45</f>
        <v>0.47854110937782512</v>
      </c>
      <c r="L45" s="36">
        <v>10.86</v>
      </c>
      <c r="M45" s="5">
        <v>-0.12470000000000001</v>
      </c>
      <c r="N45" s="5">
        <f>M45-$X$14</f>
        <v>-3.5557142857142843E-2</v>
      </c>
      <c r="O45" s="36">
        <f t="shared" ref="O45" si="168">AVERAGE(N45:N46)</f>
        <v>-3.5557142857142843E-2</v>
      </c>
      <c r="P45" s="42" t="e">
        <f t="shared" ref="P45" si="169">_xlfn.STDEV.S(N45:N46)/SQRT(2)</f>
        <v>#DIV/0!</v>
      </c>
      <c r="Q45" s="36">
        <f t="shared" ref="Q45" si="170">(-O45*1*0.22)/(6220*0.6*0.03*10^-3)</f>
        <v>6.9869341091206016E-2</v>
      </c>
      <c r="R45" s="36">
        <f>Q45/L45</f>
        <v>6.4336409844572761E-3</v>
      </c>
      <c r="S45" s="33">
        <f t="shared" ref="S45" si="171">R45*1000</f>
        <v>6.4336409844572762</v>
      </c>
      <c r="T45" s="33">
        <f t="shared" ref="T45" si="172">AVERAGE(S45:S50)</f>
        <v>9.2749332922883827</v>
      </c>
      <c r="U45" s="34">
        <f t="shared" ref="U45" si="173">(_xlfn.STDEV.S(S45:S50)/SQRT(3))/T45</f>
        <v>0.47653658497093776</v>
      </c>
    </row>
    <row r="46" spans="1:21" x14ac:dyDescent="0.35">
      <c r="A46" s="37"/>
      <c r="B46" s="38"/>
      <c r="C46" s="5" t="s">
        <v>1</v>
      </c>
      <c r="D46" s="5" t="s">
        <v>1</v>
      </c>
      <c r="E46" s="36"/>
      <c r="F46" s="42"/>
      <c r="G46" s="36"/>
      <c r="H46" s="36"/>
      <c r="I46" s="33"/>
      <c r="J46" s="33"/>
      <c r="K46" s="34"/>
      <c r="L46" s="36"/>
      <c r="M46" s="5" t="s">
        <v>1</v>
      </c>
      <c r="N46" s="5" t="s">
        <v>1</v>
      </c>
      <c r="O46" s="36"/>
      <c r="P46" s="42"/>
      <c r="Q46" s="36"/>
      <c r="R46" s="36"/>
      <c r="S46" s="33"/>
      <c r="T46" s="33"/>
      <c r="U46" s="34"/>
    </row>
    <row r="47" spans="1:21" x14ac:dyDescent="0.35">
      <c r="A47" s="37">
        <v>23</v>
      </c>
      <c r="B47" s="38">
        <v>6.81</v>
      </c>
      <c r="C47" s="5">
        <v>-0.1288</v>
      </c>
      <c r="D47" s="5">
        <f>C47-$X$14</f>
        <v>-3.9657142857142835E-2</v>
      </c>
      <c r="E47" s="36">
        <f t="shared" ref="E47" si="174">AVERAGE(D47:D48)</f>
        <v>-3.9657142857142835E-2</v>
      </c>
      <c r="F47" s="42" t="e">
        <f t="shared" ref="F47" si="175">_xlfn.STDEV.S(D47:D48)/SQRT(2)</f>
        <v>#DIV/0!</v>
      </c>
      <c r="G47" s="36">
        <f t="shared" ref="G47" si="176">(-E47*1*0.22)/(6220*0.6*0.03*10^-3)</f>
        <v>7.79257898228959E-2</v>
      </c>
      <c r="H47" s="36">
        <f>G47/B47</f>
        <v>1.1442847257400279E-2</v>
      </c>
      <c r="I47" s="33">
        <f t="shared" ref="I47" si="177">H47*1000</f>
        <v>11.442847257400279</v>
      </c>
      <c r="J47" s="33"/>
      <c r="K47" s="34"/>
      <c r="L47" s="36">
        <v>12.690000000000001</v>
      </c>
      <c r="M47" s="5">
        <v>-0.1114</v>
      </c>
      <c r="N47" s="5">
        <f>M47-$X$14</f>
        <v>-2.2257142857142836E-2</v>
      </c>
      <c r="O47" s="36">
        <f t="shared" ref="O47" si="178">AVERAGE(N47:N48)</f>
        <v>-2.2257142857142836E-2</v>
      </c>
      <c r="P47" s="42" t="e">
        <f t="shared" ref="P47" si="179">_xlfn.STDEV.S(N47:N48)/SQRT(2)</f>
        <v>#DIV/0!</v>
      </c>
      <c r="Q47" s="36">
        <f t="shared" ref="Q47" si="180">(-O47*1*0.22)/(6220*0.6*0.03*10^-3)</f>
        <v>4.3735007400602217E-2</v>
      </c>
      <c r="R47" s="36">
        <f>Q47/L47</f>
        <v>3.4464150827897724E-3</v>
      </c>
      <c r="S47" s="33">
        <f t="shared" ref="S47" si="181">R47*1000</f>
        <v>3.4464150827897724</v>
      </c>
      <c r="T47" s="33"/>
      <c r="U47" s="34"/>
    </row>
    <row r="48" spans="1:21" x14ac:dyDescent="0.35">
      <c r="A48" s="37"/>
      <c r="B48" s="38"/>
      <c r="C48" s="5" t="s">
        <v>1</v>
      </c>
      <c r="D48" s="5" t="s">
        <v>1</v>
      </c>
      <c r="E48" s="36"/>
      <c r="F48" s="42"/>
      <c r="G48" s="36"/>
      <c r="H48" s="36"/>
      <c r="I48" s="33"/>
      <c r="J48" s="33"/>
      <c r="K48" s="34"/>
      <c r="L48" s="36"/>
      <c r="M48" s="5" t="s">
        <v>1</v>
      </c>
      <c r="N48" s="5" t="s">
        <v>1</v>
      </c>
      <c r="O48" s="36"/>
      <c r="P48" s="42"/>
      <c r="Q48" s="36"/>
      <c r="R48" s="36"/>
      <c r="S48" s="33"/>
      <c r="T48" s="33"/>
      <c r="U48" s="34"/>
    </row>
    <row r="49" spans="1:21" x14ac:dyDescent="0.35">
      <c r="A49" s="37">
        <v>24</v>
      </c>
      <c r="B49" s="38">
        <v>7.38</v>
      </c>
      <c r="C49" s="5">
        <v>-0.1043</v>
      </c>
      <c r="D49" s="5">
        <f>C49-$X$14</f>
        <v>-1.5157142857142841E-2</v>
      </c>
      <c r="E49" s="36">
        <f t="shared" ref="E49" si="182">AVERAGE(D49:D50)</f>
        <v>-1.5157142857142841E-2</v>
      </c>
      <c r="F49" s="42" t="e">
        <f t="shared" ref="F49" si="183">_xlfn.STDEV.S(D49:D50)/SQRT(2)</f>
        <v>#DIV/0!</v>
      </c>
      <c r="G49" s="36">
        <f t="shared" ref="G49" si="184">(-E49*1*0.22)/(6220*0.6*0.03*10^-3)</f>
        <v>2.9783596182309979E-2</v>
      </c>
      <c r="H49" s="36">
        <f>G49/B49</f>
        <v>4.0357176398794006E-3</v>
      </c>
      <c r="I49" s="33">
        <f t="shared" ref="I49" si="185">H49*1000</f>
        <v>4.035717639879401</v>
      </c>
      <c r="J49" s="33"/>
      <c r="K49" s="34"/>
      <c r="L49" s="36">
        <v>9.9599999999999991</v>
      </c>
      <c r="M49" s="5">
        <v>-0.18010000000000001</v>
      </c>
      <c r="N49" s="5">
        <f>M49-$X$14</f>
        <v>-9.0957142857142848E-2</v>
      </c>
      <c r="O49" s="36">
        <f t="shared" ref="O49" si="186">AVERAGE(N49:N50)</f>
        <v>-9.0957142857142848E-2</v>
      </c>
      <c r="P49" s="42" t="e">
        <f t="shared" ref="P49" si="187">_xlfn.STDEV.S(N49:N50)/SQRT(2)</f>
        <v>#DIV/0!</v>
      </c>
      <c r="Q49" s="36">
        <f t="shared" ref="Q49" si="188">(-O49*1*0.22)/(6220*0.6*0.03*10^-3)</f>
        <v>0.17872964834379626</v>
      </c>
      <c r="R49" s="36">
        <f>Q49/L49</f>
        <v>1.7944743809618101E-2</v>
      </c>
      <c r="S49" s="41">
        <f t="shared" ref="S49" si="189">R49*1000</f>
        <v>17.9447438096181</v>
      </c>
      <c r="T49" s="33"/>
      <c r="U49" s="34"/>
    </row>
    <row r="50" spans="1:21" x14ac:dyDescent="0.35">
      <c r="A50" s="37"/>
      <c r="B50" s="38"/>
      <c r="C50" s="5" t="s">
        <v>1</v>
      </c>
      <c r="D50" s="5" t="s">
        <v>1</v>
      </c>
      <c r="E50" s="36"/>
      <c r="F50" s="42"/>
      <c r="G50" s="36"/>
      <c r="H50" s="36"/>
      <c r="I50" s="33"/>
      <c r="J50" s="33"/>
      <c r="K50" s="34"/>
      <c r="L50" s="36"/>
      <c r="M50" s="5" t="s">
        <v>1</v>
      </c>
      <c r="N50" s="5" t="s">
        <v>1</v>
      </c>
      <c r="O50" s="36"/>
      <c r="P50" s="42"/>
      <c r="Q50" s="36"/>
      <c r="R50" s="36"/>
      <c r="S50" s="41"/>
      <c r="T50" s="33"/>
      <c r="U50" s="34"/>
    </row>
    <row r="51" spans="1:21" x14ac:dyDescent="0.35">
      <c r="A51" s="37">
        <v>25</v>
      </c>
      <c r="B51" s="38">
        <v>6.54</v>
      </c>
      <c r="C51" s="5">
        <v>-8.4970000000000004E-2</v>
      </c>
      <c r="D51" s="5">
        <f>C51-$X$14</f>
        <v>4.1728571428571587E-3</v>
      </c>
      <c r="E51" s="36">
        <f t="shared" ref="E51" si="190">AVERAGE(D51:D52)</f>
        <v>4.1728571428571587E-3</v>
      </c>
      <c r="F51" s="42" t="e">
        <f t="shared" ref="F51" si="191">_xlfn.STDEV.S(D51:D52)/SQRT(2)</f>
        <v>#DIV/0!</v>
      </c>
      <c r="G51" s="36">
        <f t="shared" ref="G51" si="192">(-E51*1*0.22)/(6220*0.6*0.03*10^-3)</f>
        <v>-8.1996121063645493E-3</v>
      </c>
      <c r="H51" s="36">
        <f>G51/B51</f>
        <v>-1.2537633190159861E-3</v>
      </c>
      <c r="I51" s="33">
        <f t="shared" ref="I51" si="193">H51*1000</f>
        <v>-1.253763319015986</v>
      </c>
      <c r="J51" s="33">
        <f>AVERAGE(I53)</f>
        <v>8.0602593988809392</v>
      </c>
      <c r="K51" s="34" t="e">
        <f>(_xlfn.STDEV.S(I53)/SQRT(3))/J51</f>
        <v>#DIV/0!</v>
      </c>
      <c r="L51" s="36">
        <v>12</v>
      </c>
      <c r="M51" s="5">
        <v>-5.3999999999999999E-2</v>
      </c>
      <c r="N51" s="5">
        <f>M51-$X$14</f>
        <v>3.5142857142857163E-2</v>
      </c>
      <c r="O51" s="36">
        <f t="shared" ref="O51" si="194">AVERAGE(N51:N52)</f>
        <v>3.5142857142857163E-2</v>
      </c>
      <c r="P51" s="42" t="e">
        <f t="shared" ref="P51" si="195">_xlfn.STDEV.S(N51:N52)/SQRT(2)</f>
        <v>#DIV/0!</v>
      </c>
      <c r="Q51" s="36">
        <f t="shared" ref="Q51" si="196">(-O51*1*0.22)/(6220*0.6*0.03*10^-3)</f>
        <v>-6.9055274843056236E-2</v>
      </c>
      <c r="R51" s="36">
        <f>Q51/L51</f>
        <v>-5.754606236921353E-3</v>
      </c>
      <c r="S51" s="33">
        <f t="shared" ref="S51" si="197">R51*1000</f>
        <v>-5.7546062369213526</v>
      </c>
      <c r="T51" s="33">
        <v>0</v>
      </c>
      <c r="U51" s="34" t="e">
        <f t="shared" ref="U51" si="198">(_xlfn.STDEV.S(S51:S56)/SQRT(3))/T51</f>
        <v>#DIV/0!</v>
      </c>
    </row>
    <row r="52" spans="1:21" x14ac:dyDescent="0.35">
      <c r="A52" s="37"/>
      <c r="B52" s="38"/>
      <c r="C52" s="5" t="s">
        <v>1</v>
      </c>
      <c r="D52" s="5" t="s">
        <v>1</v>
      </c>
      <c r="E52" s="36"/>
      <c r="F52" s="42"/>
      <c r="G52" s="36"/>
      <c r="H52" s="36"/>
      <c r="I52" s="33"/>
      <c r="J52" s="33"/>
      <c r="K52" s="34"/>
      <c r="L52" s="36"/>
      <c r="M52" s="5" t="s">
        <v>1</v>
      </c>
      <c r="N52" s="5" t="s">
        <v>1</v>
      </c>
      <c r="O52" s="36"/>
      <c r="P52" s="42"/>
      <c r="Q52" s="36"/>
      <c r="R52" s="36"/>
      <c r="S52" s="33"/>
      <c r="T52" s="33"/>
      <c r="U52" s="34"/>
    </row>
    <row r="53" spans="1:21" x14ac:dyDescent="0.35">
      <c r="A53" s="37">
        <v>26</v>
      </c>
      <c r="B53" s="38">
        <v>7.0349999999999993</v>
      </c>
      <c r="C53" s="5">
        <v>-0.11799999999999999</v>
      </c>
      <c r="D53" s="5">
        <f>C53-$X$14</f>
        <v>-2.8857142857142831E-2</v>
      </c>
      <c r="E53" s="36">
        <f t="shared" ref="E53" si="199">AVERAGE(D53:D54)</f>
        <v>-2.8857142857142831E-2</v>
      </c>
      <c r="F53" s="42" t="e">
        <f t="shared" ref="F53" si="200">_xlfn.STDEV.S(D53:D54)/SQRT(2)</f>
        <v>#DIV/0!</v>
      </c>
      <c r="G53" s="36">
        <f t="shared" ref="G53" si="201">(-E53*1*0.22)/(6220*0.6*0.03*10^-3)</f>
        <v>5.6703924871127402E-2</v>
      </c>
      <c r="H53" s="36">
        <f>G53/B53</f>
        <v>8.0602593988809389E-3</v>
      </c>
      <c r="I53" s="33">
        <f t="shared" ref="I53" si="202">H53*1000</f>
        <v>8.0602593988809392</v>
      </c>
      <c r="J53" s="33"/>
      <c r="K53" s="34"/>
      <c r="L53" s="36">
        <v>10.079999999999998</v>
      </c>
      <c r="M53" s="5">
        <v>-5.9089999999999997E-2</v>
      </c>
      <c r="N53" s="5">
        <f>M53-$X$14</f>
        <v>3.0052857142857166E-2</v>
      </c>
      <c r="O53" s="36">
        <f t="shared" ref="O53" si="203">AVERAGE(N53:N54)</f>
        <v>3.0052857142857166E-2</v>
      </c>
      <c r="P53" s="42" t="e">
        <f t="shared" ref="P53" si="204">_xlfn.STDEV.S(N53:N54)/SQRT(2)</f>
        <v>#DIV/0!</v>
      </c>
      <c r="Q53" s="36">
        <f t="shared" ref="Q53" si="205">(-O53*1*0.22)/(6220*0.6*0.03*10^-3)</f>
        <v>-5.9053488490787578E-2</v>
      </c>
      <c r="R53" s="36">
        <f>Q53/L53</f>
        <v>-5.8584810010701973E-3</v>
      </c>
      <c r="S53" s="33">
        <f t="shared" ref="S53" si="206">R53*1000</f>
        <v>-5.8584810010701975</v>
      </c>
      <c r="T53" s="33"/>
      <c r="U53" s="34"/>
    </row>
    <row r="54" spans="1:21" x14ac:dyDescent="0.35">
      <c r="A54" s="37"/>
      <c r="B54" s="38"/>
      <c r="C54" s="5" t="s">
        <v>1</v>
      </c>
      <c r="D54" s="5" t="s">
        <v>1</v>
      </c>
      <c r="E54" s="36"/>
      <c r="F54" s="42"/>
      <c r="G54" s="36"/>
      <c r="H54" s="36"/>
      <c r="I54" s="33"/>
      <c r="J54" s="33"/>
      <c r="K54" s="34"/>
      <c r="L54" s="36"/>
      <c r="M54" s="5" t="s">
        <v>1</v>
      </c>
      <c r="N54" s="5" t="s">
        <v>1</v>
      </c>
      <c r="O54" s="36"/>
      <c r="P54" s="42"/>
      <c r="Q54" s="36"/>
      <c r="R54" s="36"/>
      <c r="S54" s="33"/>
      <c r="T54" s="33"/>
      <c r="U54" s="34"/>
    </row>
    <row r="55" spans="1:21" x14ac:dyDescent="0.35">
      <c r="A55" s="37">
        <v>27</v>
      </c>
      <c r="B55" s="38">
        <v>5.79</v>
      </c>
      <c r="C55" s="5">
        <v>-6.6049999999999998E-2</v>
      </c>
      <c r="D55" s="5">
        <f>C55-$X$14</f>
        <v>2.3092857142857165E-2</v>
      </c>
      <c r="E55" s="36">
        <f t="shared" ref="E55" si="207">AVERAGE(D55:D56)</f>
        <v>2.3092857142857165E-2</v>
      </c>
      <c r="F55" s="42" t="e">
        <f t="shared" ref="F55" si="208">_xlfn.STDEV.S(D55:D56)/SQRT(2)</f>
        <v>#DIV/0!</v>
      </c>
      <c r="G55" s="36">
        <f t="shared" ref="G55" si="209">(-E55*1*0.22)/(6220*0.6*0.03*10^-3)</f>
        <v>-4.5377175521870101E-2</v>
      </c>
      <c r="H55" s="36">
        <f>G55/B55</f>
        <v>-7.837163302568239E-3</v>
      </c>
      <c r="I55" s="33">
        <f t="shared" ref="I55" si="210">H55*1000</f>
        <v>-7.8371633025682392</v>
      </c>
      <c r="J55" s="33"/>
      <c r="K55" s="34"/>
      <c r="L55" s="36">
        <v>11.565</v>
      </c>
      <c r="M55" s="5">
        <v>-7.2910000000000003E-2</v>
      </c>
      <c r="N55" s="5">
        <f>M55-$X$14</f>
        <v>1.623285714285716E-2</v>
      </c>
      <c r="O55" s="36">
        <f t="shared" ref="O55" si="211">AVERAGE(N55:N56)</f>
        <v>1.623285714285716E-2</v>
      </c>
      <c r="P55" s="42" t="e">
        <f t="shared" ref="P55" si="212">_xlfn.STDEV.S(N55:N56)/SQRT(2)</f>
        <v>#DIV/0!</v>
      </c>
      <c r="Q55" s="36">
        <f t="shared" ref="Q55" si="213">(-O55*1*0.22)/(6220*0.6*0.03*10^-3)</f>
        <v>-3.1897361302506033E-2</v>
      </c>
      <c r="R55" s="36">
        <f>Q55/L55</f>
        <v>-2.7580943625167345E-3</v>
      </c>
      <c r="S55" s="33">
        <f t="shared" ref="S55" si="214">R55*1000</f>
        <v>-2.7580943625167347</v>
      </c>
      <c r="T55" s="33"/>
      <c r="U55" s="34"/>
    </row>
    <row r="56" spans="1:21" x14ac:dyDescent="0.35">
      <c r="A56" s="37"/>
      <c r="B56" s="38"/>
      <c r="C56" s="5" t="s">
        <v>1</v>
      </c>
      <c r="D56" s="5" t="s">
        <v>1</v>
      </c>
      <c r="E56" s="36"/>
      <c r="F56" s="42"/>
      <c r="G56" s="36"/>
      <c r="H56" s="36"/>
      <c r="I56" s="33"/>
      <c r="J56" s="33"/>
      <c r="K56" s="34"/>
      <c r="L56" s="36"/>
      <c r="M56" s="5" t="s">
        <v>1</v>
      </c>
      <c r="N56" s="5" t="s">
        <v>1</v>
      </c>
      <c r="O56" s="36"/>
      <c r="P56" s="42"/>
      <c r="Q56" s="36"/>
      <c r="R56" s="36"/>
      <c r="S56" s="33"/>
      <c r="T56" s="33"/>
      <c r="U56" s="34"/>
    </row>
    <row r="57" spans="1:21" x14ac:dyDescent="0.35">
      <c r="A57" s="37">
        <v>28</v>
      </c>
      <c r="B57" s="38">
        <v>6.3750000000000009</v>
      </c>
      <c r="C57" s="5">
        <v>-0.1452</v>
      </c>
      <c r="D57" s="5">
        <f>C57-$X$14</f>
        <v>-5.6057142857142833E-2</v>
      </c>
      <c r="E57" s="36">
        <f t="shared" ref="E57" si="215">AVERAGE(D57:D58)</f>
        <v>-5.6057142857142833E-2</v>
      </c>
      <c r="F57" s="42" t="e">
        <f t="shared" ref="F57" si="216">_xlfn.STDEV.S(D57:D58)/SQRT(2)</f>
        <v>#DIV/0!</v>
      </c>
      <c r="G57" s="36">
        <f t="shared" ref="G57" si="217">(-E57*1*0.22)/(6220*0.6*0.03*10^-3)</f>
        <v>0.11015158474965546</v>
      </c>
      <c r="H57" s="36">
        <f>G57/B57</f>
        <v>1.7278679960730264E-2</v>
      </c>
      <c r="I57" s="33">
        <f t="shared" ref="I57" si="218">H57*1000</f>
        <v>17.278679960730265</v>
      </c>
      <c r="J57" s="33">
        <f t="shared" ref="J57" si="219">AVERAGE(I57:I62)</f>
        <v>6.9235390688105332</v>
      </c>
      <c r="K57" s="34">
        <f t="shared" ref="K57" si="220">(_xlfn.STDEV.S(I57:I62)/SQRT(3))/J57</f>
        <v>0.7722647716310691</v>
      </c>
      <c r="L57" s="36">
        <v>11.58</v>
      </c>
      <c r="M57" s="5">
        <v>-4.2000000000000003E-2</v>
      </c>
      <c r="N57" s="5">
        <f>M57-$X$14</f>
        <v>4.714285714285716E-2</v>
      </c>
      <c r="O57" s="36">
        <f t="shared" ref="O57" si="221">AVERAGE(N57:N58)</f>
        <v>4.714285714285716E-2</v>
      </c>
      <c r="P57" s="42" t="e">
        <f t="shared" ref="P57" si="222">_xlfn.STDEV.S(N57:N58)/SQRT(2)</f>
        <v>#DIV/0!</v>
      </c>
      <c r="Q57" s="36">
        <f t="shared" ref="Q57" si="223">(-O57*1*0.22)/(6220*0.6*0.03*10^-3)</f>
        <v>-9.2635124789465659E-2</v>
      </c>
      <c r="R57" s="36">
        <f>Q57/L57</f>
        <v>-7.9995789973631836E-3</v>
      </c>
      <c r="S57" s="39">
        <f>AVERAGE(S59:S62)</f>
        <v>13.022912644758531</v>
      </c>
      <c r="T57" s="33">
        <f t="shared" ref="T57" si="224">AVERAGE(S57:S62)</f>
        <v>13.022912644758529</v>
      </c>
      <c r="U57" s="34">
        <f t="shared" ref="U57" si="225">(_xlfn.STDEV.S(S57:S62)/SQRT(3))/T57</f>
        <v>0.38143535830419217</v>
      </c>
    </row>
    <row r="58" spans="1:21" x14ac:dyDescent="0.35">
      <c r="A58" s="37"/>
      <c r="B58" s="38"/>
      <c r="C58" s="5" t="s">
        <v>1</v>
      </c>
      <c r="D58" s="5" t="s">
        <v>1</v>
      </c>
      <c r="E58" s="36"/>
      <c r="F58" s="42"/>
      <c r="G58" s="36"/>
      <c r="H58" s="36"/>
      <c r="I58" s="33"/>
      <c r="J58" s="33"/>
      <c r="K58" s="34"/>
      <c r="L58" s="36"/>
      <c r="M58" s="5" t="s">
        <v>1</v>
      </c>
      <c r="N58" s="5" t="s">
        <v>1</v>
      </c>
      <c r="O58" s="36"/>
      <c r="P58" s="42"/>
      <c r="Q58" s="36"/>
      <c r="R58" s="36"/>
      <c r="S58" s="39"/>
      <c r="T58" s="33"/>
      <c r="U58" s="34"/>
    </row>
    <row r="59" spans="1:21" ht="14.15" customHeight="1" x14ac:dyDescent="0.35">
      <c r="A59" s="37">
        <v>29</v>
      </c>
      <c r="B59" s="38">
        <v>6.75</v>
      </c>
      <c r="C59" s="5">
        <v>-8.72E-2</v>
      </c>
      <c r="D59" s="5">
        <f>C59-$X$14</f>
        <v>1.9428571428571628E-3</v>
      </c>
      <c r="E59" s="36">
        <f t="shared" ref="E59" si="226">AVERAGE(D59:D60)</f>
        <v>1.9428571428571628E-3</v>
      </c>
      <c r="F59" s="42" t="e">
        <f t="shared" ref="F59" si="227">_xlfn.STDEV.S(D59:D60)/SQRT(2)</f>
        <v>#DIV/0!</v>
      </c>
      <c r="G59" s="36">
        <f t="shared" ref="G59" si="228">(-E59*1*0.22)/(6220*0.6*0.03*10^-3)</f>
        <v>-3.8176899913234716E-3</v>
      </c>
      <c r="H59" s="36">
        <f>G59/B59</f>
        <v>-5.6558370241829208E-4</v>
      </c>
      <c r="I59" s="33">
        <f t="shared" ref="I59" si="229">H59*1000</f>
        <v>-0.56558370241829203</v>
      </c>
      <c r="J59" s="33"/>
      <c r="K59" s="34"/>
      <c r="L59" s="36">
        <v>10.875</v>
      </c>
      <c r="M59" s="5">
        <v>-0.11360000000000001</v>
      </c>
      <c r="N59" s="5">
        <f>M59-$X$14</f>
        <v>-2.4457142857142844E-2</v>
      </c>
      <c r="O59" s="36">
        <f t="shared" ref="O59" si="230">AVERAGE(N59:N60)</f>
        <v>-2.4457142857142844E-2</v>
      </c>
      <c r="P59" s="42" t="e">
        <f t="shared" ref="P59" si="231">_xlfn.STDEV.S(N59:N60)/SQRT(2)</f>
        <v>#DIV/0!</v>
      </c>
      <c r="Q59" s="36">
        <f t="shared" ref="Q59" si="232">(-O59*1*0.22)/(6220*0.6*0.03*10^-3)</f>
        <v>4.8057979890777293E-2</v>
      </c>
      <c r="R59" s="36">
        <f>Q59/L59</f>
        <v>4.419124587657682E-3</v>
      </c>
      <c r="S59" s="33">
        <f t="shared" ref="S59" si="233">R59*1000</f>
        <v>4.4191245876576817</v>
      </c>
      <c r="T59" s="33"/>
      <c r="U59" s="34"/>
    </row>
    <row r="60" spans="1:21" x14ac:dyDescent="0.35">
      <c r="A60" s="37"/>
      <c r="B60" s="38"/>
      <c r="C60" s="5" t="s">
        <v>1</v>
      </c>
      <c r="D60" s="5" t="s">
        <v>1</v>
      </c>
      <c r="E60" s="36"/>
      <c r="F60" s="42"/>
      <c r="G60" s="36"/>
      <c r="H60" s="36"/>
      <c r="I60" s="33"/>
      <c r="J60" s="33"/>
      <c r="K60" s="34"/>
      <c r="L60" s="36"/>
      <c r="M60" s="5" t="s">
        <v>1</v>
      </c>
      <c r="N60" s="5" t="s">
        <v>1</v>
      </c>
      <c r="O60" s="36"/>
      <c r="P60" s="42"/>
      <c r="Q60" s="36"/>
      <c r="R60" s="36"/>
      <c r="S60" s="33"/>
      <c r="T60" s="33"/>
      <c r="U60" s="34"/>
    </row>
    <row r="61" spans="1:21" x14ac:dyDescent="0.35">
      <c r="A61" s="37">
        <v>30</v>
      </c>
      <c r="B61" s="38">
        <v>5.0399999999999991</v>
      </c>
      <c r="C61" s="5">
        <v>-9.955E-2</v>
      </c>
      <c r="D61" s="5">
        <f>C61-$X$14</f>
        <v>-1.0407142857142837E-2</v>
      </c>
      <c r="E61" s="36">
        <f t="shared" ref="E61" si="234">AVERAGE(D61:D62)</f>
        <v>-1.0407142857142837E-2</v>
      </c>
      <c r="F61" s="42" t="e">
        <f t="shared" ref="F61" si="235">_xlfn.STDEV.S(D61:D62)/SQRT(2)</f>
        <v>#DIV/0!</v>
      </c>
      <c r="G61" s="36">
        <f t="shared" ref="G61" si="236">(-E61*1*0.22)/(6220*0.6*0.03*10^-3)</f>
        <v>2.0449905578522904E-2</v>
      </c>
      <c r="H61" s="36">
        <f>G61/B61</f>
        <v>4.0575209481196247E-3</v>
      </c>
      <c r="I61" s="33">
        <f t="shared" ref="I61" si="237">H61*1000</f>
        <v>4.0575209481196248</v>
      </c>
      <c r="J61" s="33"/>
      <c r="K61" s="34"/>
      <c r="L61" s="36">
        <v>8.6549999999999994</v>
      </c>
      <c r="M61" s="5">
        <v>-0.18440000000000001</v>
      </c>
      <c r="N61" s="5">
        <f>M61-$X$14</f>
        <v>-9.5257142857142846E-2</v>
      </c>
      <c r="O61" s="36">
        <f t="shared" ref="O61" si="238">AVERAGE(N61:N62)</f>
        <v>-9.5257142857142846E-2</v>
      </c>
      <c r="P61" s="42" t="e">
        <f t="shared" ref="P61" si="239">_xlfn.STDEV.S(N61:N62)/SQRT(2)</f>
        <v>#DIV/0!</v>
      </c>
      <c r="Q61" s="36">
        <f t="shared" ref="Q61" si="240">(-O61*1*0.22)/(6220*0.6*0.03*10^-3)</f>
        <v>0.18717909457459295</v>
      </c>
      <c r="R61" s="36">
        <f>Q61/L61</f>
        <v>2.1626700701859382E-2</v>
      </c>
      <c r="S61" s="33">
        <f t="shared" ref="S61" si="241">R61*1000</f>
        <v>21.626700701859381</v>
      </c>
      <c r="T61" s="33"/>
      <c r="U61" s="34"/>
    </row>
    <row r="62" spans="1:21" x14ac:dyDescent="0.35">
      <c r="A62" s="37"/>
      <c r="B62" s="38"/>
      <c r="C62" s="5" t="s">
        <v>1</v>
      </c>
      <c r="D62" s="5" t="s">
        <v>1</v>
      </c>
      <c r="E62" s="36"/>
      <c r="F62" s="42"/>
      <c r="G62" s="36"/>
      <c r="H62" s="36"/>
      <c r="I62" s="33"/>
      <c r="J62" s="33"/>
      <c r="K62" s="34"/>
      <c r="L62" s="36"/>
      <c r="M62" s="5" t="s">
        <v>1</v>
      </c>
      <c r="N62" s="5" t="s">
        <v>1</v>
      </c>
      <c r="O62" s="36"/>
      <c r="P62" s="42"/>
      <c r="Q62" s="36"/>
      <c r="R62" s="36"/>
      <c r="S62" s="33"/>
      <c r="T62" s="33"/>
      <c r="U62" s="34"/>
    </row>
    <row r="63" spans="1:21" x14ac:dyDescent="0.35">
      <c r="A63" s="37">
        <v>31</v>
      </c>
      <c r="B63" s="38">
        <v>2.2950000000000004</v>
      </c>
      <c r="C63" s="5">
        <v>-0.111</v>
      </c>
      <c r="D63" s="5">
        <f>C63-$X$14</f>
        <v>-2.1857142857142839E-2</v>
      </c>
      <c r="E63" s="36">
        <f t="shared" ref="E63" si="242">AVERAGE(D63:D64)</f>
        <v>-2.1857142857142839E-2</v>
      </c>
      <c r="F63" s="42" t="e">
        <f t="shared" ref="F63" si="243">_xlfn.STDEV.S(D63:D64)/SQRT(2)</f>
        <v>#DIV/0!</v>
      </c>
      <c r="G63" s="36">
        <f t="shared" ref="G63" si="244">(-E63*1*0.22)/(6220*0.6*0.03*10^-3)</f>
        <v>4.2949012402388576E-2</v>
      </c>
      <c r="H63" s="36">
        <f>G63/B63</f>
        <v>1.8714166624134453E-2</v>
      </c>
      <c r="I63" s="33">
        <f t="shared" ref="I63" si="245">H63*1000</f>
        <v>18.714166624134453</v>
      </c>
      <c r="J63" s="33">
        <f t="shared" ref="J63" si="246">AVERAGE(I63:I68)</f>
        <v>7.9079575711200105</v>
      </c>
      <c r="K63" s="34">
        <f t="shared" ref="K63" si="247">(_xlfn.STDEV.S(I63:I68)/SQRT(3))/J63</f>
        <v>0.74028809668103479</v>
      </c>
      <c r="L63" s="36">
        <v>7.5449999999999999</v>
      </c>
      <c r="M63" s="5">
        <v>-0.1522</v>
      </c>
      <c r="N63" s="5">
        <f>M63-$X$14</f>
        <v>-6.3057142857142839E-2</v>
      </c>
      <c r="O63" s="36">
        <f t="shared" ref="O63" si="248">AVERAGE(N63:N64)</f>
        <v>-6.3057142857142839E-2</v>
      </c>
      <c r="P63" s="42" t="e">
        <f t="shared" ref="P63" si="249">_xlfn.STDEV.S(N63:N64)/SQRT(2)</f>
        <v>#DIV/0!</v>
      </c>
      <c r="Q63" s="36">
        <f t="shared" ref="Q63" si="250">(-O63*1*0.22)/(6220*0.6*0.03*10^-3)</f>
        <v>0.12390649721839431</v>
      </c>
      <c r="R63" s="36">
        <f>Q63/L63</f>
        <v>1.6422332301974065E-2</v>
      </c>
      <c r="S63" s="33">
        <f t="shared" ref="S63" si="251">R63*1000</f>
        <v>16.422332301974066</v>
      </c>
      <c r="T63" s="33">
        <f>AVERAGE(S63:S66)</f>
        <v>15.466210810060829</v>
      </c>
      <c r="U63" s="34">
        <f>(_xlfn.STDEV.S(S63:S66)/SQRT(2))/T63</f>
        <v>6.1820021959824639E-2</v>
      </c>
    </row>
    <row r="64" spans="1:21" x14ac:dyDescent="0.35">
      <c r="A64" s="37"/>
      <c r="B64" s="38"/>
      <c r="C64" s="5" t="s">
        <v>1</v>
      </c>
      <c r="D64" s="5" t="s">
        <v>1</v>
      </c>
      <c r="E64" s="36"/>
      <c r="F64" s="42"/>
      <c r="G64" s="36"/>
      <c r="H64" s="36"/>
      <c r="I64" s="33"/>
      <c r="J64" s="33"/>
      <c r="K64" s="34"/>
      <c r="L64" s="36"/>
      <c r="M64" s="5" t="s">
        <v>1</v>
      </c>
      <c r="N64" s="5" t="s">
        <v>1</v>
      </c>
      <c r="O64" s="36"/>
      <c r="P64" s="42"/>
      <c r="Q64" s="36"/>
      <c r="R64" s="36"/>
      <c r="S64" s="33"/>
      <c r="T64" s="33"/>
      <c r="U64" s="34"/>
    </row>
    <row r="65" spans="1:22" x14ac:dyDescent="0.35">
      <c r="A65" s="37">
        <v>32</v>
      </c>
      <c r="B65" s="38">
        <v>4.74</v>
      </c>
      <c r="C65" s="5">
        <v>-0.1046</v>
      </c>
      <c r="D65" s="5">
        <f>C65-$X$14</f>
        <v>-1.5457142857142836E-2</v>
      </c>
      <c r="E65" s="36">
        <f t="shared" ref="E65" si="252">AVERAGE(D65:D66)</f>
        <v>-1.5457142857142836E-2</v>
      </c>
      <c r="F65" s="42" t="e">
        <f t="shared" ref="F65" si="253">_xlfn.STDEV.S(D65:D66)/SQRT(2)</f>
        <v>#DIV/0!</v>
      </c>
      <c r="G65" s="36">
        <f t="shared" ref="G65" si="254">(-E65*1*0.22)/(6220*0.6*0.03*10^-3)</f>
        <v>3.0373092430970205E-2</v>
      </c>
      <c r="H65" s="36">
        <f>G65/B65</f>
        <v>6.40782540737768E-3</v>
      </c>
      <c r="I65" s="33">
        <f t="shared" ref="I65" si="255">H65*1000</f>
        <v>6.4078254073776799</v>
      </c>
      <c r="J65" s="33"/>
      <c r="K65" s="34"/>
      <c r="L65" s="36">
        <v>9.5549999999999997</v>
      </c>
      <c r="M65" s="5">
        <v>-0.15970000000000001</v>
      </c>
      <c r="N65" s="5">
        <f>M65-$X$14</f>
        <v>-7.0557142857142846E-2</v>
      </c>
      <c r="O65" s="36">
        <f t="shared" ref="O65" si="256">AVERAGE(N65:N66)</f>
        <v>-7.0557142857142846E-2</v>
      </c>
      <c r="P65" s="42" t="e">
        <f t="shared" ref="P65" si="257">_xlfn.STDEV.S(N65:N66)/SQRT(2)</f>
        <v>#DIV/0!</v>
      </c>
      <c r="Q65" s="36">
        <f t="shared" ref="Q65" si="258">(-O65*1*0.22)/(6220*0.6*0.03*10^-3)</f>
        <v>0.13864390343490021</v>
      </c>
      <c r="R65" s="36">
        <f>Q65/L65</f>
        <v>1.451008931814759E-2</v>
      </c>
      <c r="S65" s="33">
        <f t="shared" ref="S65" si="259">R65*1000</f>
        <v>14.510089318147591</v>
      </c>
      <c r="T65" s="33"/>
      <c r="U65" s="34"/>
    </row>
    <row r="66" spans="1:22" x14ac:dyDescent="0.35">
      <c r="A66" s="37"/>
      <c r="B66" s="38"/>
      <c r="C66" s="5" t="s">
        <v>1</v>
      </c>
      <c r="D66" s="5" t="s">
        <v>1</v>
      </c>
      <c r="E66" s="36"/>
      <c r="F66" s="42"/>
      <c r="G66" s="36"/>
      <c r="H66" s="36"/>
      <c r="I66" s="33"/>
      <c r="J66" s="33"/>
      <c r="K66" s="34"/>
      <c r="L66" s="36"/>
      <c r="M66" s="5" t="s">
        <v>1</v>
      </c>
      <c r="N66" s="5" t="s">
        <v>1</v>
      </c>
      <c r="O66" s="36"/>
      <c r="P66" s="42"/>
      <c r="Q66" s="36"/>
      <c r="R66" s="36"/>
      <c r="S66" s="33"/>
      <c r="T66" s="33"/>
      <c r="U66" s="34"/>
    </row>
    <row r="67" spans="1:22" x14ac:dyDescent="0.35">
      <c r="A67" s="37">
        <v>33</v>
      </c>
      <c r="B67" s="38">
        <v>5.415</v>
      </c>
      <c r="C67" s="5">
        <v>-8.5290000000000005E-2</v>
      </c>
      <c r="D67" s="5">
        <f>C67-$X$14</f>
        <v>3.8528571428571579E-3</v>
      </c>
      <c r="E67" s="36">
        <f t="shared" ref="E67" si="260">AVERAGE(D67:D68)</f>
        <v>3.8528571428571579E-3</v>
      </c>
      <c r="F67" s="42" t="e">
        <f t="shared" ref="F67" si="261">_xlfn.STDEV.S(D67:D68)/SQRT(2)</f>
        <v>#DIV/0!</v>
      </c>
      <c r="G67" s="36">
        <f t="shared" ref="G67" si="262">(-E67*1*0.22)/(6220*0.6*0.03*10^-3)</f>
        <v>-7.5708161077936301E-3</v>
      </c>
      <c r="H67" s="36">
        <f>G67/B67</f>
        <v>-1.3981193181521016E-3</v>
      </c>
      <c r="I67" s="33">
        <f t="shared" ref="I67" si="263">H67*1000</f>
        <v>-1.3981193181521017</v>
      </c>
      <c r="J67" s="33"/>
      <c r="K67" s="34"/>
      <c r="L67" s="36">
        <v>10.169999999999998</v>
      </c>
      <c r="M67" s="5">
        <v>-9.5670000000000005E-2</v>
      </c>
      <c r="N67" s="5">
        <f>M67-$X$14</f>
        <v>-6.5271428571428425E-3</v>
      </c>
      <c r="O67" s="36">
        <f t="shared" ref="O67" si="264">AVERAGE(N67:N68)</f>
        <v>-6.5271428571428425E-3</v>
      </c>
      <c r="P67" s="42" t="e">
        <f t="shared" ref="P67" si="265">_xlfn.STDEV.S(N67:N68)/SQRT(2)</f>
        <v>#DIV/0!</v>
      </c>
      <c r="Q67" s="36">
        <f t="shared" ref="Q67" si="266">(-O67*1*0.22)/(6220*0.6*0.03*10^-3)</f>
        <v>1.2825754095850532E-2</v>
      </c>
      <c r="R67" s="36">
        <f>Q67/L67</f>
        <v>1.2611360959538381E-3</v>
      </c>
      <c r="S67" s="40">
        <f t="shared" ref="S67" si="267">R67*1000</f>
        <v>1.2611360959538382</v>
      </c>
      <c r="T67" s="33"/>
      <c r="U67" s="34"/>
    </row>
    <row r="68" spans="1:22" x14ac:dyDescent="0.35">
      <c r="A68" s="37"/>
      <c r="B68" s="38"/>
      <c r="C68" s="5" t="s">
        <v>1</v>
      </c>
      <c r="D68" s="5" t="s">
        <v>1</v>
      </c>
      <c r="E68" s="36"/>
      <c r="F68" s="42"/>
      <c r="G68" s="36"/>
      <c r="H68" s="36"/>
      <c r="I68" s="33"/>
      <c r="J68" s="33"/>
      <c r="K68" s="34"/>
      <c r="L68" s="36"/>
      <c r="M68" s="5" t="s">
        <v>1</v>
      </c>
      <c r="N68" s="5" t="s">
        <v>1</v>
      </c>
      <c r="O68" s="36"/>
      <c r="P68" s="42"/>
      <c r="Q68" s="36"/>
      <c r="R68" s="36"/>
      <c r="S68" s="40"/>
      <c r="T68" s="33"/>
      <c r="U68" s="34"/>
    </row>
    <row r="69" spans="1:22" x14ac:dyDescent="0.35">
      <c r="A69" s="37">
        <v>34</v>
      </c>
      <c r="B69" s="38">
        <v>5.64</v>
      </c>
      <c r="C69" s="5">
        <v>-6.5009999999999998E-2</v>
      </c>
      <c r="D69" s="5">
        <f>C69-$X$14</f>
        <v>2.4132857142857164E-2</v>
      </c>
      <c r="E69" s="36">
        <f t="shared" ref="E69" si="268">AVERAGE(D69:D70)</f>
        <v>2.4132857142857164E-2</v>
      </c>
      <c r="F69" s="42" t="e">
        <f t="shared" ref="F69" si="269">_xlfn.STDEV.S(D69:D70)/SQRT(2)</f>
        <v>#DIV/0!</v>
      </c>
      <c r="G69" s="36">
        <f t="shared" ref="G69" si="270">(-E69*1*0.22)/(6220*0.6*0.03*10^-3)</f>
        <v>-4.7420762517225587E-2</v>
      </c>
      <c r="H69" s="36">
        <f>G69/B69</f>
        <v>-8.4079366165293601E-3</v>
      </c>
      <c r="I69" s="33">
        <f t="shared" ref="I69" si="271">H69*1000</f>
        <v>-8.4079366165293603</v>
      </c>
      <c r="J69" s="33">
        <v>0</v>
      </c>
      <c r="K69" s="34" t="e">
        <f t="shared" ref="K69" si="272">(_xlfn.STDEV.S(I69:I74)/SQRT(3))/J69</f>
        <v>#DIV/0!</v>
      </c>
      <c r="L69" s="36">
        <v>8.5200000000000014</v>
      </c>
      <c r="M69" s="5">
        <v>-8.5330000000000003E-2</v>
      </c>
      <c r="N69" s="5">
        <f>M69-$X$14</f>
        <v>3.8128571428571595E-3</v>
      </c>
      <c r="O69" s="36">
        <f t="shared" ref="O69" si="273">AVERAGE(N69:N70)</f>
        <v>3.8128571428571595E-3</v>
      </c>
      <c r="P69" s="42" t="e">
        <f t="shared" ref="P69" si="274">_xlfn.STDEV.S(N69:N70)/SQRT(2)</f>
        <v>#DIV/0!</v>
      </c>
      <c r="Q69" s="36">
        <f t="shared" ref="Q69" si="275">(-O69*1*0.22)/(6220*0.6*0.03*10^-3)</f>
        <v>-7.4922166079722683E-3</v>
      </c>
      <c r="R69" s="36">
        <f>Q69/L69</f>
        <v>-8.7936814647561826E-4</v>
      </c>
      <c r="S69" s="33">
        <f t="shared" ref="S69" si="276">R69*1000</f>
        <v>-0.87936814647561823</v>
      </c>
      <c r="T69" s="33">
        <v>0</v>
      </c>
      <c r="U69" s="34" t="e">
        <f t="shared" ref="U69" si="277">(_xlfn.STDEV.S(S69:S74)/SQRT(3))/T69</f>
        <v>#DIV/0!</v>
      </c>
    </row>
    <row r="70" spans="1:22" x14ac:dyDescent="0.35">
      <c r="A70" s="37"/>
      <c r="B70" s="38"/>
      <c r="C70" s="5" t="s">
        <v>1</v>
      </c>
      <c r="D70" s="5" t="s">
        <v>1</v>
      </c>
      <c r="E70" s="36"/>
      <c r="F70" s="42"/>
      <c r="G70" s="36"/>
      <c r="H70" s="36"/>
      <c r="I70" s="33"/>
      <c r="J70" s="33"/>
      <c r="K70" s="34"/>
      <c r="L70" s="36"/>
      <c r="M70" s="5" t="s">
        <v>1</v>
      </c>
      <c r="N70" s="5" t="s">
        <v>1</v>
      </c>
      <c r="O70" s="36"/>
      <c r="P70" s="42"/>
      <c r="Q70" s="36"/>
      <c r="R70" s="36"/>
      <c r="S70" s="33"/>
      <c r="T70" s="33"/>
      <c r="U70" s="34"/>
    </row>
    <row r="71" spans="1:22" x14ac:dyDescent="0.35">
      <c r="A71" s="37">
        <v>35</v>
      </c>
      <c r="B71" s="38">
        <v>5.76</v>
      </c>
      <c r="C71" s="5">
        <v>-8.7440000000000004E-2</v>
      </c>
      <c r="D71" s="5">
        <f>C71-$X$14</f>
        <v>1.7028571428571587E-3</v>
      </c>
      <c r="E71" s="36">
        <f t="shared" ref="E71" si="278">AVERAGE(D71:D72)</f>
        <v>1.7028571428571587E-3</v>
      </c>
      <c r="F71" s="42" t="e">
        <f t="shared" ref="F71" si="279">_xlfn.STDEV.S(D71:D72)/SQRT(2)</f>
        <v>#DIV/0!</v>
      </c>
      <c r="G71" s="36">
        <f t="shared" ref="G71" si="280">(-E71*1*0.22)/(6220*0.6*0.03*10^-3)</f>
        <v>-3.3460929923952746E-3</v>
      </c>
      <c r="H71" s="36">
        <f>G71/B71</f>
        <v>-5.8091892229084627E-4</v>
      </c>
      <c r="I71" s="33">
        <f t="shared" ref="I71" si="281">H71*1000</f>
        <v>-0.5809189222908463</v>
      </c>
      <c r="J71" s="33"/>
      <c r="K71" s="34"/>
      <c r="L71" s="36">
        <v>8.91</v>
      </c>
      <c r="M71" s="5">
        <v>-8.5099999999999995E-2</v>
      </c>
      <c r="N71" s="5">
        <f>M71-$X$14</f>
        <v>4.0428571428571675E-3</v>
      </c>
      <c r="O71" s="36">
        <f t="shared" ref="O71" si="282">AVERAGE(N71:N72)</f>
        <v>4.0428571428571675E-3</v>
      </c>
      <c r="P71" s="42" t="e">
        <f t="shared" ref="P71" si="283">_xlfn.STDEV.S(N71:N72)/SQRT(2)</f>
        <v>#DIV/0!</v>
      </c>
      <c r="Q71" s="36">
        <f t="shared" ref="Q71" si="284">(-O71*1*0.22)/(6220*0.6*0.03*10^-3)</f>
        <v>-7.9441637319451319E-3</v>
      </c>
      <c r="R71" s="36">
        <f>Q71/L71</f>
        <v>-8.9160086778284308E-4</v>
      </c>
      <c r="S71" s="33">
        <f t="shared" ref="S71" si="285">R71*1000</f>
        <v>-0.89160086778284309</v>
      </c>
      <c r="T71" s="33"/>
      <c r="U71" s="34"/>
    </row>
    <row r="72" spans="1:22" x14ac:dyDescent="0.35">
      <c r="A72" s="37"/>
      <c r="B72" s="38"/>
      <c r="C72" s="5" t="s">
        <v>1</v>
      </c>
      <c r="D72" s="5" t="s">
        <v>1</v>
      </c>
      <c r="E72" s="36"/>
      <c r="F72" s="42"/>
      <c r="G72" s="36"/>
      <c r="H72" s="36"/>
      <c r="I72" s="33"/>
      <c r="J72" s="33"/>
      <c r="K72" s="34"/>
      <c r="L72" s="36"/>
      <c r="M72" s="5" t="s">
        <v>1</v>
      </c>
      <c r="N72" s="5" t="s">
        <v>1</v>
      </c>
      <c r="O72" s="36"/>
      <c r="P72" s="42"/>
      <c r="Q72" s="36"/>
      <c r="R72" s="36"/>
      <c r="S72" s="33"/>
      <c r="T72" s="33"/>
      <c r="U72" s="34"/>
    </row>
    <row r="73" spans="1:22" x14ac:dyDescent="0.35">
      <c r="A73" s="37">
        <v>36</v>
      </c>
      <c r="B73" s="38">
        <v>4.4550000000000001</v>
      </c>
      <c r="C73" s="5">
        <v>-5.3710000000000001E-2</v>
      </c>
      <c r="D73" s="5">
        <f>C73-$X$14</f>
        <v>3.5432857142857162E-2</v>
      </c>
      <c r="E73" s="36">
        <f t="shared" ref="E73" si="286">AVERAGE(D73:D74)</f>
        <v>3.5432857142857162E-2</v>
      </c>
      <c r="F73" s="42" t="e">
        <f t="shared" ref="F73" si="287">_xlfn.STDEV.S(D73:D74)/SQRT(2)</f>
        <v>#DIV/0!</v>
      </c>
      <c r="G73" s="36">
        <f t="shared" ref="G73" si="288">(-E73*1*0.22)/(6220*0.6*0.03*10^-3)</f>
        <v>-6.9625121216761135E-2</v>
      </c>
      <c r="H73" s="36">
        <f>G73/B73</f>
        <v>-1.5628534504323485E-2</v>
      </c>
      <c r="I73" s="33">
        <f t="shared" ref="I73" si="289">H73*1000</f>
        <v>-15.628534504323484</v>
      </c>
      <c r="J73" s="33"/>
      <c r="K73" s="34"/>
      <c r="L73" s="36">
        <v>8.8949999999999996</v>
      </c>
      <c r="M73" s="5">
        <v>-7.1809999999999999E-2</v>
      </c>
      <c r="N73" s="5">
        <f>M73-$X$14</f>
        <v>1.7332857142857164E-2</v>
      </c>
      <c r="O73" s="36">
        <f t="shared" ref="O73" si="290">AVERAGE(N73:N74)</f>
        <v>1.7332857142857164E-2</v>
      </c>
      <c r="P73" s="42" t="e">
        <f t="shared" ref="P73" si="291">_xlfn.STDEV.S(N73:N74)/SQRT(2)</f>
        <v>#DIV/0!</v>
      </c>
      <c r="Q73" s="36">
        <f t="shared" ref="Q73" si="292">(-O73*1*0.22)/(6220*0.6*0.03*10^-3)</f>
        <v>-3.4058847547593571E-2</v>
      </c>
      <c r="R73" s="36">
        <f>Q73/L73</f>
        <v>-3.8289879199093391E-3</v>
      </c>
      <c r="S73" s="33">
        <f t="shared" ref="S73" si="293">R73*1000</f>
        <v>-3.8289879199093391</v>
      </c>
      <c r="T73" s="33"/>
      <c r="U73" s="34"/>
    </row>
    <row r="74" spans="1:22" x14ac:dyDescent="0.35">
      <c r="A74" s="37"/>
      <c r="B74" s="38"/>
      <c r="C74" s="5" t="s">
        <v>1</v>
      </c>
      <c r="D74" s="5" t="s">
        <v>1</v>
      </c>
      <c r="E74" s="36"/>
      <c r="F74" s="42"/>
      <c r="G74" s="36"/>
      <c r="H74" s="36"/>
      <c r="I74" s="33"/>
      <c r="J74" s="33"/>
      <c r="K74" s="34"/>
      <c r="L74" s="36"/>
      <c r="M74" s="5" t="s">
        <v>1</v>
      </c>
      <c r="N74" s="5" t="s">
        <v>1</v>
      </c>
      <c r="O74" s="36"/>
      <c r="P74" s="42"/>
      <c r="Q74" s="36"/>
      <c r="R74" s="36"/>
      <c r="S74" s="33"/>
      <c r="T74" s="33"/>
      <c r="U74" s="34"/>
    </row>
    <row r="75" spans="1:22" x14ac:dyDescent="0.35">
      <c r="A75" s="37">
        <v>37</v>
      </c>
      <c r="B75" s="38">
        <v>6.7650000000000006</v>
      </c>
      <c r="C75" s="5">
        <v>-8.3659999999999998E-2</v>
      </c>
      <c r="D75" s="5">
        <f>C75-$X$14</f>
        <v>5.4828571428571643E-3</v>
      </c>
      <c r="E75" s="36">
        <f t="shared" ref="E75" si="294">AVERAGE(D75:D76)</f>
        <v>5.4828571428571643E-3</v>
      </c>
      <c r="F75" s="42" t="e">
        <f t="shared" ref="F75" si="295">_xlfn.STDEV.S(D75:D76)/SQRT(2)</f>
        <v>#DIV/0!</v>
      </c>
      <c r="G75" s="36">
        <f t="shared" ref="G75" si="296">(-E75*1*0.22)/(6220*0.6*0.03*10^-3)</f>
        <v>-1.0773745725514256E-2</v>
      </c>
      <c r="H75" s="36">
        <f>G75/B75</f>
        <v>-1.5925714302312277E-3</v>
      </c>
      <c r="I75" s="33">
        <f t="shared" ref="I75" si="297">H75*1000</f>
        <v>-1.5925714302312277</v>
      </c>
      <c r="J75" s="33">
        <v>0</v>
      </c>
      <c r="K75" s="34" t="e">
        <f t="shared" ref="K75" si="298">(_xlfn.STDEV.S(I75:I80)/SQRT(3))/J75</f>
        <v>#DIV/0!</v>
      </c>
      <c r="L75" s="36">
        <v>10.5</v>
      </c>
      <c r="M75" s="5">
        <v>-8.5940000000000003E-2</v>
      </c>
      <c r="N75" s="5">
        <f>M75-$X$14</f>
        <v>3.2028571428571601E-3</v>
      </c>
      <c r="O75" s="36">
        <f t="shared" ref="O75" si="299">AVERAGE(N75:N76)</f>
        <v>3.2028571428571601E-3</v>
      </c>
      <c r="P75" s="42" t="e">
        <f t="shared" ref="P75" si="300">_xlfn.STDEV.S(N75:N76)/SQRT(2)</f>
        <v>#DIV/0!</v>
      </c>
      <c r="Q75" s="36">
        <f t="shared" ref="Q75" si="301">(-O75*1*0.22)/(6220*0.6*0.03*10^-3)</f>
        <v>-6.2935742356964568E-3</v>
      </c>
      <c r="R75" s="36">
        <f>Q75/L75</f>
        <v>-5.9938802244728162E-4</v>
      </c>
      <c r="S75" s="33">
        <f t="shared" ref="S75" si="302">R75*1000</f>
        <v>-0.59938802244728162</v>
      </c>
      <c r="T75" s="33">
        <f>AVERAGE(S77:S80)</f>
        <v>4.6415267845493524</v>
      </c>
      <c r="U75" s="34">
        <f>(_xlfn.STDEV.S(S77:S80)/SQRT(2))/T75</f>
        <v>4.8566594237525441E-2</v>
      </c>
      <c r="V75" t="s">
        <v>35</v>
      </c>
    </row>
    <row r="76" spans="1:22" x14ac:dyDescent="0.35">
      <c r="A76" s="37"/>
      <c r="B76" s="38"/>
      <c r="C76" s="5" t="s">
        <v>1</v>
      </c>
      <c r="D76" s="5" t="s">
        <v>1</v>
      </c>
      <c r="E76" s="36"/>
      <c r="F76" s="42"/>
      <c r="G76" s="36"/>
      <c r="H76" s="36"/>
      <c r="I76" s="33"/>
      <c r="J76" s="33"/>
      <c r="K76" s="34"/>
      <c r="L76" s="36"/>
      <c r="M76" s="5" t="s">
        <v>1</v>
      </c>
      <c r="N76" s="5" t="s">
        <v>1</v>
      </c>
      <c r="O76" s="36"/>
      <c r="P76" s="42"/>
      <c r="Q76" s="36"/>
      <c r="R76" s="36"/>
      <c r="S76" s="33"/>
      <c r="T76" s="33"/>
      <c r="U76" s="34"/>
    </row>
    <row r="77" spans="1:22" x14ac:dyDescent="0.35">
      <c r="A77" s="37">
        <v>38</v>
      </c>
      <c r="B77" s="38">
        <v>5.1150000000000002</v>
      </c>
      <c r="C77" s="5">
        <v>-5.2569999999999999E-2</v>
      </c>
      <c r="D77" s="5">
        <f>C77-$X$14</f>
        <v>3.6572857142857164E-2</v>
      </c>
      <c r="E77" s="36">
        <f t="shared" ref="E77" si="303">AVERAGE(D77:D78)</f>
        <v>3.6572857142857164E-2</v>
      </c>
      <c r="F77" s="42" t="e">
        <f t="shared" ref="F77" si="304">_xlfn.STDEV.S(D77:D78)/SQRT(2)</f>
        <v>#DIV/0!</v>
      </c>
      <c r="G77" s="36">
        <f t="shared" ref="G77" si="305">(-E77*1*0.22)/(6220*0.6*0.03*10^-3)</f>
        <v>-7.1865206961670036E-2</v>
      </c>
      <c r="H77" s="36">
        <f>G77/B77</f>
        <v>-1.404989383414859E-2</v>
      </c>
      <c r="I77" s="33">
        <f t="shared" ref="I77" si="306">H77*1000</f>
        <v>-14.049893834148589</v>
      </c>
      <c r="J77" s="33"/>
      <c r="K77" s="34"/>
      <c r="L77" s="36">
        <v>8.8650000000000002</v>
      </c>
      <c r="M77" s="5">
        <v>-0.1111</v>
      </c>
      <c r="N77" s="5">
        <f>M77-$X$14</f>
        <v>-2.1957142857142842E-2</v>
      </c>
      <c r="O77" s="36">
        <f t="shared" ref="O77" si="307">AVERAGE(N77:N78)</f>
        <v>-2.1957142857142842E-2</v>
      </c>
      <c r="P77" s="42" t="e">
        <f t="shared" ref="P77" si="308">_xlfn.STDEV.S(N77:N78)/SQRT(2)</f>
        <v>#DIV/0!</v>
      </c>
      <c r="Q77" s="36">
        <f t="shared" ref="Q77" si="309">(-O77*1*0.22)/(6220*0.6*0.03*10^-3)</f>
        <v>4.3145511151941998E-2</v>
      </c>
      <c r="R77" s="36">
        <f>Q77/L77</f>
        <v>4.8669499325371679E-3</v>
      </c>
      <c r="S77" s="33">
        <f t="shared" ref="S77" si="310">R77*1000</f>
        <v>4.8669499325371675</v>
      </c>
      <c r="T77" s="33"/>
      <c r="U77" s="34"/>
    </row>
    <row r="78" spans="1:22" x14ac:dyDescent="0.35">
      <c r="A78" s="37"/>
      <c r="B78" s="38"/>
      <c r="C78" s="5" t="s">
        <v>1</v>
      </c>
      <c r="D78" s="5" t="s">
        <v>1</v>
      </c>
      <c r="E78" s="36"/>
      <c r="F78" s="42"/>
      <c r="G78" s="36"/>
      <c r="H78" s="36"/>
      <c r="I78" s="33"/>
      <c r="J78" s="33"/>
      <c r="K78" s="34"/>
      <c r="L78" s="36"/>
      <c r="M78" s="5" t="s">
        <v>1</v>
      </c>
      <c r="N78" s="5" t="s">
        <v>1</v>
      </c>
      <c r="O78" s="36"/>
      <c r="P78" s="42"/>
      <c r="Q78" s="36"/>
      <c r="R78" s="36"/>
      <c r="S78" s="33"/>
      <c r="T78" s="33"/>
      <c r="U78" s="34"/>
    </row>
    <row r="79" spans="1:22" x14ac:dyDescent="0.35">
      <c r="A79" s="37">
        <v>39</v>
      </c>
      <c r="B79" s="38">
        <v>5.2350000000000003</v>
      </c>
      <c r="C79" s="5">
        <v>-7.6910000000000006E-2</v>
      </c>
      <c r="D79" s="5">
        <f>C79-$X$14</f>
        <v>1.2232857142857156E-2</v>
      </c>
      <c r="E79" s="36">
        <f t="shared" ref="E79" si="311">AVERAGE(D79:D80)</f>
        <v>1.2232857142857156E-2</v>
      </c>
      <c r="F79" s="42" t="e">
        <f t="shared" ref="F79" si="312">_xlfn.STDEV.S(D79:D80)/SQRT(2)</f>
        <v>#DIV/0!</v>
      </c>
      <c r="G79" s="36">
        <f t="shared" ref="G79" si="313">(-E79*1*0.22)/(6220*0.6*0.03*10^-3)</f>
        <v>-2.4037411320369548E-2</v>
      </c>
      <c r="H79" s="36">
        <f>G79/B79</f>
        <v>-4.5916736046551186E-3</v>
      </c>
      <c r="I79" s="33">
        <f t="shared" ref="I79" si="314">H79*1000</f>
        <v>-4.591673604655119</v>
      </c>
      <c r="J79" s="33"/>
      <c r="K79" s="34"/>
      <c r="L79" s="36">
        <v>10.215</v>
      </c>
      <c r="M79" s="5">
        <v>-0.11210000000000001</v>
      </c>
      <c r="N79" s="5">
        <f>M79-$X$14</f>
        <v>-2.2957142857142843E-2</v>
      </c>
      <c r="O79" s="36">
        <f t="shared" ref="O79" si="315">AVERAGE(N79:N80)</f>
        <v>-2.2957142857142843E-2</v>
      </c>
      <c r="P79" s="42" t="e">
        <f t="shared" ref="P79" si="316">_xlfn.STDEV.S(N79:N80)/SQRT(2)</f>
        <v>#DIV/0!</v>
      </c>
      <c r="Q79" s="36">
        <f t="shared" ref="Q79" si="317">(-O79*1*0.22)/(6220*0.6*0.03*10^-3)</f>
        <v>4.5110498647476113E-2</v>
      </c>
      <c r="R79" s="36">
        <f>Q79/L79</f>
        <v>4.4161036365615381E-3</v>
      </c>
      <c r="S79" s="33">
        <f t="shared" ref="S79" si="318">R79*1000</f>
        <v>4.4161036365615383</v>
      </c>
      <c r="T79" s="33"/>
      <c r="U79" s="34"/>
    </row>
    <row r="80" spans="1:22" x14ac:dyDescent="0.35">
      <c r="A80" s="37"/>
      <c r="B80" s="38"/>
      <c r="C80" s="5" t="s">
        <v>1</v>
      </c>
      <c r="D80" s="5" t="s">
        <v>1</v>
      </c>
      <c r="E80" s="36"/>
      <c r="F80" s="42"/>
      <c r="G80" s="36"/>
      <c r="H80" s="36"/>
      <c r="I80" s="33"/>
      <c r="J80" s="33"/>
      <c r="K80" s="34"/>
      <c r="L80" s="36"/>
      <c r="M80" s="5" t="s">
        <v>1</v>
      </c>
      <c r="N80" s="5" t="s">
        <v>1</v>
      </c>
      <c r="O80" s="36"/>
      <c r="P80" s="42"/>
      <c r="Q80" s="36"/>
      <c r="R80" s="36"/>
      <c r="S80" s="33"/>
      <c r="T80" s="33"/>
      <c r="U80" s="34"/>
    </row>
    <row r="81" spans="1:21" x14ac:dyDescent="0.35">
      <c r="A81" s="37">
        <v>40</v>
      </c>
      <c r="B81" s="38">
        <v>6.15</v>
      </c>
      <c r="C81" s="5">
        <v>-8.5999999999999993E-2</v>
      </c>
      <c r="D81" s="5">
        <f>C81-$X$14</f>
        <v>3.1428571428571694E-3</v>
      </c>
      <c r="E81" s="36">
        <f t="shared" ref="E81" si="319">AVERAGE(D81:D82)</f>
        <v>3.1428571428571694E-3</v>
      </c>
      <c r="F81" s="42" t="e">
        <f t="shared" ref="F81" si="320">_xlfn.STDEV.S(D81:D82)/SQRT(2)</f>
        <v>#DIV/0!</v>
      </c>
      <c r="G81" s="36">
        <f t="shared" ref="G81" si="321">(-E81*1*0.22)/(6220*0.6*0.03*10^-3)</f>
        <v>-6.1756749859644281E-3</v>
      </c>
      <c r="H81" s="36">
        <f>G81/B81</f>
        <v>-1.0041747944657606E-3</v>
      </c>
      <c r="I81" s="33">
        <f t="shared" ref="I81" si="322">H81*1000</f>
        <v>-1.0041747944657606</v>
      </c>
      <c r="J81" s="33">
        <v>0</v>
      </c>
      <c r="K81" s="34" t="e">
        <f t="shared" ref="K81" si="323">(_xlfn.STDEV.S(I81:I86)/SQRT(3))/J81</f>
        <v>#DIV/0!</v>
      </c>
      <c r="L81" s="36">
        <v>9.09</v>
      </c>
      <c r="M81" s="5">
        <v>-0.1278</v>
      </c>
      <c r="N81" s="5">
        <f>M81-$X$14</f>
        <v>-3.8657142857142834E-2</v>
      </c>
      <c r="O81" s="36">
        <f t="shared" ref="O81" si="324">AVERAGE(N81:N82)</f>
        <v>-3.8657142857142834E-2</v>
      </c>
      <c r="P81" s="42" t="e">
        <f t="shared" ref="P81" si="325">_xlfn.STDEV.S(N81:N82)/SQRT(2)</f>
        <v>#DIV/0!</v>
      </c>
      <c r="Q81" s="36">
        <f t="shared" ref="Q81" si="326">(-O81*1*0.22)/(6220*0.6*0.03*10^-3)</f>
        <v>7.5960802327361771E-2</v>
      </c>
      <c r="R81" s="36">
        <f>Q81/L81</f>
        <v>8.3565239084006353E-3</v>
      </c>
      <c r="S81" s="33">
        <f t="shared" ref="S81" si="327">R81*1000</f>
        <v>8.3565239084006357</v>
      </c>
      <c r="T81" s="33">
        <f t="shared" ref="T81" si="328">AVERAGE(S81:S86)</f>
        <v>6.4605685862529496</v>
      </c>
      <c r="U81" s="34">
        <f t="shared" ref="U81" si="329">(_xlfn.STDEV.S(S81:S86)/SQRT(3))/T81</f>
        <v>0.20910448611793647</v>
      </c>
    </row>
    <row r="82" spans="1:21" x14ac:dyDescent="0.35">
      <c r="A82" s="37"/>
      <c r="B82" s="38"/>
      <c r="C82" s="5" t="s">
        <v>1</v>
      </c>
      <c r="D82" s="5" t="s">
        <v>1</v>
      </c>
      <c r="E82" s="36"/>
      <c r="F82" s="42"/>
      <c r="G82" s="36"/>
      <c r="H82" s="36"/>
      <c r="I82" s="33"/>
      <c r="J82" s="33"/>
      <c r="K82" s="34"/>
      <c r="L82" s="36"/>
      <c r="M82" s="5" t="s">
        <v>1</v>
      </c>
      <c r="N82" s="5" t="s">
        <v>1</v>
      </c>
      <c r="O82" s="36"/>
      <c r="P82" s="42"/>
      <c r="Q82" s="36"/>
      <c r="R82" s="36"/>
      <c r="S82" s="33"/>
      <c r="T82" s="33"/>
      <c r="U82" s="34"/>
    </row>
    <row r="83" spans="1:21" x14ac:dyDescent="0.35">
      <c r="A83" s="37">
        <v>41</v>
      </c>
      <c r="B83" s="38">
        <v>7.1549999999999994</v>
      </c>
      <c r="C83" s="5">
        <v>-8.8289999999999993E-2</v>
      </c>
      <c r="D83" s="5">
        <f>C83-$X$14</f>
        <v>8.5285714285716907E-4</v>
      </c>
      <c r="E83" s="36">
        <f t="shared" ref="E83" si="330">AVERAGE(D83:D84)</f>
        <v>8.5285714285716907E-4</v>
      </c>
      <c r="F83" s="42" t="e">
        <f t="shared" ref="F83" si="331">_xlfn.STDEV.S(D83:D84)/SQRT(2)</f>
        <v>#DIV/0!</v>
      </c>
      <c r="G83" s="36">
        <f t="shared" ref="G83" si="332">(-E83*1*0.22)/(6220*0.6*0.03*10^-3)</f>
        <v>-1.6758536211912934E-3</v>
      </c>
      <c r="H83" s="36">
        <f>G83/B83</f>
        <v>-2.342213307045833E-4</v>
      </c>
      <c r="I83" s="33">
        <f t="shared" ref="I83" si="333">H83*1000</f>
        <v>-0.23422133070458329</v>
      </c>
      <c r="J83" s="33"/>
      <c r="K83" s="34"/>
      <c r="L83" s="36">
        <v>9.5400000000000009</v>
      </c>
      <c r="M83" s="5">
        <v>-0.124</v>
      </c>
      <c r="N83" s="5">
        <f>M83-$X$14</f>
        <v>-3.4857142857142837E-2</v>
      </c>
      <c r="O83" s="36">
        <f t="shared" ref="O83" si="334">AVERAGE(N83:N84)</f>
        <v>-3.4857142857142837E-2</v>
      </c>
      <c r="P83" s="42" t="e">
        <f t="shared" ref="P83" si="335">_xlfn.STDEV.S(N83:N84)/SQRT(2)</f>
        <v>#DIV/0!</v>
      </c>
      <c r="Q83" s="36">
        <f t="shared" ref="Q83" si="336">(-O83*1*0.22)/(6220*0.6*0.03*10^-3)</f>
        <v>6.8493849844332128E-2</v>
      </c>
      <c r="R83" s="36">
        <f>Q83/L83</f>
        <v>7.1796488306427797E-3</v>
      </c>
      <c r="S83" s="33">
        <f t="shared" ref="S83" si="337">R83*1000</f>
        <v>7.1796488306427797</v>
      </c>
      <c r="T83" s="33"/>
      <c r="U83" s="34"/>
    </row>
    <row r="84" spans="1:21" x14ac:dyDescent="0.35">
      <c r="A84" s="37"/>
      <c r="B84" s="38"/>
      <c r="C84" s="5" t="s">
        <v>1</v>
      </c>
      <c r="D84" s="5" t="s">
        <v>1</v>
      </c>
      <c r="E84" s="36"/>
      <c r="F84" s="42"/>
      <c r="G84" s="36"/>
      <c r="H84" s="36"/>
      <c r="I84" s="33"/>
      <c r="J84" s="33"/>
      <c r="K84" s="34"/>
      <c r="L84" s="36"/>
      <c r="M84" s="5" t="s">
        <v>1</v>
      </c>
      <c r="N84" s="5" t="s">
        <v>1</v>
      </c>
      <c r="O84" s="36"/>
      <c r="P84" s="42"/>
      <c r="Q84" s="36"/>
      <c r="R84" s="36"/>
      <c r="S84" s="33"/>
      <c r="T84" s="33"/>
      <c r="U84" s="34"/>
    </row>
    <row r="85" spans="1:21" x14ac:dyDescent="0.35">
      <c r="A85" s="37">
        <v>42</v>
      </c>
      <c r="B85" s="38">
        <v>3.8250000000000002</v>
      </c>
      <c r="C85" s="5">
        <v>-8.1559999999999994E-2</v>
      </c>
      <c r="D85" s="5">
        <f>C85-$X$14</f>
        <v>7.5828571428571689E-3</v>
      </c>
      <c r="E85" s="36">
        <f t="shared" ref="E85" si="338">AVERAGE(D85:D86)</f>
        <v>7.5828571428571689E-3</v>
      </c>
      <c r="F85" s="42" t="e">
        <f t="shared" ref="F85" si="339">_xlfn.STDEV.S(D85:D86)/SQRT(2)</f>
        <v>#DIV/0!</v>
      </c>
      <c r="G85" s="36">
        <f t="shared" ref="G85" si="340">(-E85*1*0.22)/(6220*0.6*0.03*10^-3)</f>
        <v>-1.4900219466135917E-2</v>
      </c>
      <c r="H85" s="36">
        <f>G85/B85</f>
        <v>-3.8954822133688673E-3</v>
      </c>
      <c r="I85" s="33">
        <f t="shared" ref="I85" si="341">H85*1000</f>
        <v>-3.8954822133688674</v>
      </c>
      <c r="J85" s="33"/>
      <c r="K85" s="34"/>
      <c r="L85" s="36">
        <v>9.8399999999999981</v>
      </c>
      <c r="M85" s="5">
        <v>-0.1084</v>
      </c>
      <c r="N85" s="5">
        <f>M85-$X$14</f>
        <v>-1.9257142857142834E-2</v>
      </c>
      <c r="O85" s="36">
        <f t="shared" ref="O85" si="342">AVERAGE(N85:N86)</f>
        <v>-1.9257142857142834E-2</v>
      </c>
      <c r="P85" s="42" t="e">
        <f t="shared" ref="P85" si="343">_xlfn.STDEV.S(N85:N86)/SQRT(2)</f>
        <v>#DIV/0!</v>
      </c>
      <c r="Q85" s="36">
        <f t="shared" ref="Q85" si="344">(-O85*1*0.22)/(6220*0.6*0.03*10^-3)</f>
        <v>3.7840044913999858E-2</v>
      </c>
      <c r="R85" s="36">
        <f>Q85/L85</f>
        <v>3.8455330197154337E-3</v>
      </c>
      <c r="S85" s="33">
        <f t="shared" ref="S85" si="345">R85*1000</f>
        <v>3.8455330197154338</v>
      </c>
      <c r="T85" s="33"/>
      <c r="U85" s="34"/>
    </row>
    <row r="86" spans="1:21" x14ac:dyDescent="0.35">
      <c r="A86" s="37"/>
      <c r="B86" s="38"/>
      <c r="C86" s="5" t="s">
        <v>1</v>
      </c>
      <c r="D86" s="5" t="s">
        <v>1</v>
      </c>
      <c r="E86" s="36"/>
      <c r="F86" s="42"/>
      <c r="G86" s="36"/>
      <c r="H86" s="36"/>
      <c r="I86" s="33"/>
      <c r="J86" s="33"/>
      <c r="K86" s="34"/>
      <c r="L86" s="36"/>
      <c r="M86" s="5" t="s">
        <v>1</v>
      </c>
      <c r="N86" s="5" t="s">
        <v>1</v>
      </c>
      <c r="O86" s="36"/>
      <c r="P86" s="42"/>
      <c r="Q86" s="36"/>
      <c r="R86" s="36"/>
      <c r="S86" s="33"/>
      <c r="T86" s="33"/>
      <c r="U86" s="34"/>
    </row>
    <row r="87" spans="1:21" x14ac:dyDescent="0.35">
      <c r="A87" s="37">
        <v>43</v>
      </c>
      <c r="B87" s="38">
        <v>8.3249999999999993</v>
      </c>
      <c r="C87" s="5">
        <v>-7.1239999999999998E-2</v>
      </c>
      <c r="D87" s="5">
        <f>C87-$X$14</f>
        <v>1.7902857142857165E-2</v>
      </c>
      <c r="E87" s="36">
        <f t="shared" ref="E87" si="346">AVERAGE(D87:D88)</f>
        <v>1.7902857142857165E-2</v>
      </c>
      <c r="F87" s="42" t="e">
        <f t="shared" ref="F87" si="347">_xlfn.STDEV.S(D87:D88)/SQRT(2)</f>
        <v>#DIV/0!</v>
      </c>
      <c r="G87" s="36">
        <f t="shared" ref="G87" si="348">(-E87*1*0.22)/(6220*0.6*0.03*10^-3)</f>
        <v>-3.5178890420048022E-2</v>
      </c>
      <c r="H87" s="36">
        <f>G87/B87</f>
        <v>-4.2256925429487117E-3</v>
      </c>
      <c r="I87" s="33">
        <f t="shared" ref="I87" si="349">H87*1000</f>
        <v>-4.2256925429487113</v>
      </c>
      <c r="J87" s="33">
        <v>0</v>
      </c>
      <c r="K87" s="34" t="e">
        <f t="shared" ref="K87" si="350">(_xlfn.STDEV.S(I87:I92)/SQRT(3))/J87</f>
        <v>#DIV/0!</v>
      </c>
      <c r="L87" s="36">
        <v>12.375</v>
      </c>
      <c r="M87" s="5">
        <v>-7.0290000000000005E-2</v>
      </c>
      <c r="N87" s="5">
        <f>M87-$X$14</f>
        <v>1.8852857142857157E-2</v>
      </c>
      <c r="O87" s="36">
        <f t="shared" ref="O87" si="351">AVERAGE(N87:N88)</f>
        <v>1.8852857142857157E-2</v>
      </c>
      <c r="P87" s="42" t="e">
        <f t="shared" ref="P87" si="352">_xlfn.STDEV.S(N87:N88)/SQRT(2)</f>
        <v>#DIV/0!</v>
      </c>
      <c r="Q87" s="36">
        <f t="shared" ref="Q87" si="353">(-O87*1*0.22)/(6220*0.6*0.03*10^-3)</f>
        <v>-3.7045628540805425E-2</v>
      </c>
      <c r="R87" s="36">
        <f>Q87/L87</f>
        <v>-2.9935861447115495E-3</v>
      </c>
      <c r="S87" s="39">
        <f>AVERAGE(S89:S92)</f>
        <v>1.4654515403782449</v>
      </c>
      <c r="T87" s="33">
        <f t="shared" ref="T87" si="354">AVERAGE(S87:S92)</f>
        <v>1.4654515403782449</v>
      </c>
      <c r="U87" s="34">
        <f t="shared" ref="U87" si="355">(_xlfn.STDEV.S(S87:S92)/SQRT(3))/T87</f>
        <v>0.23749340120611778</v>
      </c>
    </row>
    <row r="88" spans="1:21" x14ac:dyDescent="0.35">
      <c r="A88" s="37"/>
      <c r="B88" s="38"/>
      <c r="C88" s="5" t="s">
        <v>1</v>
      </c>
      <c r="D88" s="5" t="s">
        <v>1</v>
      </c>
      <c r="E88" s="36"/>
      <c r="F88" s="42"/>
      <c r="G88" s="36"/>
      <c r="H88" s="36"/>
      <c r="I88" s="33"/>
      <c r="J88" s="33"/>
      <c r="K88" s="34"/>
      <c r="L88" s="36"/>
      <c r="M88" s="5" t="s">
        <v>1</v>
      </c>
      <c r="N88" s="5" t="s">
        <v>1</v>
      </c>
      <c r="O88" s="36"/>
      <c r="P88" s="42"/>
      <c r="Q88" s="36"/>
      <c r="R88" s="36"/>
      <c r="S88" s="39"/>
      <c r="T88" s="33"/>
      <c r="U88" s="34"/>
    </row>
    <row r="89" spans="1:21" x14ac:dyDescent="0.35">
      <c r="A89" s="37">
        <v>44</v>
      </c>
      <c r="B89" s="38">
        <v>5.8650000000000002</v>
      </c>
      <c r="C89" s="5">
        <v>-8.3199999999999996E-2</v>
      </c>
      <c r="D89" s="5">
        <f>C89-$X$14</f>
        <v>5.9428571428571664E-3</v>
      </c>
      <c r="E89" s="36">
        <f t="shared" ref="E89" si="356">AVERAGE(D89:D90)</f>
        <v>5.9428571428571664E-3</v>
      </c>
      <c r="F89" s="42" t="e">
        <f t="shared" ref="F89" si="357">_xlfn.STDEV.S(D89:D90)/SQRT(2)</f>
        <v>#DIV/0!</v>
      </c>
      <c r="G89" s="36">
        <f t="shared" ref="G89" si="358">(-E89*1*0.22)/(6220*0.6*0.03*10^-3)</f>
        <v>-1.1677639973459957E-2</v>
      </c>
      <c r="H89" s="36">
        <f>G89/B89</f>
        <v>-1.9910724592429592E-3</v>
      </c>
      <c r="I89" s="33">
        <f t="shared" ref="I89" si="359">H89*1000</f>
        <v>-1.9910724592429592</v>
      </c>
      <c r="J89" s="33"/>
      <c r="K89" s="34"/>
      <c r="L89" s="36">
        <v>8.49</v>
      </c>
      <c r="M89" s="5">
        <v>-9.2869999999999994E-2</v>
      </c>
      <c r="N89" s="5">
        <f>M89-$X$14</f>
        <v>-3.7271428571428317E-3</v>
      </c>
      <c r="O89" s="36">
        <f t="shared" ref="O89" si="360">AVERAGE(N89:N90)</f>
        <v>-3.7271428571428317E-3</v>
      </c>
      <c r="P89" s="42" t="e">
        <f t="shared" ref="P89" si="361">_xlfn.STDEV.S(N89:N90)/SQRT(2)</f>
        <v>#DIV/0!</v>
      </c>
      <c r="Q89" s="36">
        <f t="shared" ref="Q89" si="362">(-O89*1*0.22)/(6220*0.6*0.03*10^-3)</f>
        <v>7.3237891083549759E-3</v>
      </c>
      <c r="R89" s="36">
        <f>Q89/L89</f>
        <v>8.6263711523615729E-4</v>
      </c>
      <c r="S89" s="33">
        <f t="shared" ref="S89" si="363">R89*1000</f>
        <v>0.86263711523615727</v>
      </c>
      <c r="T89" s="33"/>
      <c r="U89" s="34"/>
    </row>
    <row r="90" spans="1:21" x14ac:dyDescent="0.35">
      <c r="A90" s="37"/>
      <c r="B90" s="38"/>
      <c r="C90" s="5" t="s">
        <v>1</v>
      </c>
      <c r="D90" s="5" t="s">
        <v>1</v>
      </c>
      <c r="E90" s="36"/>
      <c r="F90" s="42"/>
      <c r="G90" s="36"/>
      <c r="H90" s="36"/>
      <c r="I90" s="33"/>
      <c r="J90" s="33"/>
      <c r="K90" s="34"/>
      <c r="L90" s="36"/>
      <c r="M90" s="5" t="s">
        <v>1</v>
      </c>
      <c r="N90" s="5" t="s">
        <v>1</v>
      </c>
      <c r="O90" s="36"/>
      <c r="P90" s="42"/>
      <c r="Q90" s="36"/>
      <c r="R90" s="36"/>
      <c r="S90" s="33"/>
      <c r="T90" s="33"/>
      <c r="U90" s="34"/>
    </row>
    <row r="91" spans="1:21" x14ac:dyDescent="0.35">
      <c r="A91" s="37">
        <v>45</v>
      </c>
      <c r="B91" s="38">
        <v>6.3450000000000006</v>
      </c>
      <c r="C91" s="5">
        <v>-7.2139999999999996E-2</v>
      </c>
      <c r="D91" s="5">
        <f>C91-$X$14</f>
        <v>1.7002857142857167E-2</v>
      </c>
      <c r="E91" s="36">
        <f t="shared" ref="E91" si="364">AVERAGE(D91:D92)</f>
        <v>1.7002857142857167E-2</v>
      </c>
      <c r="F91" s="42" t="e">
        <f t="shared" ref="F91" si="365">_xlfn.STDEV.S(D91:D92)/SQRT(2)</f>
        <v>#DIV/0!</v>
      </c>
      <c r="G91" s="36">
        <f t="shared" ref="G91" si="366">(-E91*1*0.22)/(6220*0.6*0.03*10^-3)</f>
        <v>-3.3410401674067315E-2</v>
      </c>
      <c r="H91" s="36">
        <f>G91/B91</f>
        <v>-5.2656267413817674E-3</v>
      </c>
      <c r="I91" s="33">
        <f t="shared" ref="I91" si="367">H91*1000</f>
        <v>-5.2656267413817677</v>
      </c>
      <c r="J91" s="33"/>
      <c r="K91" s="34"/>
      <c r="L91" s="36">
        <v>10.41</v>
      </c>
      <c r="M91" s="5">
        <v>-0.10009999999999999</v>
      </c>
      <c r="N91" s="5">
        <f>M91-$X$14</f>
        <v>-1.0957142857142832E-2</v>
      </c>
      <c r="O91" s="36">
        <f t="shared" ref="O91" si="368">AVERAGE(N91:N92)</f>
        <v>-1.0957142857142832E-2</v>
      </c>
      <c r="P91" s="42" t="e">
        <f t="shared" ref="P91" si="369">_xlfn.STDEV.S(N91:N92)/SQRT(2)</f>
        <v>#DIV/0!</v>
      </c>
      <c r="Q91" s="36">
        <f t="shared" ref="Q91" si="370">(-O91*1*0.22)/(6220*0.6*0.03*10^-3)</f>
        <v>2.1530648701066659E-2</v>
      </c>
      <c r="R91" s="36">
        <f>Q91/L91</f>
        <v>2.0682659655203322E-3</v>
      </c>
      <c r="S91" s="33">
        <f t="shared" ref="S91" si="371">R91*1000</f>
        <v>2.0682659655203324</v>
      </c>
      <c r="T91" s="33"/>
      <c r="U91" s="34"/>
    </row>
    <row r="92" spans="1:21" x14ac:dyDescent="0.35">
      <c r="A92" s="37"/>
      <c r="B92" s="38"/>
      <c r="C92" s="5" t="s">
        <v>1</v>
      </c>
      <c r="D92" s="5" t="s">
        <v>1</v>
      </c>
      <c r="E92" s="36"/>
      <c r="F92" s="42"/>
      <c r="G92" s="36"/>
      <c r="H92" s="36"/>
      <c r="I92" s="33"/>
      <c r="J92" s="33"/>
      <c r="K92" s="34"/>
      <c r="L92" s="36"/>
      <c r="M92" s="5" t="s">
        <v>1</v>
      </c>
      <c r="N92" s="5" t="s">
        <v>1</v>
      </c>
      <c r="O92" s="36"/>
      <c r="P92" s="42"/>
      <c r="Q92" s="36"/>
      <c r="R92" s="36"/>
      <c r="S92" s="33"/>
      <c r="T92" s="33"/>
      <c r="U92" s="34"/>
    </row>
    <row r="93" spans="1:21" x14ac:dyDescent="0.35">
      <c r="A93" s="37">
        <v>46</v>
      </c>
      <c r="B93" s="38">
        <v>7.9949999999999992</v>
      </c>
      <c r="C93" s="5">
        <v>-7.0419999999999996E-2</v>
      </c>
      <c r="D93" s="5">
        <f>C93-$X$14</f>
        <v>1.8722857142857166E-2</v>
      </c>
      <c r="E93" s="36">
        <f t="shared" ref="E93" si="372">AVERAGE(D93:D94)</f>
        <v>1.8722857142857166E-2</v>
      </c>
      <c r="F93" s="42" t="e">
        <f t="shared" ref="F93" si="373">_xlfn.STDEV.S(D93:D94)/SQRT(2)</f>
        <v>#DIV/0!</v>
      </c>
      <c r="G93" s="36">
        <f t="shared" ref="G93" si="374">(-E93*1*0.22)/(6220*0.6*0.03*10^-3)</f>
        <v>-3.6790180166386001E-2</v>
      </c>
      <c r="H93" s="36">
        <f>G93/B93</f>
        <v>-4.6016485511427146E-3</v>
      </c>
      <c r="I93" s="33">
        <f t="shared" ref="I93" si="375">H93*1000</f>
        <v>-4.6016485511427145</v>
      </c>
      <c r="J93" s="33">
        <f t="shared" ref="J93" si="376">AVERAGE(I93:I98)</f>
        <v>4.2466451740945139</v>
      </c>
      <c r="K93" s="34">
        <f t="shared" ref="K93" si="377">(_xlfn.STDEV.S(I93:I98)/SQRT(3))/J93</f>
        <v>1.5353579512218403</v>
      </c>
      <c r="L93" s="36">
        <v>9.0150000000000006</v>
      </c>
      <c r="M93" s="5">
        <v>-0.1096</v>
      </c>
      <c r="N93" s="5">
        <f>M93-$X$14</f>
        <v>-2.045714285714284E-2</v>
      </c>
      <c r="O93" s="36">
        <f t="shared" ref="O93" si="378">AVERAGE(N93:N94)</f>
        <v>-2.045714285714284E-2</v>
      </c>
      <c r="P93" s="42" t="e">
        <f t="shared" ref="P93" si="379">_xlfn.STDEV.S(N93:N94)/SQRT(2)</f>
        <v>#DIV/0!</v>
      </c>
      <c r="Q93" s="36">
        <f t="shared" ref="Q93" si="380">(-O93*1*0.22)/(6220*0.6*0.03*10^-3)</f>
        <v>4.0198029908640812E-2</v>
      </c>
      <c r="R93" s="36">
        <f>Q93/L93</f>
        <v>4.4590160741698071E-3</v>
      </c>
      <c r="S93" s="33">
        <f t="shared" ref="S93" si="381">R93*1000</f>
        <v>4.4590160741698073</v>
      </c>
      <c r="T93" s="33">
        <f t="shared" ref="T93" si="382">AVERAGE(S93:S98)</f>
        <v>4.9330126655564435</v>
      </c>
      <c r="U93" s="34">
        <f t="shared" ref="U93" si="383">(_xlfn.STDEV.S(S93:S98)/SQRT(3))/T93</f>
        <v>6.8821862868905043E-2</v>
      </c>
    </row>
    <row r="94" spans="1:21" x14ac:dyDescent="0.35">
      <c r="A94" s="37"/>
      <c r="B94" s="38"/>
      <c r="C94" s="5" t="s">
        <v>1</v>
      </c>
      <c r="D94" s="5" t="s">
        <v>1</v>
      </c>
      <c r="E94" s="36"/>
      <c r="F94" s="42"/>
      <c r="G94" s="36"/>
      <c r="H94" s="36"/>
      <c r="I94" s="33"/>
      <c r="J94" s="33"/>
      <c r="K94" s="34"/>
      <c r="L94" s="36"/>
      <c r="M94" s="5" t="s">
        <v>1</v>
      </c>
      <c r="N94" s="5" t="s">
        <v>1</v>
      </c>
      <c r="O94" s="36"/>
      <c r="P94" s="42"/>
      <c r="Q94" s="36"/>
      <c r="R94" s="36"/>
      <c r="S94" s="33"/>
      <c r="T94" s="33"/>
      <c r="U94" s="34"/>
    </row>
    <row r="95" spans="1:21" x14ac:dyDescent="0.35">
      <c r="A95" s="37">
        <v>47</v>
      </c>
      <c r="B95" s="38">
        <v>6.0600000000000005</v>
      </c>
      <c r="C95" s="5">
        <v>-9.0300000000000005E-2</v>
      </c>
      <c r="D95" s="5">
        <f>C95-$X$14</f>
        <v>-1.1571428571428427E-3</v>
      </c>
      <c r="E95" s="36">
        <f t="shared" ref="E95" si="384">AVERAGE(D95:D96)</f>
        <v>-1.1571428571428427E-3</v>
      </c>
      <c r="F95" s="42" t="e">
        <f t="shared" ref="F95" si="385">_xlfn.STDEV.S(D95:D96)/SQRT(2)</f>
        <v>#DIV/0!</v>
      </c>
      <c r="G95" s="36">
        <f t="shared" ref="G95" si="386">(-E95*1*0.22)/(6220*0.6*0.03*10^-3)</f>
        <v>2.2737712448323102E-3</v>
      </c>
      <c r="H95" s="36">
        <f>G95/B95</f>
        <v>3.7520977637496865E-4</v>
      </c>
      <c r="I95" s="33">
        <f t="shared" ref="I95" si="387">H95*1000</f>
        <v>0.37520977637496866</v>
      </c>
      <c r="J95" s="33"/>
      <c r="K95" s="34"/>
      <c r="L95" s="36">
        <v>7.26</v>
      </c>
      <c r="M95" s="5">
        <v>-0.10979999999999999</v>
      </c>
      <c r="N95" s="5">
        <f>M95-$X$14</f>
        <v>-2.0657142857142832E-2</v>
      </c>
      <c r="O95" s="36">
        <f t="shared" ref="O95" si="388">AVERAGE(N95:N96)</f>
        <v>-2.0657142857142832E-2</v>
      </c>
      <c r="P95" s="42" t="e">
        <f t="shared" ref="P95" si="389">_xlfn.STDEV.S(N95:N96)/SQRT(2)</f>
        <v>#DIV/0!</v>
      </c>
      <c r="Q95" s="36">
        <f t="shared" ref="Q95" si="390">(-O95*1*0.22)/(6220*0.6*0.03*10^-3)</f>
        <v>4.0591027407747622E-2</v>
      </c>
      <c r="R95" s="36">
        <f>Q95/L95</f>
        <v>5.5910506071277719E-3</v>
      </c>
      <c r="S95" s="33">
        <f t="shared" ref="S95" si="391">R95*1000</f>
        <v>5.5910506071277721</v>
      </c>
      <c r="T95" s="33"/>
      <c r="U95" s="34"/>
    </row>
    <row r="96" spans="1:21" x14ac:dyDescent="0.35">
      <c r="A96" s="37"/>
      <c r="B96" s="38"/>
      <c r="C96" s="5" t="s">
        <v>1</v>
      </c>
      <c r="D96" s="5" t="s">
        <v>1</v>
      </c>
      <c r="E96" s="36"/>
      <c r="F96" s="42"/>
      <c r="G96" s="36"/>
      <c r="H96" s="36"/>
      <c r="I96" s="33"/>
      <c r="J96" s="33"/>
      <c r="K96" s="34"/>
      <c r="L96" s="36"/>
      <c r="M96" s="5" t="s">
        <v>1</v>
      </c>
      <c r="N96" s="5" t="s">
        <v>1</v>
      </c>
      <c r="O96" s="36"/>
      <c r="P96" s="42"/>
      <c r="Q96" s="36"/>
      <c r="R96" s="36"/>
      <c r="S96" s="33"/>
      <c r="T96" s="33"/>
      <c r="U96" s="34"/>
    </row>
    <row r="97" spans="1:21" x14ac:dyDescent="0.35">
      <c r="A97" s="37">
        <v>48</v>
      </c>
      <c r="B97" s="38">
        <v>6.585</v>
      </c>
      <c r="C97" s="5">
        <v>-0.14599999999999999</v>
      </c>
      <c r="D97" s="5">
        <f>C97-$X$14</f>
        <v>-5.6857142857142828E-2</v>
      </c>
      <c r="E97" s="36">
        <f t="shared" ref="E97" si="392">AVERAGE(D97:D98)</f>
        <v>-5.6857142857142828E-2</v>
      </c>
      <c r="F97" s="42" t="e">
        <f t="shared" ref="F97" si="393">_xlfn.STDEV.S(D97:D98)/SQRT(2)</f>
        <v>#DIV/0!</v>
      </c>
      <c r="G97" s="36">
        <f t="shared" ref="G97" si="394">(-E97*1*0.22)/(6220*0.6*0.03*10^-3)</f>
        <v>0.11172357474608274</v>
      </c>
      <c r="H97" s="36">
        <f>G97/B97</f>
        <v>1.6966374297051289E-2</v>
      </c>
      <c r="I97" s="33">
        <f t="shared" ref="I97" si="395">H97*1000</f>
        <v>16.966374297051289</v>
      </c>
      <c r="J97" s="33"/>
      <c r="K97" s="34"/>
      <c r="L97" s="36">
        <v>6.9750000000000005</v>
      </c>
      <c r="M97" s="5">
        <v>-0.106</v>
      </c>
      <c r="N97" s="5">
        <f>M97-$X$14</f>
        <v>-1.6857142857142834E-2</v>
      </c>
      <c r="O97" s="36">
        <f t="shared" ref="O97" si="396">AVERAGE(N97:N98)</f>
        <v>-1.6857142857142834E-2</v>
      </c>
      <c r="P97" s="42" t="e">
        <f t="shared" ref="P97" si="397">_xlfn.STDEV.S(N97:N98)/SQRT(2)</f>
        <v>#DIV/0!</v>
      </c>
      <c r="Q97" s="36">
        <f t="shared" ref="Q97" si="398">(-O97*1*0.22)/(6220*0.6*0.03*10^-3)</f>
        <v>3.3124074924717972E-2</v>
      </c>
      <c r="R97" s="36">
        <f>Q97/L97</f>
        <v>4.7489713153717516E-3</v>
      </c>
      <c r="S97" s="33">
        <f t="shared" ref="S97" si="399">R97*1000</f>
        <v>4.7489713153717519</v>
      </c>
      <c r="T97" s="33"/>
      <c r="U97" s="34"/>
    </row>
    <row r="98" spans="1:21" x14ac:dyDescent="0.35">
      <c r="A98" s="37"/>
      <c r="B98" s="38"/>
      <c r="C98" s="5" t="s">
        <v>1</v>
      </c>
      <c r="D98" s="5" t="s">
        <v>1</v>
      </c>
      <c r="E98" s="36"/>
      <c r="F98" s="42"/>
      <c r="G98" s="36"/>
      <c r="H98" s="36"/>
      <c r="I98" s="33"/>
      <c r="J98" s="33"/>
      <c r="K98" s="34"/>
      <c r="L98" s="36"/>
      <c r="M98" s="5" t="s">
        <v>1</v>
      </c>
      <c r="N98" s="5" t="s">
        <v>1</v>
      </c>
      <c r="O98" s="36"/>
      <c r="P98" s="42"/>
      <c r="Q98" s="36"/>
      <c r="R98" s="36"/>
      <c r="S98" s="33"/>
      <c r="T98" s="33"/>
      <c r="U98" s="34"/>
    </row>
    <row r="99" spans="1:21" x14ac:dyDescent="0.35">
      <c r="A99" s="37">
        <v>49</v>
      </c>
      <c r="B99" s="38">
        <v>7.1849999999999996</v>
      </c>
      <c r="C99" s="5">
        <v>-0.1157</v>
      </c>
      <c r="D99" s="5">
        <f>C99-$X$14</f>
        <v>-2.6557142857142835E-2</v>
      </c>
      <c r="E99" s="36">
        <f t="shared" ref="E99" si="400">AVERAGE(D99:D100)</f>
        <v>-2.6557142857142835E-2</v>
      </c>
      <c r="F99" s="42" t="e">
        <f t="shared" ref="F99" si="401">_xlfn.STDEV.S(D99:D100)/SQRT(2)</f>
        <v>#DIV/0!</v>
      </c>
      <c r="G99" s="36">
        <f t="shared" ref="G99" si="402">(-E99*1*0.22)/(6220*0.6*0.03*10^-3)</f>
        <v>5.2184453631398932E-2</v>
      </c>
      <c r="H99" s="36">
        <f>G99/B99</f>
        <v>7.2629719737507216E-3</v>
      </c>
      <c r="I99" s="33">
        <f t="shared" ref="I99" si="403">H99*1000</f>
        <v>7.2629719737507212</v>
      </c>
      <c r="J99" s="33">
        <f t="shared" ref="J99" si="404">AVERAGE(I99:I104)</f>
        <v>2.1777329529246185</v>
      </c>
      <c r="K99" s="34">
        <f t="shared" ref="K99" si="405">(_xlfn.STDEV.S(I99:I104)/SQRT(3))/J99</f>
        <v>1.2993140647021328</v>
      </c>
      <c r="L99" s="36">
        <v>7.7925000000000013</v>
      </c>
      <c r="M99" s="5">
        <v>-0.1363</v>
      </c>
      <c r="N99" s="5">
        <f>M99-$X$14</f>
        <v>-4.7157142857142842E-2</v>
      </c>
      <c r="O99" s="36">
        <f t="shared" ref="O99" si="406">AVERAGE(N99:N100)</f>
        <v>-4.7157142857142842E-2</v>
      </c>
      <c r="P99" s="42" t="e">
        <f t="shared" ref="P99" si="407">_xlfn.STDEV.S(N99:N100)/SQRT(2)</f>
        <v>#DIV/0!</v>
      </c>
      <c r="Q99" s="36">
        <f t="shared" ref="Q99" si="408">(-O99*1*0.22)/(6220*0.6*0.03*10^-3)</f>
        <v>9.2663196039401804E-2</v>
      </c>
      <c r="R99" s="36">
        <f>Q99/L99</f>
        <v>1.1891330900147807E-2</v>
      </c>
      <c r="S99" s="33">
        <f t="shared" ref="S99" si="409">R99*1000</f>
        <v>11.891330900147807</v>
      </c>
      <c r="T99" s="33">
        <f t="shared" ref="T99" si="410">AVERAGE(S99:S104)</f>
        <v>13.044940648021011</v>
      </c>
      <c r="U99" s="34">
        <f t="shared" ref="U99" si="411">(_xlfn.STDEV.S(S99:S104)/SQRT(3))/T99</f>
        <v>5.1057104546919724E-2</v>
      </c>
    </row>
    <row r="100" spans="1:21" x14ac:dyDescent="0.35">
      <c r="A100" s="37"/>
      <c r="B100" s="38"/>
      <c r="C100" s="5" t="s">
        <v>1</v>
      </c>
      <c r="D100" s="5" t="s">
        <v>1</v>
      </c>
      <c r="E100" s="36"/>
      <c r="F100" s="42"/>
      <c r="G100" s="36"/>
      <c r="H100" s="36"/>
      <c r="I100" s="33"/>
      <c r="J100" s="33"/>
      <c r="K100" s="34"/>
      <c r="L100" s="36"/>
      <c r="M100" s="5" t="s">
        <v>1</v>
      </c>
      <c r="N100" s="5" t="s">
        <v>1</v>
      </c>
      <c r="O100" s="36"/>
      <c r="P100" s="42"/>
      <c r="Q100" s="36"/>
      <c r="R100" s="36"/>
      <c r="S100" s="33"/>
      <c r="T100" s="33"/>
      <c r="U100" s="34"/>
    </row>
    <row r="101" spans="1:21" x14ac:dyDescent="0.35">
      <c r="A101" s="37">
        <v>50</v>
      </c>
      <c r="B101" s="38">
        <v>4.9050000000000002</v>
      </c>
      <c r="C101" s="5">
        <v>-9.3600000000000003E-2</v>
      </c>
      <c r="D101" s="5">
        <f>C101-$X$14</f>
        <v>-4.4571428571428401E-3</v>
      </c>
      <c r="E101" s="36">
        <f t="shared" ref="E101" si="412">AVERAGE(D101:D102)</f>
        <v>-4.4571428571428401E-3</v>
      </c>
      <c r="F101" s="42" t="e">
        <f t="shared" ref="F101" si="413">_xlfn.STDEV.S(D101:D102)/SQRT(2)</f>
        <v>#DIV/0!</v>
      </c>
      <c r="G101" s="36">
        <f t="shared" ref="G101" si="414">(-E101*1*0.22)/(6220*0.6*0.03*10^-3)</f>
        <v>8.7582299800948987E-3</v>
      </c>
      <c r="H101" s="36">
        <f>G101/B101</f>
        <v>1.7855718613853004E-3</v>
      </c>
      <c r="I101" s="33">
        <f t="shared" ref="I101" si="415">H101*1000</f>
        <v>1.7855718613853004</v>
      </c>
      <c r="J101" s="33"/>
      <c r="K101" s="34"/>
      <c r="L101" s="36">
        <v>7.8825000000000012</v>
      </c>
      <c r="M101" s="5">
        <v>-0.14610000000000001</v>
      </c>
      <c r="N101" s="5">
        <f>M101-$X$14</f>
        <v>-5.6957142857142845E-2</v>
      </c>
      <c r="O101" s="36">
        <f t="shared" ref="O101" si="416">AVERAGE(N101:N102)</f>
        <v>-5.6957142857142845E-2</v>
      </c>
      <c r="P101" s="42" t="e">
        <f t="shared" ref="P101" si="417">_xlfn.STDEV.S(N101:N102)/SQRT(2)</f>
        <v>#DIV/0!</v>
      </c>
      <c r="Q101" s="36">
        <f t="shared" ref="Q101" si="418">(-O101*1*0.22)/(6220*0.6*0.03*10^-3)</f>
        <v>0.11192007349563618</v>
      </c>
      <c r="R101" s="36">
        <f>Q101/L101</f>
        <v>1.4198550395894217E-2</v>
      </c>
      <c r="S101" s="33">
        <f t="shared" ref="S101" si="419">R101*1000</f>
        <v>14.198550395894218</v>
      </c>
      <c r="T101" s="33"/>
      <c r="U101" s="34"/>
    </row>
    <row r="102" spans="1:21" x14ac:dyDescent="0.35">
      <c r="A102" s="37"/>
      <c r="B102" s="38"/>
      <c r="C102" s="5" t="s">
        <v>1</v>
      </c>
      <c r="D102" s="5" t="s">
        <v>1</v>
      </c>
      <c r="E102" s="36"/>
      <c r="F102" s="42"/>
      <c r="G102" s="36"/>
      <c r="H102" s="36"/>
      <c r="I102" s="33"/>
      <c r="J102" s="33"/>
      <c r="K102" s="34"/>
      <c r="L102" s="36"/>
      <c r="M102" s="5" t="s">
        <v>1</v>
      </c>
      <c r="N102" s="5" t="s">
        <v>1</v>
      </c>
      <c r="O102" s="36"/>
      <c r="P102" s="42"/>
      <c r="Q102" s="36"/>
      <c r="R102" s="36"/>
      <c r="S102" s="33"/>
      <c r="T102" s="33"/>
      <c r="U102" s="34"/>
    </row>
    <row r="103" spans="1:21" x14ac:dyDescent="0.35">
      <c r="A103" s="37">
        <v>51</v>
      </c>
      <c r="B103" s="38">
        <v>5.58</v>
      </c>
      <c r="C103" s="5">
        <v>-8.2000000000000003E-2</v>
      </c>
      <c r="D103" s="5">
        <f>C103-$X$14</f>
        <v>7.1428571428571591E-3</v>
      </c>
      <c r="E103" s="36">
        <f t="shared" ref="E103" si="420">AVERAGE(D103:D104)</f>
        <v>7.1428571428571591E-3</v>
      </c>
      <c r="F103" s="42" t="e">
        <f t="shared" ref="F103" si="421">_xlfn.STDEV.S(D103:D104)/SQRT(2)</f>
        <v>#DIV/0!</v>
      </c>
      <c r="G103" s="36">
        <f t="shared" ref="G103" si="422">(-E103*1*0.22)/(6220*0.6*0.03*10^-3)</f>
        <v>-1.4035624968100886E-2</v>
      </c>
      <c r="H103" s="36">
        <f>G103/B103</f>
        <v>-2.5153449763621661E-3</v>
      </c>
      <c r="I103" s="33">
        <f t="shared" ref="I103" si="423">H103*1000</f>
        <v>-2.515344976362166</v>
      </c>
      <c r="J103" s="33"/>
      <c r="K103" s="34"/>
      <c r="L103" s="38">
        <v>8.01</v>
      </c>
      <c r="M103" s="5">
        <v>-8.3930000000000005E-2</v>
      </c>
      <c r="N103" s="5">
        <f>M103-$X$14</f>
        <v>5.212857142857158E-3</v>
      </c>
      <c r="O103" s="36">
        <f t="shared" ref="O103" si="424">AVERAGE(N103:N104)</f>
        <v>5.212857142857158E-3</v>
      </c>
      <c r="P103" s="42" t="e">
        <f t="shared" ref="P103" si="425">_xlfn.STDEV.S(N103:N104)/SQRT(2)</f>
        <v>#DIV/0!</v>
      </c>
      <c r="Q103" s="36">
        <f t="shared" ref="Q103" si="426">(-O103*1*0.22)/(6220*0.6*0.03*10^-3)</f>
        <v>-1.0243199101720033E-2</v>
      </c>
      <c r="R103" s="36">
        <f>Q103/L103</f>
        <v>-1.2788013859825261E-3</v>
      </c>
      <c r="S103" s="39">
        <f>AVERAGE(S99:S102)</f>
        <v>13.044940648021011</v>
      </c>
      <c r="T103" s="33"/>
      <c r="U103" s="34"/>
    </row>
    <row r="104" spans="1:21" x14ac:dyDescent="0.35">
      <c r="A104" s="37"/>
      <c r="B104" s="38"/>
      <c r="C104" s="5" t="s">
        <v>1</v>
      </c>
      <c r="D104" s="5" t="s">
        <v>1</v>
      </c>
      <c r="E104" s="36"/>
      <c r="F104" s="42"/>
      <c r="G104" s="36"/>
      <c r="H104" s="36"/>
      <c r="I104" s="33"/>
      <c r="J104" s="33"/>
      <c r="K104" s="34"/>
      <c r="L104" s="38"/>
      <c r="M104" s="5" t="s">
        <v>1</v>
      </c>
      <c r="N104" s="5" t="s">
        <v>1</v>
      </c>
      <c r="O104" s="36"/>
      <c r="P104" s="42"/>
      <c r="Q104" s="36"/>
      <c r="R104" s="36"/>
      <c r="S104" s="39"/>
      <c r="T104" s="33"/>
      <c r="U104" s="34"/>
    </row>
    <row r="105" spans="1:21" x14ac:dyDescent="0.35">
      <c r="J105" s="14"/>
      <c r="K105" s="14"/>
    </row>
    <row r="106" spans="1:21" x14ac:dyDescent="0.35">
      <c r="J106" s="14"/>
      <c r="K106" s="14"/>
    </row>
    <row r="107" spans="1:21" x14ac:dyDescent="0.35">
      <c r="J107" s="14"/>
      <c r="K107" s="14"/>
    </row>
    <row r="108" spans="1:21" x14ac:dyDescent="0.35">
      <c r="J108" s="14"/>
      <c r="K108" s="14"/>
    </row>
    <row r="109" spans="1:21" x14ac:dyDescent="0.35">
      <c r="J109" s="14"/>
      <c r="K109" s="14"/>
    </row>
    <row r="110" spans="1:21" x14ac:dyDescent="0.35">
      <c r="J110" s="14"/>
      <c r="K110" s="14"/>
    </row>
    <row r="111" spans="1:21" x14ac:dyDescent="0.35">
      <c r="J111" s="14"/>
      <c r="K111" s="14"/>
    </row>
    <row r="112" spans="1:21" x14ac:dyDescent="0.35">
      <c r="J112" s="14"/>
      <c r="K112" s="14"/>
    </row>
    <row r="113" spans="10:11" x14ac:dyDescent="0.35">
      <c r="J113" s="14"/>
      <c r="K113" s="14"/>
    </row>
    <row r="114" spans="10:11" x14ac:dyDescent="0.35">
      <c r="J114" s="14"/>
      <c r="K114" s="14"/>
    </row>
    <row r="115" spans="10:11" x14ac:dyDescent="0.35">
      <c r="J115" s="14"/>
      <c r="K115" s="14"/>
    </row>
    <row r="116" spans="10:11" x14ac:dyDescent="0.35">
      <c r="J116" s="14"/>
      <c r="K116" s="14"/>
    </row>
  </sheetData>
  <mergeCells count="725">
    <mergeCell ref="E3:E4"/>
    <mergeCell ref="F3:F4"/>
    <mergeCell ref="G3:G4"/>
    <mergeCell ref="P5:P6"/>
    <mergeCell ref="Q5:Q6"/>
    <mergeCell ref="R5:R6"/>
    <mergeCell ref="A7:A8"/>
    <mergeCell ref="B7:B8"/>
    <mergeCell ref="E7:E8"/>
    <mergeCell ref="F7:F8"/>
    <mergeCell ref="G7:G8"/>
    <mergeCell ref="R3:R4"/>
    <mergeCell ref="A5:A6"/>
    <mergeCell ref="B5:B6"/>
    <mergeCell ref="E5:E6"/>
    <mergeCell ref="F5:F6"/>
    <mergeCell ref="G5:G6"/>
    <mergeCell ref="H5:H6"/>
    <mergeCell ref="L5:L6"/>
    <mergeCell ref="O5:O6"/>
    <mergeCell ref="H3:H4"/>
    <mergeCell ref="L3:L4"/>
    <mergeCell ref="O3:O4"/>
    <mergeCell ref="P3:P4"/>
    <mergeCell ref="Q3:Q4"/>
    <mergeCell ref="A3:A4"/>
    <mergeCell ref="B3:B4"/>
    <mergeCell ref="P9:P10"/>
    <mergeCell ref="Q9:Q10"/>
    <mergeCell ref="R9:R10"/>
    <mergeCell ref="A11:A12"/>
    <mergeCell ref="B11:B12"/>
    <mergeCell ref="E11:E12"/>
    <mergeCell ref="F11:F12"/>
    <mergeCell ref="G11:G12"/>
    <mergeCell ref="R7:R8"/>
    <mergeCell ref="A9:A10"/>
    <mergeCell ref="B9:B10"/>
    <mergeCell ref="E9:E10"/>
    <mergeCell ref="F9:F10"/>
    <mergeCell ref="G9:G10"/>
    <mergeCell ref="H9:H10"/>
    <mergeCell ref="L9:L10"/>
    <mergeCell ref="O9:O10"/>
    <mergeCell ref="H7:H8"/>
    <mergeCell ref="L7:L8"/>
    <mergeCell ref="O7:O8"/>
    <mergeCell ref="P7:P8"/>
    <mergeCell ref="Q7:Q8"/>
    <mergeCell ref="P13:P14"/>
    <mergeCell ref="Q13:Q14"/>
    <mergeCell ref="R13:R14"/>
    <mergeCell ref="A15:A16"/>
    <mergeCell ref="B15:B16"/>
    <mergeCell ref="E15:E16"/>
    <mergeCell ref="F15:F16"/>
    <mergeCell ref="G15:G16"/>
    <mergeCell ref="R11:R12"/>
    <mergeCell ref="A13:A14"/>
    <mergeCell ref="B13:B14"/>
    <mergeCell ref="E13:E14"/>
    <mergeCell ref="F13:F14"/>
    <mergeCell ref="G13:G14"/>
    <mergeCell ref="H13:H14"/>
    <mergeCell ref="L13:L14"/>
    <mergeCell ref="O13:O14"/>
    <mergeCell ref="H11:H12"/>
    <mergeCell ref="L11:L12"/>
    <mergeCell ref="O11:O12"/>
    <mergeCell ref="P11:P12"/>
    <mergeCell ref="Q11:Q12"/>
    <mergeCell ref="J3:J12"/>
    <mergeCell ref="P17:P18"/>
    <mergeCell ref="Q17:Q18"/>
    <mergeCell ref="R17:R18"/>
    <mergeCell ref="A19:A20"/>
    <mergeCell ref="B19:B20"/>
    <mergeCell ref="E19:E20"/>
    <mergeCell ref="F19:F20"/>
    <mergeCell ref="G19:G20"/>
    <mergeCell ref="R15:R16"/>
    <mergeCell ref="A17:A18"/>
    <mergeCell ref="B17:B18"/>
    <mergeCell ref="E17:E18"/>
    <mergeCell ref="F17:F18"/>
    <mergeCell ref="G17:G18"/>
    <mergeCell ref="H17:H18"/>
    <mergeCell ref="L17:L18"/>
    <mergeCell ref="O17:O18"/>
    <mergeCell ref="H15:H16"/>
    <mergeCell ref="L15:L16"/>
    <mergeCell ref="O15:O16"/>
    <mergeCell ref="P15:P16"/>
    <mergeCell ref="Q15:Q16"/>
    <mergeCell ref="P21:P22"/>
    <mergeCell ref="Q21:Q22"/>
    <mergeCell ref="R21:R22"/>
    <mergeCell ref="A23:A24"/>
    <mergeCell ref="B23:B24"/>
    <mergeCell ref="E23:E24"/>
    <mergeCell ref="F23:F24"/>
    <mergeCell ref="G23:G24"/>
    <mergeCell ref="R19:R20"/>
    <mergeCell ref="A21:A22"/>
    <mergeCell ref="B21:B22"/>
    <mergeCell ref="E21:E22"/>
    <mergeCell ref="F21:F22"/>
    <mergeCell ref="G21:G22"/>
    <mergeCell ref="H21:H22"/>
    <mergeCell ref="L21:L22"/>
    <mergeCell ref="O21:O22"/>
    <mergeCell ref="H19:H20"/>
    <mergeCell ref="L19:L20"/>
    <mergeCell ref="O19:O20"/>
    <mergeCell ref="P19:P20"/>
    <mergeCell ref="Q19:Q20"/>
    <mergeCell ref="I21:I22"/>
    <mergeCell ref="J13:J22"/>
    <mergeCell ref="P25:P26"/>
    <mergeCell ref="Q25:Q26"/>
    <mergeCell ref="R25:R26"/>
    <mergeCell ref="A27:A28"/>
    <mergeCell ref="B27:B28"/>
    <mergeCell ref="E27:E28"/>
    <mergeCell ref="F27:F28"/>
    <mergeCell ref="G27:G28"/>
    <mergeCell ref="R23:R24"/>
    <mergeCell ref="A25:A26"/>
    <mergeCell ref="B25:B26"/>
    <mergeCell ref="E25:E26"/>
    <mergeCell ref="F25:F26"/>
    <mergeCell ref="G25:G26"/>
    <mergeCell ref="H25:H26"/>
    <mergeCell ref="L25:L26"/>
    <mergeCell ref="O25:O26"/>
    <mergeCell ref="H23:H24"/>
    <mergeCell ref="L23:L24"/>
    <mergeCell ref="O23:O24"/>
    <mergeCell ref="P23:P24"/>
    <mergeCell ref="Q23:Q24"/>
    <mergeCell ref="I23:I24"/>
    <mergeCell ref="I25:I26"/>
    <mergeCell ref="P29:P30"/>
    <mergeCell ref="Q29:Q30"/>
    <mergeCell ref="R29:R30"/>
    <mergeCell ref="A31:A32"/>
    <mergeCell ref="B31:B32"/>
    <mergeCell ref="E31:E32"/>
    <mergeCell ref="F31:F32"/>
    <mergeCell ref="G31:G32"/>
    <mergeCell ref="R27:R28"/>
    <mergeCell ref="A29:A30"/>
    <mergeCell ref="B29:B30"/>
    <mergeCell ref="E29:E30"/>
    <mergeCell ref="F29:F30"/>
    <mergeCell ref="G29:G30"/>
    <mergeCell ref="H29:H30"/>
    <mergeCell ref="L29:L30"/>
    <mergeCell ref="O29:O30"/>
    <mergeCell ref="H27:H28"/>
    <mergeCell ref="L27:L28"/>
    <mergeCell ref="O27:O28"/>
    <mergeCell ref="P27:P28"/>
    <mergeCell ref="Q27:Q28"/>
    <mergeCell ref="I27:I28"/>
    <mergeCell ref="I29:I30"/>
    <mergeCell ref="P33:P34"/>
    <mergeCell ref="Q33:Q34"/>
    <mergeCell ref="R33:R34"/>
    <mergeCell ref="A35:A36"/>
    <mergeCell ref="B35:B36"/>
    <mergeCell ref="E35:E36"/>
    <mergeCell ref="F35:F36"/>
    <mergeCell ref="G35:G36"/>
    <mergeCell ref="R31:R32"/>
    <mergeCell ref="A33:A34"/>
    <mergeCell ref="B33:B34"/>
    <mergeCell ref="E33:E34"/>
    <mergeCell ref="F33:F34"/>
    <mergeCell ref="G33:G34"/>
    <mergeCell ref="H33:H34"/>
    <mergeCell ref="L33:L34"/>
    <mergeCell ref="O33:O34"/>
    <mergeCell ref="H31:H32"/>
    <mergeCell ref="L31:L32"/>
    <mergeCell ref="O31:O32"/>
    <mergeCell ref="P31:P32"/>
    <mergeCell ref="Q31:Q32"/>
    <mergeCell ref="I31:I32"/>
    <mergeCell ref="I33:I34"/>
    <mergeCell ref="P37:P38"/>
    <mergeCell ref="Q37:Q38"/>
    <mergeCell ref="R37:R38"/>
    <mergeCell ref="A39:A40"/>
    <mergeCell ref="B39:B40"/>
    <mergeCell ref="E39:E40"/>
    <mergeCell ref="F39:F40"/>
    <mergeCell ref="G39:G40"/>
    <mergeCell ref="R35:R36"/>
    <mergeCell ref="A37:A38"/>
    <mergeCell ref="B37:B38"/>
    <mergeCell ref="E37:E38"/>
    <mergeCell ref="F37:F38"/>
    <mergeCell ref="G37:G38"/>
    <mergeCell ref="H37:H38"/>
    <mergeCell ref="L37:L38"/>
    <mergeCell ref="O37:O38"/>
    <mergeCell ref="H35:H36"/>
    <mergeCell ref="L35:L36"/>
    <mergeCell ref="O35:O36"/>
    <mergeCell ref="P35:P36"/>
    <mergeCell ref="Q35:Q36"/>
    <mergeCell ref="I35:I36"/>
    <mergeCell ref="I37:I38"/>
    <mergeCell ref="P41:P42"/>
    <mergeCell ref="Q41:Q42"/>
    <mergeCell ref="R41:R42"/>
    <mergeCell ref="A43:A44"/>
    <mergeCell ref="B43:B44"/>
    <mergeCell ref="E43:E44"/>
    <mergeCell ref="F43:F44"/>
    <mergeCell ref="G43:G44"/>
    <mergeCell ref="R39:R40"/>
    <mergeCell ref="A41:A42"/>
    <mergeCell ref="B41:B42"/>
    <mergeCell ref="E41:E42"/>
    <mergeCell ref="F41:F42"/>
    <mergeCell ref="G41:G42"/>
    <mergeCell ref="H41:H42"/>
    <mergeCell ref="L41:L42"/>
    <mergeCell ref="O41:O42"/>
    <mergeCell ref="H39:H40"/>
    <mergeCell ref="L39:L40"/>
    <mergeCell ref="O39:O40"/>
    <mergeCell ref="P39:P40"/>
    <mergeCell ref="Q39:Q40"/>
    <mergeCell ref="I39:I40"/>
    <mergeCell ref="I41:I42"/>
    <mergeCell ref="P45:P46"/>
    <mergeCell ref="Q45:Q46"/>
    <mergeCell ref="R45:R46"/>
    <mergeCell ref="A47:A48"/>
    <mergeCell ref="B47:B48"/>
    <mergeCell ref="E47:E48"/>
    <mergeCell ref="F47:F48"/>
    <mergeCell ref="G47:G48"/>
    <mergeCell ref="R43:R44"/>
    <mergeCell ref="A45:A46"/>
    <mergeCell ref="B45:B46"/>
    <mergeCell ref="E45:E46"/>
    <mergeCell ref="F45:F46"/>
    <mergeCell ref="G45:G46"/>
    <mergeCell ref="H45:H46"/>
    <mergeCell ref="L45:L46"/>
    <mergeCell ref="O45:O46"/>
    <mergeCell ref="H43:H44"/>
    <mergeCell ref="L43:L44"/>
    <mergeCell ref="O43:O44"/>
    <mergeCell ref="P43:P44"/>
    <mergeCell ref="Q43:Q44"/>
    <mergeCell ref="I43:I44"/>
    <mergeCell ref="P49:P50"/>
    <mergeCell ref="Q49:Q50"/>
    <mergeCell ref="R49:R50"/>
    <mergeCell ref="A51:A52"/>
    <mergeCell ref="B51:B52"/>
    <mergeCell ref="E51:E52"/>
    <mergeCell ref="F51:F52"/>
    <mergeCell ref="G51:G52"/>
    <mergeCell ref="R47:R48"/>
    <mergeCell ref="A49:A50"/>
    <mergeCell ref="B49:B50"/>
    <mergeCell ref="E49:E50"/>
    <mergeCell ref="F49:F50"/>
    <mergeCell ref="G49:G50"/>
    <mergeCell ref="H49:H50"/>
    <mergeCell ref="L49:L50"/>
    <mergeCell ref="O49:O50"/>
    <mergeCell ref="H47:H48"/>
    <mergeCell ref="L47:L48"/>
    <mergeCell ref="O47:O48"/>
    <mergeCell ref="P47:P48"/>
    <mergeCell ref="Q47:Q48"/>
    <mergeCell ref="K51:K56"/>
    <mergeCell ref="R51:R52"/>
    <mergeCell ref="A53:A54"/>
    <mergeCell ref="B53:B54"/>
    <mergeCell ref="E53:E54"/>
    <mergeCell ref="F53:F54"/>
    <mergeCell ref="G53:G54"/>
    <mergeCell ref="H53:H54"/>
    <mergeCell ref="L53:L54"/>
    <mergeCell ref="O53:O54"/>
    <mergeCell ref="H51:H52"/>
    <mergeCell ref="L51:L52"/>
    <mergeCell ref="O51:O52"/>
    <mergeCell ref="P51:P52"/>
    <mergeCell ref="Q51:Q52"/>
    <mergeCell ref="I51:I52"/>
    <mergeCell ref="I53:I54"/>
    <mergeCell ref="R55:R56"/>
    <mergeCell ref="A57:A58"/>
    <mergeCell ref="B57:B58"/>
    <mergeCell ref="E57:E58"/>
    <mergeCell ref="F57:F58"/>
    <mergeCell ref="G57:G58"/>
    <mergeCell ref="H57:H58"/>
    <mergeCell ref="L57:L58"/>
    <mergeCell ref="O57:O58"/>
    <mergeCell ref="H55:H56"/>
    <mergeCell ref="L55:L56"/>
    <mergeCell ref="O55:O56"/>
    <mergeCell ref="P55:P56"/>
    <mergeCell ref="Q55:Q56"/>
    <mergeCell ref="I55:I56"/>
    <mergeCell ref="J51:J56"/>
    <mergeCell ref="P53:P54"/>
    <mergeCell ref="Q53:Q54"/>
    <mergeCell ref="R53:R54"/>
    <mergeCell ref="A55:A56"/>
    <mergeCell ref="B55:B56"/>
    <mergeCell ref="E55:E56"/>
    <mergeCell ref="F55:F56"/>
    <mergeCell ref="G55:G56"/>
    <mergeCell ref="R59:R60"/>
    <mergeCell ref="A61:A62"/>
    <mergeCell ref="B61:B62"/>
    <mergeCell ref="E61:E62"/>
    <mergeCell ref="F61:F62"/>
    <mergeCell ref="G61:G62"/>
    <mergeCell ref="H61:H62"/>
    <mergeCell ref="L61:L62"/>
    <mergeCell ref="O61:O62"/>
    <mergeCell ref="H59:H60"/>
    <mergeCell ref="L59:L60"/>
    <mergeCell ref="O59:O60"/>
    <mergeCell ref="P59:P60"/>
    <mergeCell ref="Q59:Q60"/>
    <mergeCell ref="J57:J62"/>
    <mergeCell ref="K57:K62"/>
    <mergeCell ref="P57:P58"/>
    <mergeCell ref="Q57:Q58"/>
    <mergeCell ref="R57:R58"/>
    <mergeCell ref="A59:A60"/>
    <mergeCell ref="B59:B60"/>
    <mergeCell ref="E59:E60"/>
    <mergeCell ref="F59:F60"/>
    <mergeCell ref="G59:G60"/>
    <mergeCell ref="P63:P64"/>
    <mergeCell ref="Q63:Q64"/>
    <mergeCell ref="R67:R68"/>
    <mergeCell ref="P67:P68"/>
    <mergeCell ref="P61:P62"/>
    <mergeCell ref="Q61:Q62"/>
    <mergeCell ref="R61:R62"/>
    <mergeCell ref="H65:H66"/>
    <mergeCell ref="L65:L66"/>
    <mergeCell ref="O65:O66"/>
    <mergeCell ref="H63:H64"/>
    <mergeCell ref="L63:L64"/>
    <mergeCell ref="O63:O64"/>
    <mergeCell ref="A63:A64"/>
    <mergeCell ref="B63:B64"/>
    <mergeCell ref="E63:E64"/>
    <mergeCell ref="F63:F64"/>
    <mergeCell ref="G63:G64"/>
    <mergeCell ref="A65:A66"/>
    <mergeCell ref="B65:B66"/>
    <mergeCell ref="E65:E66"/>
    <mergeCell ref="F65:F66"/>
    <mergeCell ref="G65:G66"/>
    <mergeCell ref="R69:R70"/>
    <mergeCell ref="R71:R72"/>
    <mergeCell ref="J63:J68"/>
    <mergeCell ref="K63:K68"/>
    <mergeCell ref="A69:A70"/>
    <mergeCell ref="B69:B70"/>
    <mergeCell ref="E69:E70"/>
    <mergeCell ref="F69:F70"/>
    <mergeCell ref="G69:G70"/>
    <mergeCell ref="H69:H70"/>
    <mergeCell ref="L69:L70"/>
    <mergeCell ref="O69:O70"/>
    <mergeCell ref="H67:H68"/>
    <mergeCell ref="L67:L68"/>
    <mergeCell ref="O67:O68"/>
    <mergeCell ref="P65:P66"/>
    <mergeCell ref="Q65:Q66"/>
    <mergeCell ref="R65:R66"/>
    <mergeCell ref="A67:A68"/>
    <mergeCell ref="B67:B68"/>
    <mergeCell ref="E67:E68"/>
    <mergeCell ref="F67:F68"/>
    <mergeCell ref="G67:G68"/>
    <mergeCell ref="R63:R64"/>
    <mergeCell ref="O75:O76"/>
    <mergeCell ref="P75:P76"/>
    <mergeCell ref="Q67:Q68"/>
    <mergeCell ref="H71:H72"/>
    <mergeCell ref="L71:L72"/>
    <mergeCell ref="O71:O72"/>
    <mergeCell ref="P71:P72"/>
    <mergeCell ref="Q71:Q72"/>
    <mergeCell ref="P69:P70"/>
    <mergeCell ref="Q69:Q70"/>
    <mergeCell ref="Q75:Q76"/>
    <mergeCell ref="P73:P74"/>
    <mergeCell ref="Q73:Q74"/>
    <mergeCell ref="R73:R74"/>
    <mergeCell ref="A75:A76"/>
    <mergeCell ref="B75:B76"/>
    <mergeCell ref="E75:E76"/>
    <mergeCell ref="F75:F76"/>
    <mergeCell ref="G75:G76"/>
    <mergeCell ref="A73:A74"/>
    <mergeCell ref="B73:B74"/>
    <mergeCell ref="E73:E74"/>
    <mergeCell ref="F73:F74"/>
    <mergeCell ref="G73:G74"/>
    <mergeCell ref="H73:H74"/>
    <mergeCell ref="L73:L74"/>
    <mergeCell ref="O73:O74"/>
    <mergeCell ref="R75:R76"/>
    <mergeCell ref="J69:J74"/>
    <mergeCell ref="K69:K74"/>
    <mergeCell ref="A71:A72"/>
    <mergeCell ref="B71:B72"/>
    <mergeCell ref="E71:E72"/>
    <mergeCell ref="F71:F72"/>
    <mergeCell ref="G71:G72"/>
    <mergeCell ref="H75:H76"/>
    <mergeCell ref="L75:L76"/>
    <mergeCell ref="H79:H80"/>
    <mergeCell ref="L79:L80"/>
    <mergeCell ref="O79:O80"/>
    <mergeCell ref="P79:P80"/>
    <mergeCell ref="Q79:Q80"/>
    <mergeCell ref="P77:P78"/>
    <mergeCell ref="Q77:Q78"/>
    <mergeCell ref="R77:R78"/>
    <mergeCell ref="A79:A80"/>
    <mergeCell ref="B79:B80"/>
    <mergeCell ref="E79:E80"/>
    <mergeCell ref="F79:F80"/>
    <mergeCell ref="G79:G80"/>
    <mergeCell ref="A77:A78"/>
    <mergeCell ref="B77:B78"/>
    <mergeCell ref="E77:E78"/>
    <mergeCell ref="F77:F78"/>
    <mergeCell ref="G77:G78"/>
    <mergeCell ref="H77:H78"/>
    <mergeCell ref="L77:L78"/>
    <mergeCell ref="O77:O78"/>
    <mergeCell ref="R79:R80"/>
    <mergeCell ref="J75:J80"/>
    <mergeCell ref="K75:K80"/>
    <mergeCell ref="H83:H84"/>
    <mergeCell ref="L83:L84"/>
    <mergeCell ref="O83:O84"/>
    <mergeCell ref="P83:P84"/>
    <mergeCell ref="Q83:Q84"/>
    <mergeCell ref="P81:P82"/>
    <mergeCell ref="Q81:Q82"/>
    <mergeCell ref="R81:R82"/>
    <mergeCell ref="A83:A84"/>
    <mergeCell ref="B83:B84"/>
    <mergeCell ref="E83:E84"/>
    <mergeCell ref="F83:F84"/>
    <mergeCell ref="G83:G84"/>
    <mergeCell ref="A81:A82"/>
    <mergeCell ref="B81:B82"/>
    <mergeCell ref="E81:E82"/>
    <mergeCell ref="F81:F82"/>
    <mergeCell ref="G81:G82"/>
    <mergeCell ref="H81:H82"/>
    <mergeCell ref="L81:L82"/>
    <mergeCell ref="O81:O82"/>
    <mergeCell ref="R83:R84"/>
    <mergeCell ref="I81:I82"/>
    <mergeCell ref="I83:I84"/>
    <mergeCell ref="H87:H88"/>
    <mergeCell ref="L87:L88"/>
    <mergeCell ref="O87:O88"/>
    <mergeCell ref="P87:P88"/>
    <mergeCell ref="Q87:Q88"/>
    <mergeCell ref="P85:P86"/>
    <mergeCell ref="Q85:Q86"/>
    <mergeCell ref="R85:R86"/>
    <mergeCell ref="A87:A88"/>
    <mergeCell ref="B87:B88"/>
    <mergeCell ref="E87:E88"/>
    <mergeCell ref="F87:F88"/>
    <mergeCell ref="G87:G88"/>
    <mergeCell ref="A85:A86"/>
    <mergeCell ref="B85:B86"/>
    <mergeCell ref="E85:E86"/>
    <mergeCell ref="F85:F86"/>
    <mergeCell ref="G85:G86"/>
    <mergeCell ref="H85:H86"/>
    <mergeCell ref="L85:L86"/>
    <mergeCell ref="O85:O86"/>
    <mergeCell ref="R87:R88"/>
    <mergeCell ref="I85:I86"/>
    <mergeCell ref="I87:I88"/>
    <mergeCell ref="H91:H92"/>
    <mergeCell ref="L91:L92"/>
    <mergeCell ref="O91:O92"/>
    <mergeCell ref="P91:P92"/>
    <mergeCell ref="Q91:Q92"/>
    <mergeCell ref="P89:P90"/>
    <mergeCell ref="Q89:Q90"/>
    <mergeCell ref="R89:R90"/>
    <mergeCell ref="A91:A92"/>
    <mergeCell ref="B91:B92"/>
    <mergeCell ref="E91:E92"/>
    <mergeCell ref="F91:F92"/>
    <mergeCell ref="G91:G92"/>
    <mergeCell ref="A89:A90"/>
    <mergeCell ref="B89:B90"/>
    <mergeCell ref="E89:E90"/>
    <mergeCell ref="F89:F90"/>
    <mergeCell ref="G89:G90"/>
    <mergeCell ref="H89:H90"/>
    <mergeCell ref="L89:L90"/>
    <mergeCell ref="O89:O90"/>
    <mergeCell ref="R91:R92"/>
    <mergeCell ref="I89:I90"/>
    <mergeCell ref="I91:I92"/>
    <mergeCell ref="H95:H96"/>
    <mergeCell ref="L95:L96"/>
    <mergeCell ref="O95:O96"/>
    <mergeCell ref="P95:P96"/>
    <mergeCell ref="Q95:Q96"/>
    <mergeCell ref="P93:P94"/>
    <mergeCell ref="Q93:Q94"/>
    <mergeCell ref="R93:R94"/>
    <mergeCell ref="A95:A96"/>
    <mergeCell ref="B95:B96"/>
    <mergeCell ref="E95:E96"/>
    <mergeCell ref="F95:F96"/>
    <mergeCell ref="G95:G96"/>
    <mergeCell ref="A93:A94"/>
    <mergeCell ref="B93:B94"/>
    <mergeCell ref="E93:E94"/>
    <mergeCell ref="F93:F94"/>
    <mergeCell ref="G93:G94"/>
    <mergeCell ref="H93:H94"/>
    <mergeCell ref="L93:L94"/>
    <mergeCell ref="O93:O94"/>
    <mergeCell ref="R95:R96"/>
    <mergeCell ref="H99:H100"/>
    <mergeCell ref="L99:L100"/>
    <mergeCell ref="O99:O100"/>
    <mergeCell ref="P99:P100"/>
    <mergeCell ref="Q99:Q100"/>
    <mergeCell ref="P97:P98"/>
    <mergeCell ref="Q97:Q98"/>
    <mergeCell ref="R97:R98"/>
    <mergeCell ref="A99:A100"/>
    <mergeCell ref="B99:B100"/>
    <mergeCell ref="E99:E100"/>
    <mergeCell ref="F99:F100"/>
    <mergeCell ref="G99:G100"/>
    <mergeCell ref="A97:A98"/>
    <mergeCell ref="B97:B98"/>
    <mergeCell ref="E97:E98"/>
    <mergeCell ref="F97:F98"/>
    <mergeCell ref="G97:G98"/>
    <mergeCell ref="H97:H98"/>
    <mergeCell ref="L97:L98"/>
    <mergeCell ref="O97:O98"/>
    <mergeCell ref="R99:R100"/>
    <mergeCell ref="I99:I100"/>
    <mergeCell ref="H103:H104"/>
    <mergeCell ref="L103:L104"/>
    <mergeCell ref="O103:O104"/>
    <mergeCell ref="P103:P104"/>
    <mergeCell ref="Q103:Q104"/>
    <mergeCell ref="P101:P102"/>
    <mergeCell ref="Q101:Q102"/>
    <mergeCell ref="R101:R102"/>
    <mergeCell ref="A103:A104"/>
    <mergeCell ref="B103:B104"/>
    <mergeCell ref="E103:E104"/>
    <mergeCell ref="F103:F104"/>
    <mergeCell ref="G103:G104"/>
    <mergeCell ref="A101:A102"/>
    <mergeCell ref="B101:B102"/>
    <mergeCell ref="E101:E102"/>
    <mergeCell ref="F101:F102"/>
    <mergeCell ref="G101:G102"/>
    <mergeCell ref="H101:H102"/>
    <mergeCell ref="L101:L102"/>
    <mergeCell ref="O101:O102"/>
    <mergeCell ref="R103:R104"/>
    <mergeCell ref="I101:I102"/>
    <mergeCell ref="I103:I104"/>
    <mergeCell ref="I3:I4"/>
    <mergeCell ref="I5:I6"/>
    <mergeCell ref="I7:I8"/>
    <mergeCell ref="I9:I10"/>
    <mergeCell ref="I11:I12"/>
    <mergeCell ref="I13:I14"/>
    <mergeCell ref="I15:I16"/>
    <mergeCell ref="I17:I18"/>
    <mergeCell ref="I19:I20"/>
    <mergeCell ref="S3:S4"/>
    <mergeCell ref="S5:S6"/>
    <mergeCell ref="S7:S8"/>
    <mergeCell ref="S9:S10"/>
    <mergeCell ref="S11:S12"/>
    <mergeCell ref="S13:S14"/>
    <mergeCell ref="I93:I94"/>
    <mergeCell ref="I95:I96"/>
    <mergeCell ref="I97:I98"/>
    <mergeCell ref="I69:I70"/>
    <mergeCell ref="I71:I72"/>
    <mergeCell ref="I73:I74"/>
    <mergeCell ref="I75:I76"/>
    <mergeCell ref="I77:I78"/>
    <mergeCell ref="I79:I80"/>
    <mergeCell ref="I57:I58"/>
    <mergeCell ref="I59:I60"/>
    <mergeCell ref="I61:I62"/>
    <mergeCell ref="I63:I64"/>
    <mergeCell ref="I65:I66"/>
    <mergeCell ref="I67:I68"/>
    <mergeCell ref="I45:I46"/>
    <mergeCell ref="I47:I48"/>
    <mergeCell ref="I49:I50"/>
    <mergeCell ref="S27:S28"/>
    <mergeCell ref="S29:S30"/>
    <mergeCell ref="S31:S32"/>
    <mergeCell ref="S33:S34"/>
    <mergeCell ref="S35:S36"/>
    <mergeCell ref="S37:S38"/>
    <mergeCell ref="S15:S16"/>
    <mergeCell ref="S17:S18"/>
    <mergeCell ref="S19:S20"/>
    <mergeCell ref="S21:S22"/>
    <mergeCell ref="S23:S24"/>
    <mergeCell ref="S25:S26"/>
    <mergeCell ref="S53:S54"/>
    <mergeCell ref="S55:S56"/>
    <mergeCell ref="S57:S58"/>
    <mergeCell ref="S59:S60"/>
    <mergeCell ref="S61:S62"/>
    <mergeCell ref="S39:S40"/>
    <mergeCell ref="S41:S42"/>
    <mergeCell ref="S43:S44"/>
    <mergeCell ref="S45:S46"/>
    <mergeCell ref="S47:S48"/>
    <mergeCell ref="S49:S50"/>
    <mergeCell ref="S99:S100"/>
    <mergeCell ref="S101:S102"/>
    <mergeCell ref="S103:S104"/>
    <mergeCell ref="B1:I1"/>
    <mergeCell ref="L1:S1"/>
    <mergeCell ref="S87:S88"/>
    <mergeCell ref="S89:S90"/>
    <mergeCell ref="S91:S92"/>
    <mergeCell ref="S93:S94"/>
    <mergeCell ref="S95:S96"/>
    <mergeCell ref="S97:S98"/>
    <mergeCell ref="S75:S76"/>
    <mergeCell ref="S77:S78"/>
    <mergeCell ref="S79:S80"/>
    <mergeCell ref="S81:S82"/>
    <mergeCell ref="S83:S84"/>
    <mergeCell ref="S85:S86"/>
    <mergeCell ref="S63:S64"/>
    <mergeCell ref="S65:S66"/>
    <mergeCell ref="S67:S68"/>
    <mergeCell ref="S69:S70"/>
    <mergeCell ref="S71:S72"/>
    <mergeCell ref="S73:S74"/>
    <mergeCell ref="S51:S52"/>
    <mergeCell ref="K3:K12"/>
    <mergeCell ref="K13:K22"/>
    <mergeCell ref="K23:K32"/>
    <mergeCell ref="J33:J38"/>
    <mergeCell ref="K33:K38"/>
    <mergeCell ref="J39:J44"/>
    <mergeCell ref="K39:K44"/>
    <mergeCell ref="J45:J50"/>
    <mergeCell ref="K45:K50"/>
    <mergeCell ref="J81:J86"/>
    <mergeCell ref="K81:K86"/>
    <mergeCell ref="J87:J92"/>
    <mergeCell ref="K87:K92"/>
    <mergeCell ref="J93:J98"/>
    <mergeCell ref="K93:K98"/>
    <mergeCell ref="J99:J104"/>
    <mergeCell ref="K99:K104"/>
    <mergeCell ref="J23:J32"/>
    <mergeCell ref="T3:T12"/>
    <mergeCell ref="U3:U12"/>
    <mergeCell ref="T13:T22"/>
    <mergeCell ref="U13:U22"/>
    <mergeCell ref="T23:T32"/>
    <mergeCell ref="U23:U32"/>
    <mergeCell ref="T33:T38"/>
    <mergeCell ref="U33:U38"/>
    <mergeCell ref="T39:T44"/>
    <mergeCell ref="U39:U44"/>
    <mergeCell ref="T45:T50"/>
    <mergeCell ref="U45:U50"/>
    <mergeCell ref="T51:T56"/>
    <mergeCell ref="U51:U56"/>
    <mergeCell ref="T57:T62"/>
    <mergeCell ref="U57:U62"/>
    <mergeCell ref="T63:T68"/>
    <mergeCell ref="U63:U68"/>
    <mergeCell ref="T69:T74"/>
    <mergeCell ref="U69:U74"/>
    <mergeCell ref="T75:T80"/>
    <mergeCell ref="U75:U80"/>
    <mergeCell ref="T81:T86"/>
    <mergeCell ref="U81:U86"/>
    <mergeCell ref="T87:T92"/>
    <mergeCell ref="U87:U92"/>
    <mergeCell ref="T93:T98"/>
    <mergeCell ref="U93:U98"/>
    <mergeCell ref="T99:T104"/>
    <mergeCell ref="U99:U104"/>
  </mergeCells>
  <conditionalFormatting sqref="C2:D1048576 M2:N1048576">
    <cfRule type="beginsWith" dxfId="4" priority="3" operator="beginsWith" text="NA">
      <formula>LEFT(C2,LEN("NA"))="NA"</formula>
    </cfRule>
  </conditionalFormatting>
  <conditionalFormatting sqref="K3:K104">
    <cfRule type="iconSet" priority="2">
      <iconSet reverse="1">
        <cfvo type="percent" val="0"/>
        <cfvo type="num" val="0.1"/>
        <cfvo type="num" val="0.15"/>
      </iconSet>
    </cfRule>
  </conditionalFormatting>
  <conditionalFormatting sqref="U3:U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997F-C281-49E8-BC8D-1B49F562C089}">
  <dimension ref="A1:W104"/>
  <sheetViews>
    <sheetView topLeftCell="L1" zoomScaleNormal="100" workbookViewId="0">
      <selection activeCell="V11" sqref="V11"/>
    </sheetView>
  </sheetViews>
  <sheetFormatPr baseColWidth="10" defaultRowHeight="14.5" x14ac:dyDescent="0.35"/>
  <cols>
    <col min="2" max="2" width="13.81640625" bestFit="1" customWidth="1"/>
    <col min="7" max="7" width="15.26953125" bestFit="1" customWidth="1"/>
    <col min="8" max="8" width="15.1796875" bestFit="1" customWidth="1"/>
    <col min="9" max="10" width="15.1796875" customWidth="1"/>
    <col min="11" max="11" width="13.81640625" bestFit="1" customWidth="1"/>
    <col min="16" max="16" width="14" bestFit="1" customWidth="1"/>
    <col min="17" max="17" width="15.1796875" bestFit="1" customWidth="1"/>
    <col min="18" max="19" width="15.1796875" customWidth="1"/>
    <col min="21" max="21" width="17.1796875" bestFit="1" customWidth="1"/>
  </cols>
  <sheetData>
    <row r="1" spans="1:23" x14ac:dyDescent="0.35">
      <c r="B1" s="31" t="s">
        <v>3</v>
      </c>
      <c r="C1" s="31"/>
      <c r="D1" s="31"/>
      <c r="E1" s="31"/>
      <c r="F1" s="31"/>
      <c r="G1" s="31"/>
      <c r="H1" s="31"/>
      <c r="I1" s="11"/>
      <c r="J1" s="11"/>
      <c r="K1" s="32" t="s">
        <v>4</v>
      </c>
      <c r="L1" s="32"/>
      <c r="M1" s="32"/>
      <c r="N1" s="32"/>
      <c r="O1" s="32"/>
      <c r="P1" s="32"/>
      <c r="Q1" s="32"/>
      <c r="R1" s="12"/>
      <c r="S1" s="12"/>
    </row>
    <row r="2" spans="1:23" x14ac:dyDescent="0.35">
      <c r="A2" s="1" t="s">
        <v>0</v>
      </c>
      <c r="B2" s="4" t="s">
        <v>8</v>
      </c>
      <c r="C2" s="3" t="s">
        <v>6</v>
      </c>
      <c r="D2" s="3" t="s">
        <v>2</v>
      </c>
      <c r="E2" s="3" t="s">
        <v>5</v>
      </c>
      <c r="F2" s="3" t="s">
        <v>9</v>
      </c>
      <c r="G2" s="3" t="s">
        <v>10</v>
      </c>
      <c r="H2" s="6" t="s">
        <v>21</v>
      </c>
      <c r="I2" s="6" t="s">
        <v>36</v>
      </c>
      <c r="J2" s="6" t="s">
        <v>37</v>
      </c>
      <c r="K2" s="3" t="s">
        <v>8</v>
      </c>
      <c r="L2" s="3" t="s">
        <v>6</v>
      </c>
      <c r="M2" s="3" t="s">
        <v>2</v>
      </c>
      <c r="N2" s="3" t="s">
        <v>5</v>
      </c>
      <c r="O2" s="3" t="s">
        <v>9</v>
      </c>
      <c r="P2" s="3" t="s">
        <v>10</v>
      </c>
      <c r="Q2" s="6" t="s">
        <v>21</v>
      </c>
      <c r="R2" s="6" t="s">
        <v>36</v>
      </c>
      <c r="S2" s="6" t="s">
        <v>37</v>
      </c>
    </row>
    <row r="3" spans="1:23" x14ac:dyDescent="0.35">
      <c r="A3" s="37">
        <v>1</v>
      </c>
      <c r="B3" s="38">
        <v>8.2649999999999988</v>
      </c>
      <c r="C3" s="5">
        <v>-3.1559999999999998E-2</v>
      </c>
      <c r="D3" s="36">
        <f>AVERAGE(C3:C4)</f>
        <v>-3.0649999999999997E-2</v>
      </c>
      <c r="E3" s="36">
        <f>_xlfn.STDEV.S(C3:C4)/SQRT(2)</f>
        <v>9.0999999999999935E-4</v>
      </c>
      <c r="F3" s="36">
        <f>(-D3*1*0.21)/(6220*0.6*0.02*10^-3)</f>
        <v>8.6233922829581977E-2</v>
      </c>
      <c r="G3" s="36">
        <f>F3/B3</f>
        <v>1.0433626476658438E-2</v>
      </c>
      <c r="H3" s="33">
        <f>G3*1000</f>
        <v>10.433626476658437</v>
      </c>
      <c r="I3" s="33">
        <f>AVERAGE(H3:H12)</f>
        <v>11.209295595937645</v>
      </c>
      <c r="J3" s="34">
        <f>(_xlfn.STDEV.S(H3:H12)/SQRT(5))/I3</f>
        <v>6.8539284022217817E-2</v>
      </c>
      <c r="K3" s="36">
        <v>6.0449999999999999</v>
      </c>
      <c r="L3" s="2">
        <v>-3.1600000000000003E-2</v>
      </c>
      <c r="M3" s="36">
        <f>AVERAGE(L3:L4)</f>
        <v>-2.1445000000000002E-2</v>
      </c>
      <c r="N3" s="36">
        <f>_xlfn.STDEV.S(L3:L4)/SQRT(2)</f>
        <v>1.0154999999999996E-2</v>
      </c>
      <c r="O3" s="36">
        <f>(-M3*1*0.2)/(6220*0.6*0.01*10^-3)</f>
        <v>0.11492497320471598</v>
      </c>
      <c r="P3" s="36">
        <f>O3/K3</f>
        <v>1.9011575385395531E-2</v>
      </c>
      <c r="Q3" s="33">
        <f>P3*1000</f>
        <v>19.011575385395531</v>
      </c>
      <c r="R3" s="33">
        <f>AVERAGE(Q3:Q12)</f>
        <v>13.500911850732141</v>
      </c>
      <c r="S3" s="34">
        <f>(_xlfn.STDEV.S(Q3:Q12)/SQRT(5))/R3</f>
        <v>0.1474920563257936</v>
      </c>
    </row>
    <row r="4" spans="1:23" x14ac:dyDescent="0.35">
      <c r="A4" s="37"/>
      <c r="B4" s="38"/>
      <c r="C4" s="5">
        <v>-2.9739999999999999E-2</v>
      </c>
      <c r="D4" s="36"/>
      <c r="E4" s="36"/>
      <c r="F4" s="36"/>
      <c r="G4" s="36"/>
      <c r="H4" s="33"/>
      <c r="I4" s="33"/>
      <c r="J4" s="34"/>
      <c r="K4" s="36"/>
      <c r="L4" s="2">
        <v>-1.129E-2</v>
      </c>
      <c r="M4" s="36"/>
      <c r="N4" s="36"/>
      <c r="O4" s="36"/>
      <c r="P4" s="36"/>
      <c r="Q4" s="33"/>
      <c r="R4" s="33"/>
      <c r="S4" s="34"/>
    </row>
    <row r="5" spans="1:23" x14ac:dyDescent="0.35">
      <c r="A5" s="37">
        <v>2</v>
      </c>
      <c r="B5" s="38">
        <v>5.7149999999999999</v>
      </c>
      <c r="C5" s="5">
        <v>-2.0840000000000001E-2</v>
      </c>
      <c r="D5" s="36">
        <f>AVERAGE(C5:C6)</f>
        <v>-2.4274999999999998E-2</v>
      </c>
      <c r="E5" s="36">
        <f>_xlfn.STDEV.S(C5:C6)/SQRT(2)</f>
        <v>3.4349999999999984E-3</v>
      </c>
      <c r="F5" s="36">
        <f t="shared" ref="F5" si="0">(-D5*1*0.21)/(6220*0.6*0.02*10^-3)</f>
        <v>6.8297829581993555E-2</v>
      </c>
      <c r="G5" s="36">
        <f>F5/B5</f>
        <v>1.1950626348555303E-2</v>
      </c>
      <c r="H5" s="33">
        <f t="shared" ref="H5" si="1">G5*1000</f>
        <v>11.950626348555303</v>
      </c>
      <c r="I5" s="33"/>
      <c r="J5" s="34"/>
      <c r="K5" s="36">
        <v>10.425000000000001</v>
      </c>
      <c r="L5" s="2">
        <v>-2.2290000000000001E-2</v>
      </c>
      <c r="M5" s="36">
        <f t="shared" ref="M5" si="2">AVERAGE(L5:L6)</f>
        <v>-1.8419999999999999E-2</v>
      </c>
      <c r="N5" s="36">
        <f t="shared" ref="N5" si="3">_xlfn.STDEV.S(L5:L6)/SQRT(2)</f>
        <v>3.8700000000000023E-3</v>
      </c>
      <c r="O5" s="36">
        <f t="shared" ref="O5" si="4">(-M5*1*0.2)/(6220*0.6*0.01*10^-3)</f>
        <v>9.8713826366559482E-2</v>
      </c>
      <c r="P5" s="36">
        <f t="shared" ref="P5" si="5">O5/K5</f>
        <v>9.4689521694541461E-3</v>
      </c>
      <c r="Q5" s="33">
        <f t="shared" ref="Q5" si="6">P5*1000</f>
        <v>9.4689521694541465</v>
      </c>
      <c r="R5" s="33"/>
      <c r="S5" s="34"/>
    </row>
    <row r="6" spans="1:23" x14ac:dyDescent="0.35">
      <c r="A6" s="37"/>
      <c r="B6" s="38"/>
      <c r="C6" s="5">
        <v>-2.7709999999999999E-2</v>
      </c>
      <c r="D6" s="36"/>
      <c r="E6" s="36"/>
      <c r="F6" s="36"/>
      <c r="G6" s="36"/>
      <c r="H6" s="33"/>
      <c r="I6" s="33"/>
      <c r="J6" s="34"/>
      <c r="K6" s="36"/>
      <c r="L6" s="2">
        <v>-1.455E-2</v>
      </c>
      <c r="M6" s="36"/>
      <c r="N6" s="36"/>
      <c r="O6" s="36"/>
      <c r="P6" s="36"/>
      <c r="Q6" s="33"/>
      <c r="R6" s="33"/>
      <c r="S6" s="34"/>
    </row>
    <row r="7" spans="1:23" x14ac:dyDescent="0.35">
      <c r="A7" s="37">
        <v>3</v>
      </c>
      <c r="B7" s="38">
        <v>6.4050000000000011</v>
      </c>
      <c r="C7" s="5">
        <v>-1.7819999999999999E-2</v>
      </c>
      <c r="D7" s="36">
        <f t="shared" ref="D7" si="7">AVERAGE(C7:C8)</f>
        <v>-1.9505000000000002E-2</v>
      </c>
      <c r="E7" s="36">
        <f t="shared" ref="E7" si="8">_xlfn.STDEV.S(C7:C8)/SQRT(2)</f>
        <v>1.6850000000000007E-3</v>
      </c>
      <c r="F7" s="36">
        <f t="shared" ref="F7" si="9">(-D7*1*0.21)/(6220*0.6*0.02*10^-3)</f>
        <v>5.487741157556271E-2</v>
      </c>
      <c r="G7" s="36">
        <f>F7/B7</f>
        <v>8.5679018853337553E-3</v>
      </c>
      <c r="H7" s="33">
        <f t="shared" ref="H7" si="10">G7*1000</f>
        <v>8.5679018853337556</v>
      </c>
      <c r="I7" s="33"/>
      <c r="J7" s="34"/>
      <c r="K7" s="36">
        <v>10.319999999999999</v>
      </c>
      <c r="L7" s="2">
        <v>-1.8020000000000001E-2</v>
      </c>
      <c r="M7" s="36">
        <f t="shared" ref="M7" si="11">AVERAGE(L7:L8)</f>
        <v>-2.4324999999999999E-2</v>
      </c>
      <c r="N7" s="36">
        <f t="shared" ref="N7" si="12">_xlfn.STDEV.S(L7:L8)/SQRT(2)</f>
        <v>6.3050000000000102E-3</v>
      </c>
      <c r="O7" s="36">
        <f t="shared" ref="O7" si="13">(-M7*1*0.2)/(6220*0.6*0.01*10^-3)</f>
        <v>0.13035905680600215</v>
      </c>
      <c r="P7" s="36">
        <f t="shared" ref="P7" si="14">O7/K7</f>
        <v>1.2631691550969203E-2</v>
      </c>
      <c r="Q7" s="33">
        <f t="shared" ref="Q7" si="15">P7*1000</f>
        <v>12.631691550969203</v>
      </c>
      <c r="R7" s="33"/>
      <c r="S7" s="34"/>
      <c r="V7" t="s">
        <v>19</v>
      </c>
      <c r="W7" t="s">
        <v>20</v>
      </c>
    </row>
    <row r="8" spans="1:23" x14ac:dyDescent="0.35">
      <c r="A8" s="37"/>
      <c r="B8" s="38"/>
      <c r="C8" s="5">
        <v>-2.1190000000000001E-2</v>
      </c>
      <c r="D8" s="36"/>
      <c r="E8" s="36"/>
      <c r="F8" s="36"/>
      <c r="G8" s="36"/>
      <c r="H8" s="33"/>
      <c r="I8" s="33"/>
      <c r="J8" s="34"/>
      <c r="K8" s="36"/>
      <c r="L8" s="2">
        <v>-3.0630000000000001E-2</v>
      </c>
      <c r="M8" s="36"/>
      <c r="N8" s="36"/>
      <c r="O8" s="36"/>
      <c r="P8" s="36"/>
      <c r="Q8" s="33"/>
      <c r="R8" s="33"/>
      <c r="S8" s="34"/>
      <c r="U8" s="8" t="s">
        <v>13</v>
      </c>
      <c r="V8">
        <v>1</v>
      </c>
      <c r="W8">
        <v>1</v>
      </c>
    </row>
    <row r="9" spans="1:23" x14ac:dyDescent="0.35">
      <c r="A9" s="37">
        <v>4</v>
      </c>
      <c r="B9" s="38">
        <v>5.625</v>
      </c>
      <c r="C9" s="5">
        <v>-2.4250000000000001E-2</v>
      </c>
      <c r="D9" s="36">
        <f t="shared" ref="D9" si="16">AVERAGE(C9:C10)</f>
        <v>-2.4645E-2</v>
      </c>
      <c r="E9" s="36">
        <f t="shared" ref="E9" si="17">_xlfn.STDEV.S(C9:C10)/SQRT(2)</f>
        <v>3.9499999999999952E-4</v>
      </c>
      <c r="F9" s="36">
        <f t="shared" ref="F9" si="18">(-D9*1*0.21)/(6220*0.6*0.02*10^-3)</f>
        <v>6.9338826366559483E-2</v>
      </c>
      <c r="G9" s="36">
        <f>F9/B9</f>
        <v>1.232690246516613E-2</v>
      </c>
      <c r="H9" s="33">
        <f t="shared" ref="H9" si="19">G9*1000</f>
        <v>12.32690246516613</v>
      </c>
      <c r="I9" s="33"/>
      <c r="J9" s="34"/>
      <c r="K9" s="36">
        <v>8.7000000000000011</v>
      </c>
      <c r="L9" s="2">
        <v>-3.2460000000000003E-2</v>
      </c>
      <c r="M9" s="36">
        <f t="shared" ref="M9" si="20">AVERAGE(L9:L10)</f>
        <v>-2.7890000000000002E-2</v>
      </c>
      <c r="N9" s="36">
        <f t="shared" ref="N9" si="21">_xlfn.STDEV.S(L9:L10)/SQRT(2)</f>
        <v>4.5699999999999959E-3</v>
      </c>
      <c r="O9" s="36">
        <f t="shared" ref="O9" si="22">(-M9*1*0.2)/(6220*0.6*0.01*10^-3)</f>
        <v>0.1494640943193998</v>
      </c>
      <c r="P9" s="36">
        <f t="shared" ref="P9" si="23">O9/K9</f>
        <v>1.717978095625285E-2</v>
      </c>
      <c r="Q9" s="33">
        <f t="shared" ref="Q9" si="24">P9*1000</f>
        <v>17.179780956252849</v>
      </c>
      <c r="R9" s="33"/>
      <c r="S9" s="34"/>
      <c r="U9" s="8" t="s">
        <v>16</v>
      </c>
      <c r="V9">
        <v>0.21</v>
      </c>
      <c r="W9">
        <v>0.2</v>
      </c>
    </row>
    <row r="10" spans="1:23" x14ac:dyDescent="0.35">
      <c r="A10" s="37"/>
      <c r="B10" s="38"/>
      <c r="C10" s="5">
        <v>-2.504E-2</v>
      </c>
      <c r="D10" s="36"/>
      <c r="E10" s="36"/>
      <c r="F10" s="36"/>
      <c r="G10" s="36"/>
      <c r="H10" s="33"/>
      <c r="I10" s="33"/>
      <c r="J10" s="34"/>
      <c r="K10" s="36"/>
      <c r="L10" s="2">
        <v>-2.332E-2</v>
      </c>
      <c r="M10" s="36"/>
      <c r="N10" s="36"/>
      <c r="O10" s="36"/>
      <c r="P10" s="36"/>
      <c r="Q10" s="33"/>
      <c r="R10" s="33"/>
      <c r="S10" s="34"/>
      <c r="U10" s="8" t="s">
        <v>15</v>
      </c>
      <c r="V10">
        <v>6220</v>
      </c>
      <c r="W10">
        <v>6220</v>
      </c>
    </row>
    <row r="11" spans="1:23" x14ac:dyDescent="0.35">
      <c r="A11" s="37">
        <v>5</v>
      </c>
      <c r="B11" s="38">
        <v>4.1550000000000002</v>
      </c>
      <c r="C11" s="5">
        <v>-1.8350000000000002E-2</v>
      </c>
      <c r="D11" s="36">
        <f t="shared" ref="D11" si="25">AVERAGE(C11:C12)</f>
        <v>-1.8855E-2</v>
      </c>
      <c r="E11" s="36">
        <f t="shared" ref="E11" si="26">_xlfn.STDEV.S(C11:C12)/SQRT(2)</f>
        <v>5.0499999999999851E-4</v>
      </c>
      <c r="F11" s="36">
        <f t="shared" ref="F11" si="27">(-D11*1*0.21)/(6220*0.6*0.02*10^-3)</f>
        <v>5.304863344051447E-2</v>
      </c>
      <c r="G11" s="36">
        <f>F11/B11</f>
        <v>1.27674208039746E-2</v>
      </c>
      <c r="H11" s="33">
        <f t="shared" ref="H11" si="28">G11*1000</f>
        <v>12.7674208039746</v>
      </c>
      <c r="I11" s="33"/>
      <c r="J11" s="34"/>
      <c r="K11" s="36">
        <v>8.9699999999999989</v>
      </c>
      <c r="L11" s="2">
        <v>-1.7520000000000001E-2</v>
      </c>
      <c r="M11" s="36">
        <f t="shared" ref="M11" si="29">AVERAGE(L11:L12)</f>
        <v>-1.542E-2</v>
      </c>
      <c r="N11" s="36">
        <f t="shared" ref="N11" si="30">_xlfn.STDEV.S(L11:L12)/SQRT(2)</f>
        <v>2.1000000000000003E-3</v>
      </c>
      <c r="O11" s="36">
        <f t="shared" ref="O11" si="31">(-M11*1*0.2)/(6220*0.6*0.01*10^-3)</f>
        <v>8.2636655948553059E-2</v>
      </c>
      <c r="P11" s="36">
        <f t="shared" ref="P11" si="32">O11/K11</f>
        <v>9.2125591915889708E-3</v>
      </c>
      <c r="Q11" s="33">
        <f t="shared" ref="Q11" si="33">P11*1000</f>
        <v>9.2125591915889711</v>
      </c>
      <c r="R11" s="33"/>
      <c r="S11" s="34"/>
      <c r="U11" s="8" t="s">
        <v>14</v>
      </c>
      <c r="V11">
        <v>0.02</v>
      </c>
      <c r="W11">
        <v>0.01</v>
      </c>
    </row>
    <row r="12" spans="1:23" x14ac:dyDescent="0.35">
      <c r="A12" s="37"/>
      <c r="B12" s="38"/>
      <c r="C12" s="5">
        <v>-1.9359999999999999E-2</v>
      </c>
      <c r="D12" s="36"/>
      <c r="E12" s="36"/>
      <c r="F12" s="36"/>
      <c r="G12" s="36"/>
      <c r="H12" s="33"/>
      <c r="I12" s="33"/>
      <c r="J12" s="34"/>
      <c r="K12" s="36"/>
      <c r="L12" s="2">
        <v>-1.332E-2</v>
      </c>
      <c r="M12" s="36"/>
      <c r="N12" s="36"/>
      <c r="O12" s="36"/>
      <c r="P12" s="36"/>
      <c r="Q12" s="33"/>
      <c r="R12" s="33"/>
      <c r="S12" s="34"/>
    </row>
    <row r="13" spans="1:23" x14ac:dyDescent="0.35">
      <c r="A13" s="37">
        <v>6</v>
      </c>
      <c r="B13" s="38">
        <v>5.61</v>
      </c>
      <c r="C13" s="5">
        <v>-2.2679999999999999E-2</v>
      </c>
      <c r="D13" s="36">
        <f t="shared" ref="D13" si="34">AVERAGE(C13:C14)</f>
        <v>-2.3099999999999999E-2</v>
      </c>
      <c r="E13" s="36">
        <f t="shared" ref="E13" si="35">_xlfn.STDEV.S(C13:C14)/SQRT(2)</f>
        <v>4.2000000000000023E-4</v>
      </c>
      <c r="F13" s="36">
        <f t="shared" ref="F13" si="36">(-D13*1*0.21)/(6220*0.6*0.02*10^-3)</f>
        <v>6.4991961414790994E-2</v>
      </c>
      <c r="G13" s="36">
        <f>F13/B13</f>
        <v>1.1585019860034044E-2</v>
      </c>
      <c r="H13" s="33">
        <f t="shared" ref="H13" si="37">G13*1000</f>
        <v>11.585019860034045</v>
      </c>
      <c r="I13" s="33">
        <f t="shared" ref="I13" si="38">AVERAGE(H13:H22)</f>
        <v>14.86005649287263</v>
      </c>
      <c r="J13" s="34">
        <f t="shared" ref="J13" si="39">(_xlfn.STDEV.S(H13:H22)/SQRT(5))/I13</f>
        <v>0.14180959937212387</v>
      </c>
      <c r="K13" s="36">
        <v>9.4350000000000005</v>
      </c>
      <c r="L13" s="2">
        <v>-5.1999999999999998E-2</v>
      </c>
      <c r="M13" s="36">
        <f t="shared" ref="M13" si="40">AVERAGE(L13:L14)</f>
        <v>-4.1309999999999999E-2</v>
      </c>
      <c r="N13" s="36">
        <f t="shared" ref="N13" si="41">_xlfn.STDEV.S(L13:L14)/SQRT(2)</f>
        <v>1.069E-2</v>
      </c>
      <c r="O13" s="36">
        <f t="shared" ref="O13" si="42">(-M13*1*0.2)/(6220*0.6*0.01*10^-3)</f>
        <v>0.22138263665594857</v>
      </c>
      <c r="P13" s="36">
        <f t="shared" ref="P13" si="43">O13/K13</f>
        <v>2.3463978447901278E-2</v>
      </c>
      <c r="Q13" s="33">
        <f t="shared" ref="Q13" si="44">P13*1000</f>
        <v>23.46397844790128</v>
      </c>
      <c r="R13" s="33">
        <f t="shared" ref="R13" si="45">AVERAGE(Q13:Q22)</f>
        <v>16.190706865564756</v>
      </c>
      <c r="S13" s="34">
        <f t="shared" ref="S13" si="46">(_xlfn.STDEV.S(Q13:Q22)/SQRT(5))/R13</f>
        <v>0.19363490492405921</v>
      </c>
    </row>
    <row r="14" spans="1:23" x14ac:dyDescent="0.35">
      <c r="A14" s="37"/>
      <c r="B14" s="38"/>
      <c r="C14" s="5">
        <v>-2.3519999999999999E-2</v>
      </c>
      <c r="D14" s="36"/>
      <c r="E14" s="36"/>
      <c r="F14" s="36"/>
      <c r="G14" s="36"/>
      <c r="H14" s="33"/>
      <c r="I14" s="33"/>
      <c r="J14" s="34"/>
      <c r="K14" s="36"/>
      <c r="L14" s="2">
        <v>-3.0620000000000001E-2</v>
      </c>
      <c r="M14" s="36"/>
      <c r="N14" s="36"/>
      <c r="O14" s="36"/>
      <c r="P14" s="36"/>
      <c r="Q14" s="33"/>
      <c r="R14" s="33"/>
      <c r="S14" s="34"/>
    </row>
    <row r="15" spans="1:23" x14ac:dyDescent="0.35">
      <c r="A15" s="37">
        <v>7</v>
      </c>
      <c r="B15" s="38">
        <v>6.51</v>
      </c>
      <c r="C15" s="5">
        <v>-2.6700000000000002E-2</v>
      </c>
      <c r="D15" s="36">
        <f t="shared" ref="D15" si="47">AVERAGE(C15:C16)</f>
        <v>-2.6605E-2</v>
      </c>
      <c r="E15" s="36">
        <f t="shared" ref="E15" si="48">_xlfn.STDEV.S(C15:C16)/SQRT(2)</f>
        <v>9.5000000000001333E-5</v>
      </c>
      <c r="F15" s="36">
        <f t="shared" ref="F15" si="49">(-D15*1*0.21)/(6220*0.6*0.02*10^-3)</f>
        <v>7.4853295819935689E-2</v>
      </c>
      <c r="G15" s="36">
        <f>F15/B15</f>
        <v>1.1498202122877986E-2</v>
      </c>
      <c r="H15" s="33">
        <f t="shared" ref="H15" si="50">G15*1000</f>
        <v>11.498202122877986</v>
      </c>
      <c r="I15" s="33"/>
      <c r="J15" s="34"/>
      <c r="K15" s="36">
        <v>8.4449999999999985</v>
      </c>
      <c r="L15" s="2">
        <v>-1.5310000000000001E-2</v>
      </c>
      <c r="M15" s="36">
        <f t="shared" ref="M15" si="51">AVERAGE(L15:L16)</f>
        <v>-2.5454999999999998E-2</v>
      </c>
      <c r="N15" s="36">
        <f t="shared" ref="N15" si="52">_xlfn.STDEV.S(L15:L16)/SQRT(2)</f>
        <v>1.0145000000000003E-2</v>
      </c>
      <c r="O15" s="36">
        <f t="shared" ref="O15" si="53">(-M15*1*0.2)/(6220*0.6*0.01*10^-3)</f>
        <v>0.13641479099678458</v>
      </c>
      <c r="P15" s="36">
        <f t="shared" ref="P15" si="54">O15/K15</f>
        <v>1.6153320425906999E-2</v>
      </c>
      <c r="Q15" s="33">
        <f t="shared" ref="Q15" si="55">P15*1000</f>
        <v>16.153320425907001</v>
      </c>
      <c r="R15" s="33"/>
      <c r="S15" s="34"/>
    </row>
    <row r="16" spans="1:23" x14ac:dyDescent="0.35">
      <c r="A16" s="37"/>
      <c r="B16" s="38"/>
      <c r="C16" s="5">
        <v>-2.6509999999999999E-2</v>
      </c>
      <c r="D16" s="36"/>
      <c r="E16" s="36"/>
      <c r="F16" s="36"/>
      <c r="G16" s="36"/>
      <c r="H16" s="33"/>
      <c r="I16" s="33"/>
      <c r="J16" s="34"/>
      <c r="K16" s="36"/>
      <c r="L16" s="2">
        <v>-3.56E-2</v>
      </c>
      <c r="M16" s="36"/>
      <c r="N16" s="36"/>
      <c r="O16" s="36"/>
      <c r="P16" s="36"/>
      <c r="Q16" s="33"/>
      <c r="R16" s="33"/>
      <c r="S16" s="34"/>
    </row>
    <row r="17" spans="1:19" x14ac:dyDescent="0.35">
      <c r="A17" s="37">
        <v>8</v>
      </c>
      <c r="B17" s="38">
        <v>7.6950000000000003</v>
      </c>
      <c r="C17" s="5">
        <v>-3.5520000000000003E-2</v>
      </c>
      <c r="D17" s="36">
        <f t="shared" ref="D17" si="56">AVERAGE(C17:C18)</f>
        <v>-3.6670000000000001E-2</v>
      </c>
      <c r="E17" s="36">
        <f t="shared" ref="E17" si="57">_xlfn.STDEV.S(C17:C18)/SQRT(2)</f>
        <v>1.149999999999998E-3</v>
      </c>
      <c r="F17" s="36">
        <f t="shared" ref="F17" si="58">(-D17*1*0.21)/(6220*0.6*0.02*10^-3)</f>
        <v>0.10317122186495177</v>
      </c>
      <c r="G17" s="36">
        <f>F17/B17</f>
        <v>1.3407566194275734E-2</v>
      </c>
      <c r="H17" s="33">
        <f t="shared" ref="H17" si="59">G17*1000</f>
        <v>13.407566194275734</v>
      </c>
      <c r="I17" s="33"/>
      <c r="J17" s="34"/>
      <c r="K17" s="36">
        <v>9.7800000000000011</v>
      </c>
      <c r="L17" s="2">
        <v>-3.2399999999999998E-2</v>
      </c>
      <c r="M17" s="36">
        <f t="shared" ref="M17" si="60">AVERAGE(L17:L18)</f>
        <v>-4.1800000000000004E-2</v>
      </c>
      <c r="N17" s="36">
        <f t="shared" ref="N17" si="61">_xlfn.STDEV.S(L17:L18)/SQRT(2)</f>
        <v>9.3999999999999761E-3</v>
      </c>
      <c r="O17" s="36">
        <f t="shared" ref="O17" si="62">(-M17*1*0.2)/(6220*0.6*0.01*10^-3)</f>
        <v>0.22400857449088965</v>
      </c>
      <c r="P17" s="36">
        <f t="shared" ref="P17" si="63">O17/K17</f>
        <v>2.2904762217882374E-2</v>
      </c>
      <c r="Q17" s="33">
        <f t="shared" ref="Q17" si="64">P17*1000</f>
        <v>22.904762217882375</v>
      </c>
      <c r="R17" s="33"/>
      <c r="S17" s="34"/>
    </row>
    <row r="18" spans="1:19" x14ac:dyDescent="0.35">
      <c r="A18" s="37"/>
      <c r="B18" s="38"/>
      <c r="C18" s="5">
        <v>-3.7819999999999999E-2</v>
      </c>
      <c r="D18" s="36"/>
      <c r="E18" s="36"/>
      <c r="F18" s="36"/>
      <c r="G18" s="36"/>
      <c r="H18" s="33"/>
      <c r="I18" s="33"/>
      <c r="J18" s="34"/>
      <c r="K18" s="36"/>
      <c r="L18" s="2">
        <v>-5.1200000000000002E-2</v>
      </c>
      <c r="M18" s="36"/>
      <c r="N18" s="36"/>
      <c r="O18" s="36"/>
      <c r="P18" s="36"/>
      <c r="Q18" s="33"/>
      <c r="R18" s="33"/>
      <c r="S18" s="34"/>
    </row>
    <row r="19" spans="1:19" x14ac:dyDescent="0.35">
      <c r="A19" s="37">
        <v>9</v>
      </c>
      <c r="B19" s="38">
        <v>3.57</v>
      </c>
      <c r="C19" s="5">
        <v>-3.1379999999999998E-2</v>
      </c>
      <c r="D19" s="36">
        <f t="shared" ref="D19" si="65">AVERAGE(C19:C20)</f>
        <v>-2.9059999999999999E-2</v>
      </c>
      <c r="E19" s="36">
        <f t="shared" ref="E19" si="66">_xlfn.STDEV.S(C19:C20)/SQRT(2)</f>
        <v>2.3199999999999991E-3</v>
      </c>
      <c r="F19" s="36">
        <f t="shared" ref="F19" si="67">(-D19*1*0.21)/(6220*0.6*0.02*10^-3)</f>
        <v>8.17604501607717E-2</v>
      </c>
      <c r="G19" s="36">
        <f>F19/B19</f>
        <v>2.2902086879767983E-2</v>
      </c>
      <c r="H19" s="33">
        <f t="shared" ref="H19" si="68">G19*1000</f>
        <v>22.902086879767982</v>
      </c>
      <c r="I19" s="33"/>
      <c r="J19" s="34"/>
      <c r="K19" s="36">
        <v>10.29</v>
      </c>
      <c r="L19" s="2">
        <v>-1.736E-2</v>
      </c>
      <c r="M19" s="36">
        <f t="shared" ref="M19" si="69">AVERAGE(L19:L20)</f>
        <v>-1.924E-2</v>
      </c>
      <c r="N19" s="36">
        <f t="shared" ref="N19" si="70">_xlfn.STDEV.S(L19:L20)/SQRT(2)</f>
        <v>1.8799999999999997E-3</v>
      </c>
      <c r="O19" s="36">
        <f t="shared" ref="O19" si="71">(-M19*1*0.2)/(6220*0.6*0.01*10^-3)</f>
        <v>0.10310825294748126</v>
      </c>
      <c r="P19" s="36">
        <f t="shared" ref="P19" si="72">O19/K19</f>
        <v>1.0020238381679423E-2</v>
      </c>
      <c r="Q19" s="33">
        <f t="shared" ref="Q19" si="73">P19*1000</f>
        <v>10.020238381679423</v>
      </c>
      <c r="R19" s="33"/>
      <c r="S19" s="34"/>
    </row>
    <row r="20" spans="1:19" x14ac:dyDescent="0.35">
      <c r="A20" s="37"/>
      <c r="B20" s="38"/>
      <c r="C20" s="5">
        <v>-2.674E-2</v>
      </c>
      <c r="D20" s="36"/>
      <c r="E20" s="36"/>
      <c r="F20" s="36"/>
      <c r="G20" s="36"/>
      <c r="H20" s="33"/>
      <c r="I20" s="33"/>
      <c r="J20" s="34"/>
      <c r="K20" s="36"/>
      <c r="L20" s="2">
        <v>-2.112E-2</v>
      </c>
      <c r="M20" s="36"/>
      <c r="N20" s="36"/>
      <c r="O20" s="36"/>
      <c r="P20" s="36"/>
      <c r="Q20" s="33"/>
      <c r="R20" s="33"/>
      <c r="S20" s="34"/>
    </row>
    <row r="21" spans="1:19" x14ac:dyDescent="0.35">
      <c r="A21" s="37">
        <v>10</v>
      </c>
      <c r="B21" s="38">
        <v>6.7499999999999991</v>
      </c>
      <c r="C21" s="5">
        <v>-3.2910000000000002E-2</v>
      </c>
      <c r="D21" s="36">
        <f t="shared" ref="D21" si="74">AVERAGE(C21:C22)</f>
        <v>-3.5765000000000005E-2</v>
      </c>
      <c r="E21" s="36">
        <f t="shared" ref="E21" si="75">_xlfn.STDEV.S(C21:C22)/SQRT(2)</f>
        <v>2.8549999999999995E-3</v>
      </c>
      <c r="F21" s="36">
        <f t="shared" ref="F21" si="76">(-D21*1*0.21)/(6220*0.6*0.02*10^-3)</f>
        <v>0.10062500000000001</v>
      </c>
      <c r="G21" s="36">
        <f>F21/B21</f>
        <v>1.4907407407407411E-2</v>
      </c>
      <c r="H21" s="33">
        <f t="shared" ref="H21" si="77">G21*1000</f>
        <v>14.90740740740741</v>
      </c>
      <c r="I21" s="33"/>
      <c r="J21" s="34"/>
      <c r="K21" s="36">
        <v>9.06</v>
      </c>
      <c r="L21" s="2">
        <v>-1.477E-2</v>
      </c>
      <c r="M21" s="36">
        <f t="shared" ref="M21" si="78">AVERAGE(L21:L22)</f>
        <v>-1.422E-2</v>
      </c>
      <c r="N21" s="36">
        <f t="shared" ref="N21" si="79">_xlfn.STDEV.S(L21:L22)/SQRT(2)</f>
        <v>5.5000000000000014E-4</v>
      </c>
      <c r="O21" s="36">
        <f t="shared" ref="O21" si="80">(-M21*1*0.2)/(6220*0.6*0.01*10^-3)</f>
        <v>7.6205787781350495E-2</v>
      </c>
      <c r="P21" s="36">
        <f t="shared" ref="P21" si="81">O21/K21</f>
        <v>8.4112348544536971E-3</v>
      </c>
      <c r="Q21" s="33">
        <f t="shared" ref="Q21" si="82">P21*1000</f>
        <v>8.4112348544536975</v>
      </c>
      <c r="R21" s="33"/>
      <c r="S21" s="34"/>
    </row>
    <row r="22" spans="1:19" x14ac:dyDescent="0.35">
      <c r="A22" s="37"/>
      <c r="B22" s="38"/>
      <c r="C22" s="5">
        <v>-3.8620000000000002E-2</v>
      </c>
      <c r="D22" s="36"/>
      <c r="E22" s="36"/>
      <c r="F22" s="36"/>
      <c r="G22" s="36"/>
      <c r="H22" s="33"/>
      <c r="I22" s="33"/>
      <c r="J22" s="34"/>
      <c r="K22" s="36"/>
      <c r="L22" s="2">
        <v>-1.367E-2</v>
      </c>
      <c r="M22" s="36"/>
      <c r="N22" s="36"/>
      <c r="O22" s="36"/>
      <c r="P22" s="36"/>
      <c r="Q22" s="33"/>
      <c r="R22" s="33"/>
      <c r="S22" s="34"/>
    </row>
    <row r="23" spans="1:19" x14ac:dyDescent="0.35">
      <c r="A23" s="37">
        <v>11</v>
      </c>
      <c r="B23" s="38">
        <v>4.6349999999999998</v>
      </c>
      <c r="C23" s="5">
        <v>-3.2199999999999999E-2</v>
      </c>
      <c r="D23" s="36">
        <f t="shared" ref="D23" si="83">AVERAGE(C23:C24)</f>
        <v>-0.03</v>
      </c>
      <c r="E23" s="36">
        <f t="shared" ref="E23" si="84">_xlfn.STDEV.S(C23:C24)/SQRT(2)</f>
        <v>2.2000000000000006E-3</v>
      </c>
      <c r="F23" s="36">
        <f t="shared" ref="F23" si="85">(-D23*1*0.21)/(6220*0.6*0.02*10^-3)</f>
        <v>8.4405144694533751E-2</v>
      </c>
      <c r="G23" s="36">
        <f>F23/B23</f>
        <v>1.821038720486165E-2</v>
      </c>
      <c r="H23" s="33">
        <f t="shared" ref="H23" si="86">G23*1000</f>
        <v>18.21038720486165</v>
      </c>
      <c r="I23" s="33">
        <f t="shared" ref="I23" si="87">AVERAGE(H23:H32)</f>
        <v>18.475396209839317</v>
      </c>
      <c r="J23" s="34">
        <f t="shared" ref="J23" si="88">(_xlfn.STDEV.S(H23:H32)/SQRT(5))/I23</f>
        <v>9.8388443724693728E-2</v>
      </c>
      <c r="K23" s="36">
        <v>8.7600000000000016</v>
      </c>
      <c r="L23" s="2">
        <v>-2.0070000000000001E-2</v>
      </c>
      <c r="M23" s="36">
        <f t="shared" ref="M23" si="89">AVERAGE(L23:L24)</f>
        <v>-2.5835000000000004E-2</v>
      </c>
      <c r="N23" s="36">
        <f t="shared" ref="N23" si="90">_xlfn.STDEV.S(L23:L24)/SQRT(2)</f>
        <v>5.7649999999999837E-3</v>
      </c>
      <c r="O23" s="36">
        <f t="shared" ref="O23" si="91">(-M23*1*0.2)/(6220*0.6*0.01*10^-3)</f>
        <v>0.13845123258306544</v>
      </c>
      <c r="P23" s="36">
        <f t="shared" ref="P23" si="92">O23/K23</f>
        <v>1.5804935226377329E-2</v>
      </c>
      <c r="Q23" s="33">
        <f t="shared" ref="Q23" si="93">P23*1000</f>
        <v>15.80493522637733</v>
      </c>
      <c r="R23" s="33">
        <f t="shared" ref="R23" si="94">AVERAGE(Q23:Q32)</f>
        <v>17.051411686358456</v>
      </c>
      <c r="S23" s="34">
        <f t="shared" ref="S23" si="95">(_xlfn.STDEV.S(Q23:Q32)/SQRT(5))/R23</f>
        <v>0.16635367257471126</v>
      </c>
    </row>
    <row r="24" spans="1:19" x14ac:dyDescent="0.35">
      <c r="A24" s="37"/>
      <c r="B24" s="38"/>
      <c r="C24" s="5">
        <v>-2.7799999999999998E-2</v>
      </c>
      <c r="D24" s="36"/>
      <c r="E24" s="36"/>
      <c r="F24" s="36"/>
      <c r="G24" s="36"/>
      <c r="H24" s="33"/>
      <c r="I24" s="33"/>
      <c r="J24" s="34"/>
      <c r="K24" s="36"/>
      <c r="L24" s="2">
        <v>-3.1600000000000003E-2</v>
      </c>
      <c r="M24" s="36"/>
      <c r="N24" s="36"/>
      <c r="O24" s="36"/>
      <c r="P24" s="36"/>
      <c r="Q24" s="33"/>
      <c r="R24" s="33"/>
      <c r="S24" s="34"/>
    </row>
    <row r="25" spans="1:19" x14ac:dyDescent="0.35">
      <c r="A25" s="37">
        <v>12</v>
      </c>
      <c r="B25" s="38">
        <v>3.9750000000000001</v>
      </c>
      <c r="C25" s="5">
        <v>-2.6669999999999999E-2</v>
      </c>
      <c r="D25" s="36">
        <f t="shared" ref="D25" si="96">AVERAGE(C25:C26)</f>
        <v>-2.9929999999999998E-2</v>
      </c>
      <c r="E25" s="36">
        <f t="shared" ref="E25" si="97">_xlfn.STDEV.S(C25:C26)/SQRT(2)</f>
        <v>3.2599999999999986E-3</v>
      </c>
      <c r="F25" s="36">
        <f t="shared" ref="F25" si="98">(-D25*1*0.21)/(6220*0.6*0.02*10^-3)</f>
        <v>8.4208199356913177E-2</v>
      </c>
      <c r="G25" s="36">
        <f>F25/B25</f>
        <v>2.118445266840583E-2</v>
      </c>
      <c r="H25" s="33">
        <f t="shared" ref="H25" si="99">G25*1000</f>
        <v>21.184452668405829</v>
      </c>
      <c r="I25" s="33"/>
      <c r="J25" s="34"/>
      <c r="K25" s="36">
        <v>11.295</v>
      </c>
      <c r="L25" s="2">
        <v>-2.622E-2</v>
      </c>
      <c r="M25" s="36">
        <f t="shared" ref="M25" si="100">AVERAGE(L25:L26)</f>
        <v>-2.6529999999999998E-2</v>
      </c>
      <c r="N25" s="36">
        <f t="shared" ref="N25" si="101">_xlfn.STDEV.S(L25:L26)/SQRT(2)</f>
        <v>3.0999999999999946E-4</v>
      </c>
      <c r="O25" s="36">
        <f t="shared" ref="O25" si="102">(-M25*1*0.2)/(6220*0.6*0.01*10^-3)</f>
        <v>0.14217577706323686</v>
      </c>
      <c r="P25" s="36">
        <f t="shared" ref="P25" si="103">O25/K25</f>
        <v>1.2587496862615039E-2</v>
      </c>
      <c r="Q25" s="33">
        <f t="shared" ref="Q25" si="104">P25*1000</f>
        <v>12.587496862615039</v>
      </c>
      <c r="R25" s="33"/>
      <c r="S25" s="34"/>
    </row>
    <row r="26" spans="1:19" x14ac:dyDescent="0.35">
      <c r="A26" s="37"/>
      <c r="B26" s="38"/>
      <c r="C26" s="5">
        <v>-3.3189999999999997E-2</v>
      </c>
      <c r="D26" s="36"/>
      <c r="E26" s="36"/>
      <c r="F26" s="36"/>
      <c r="G26" s="36"/>
      <c r="H26" s="33"/>
      <c r="I26" s="33"/>
      <c r="J26" s="34"/>
      <c r="K26" s="36"/>
      <c r="L26" s="2">
        <v>-2.6839999999999999E-2</v>
      </c>
      <c r="M26" s="36"/>
      <c r="N26" s="36"/>
      <c r="O26" s="36"/>
      <c r="P26" s="36"/>
      <c r="Q26" s="33"/>
      <c r="R26" s="33"/>
      <c r="S26" s="34"/>
    </row>
    <row r="27" spans="1:19" x14ac:dyDescent="0.35">
      <c r="A27" s="37">
        <v>13</v>
      </c>
      <c r="B27" s="38">
        <v>5.3849999999999998</v>
      </c>
      <c r="C27" s="5">
        <v>-2.724E-2</v>
      </c>
      <c r="D27" s="36">
        <f t="shared" ref="D27" si="105">AVERAGE(C27:C28)</f>
        <v>-2.7779999999999999E-2</v>
      </c>
      <c r="E27" s="36">
        <f t="shared" ref="E27" si="106">_xlfn.STDEV.S(C27:C28)/SQRT(2)</f>
        <v>5.4000000000000055E-4</v>
      </c>
      <c r="F27" s="36">
        <f t="shared" ref="F27" si="107">(-D27*1*0.21)/(6220*0.6*0.02*10^-3)</f>
        <v>7.815916398713825E-2</v>
      </c>
      <c r="G27" s="36">
        <f>F27/B27</f>
        <v>1.4514236580712768E-2</v>
      </c>
      <c r="H27" s="33">
        <f t="shared" ref="H27" si="108">G27*1000</f>
        <v>14.514236580712767</v>
      </c>
      <c r="I27" s="33"/>
      <c r="J27" s="34"/>
      <c r="K27" s="36">
        <v>10.545000000000002</v>
      </c>
      <c r="L27" s="2">
        <v>-4.9140000000000003E-2</v>
      </c>
      <c r="M27" s="36">
        <f t="shared" ref="M27" si="109">AVERAGE(L27:L28)</f>
        <v>-3.2164999999999999E-2</v>
      </c>
      <c r="N27" s="36">
        <f t="shared" ref="N27" si="110">_xlfn.STDEV.S(L27:L28)/SQRT(2)</f>
        <v>1.6975000000000004E-2</v>
      </c>
      <c r="O27" s="36">
        <f t="shared" ref="O27" si="111">(-M27*1*0.2)/(6220*0.6*0.01*10^-3)</f>
        <v>0.17237406216505896</v>
      </c>
      <c r="P27" s="36">
        <f t="shared" ref="P27" si="112">O27/K27</f>
        <v>1.6346520831205209E-2</v>
      </c>
      <c r="Q27" s="33">
        <f t="shared" ref="Q27" si="113">P27*1000</f>
        <v>16.346520831205208</v>
      </c>
      <c r="R27" s="33"/>
      <c r="S27" s="34"/>
    </row>
    <row r="28" spans="1:19" x14ac:dyDescent="0.35">
      <c r="A28" s="37"/>
      <c r="B28" s="38"/>
      <c r="C28" s="5">
        <v>-2.8320000000000001E-2</v>
      </c>
      <c r="D28" s="36"/>
      <c r="E28" s="36"/>
      <c r="F28" s="36"/>
      <c r="G28" s="36"/>
      <c r="H28" s="33"/>
      <c r="I28" s="33"/>
      <c r="J28" s="34"/>
      <c r="K28" s="36"/>
      <c r="L28" s="2">
        <v>-1.519E-2</v>
      </c>
      <c r="M28" s="36"/>
      <c r="N28" s="36"/>
      <c r="O28" s="36"/>
      <c r="P28" s="36"/>
      <c r="Q28" s="33"/>
      <c r="R28" s="33"/>
      <c r="S28" s="34"/>
    </row>
    <row r="29" spans="1:19" x14ac:dyDescent="0.35">
      <c r="A29" s="37">
        <v>14</v>
      </c>
      <c r="B29" s="38">
        <v>3.54</v>
      </c>
      <c r="C29" s="5">
        <v>-2.5579999999999999E-2</v>
      </c>
      <c r="D29" s="36">
        <f t="shared" ref="D29" si="114">AVERAGE(C29:C30)</f>
        <v>-2.9954999999999999E-2</v>
      </c>
      <c r="E29" s="36">
        <f t="shared" ref="E29" si="115">_xlfn.STDEV.S(C29:C30)/SQRT(2)</f>
        <v>4.3750000000000065E-3</v>
      </c>
      <c r="F29" s="36">
        <f t="shared" ref="F29" si="116">(-D29*1*0.21)/(6220*0.6*0.02*10^-3)</f>
        <v>8.4278536977491963E-2</v>
      </c>
      <c r="G29" s="36">
        <f>F29/B29</f>
        <v>2.3807496321325412E-2</v>
      </c>
      <c r="H29" s="33">
        <f t="shared" ref="H29" si="117">G29*1000</f>
        <v>23.807496321325413</v>
      </c>
      <c r="I29" s="33"/>
      <c r="J29" s="34"/>
      <c r="K29" s="36">
        <v>9.7050000000000001</v>
      </c>
      <c r="L29" s="2">
        <v>-7.5200000000000003E-2</v>
      </c>
      <c r="M29" s="36">
        <f t="shared" ref="M29" si="118">AVERAGE(L29:L30)</f>
        <v>-5.0619999999999998E-2</v>
      </c>
      <c r="N29" s="36">
        <f t="shared" ref="N29" si="119">_xlfn.STDEV.S(L29:L30)/SQRT(2)</f>
        <v>2.4580000000000005E-2</v>
      </c>
      <c r="O29" s="36">
        <f t="shared" ref="O29" si="120">(-M29*1*0.2)/(6220*0.6*0.01*10^-3)</f>
        <v>0.27127545551982857</v>
      </c>
      <c r="P29" s="36">
        <f t="shared" ref="P29" si="121">O29/K29</f>
        <v>2.7952133489935967E-2</v>
      </c>
      <c r="Q29" s="33">
        <f t="shared" ref="Q29" si="122">P29*1000</f>
        <v>27.952133489935967</v>
      </c>
      <c r="R29" s="33"/>
      <c r="S29" s="34"/>
    </row>
    <row r="30" spans="1:19" x14ac:dyDescent="0.35">
      <c r="A30" s="37"/>
      <c r="B30" s="38"/>
      <c r="C30" s="5">
        <v>-3.4329999999999999E-2</v>
      </c>
      <c r="D30" s="36"/>
      <c r="E30" s="36"/>
      <c r="F30" s="36"/>
      <c r="G30" s="36"/>
      <c r="H30" s="33"/>
      <c r="I30" s="33"/>
      <c r="J30" s="34"/>
      <c r="K30" s="36"/>
      <c r="L30" s="2">
        <v>-2.6040000000000001E-2</v>
      </c>
      <c r="M30" s="36"/>
      <c r="N30" s="36"/>
      <c r="O30" s="36"/>
      <c r="P30" s="36"/>
      <c r="Q30" s="33"/>
      <c r="R30" s="33"/>
      <c r="S30" s="34"/>
    </row>
    <row r="31" spans="1:19" x14ac:dyDescent="0.35">
      <c r="A31" s="37">
        <v>15</v>
      </c>
      <c r="B31" s="38">
        <v>5.22</v>
      </c>
      <c r="C31" s="5">
        <v>-2.4250000000000001E-2</v>
      </c>
      <c r="D31" s="36">
        <f t="shared" ref="D31" si="123">AVERAGE(C31:C32)</f>
        <v>-2.7200000000000002E-2</v>
      </c>
      <c r="E31" s="36">
        <f t="shared" ref="E31" si="124">_xlfn.STDEV.S(C31:C32)/SQRT(2)</f>
        <v>2.9499999999999995E-3</v>
      </c>
      <c r="F31" s="36">
        <f t="shared" ref="F31" si="125">(-D31*1*0.21)/(6220*0.6*0.02*10^-3)</f>
        <v>7.6527331189710612E-2</v>
      </c>
      <c r="G31" s="36">
        <f>F31/B31</f>
        <v>1.4660408273890922E-2</v>
      </c>
      <c r="H31" s="33">
        <f t="shared" ref="H31" si="126">G31*1000</f>
        <v>14.660408273890923</v>
      </c>
      <c r="I31" s="33"/>
      <c r="J31" s="34"/>
      <c r="K31" s="36">
        <v>10.020000000000001</v>
      </c>
      <c r="L31" s="2">
        <v>-0.03</v>
      </c>
      <c r="M31" s="36">
        <f t="shared" ref="M31" si="127">AVERAGE(L31:L32)</f>
        <v>-2.3495000000000002E-2</v>
      </c>
      <c r="N31" s="36">
        <f t="shared" ref="N31" si="128">_xlfn.STDEV.S(L31:L32)/SQRT(2)</f>
        <v>6.5049999999999934E-3</v>
      </c>
      <c r="O31" s="36">
        <f t="shared" ref="O31" si="129">(-M31*1*0.2)/(6220*0.6*0.01*10^-3)</f>
        <v>0.12591103965702038</v>
      </c>
      <c r="P31" s="36">
        <f t="shared" ref="P31" si="130">O31/K31</f>
        <v>1.256597202165872E-2</v>
      </c>
      <c r="Q31" s="33">
        <f t="shared" ref="Q31" si="131">P31*1000</f>
        <v>12.56597202165872</v>
      </c>
      <c r="R31" s="33"/>
      <c r="S31" s="34"/>
    </row>
    <row r="32" spans="1:19" x14ac:dyDescent="0.35">
      <c r="A32" s="37"/>
      <c r="B32" s="38"/>
      <c r="C32" s="5">
        <v>-3.015E-2</v>
      </c>
      <c r="D32" s="36"/>
      <c r="E32" s="36"/>
      <c r="F32" s="36"/>
      <c r="G32" s="36"/>
      <c r="H32" s="33"/>
      <c r="I32" s="33"/>
      <c r="J32" s="34"/>
      <c r="K32" s="36"/>
      <c r="L32" s="2">
        <v>-1.6990000000000002E-2</v>
      </c>
      <c r="M32" s="36"/>
      <c r="N32" s="36"/>
      <c r="O32" s="36"/>
      <c r="P32" s="36"/>
      <c r="Q32" s="33"/>
      <c r="R32" s="33"/>
      <c r="S32" s="34"/>
    </row>
    <row r="33" spans="1:19" x14ac:dyDescent="0.35">
      <c r="A33" s="37">
        <v>16</v>
      </c>
      <c r="B33" s="38">
        <v>6.9149999999999991</v>
      </c>
      <c r="C33" s="5">
        <v>-3.159E-2</v>
      </c>
      <c r="D33" s="36">
        <f t="shared" ref="D33" si="132">AVERAGE(C33:C34)</f>
        <v>-3.6860000000000004E-2</v>
      </c>
      <c r="E33" s="36">
        <f t="shared" ref="E33" si="133">_xlfn.STDEV.S(C33:C34)/SQRT(2)</f>
        <v>5.2699999999999796E-3</v>
      </c>
      <c r="F33" s="36">
        <f t="shared" ref="F33" si="134">(-D33*1*0.21)/(6220*0.6*0.02*10^-3)</f>
        <v>0.10370578778135049</v>
      </c>
      <c r="G33" s="36">
        <f>F33/B33</f>
        <v>1.4997221660354375E-2</v>
      </c>
      <c r="H33" s="33">
        <f t="shared" ref="H33" si="135">G33*1000</f>
        <v>14.997221660354375</v>
      </c>
      <c r="I33" s="33">
        <f>AVERAGE(H33:H38)</f>
        <v>16.23731230297739</v>
      </c>
      <c r="J33" s="34">
        <f>(_xlfn.STDEV.S(H33:H38)/SQRT(3))/I33</f>
        <v>0.16172678273359609</v>
      </c>
      <c r="K33" s="36">
        <v>12.6</v>
      </c>
      <c r="L33" s="2">
        <v>-3.9199999999999999E-2</v>
      </c>
      <c r="M33" s="36">
        <f t="shared" ref="M33" si="136">AVERAGE(L33:L34)</f>
        <v>-3.0809999999999997E-2</v>
      </c>
      <c r="N33" s="36">
        <f t="shared" ref="N33" si="137">_xlfn.STDEV.S(L33:L34)/SQRT(2)</f>
        <v>8.3899999999999982E-3</v>
      </c>
      <c r="O33" s="36">
        <f t="shared" ref="O33" si="138">(-M33*1*0.2)/(6220*0.6*0.01*10^-3)</f>
        <v>0.16511254019292604</v>
      </c>
      <c r="P33" s="36">
        <f t="shared" ref="P33" si="139">O33/K33</f>
        <v>1.3104169856581431E-2</v>
      </c>
      <c r="Q33" s="33">
        <f t="shared" ref="Q33" si="140">P33*1000</f>
        <v>13.104169856581432</v>
      </c>
      <c r="R33" s="33">
        <f>AVERAGE(Q33:Q38)</f>
        <v>13.086103442075805</v>
      </c>
      <c r="S33" s="34">
        <f>(_xlfn.STDEV.S(Q33:Q38)/SQRT(3))/R33</f>
        <v>0.11669215008528901</v>
      </c>
    </row>
    <row r="34" spans="1:19" x14ac:dyDescent="0.35">
      <c r="A34" s="37"/>
      <c r="B34" s="38"/>
      <c r="C34" s="5">
        <v>-4.2130000000000001E-2</v>
      </c>
      <c r="D34" s="36"/>
      <c r="E34" s="36"/>
      <c r="F34" s="36"/>
      <c r="G34" s="36"/>
      <c r="H34" s="33"/>
      <c r="I34" s="33"/>
      <c r="J34" s="34"/>
      <c r="K34" s="36"/>
      <c r="L34" s="2">
        <v>-2.2419999999999999E-2</v>
      </c>
      <c r="M34" s="36"/>
      <c r="N34" s="36"/>
      <c r="O34" s="36"/>
      <c r="P34" s="36"/>
      <c r="Q34" s="33"/>
      <c r="R34" s="33"/>
      <c r="S34" s="34"/>
    </row>
    <row r="35" spans="1:19" x14ac:dyDescent="0.35">
      <c r="A35" s="37">
        <v>17</v>
      </c>
      <c r="B35" s="38">
        <v>6.2399999999999993</v>
      </c>
      <c r="C35" s="5">
        <v>-2.7830000000000001E-2</v>
      </c>
      <c r="D35" s="36">
        <f t="shared" ref="D35" si="141">AVERAGE(C35:C36)</f>
        <v>-2.7584999999999998E-2</v>
      </c>
      <c r="E35" s="36">
        <f t="shared" ref="E35" si="142">_xlfn.STDEV.S(C35:C36)/SQRT(2)</f>
        <v>2.4500000000000037E-4</v>
      </c>
      <c r="F35" s="36">
        <f t="shared" ref="F35" si="143">(-D35*1*0.21)/(6220*0.6*0.02*10^-3)</f>
        <v>7.7610530546623785E-2</v>
      </c>
      <c r="G35" s="36">
        <f>F35/B35</f>
        <v>1.2437585023497403E-2</v>
      </c>
      <c r="H35" s="33">
        <f t="shared" ref="H35" si="144">G35*1000</f>
        <v>12.437585023497403</v>
      </c>
      <c r="I35" s="33"/>
      <c r="J35" s="34"/>
      <c r="K35" s="36">
        <v>10.485000000000001</v>
      </c>
      <c r="L35" s="2">
        <v>-3.1119999999999998E-2</v>
      </c>
      <c r="M35" s="36">
        <f t="shared" ref="M35" si="145">AVERAGE(L35:L36)</f>
        <v>-3.0759999999999999E-2</v>
      </c>
      <c r="N35" s="36">
        <f t="shared" ref="N35" si="146">_xlfn.STDEV.S(L35:L36)/SQRT(2)</f>
        <v>3.5999999999999916E-4</v>
      </c>
      <c r="O35" s="36">
        <f t="shared" ref="O35" si="147">(-M35*1*0.2)/(6220*0.6*0.01*10^-3)</f>
        <v>0.16484458735262594</v>
      </c>
      <c r="P35" s="36">
        <f t="shared" ref="P35" si="148">O35/K35</f>
        <v>1.572194443038874E-2</v>
      </c>
      <c r="Q35" s="33">
        <f t="shared" ref="Q35" si="149">P35*1000</f>
        <v>15.72194443038874</v>
      </c>
      <c r="R35" s="33"/>
      <c r="S35" s="34"/>
    </row>
    <row r="36" spans="1:19" x14ac:dyDescent="0.35">
      <c r="A36" s="37"/>
      <c r="B36" s="38"/>
      <c r="C36" s="5">
        <v>-2.734E-2</v>
      </c>
      <c r="D36" s="36"/>
      <c r="E36" s="36"/>
      <c r="F36" s="36"/>
      <c r="G36" s="36"/>
      <c r="H36" s="33"/>
      <c r="I36" s="33"/>
      <c r="J36" s="34"/>
      <c r="K36" s="36"/>
      <c r="L36" s="2">
        <v>-3.04E-2</v>
      </c>
      <c r="M36" s="36"/>
      <c r="N36" s="36"/>
      <c r="O36" s="36"/>
      <c r="P36" s="36"/>
      <c r="Q36" s="33"/>
      <c r="R36" s="33"/>
      <c r="S36" s="34"/>
    </row>
    <row r="37" spans="1:19" x14ac:dyDescent="0.35">
      <c r="A37" s="37">
        <v>18</v>
      </c>
      <c r="B37" s="38">
        <v>5.04</v>
      </c>
      <c r="C37" s="5">
        <v>-4.5560000000000003E-2</v>
      </c>
      <c r="D37" s="36">
        <f t="shared" ref="D37" si="150">AVERAGE(C37:C38)</f>
        <v>-3.8115000000000003E-2</v>
      </c>
      <c r="E37" s="36">
        <f t="shared" ref="E37" si="151">_xlfn.STDEV.S(C37:C38)/SQRT(2)</f>
        <v>7.4450000000000037E-3</v>
      </c>
      <c r="F37" s="36">
        <f t="shared" ref="F37" si="152">(-D37*1*0.21)/(6220*0.6*0.02*10^-3)</f>
        <v>0.10723673633440514</v>
      </c>
      <c r="G37" s="36">
        <f>F37/B37</f>
        <v>2.1277130225080387E-2</v>
      </c>
      <c r="H37" s="33">
        <f t="shared" ref="H37" si="153">G37*1000</f>
        <v>21.277130225080388</v>
      </c>
      <c r="I37" s="33"/>
      <c r="J37" s="34"/>
      <c r="K37" s="36">
        <v>10.59</v>
      </c>
      <c r="L37" s="2">
        <v>-1.303E-2</v>
      </c>
      <c r="M37" s="36">
        <f t="shared" ref="M37" si="154">AVERAGE(L37:L38)</f>
        <v>-2.0615000000000001E-2</v>
      </c>
      <c r="N37" s="36">
        <f t="shared" ref="N37" si="155">_xlfn.STDEV.S(L37:L38)/SQRT(2)</f>
        <v>7.584999999999998E-3</v>
      </c>
      <c r="O37" s="36">
        <f t="shared" ref="O37" si="156">(-M37*1*0.2)/(6220*0.6*0.01*10^-3)</f>
        <v>0.11047695605573421</v>
      </c>
      <c r="P37" s="36">
        <f t="shared" ref="P37" si="157">O37/K37</f>
        <v>1.0432196039257245E-2</v>
      </c>
      <c r="Q37" s="33">
        <f t="shared" ref="Q37" si="158">P37*1000</f>
        <v>10.432196039257244</v>
      </c>
      <c r="R37" s="33"/>
      <c r="S37" s="34"/>
    </row>
    <row r="38" spans="1:19" x14ac:dyDescent="0.35">
      <c r="A38" s="37"/>
      <c r="B38" s="38"/>
      <c r="C38" s="5">
        <v>-3.0669999999999999E-2</v>
      </c>
      <c r="D38" s="36"/>
      <c r="E38" s="36"/>
      <c r="F38" s="36"/>
      <c r="G38" s="36"/>
      <c r="H38" s="33"/>
      <c r="I38" s="33"/>
      <c r="J38" s="34"/>
      <c r="K38" s="36"/>
      <c r="L38" s="2">
        <v>-2.8199999999999999E-2</v>
      </c>
      <c r="M38" s="36"/>
      <c r="N38" s="36"/>
      <c r="O38" s="36"/>
      <c r="P38" s="36"/>
      <c r="Q38" s="33"/>
      <c r="R38" s="33"/>
      <c r="S38" s="34"/>
    </row>
    <row r="39" spans="1:19" x14ac:dyDescent="0.35">
      <c r="A39" s="37">
        <v>19</v>
      </c>
      <c r="B39" s="38">
        <v>7.5449999999999999</v>
      </c>
      <c r="C39" s="5">
        <v>-3.6700000000000003E-2</v>
      </c>
      <c r="D39" s="36">
        <f t="shared" ref="D39" si="159">AVERAGE(C39:C40)</f>
        <v>-3.7680000000000005E-2</v>
      </c>
      <c r="E39" s="36">
        <f t="shared" ref="E39" si="160">_xlfn.STDEV.S(C39:C40)/SQRT(2)</f>
        <v>9.7999999999999823E-4</v>
      </c>
      <c r="F39" s="36">
        <f t="shared" ref="F39" si="161">(-D39*1*0.21)/(6220*0.6*0.02*10^-3)</f>
        <v>0.10601286173633442</v>
      </c>
      <c r="G39" s="36">
        <f>F39/B39</f>
        <v>1.405074376889787E-2</v>
      </c>
      <c r="H39" s="33">
        <f t="shared" ref="H39" si="162">G39*1000</f>
        <v>14.05074376889787</v>
      </c>
      <c r="I39" s="33">
        <f t="shared" ref="I39" si="163">AVERAGE(H39:H44)</f>
        <v>14.869704015017668</v>
      </c>
      <c r="J39" s="34">
        <f t="shared" ref="J39" si="164">(_xlfn.STDEV.S(H39:H44)/SQRT(3))/I39</f>
        <v>8.3491023518849572E-2</v>
      </c>
      <c r="K39" s="36">
        <v>10.74</v>
      </c>
      <c r="L39" s="2">
        <v>-2.5600000000000001E-2</v>
      </c>
      <c r="M39" s="36">
        <f t="shared" ref="M39" si="165">AVERAGE(L39:L40)</f>
        <v>-2.6845000000000001E-2</v>
      </c>
      <c r="N39" s="36">
        <f t="shared" ref="N39" si="166">_xlfn.STDEV.S(L39:L40)/SQRT(2)</f>
        <v>1.2449999999999994E-3</v>
      </c>
      <c r="O39" s="36">
        <f t="shared" ref="O39" si="167">(-M39*1*0.2)/(6220*0.6*0.01*10^-3)</f>
        <v>0.14386387995712757</v>
      </c>
      <c r="P39" s="36">
        <f t="shared" ref="P39" si="168">O39/K39</f>
        <v>1.3395147109602195E-2</v>
      </c>
      <c r="Q39" s="33">
        <f t="shared" ref="Q39" si="169">P39*1000</f>
        <v>13.395147109602195</v>
      </c>
      <c r="R39" s="33">
        <f t="shared" ref="R39" si="170">AVERAGE(Q39:Q44)</f>
        <v>15.289706856929078</v>
      </c>
      <c r="S39" s="34">
        <f t="shared" ref="S39" si="171">(_xlfn.STDEV.S(Q39:Q44)/SQRT(3))/R39</f>
        <v>0.11402741164048623</v>
      </c>
    </row>
    <row r="40" spans="1:19" x14ac:dyDescent="0.35">
      <c r="A40" s="37"/>
      <c r="B40" s="38"/>
      <c r="C40" s="5">
        <v>-3.866E-2</v>
      </c>
      <c r="D40" s="36"/>
      <c r="E40" s="36"/>
      <c r="F40" s="36"/>
      <c r="G40" s="36"/>
      <c r="H40" s="33"/>
      <c r="I40" s="33"/>
      <c r="J40" s="34"/>
      <c r="K40" s="36"/>
      <c r="L40" s="2">
        <v>-2.809E-2</v>
      </c>
      <c r="M40" s="36"/>
      <c r="N40" s="36"/>
      <c r="O40" s="36"/>
      <c r="P40" s="36"/>
      <c r="Q40" s="33"/>
      <c r="R40" s="33"/>
      <c r="S40" s="34"/>
    </row>
    <row r="41" spans="1:19" x14ac:dyDescent="0.35">
      <c r="A41" s="37">
        <v>20</v>
      </c>
      <c r="B41" s="38">
        <v>5.52</v>
      </c>
      <c r="C41" s="5">
        <v>-3.4180000000000002E-2</v>
      </c>
      <c r="D41" s="36">
        <f t="shared" ref="D41" si="172">AVERAGE(C41:C42)</f>
        <v>-3.3960000000000004E-2</v>
      </c>
      <c r="E41" s="36">
        <f t="shared" ref="E41" si="173">_xlfn.STDEV.S(C41:C42)/SQRT(2)</f>
        <v>2.2000000000000144E-4</v>
      </c>
      <c r="F41" s="36">
        <f t="shared" ref="F41" si="174">(-D41*1*0.21)/(6220*0.6*0.02*10^-3)</f>
        <v>9.5546623794212235E-2</v>
      </c>
      <c r="G41" s="36">
        <f>F41/B41</f>
        <v>1.7309170977212362E-2</v>
      </c>
      <c r="H41" s="33">
        <f t="shared" ref="H41" si="175">G41*1000</f>
        <v>17.309170977212361</v>
      </c>
      <c r="I41" s="33"/>
      <c r="J41" s="34"/>
      <c r="K41" s="36">
        <v>8.6999999999999993</v>
      </c>
      <c r="L41" s="2">
        <v>-3.022E-2</v>
      </c>
      <c r="M41" s="36">
        <f t="shared" ref="M41" si="176">AVERAGE(L41:L42)</f>
        <v>-3.0475000000000002E-2</v>
      </c>
      <c r="N41" s="36">
        <f t="shared" ref="N41" si="177">_xlfn.STDEV.S(L41:L42)/SQRT(2)</f>
        <v>2.5500000000000002E-4</v>
      </c>
      <c r="O41" s="36">
        <f t="shared" ref="O41" si="178">(-M41*1*0.2)/(6220*0.6*0.01*10^-3)</f>
        <v>0.16331725616291534</v>
      </c>
      <c r="P41" s="36">
        <f t="shared" ref="P41" si="179">O41/K41</f>
        <v>1.8772098409530501E-2</v>
      </c>
      <c r="Q41" s="33">
        <f t="shared" ref="Q41" si="180">P41*1000</f>
        <v>18.7720984095305</v>
      </c>
      <c r="R41" s="33"/>
      <c r="S41" s="34"/>
    </row>
    <row r="42" spans="1:19" x14ac:dyDescent="0.35">
      <c r="A42" s="37"/>
      <c r="B42" s="38"/>
      <c r="C42" s="5">
        <v>-3.3739999999999999E-2</v>
      </c>
      <c r="D42" s="36"/>
      <c r="E42" s="36"/>
      <c r="F42" s="36"/>
      <c r="G42" s="36"/>
      <c r="H42" s="33"/>
      <c r="I42" s="33"/>
      <c r="J42" s="34"/>
      <c r="K42" s="36"/>
      <c r="L42" s="2">
        <v>-3.073E-2</v>
      </c>
      <c r="M42" s="36"/>
      <c r="N42" s="36"/>
      <c r="O42" s="36"/>
      <c r="P42" s="36"/>
      <c r="Q42" s="33"/>
      <c r="R42" s="33"/>
      <c r="S42" s="34"/>
    </row>
    <row r="43" spans="1:19" x14ac:dyDescent="0.35">
      <c r="A43" s="37">
        <v>21</v>
      </c>
      <c r="B43" s="38">
        <v>6.9449999999999994</v>
      </c>
      <c r="C43" s="5">
        <v>-3.1660000000000001E-2</v>
      </c>
      <c r="D43" s="36">
        <f t="shared" ref="D43" si="181">AVERAGE(C43:C44)</f>
        <v>-3.2704999999999998E-2</v>
      </c>
      <c r="E43" s="36">
        <f t="shared" ref="E43" si="182">_xlfn.STDEV.S(C43:C44)/SQRT(2)</f>
        <v>1.0450000000000008E-3</v>
      </c>
      <c r="F43" s="36">
        <f t="shared" ref="F43" si="183">(-D43*1*0.21)/(6220*0.6*0.02*10^-3)</f>
        <v>9.2015675241157557E-2</v>
      </c>
      <c r="G43" s="36">
        <f>F43/B43</f>
        <v>1.3249197298942774E-2</v>
      </c>
      <c r="H43" s="33">
        <f t="shared" ref="H43" si="184">G43*1000</f>
        <v>13.249197298942773</v>
      </c>
      <c r="I43" s="33"/>
      <c r="J43" s="34"/>
      <c r="K43" s="36">
        <v>8.2349999999999994</v>
      </c>
      <c r="L43" s="2">
        <v>-2.07E-2</v>
      </c>
      <c r="M43" s="36">
        <f t="shared" ref="M43" si="185">AVERAGE(L43:L44)</f>
        <v>-2.1054999999999997E-2</v>
      </c>
      <c r="N43" s="36">
        <f t="shared" ref="N43" si="186">_xlfn.STDEV.S(L43:L44)/SQRT(2)</f>
        <v>3.5499999999999941E-4</v>
      </c>
      <c r="O43" s="36">
        <f t="shared" ref="O43" si="187">(-M43*1*0.2)/(6220*0.6*0.01*10^-3)</f>
        <v>0.11283494105037513</v>
      </c>
      <c r="P43" s="36">
        <f t="shared" ref="P43" si="188">O43/K43</f>
        <v>1.3701875051654541E-2</v>
      </c>
      <c r="Q43" s="33">
        <f t="shared" ref="Q43" si="189">P43*1000</f>
        <v>13.701875051654541</v>
      </c>
      <c r="R43" s="33"/>
      <c r="S43" s="34"/>
    </row>
    <row r="44" spans="1:19" x14ac:dyDescent="0.35">
      <c r="A44" s="37"/>
      <c r="B44" s="38"/>
      <c r="C44" s="5">
        <v>-3.3750000000000002E-2</v>
      </c>
      <c r="D44" s="36"/>
      <c r="E44" s="36"/>
      <c r="F44" s="36"/>
      <c r="G44" s="36"/>
      <c r="H44" s="33"/>
      <c r="I44" s="33"/>
      <c r="J44" s="34"/>
      <c r="K44" s="36"/>
      <c r="L44" s="2">
        <v>-2.1409999999999998E-2</v>
      </c>
      <c r="M44" s="36"/>
      <c r="N44" s="36"/>
      <c r="O44" s="36"/>
      <c r="P44" s="36"/>
      <c r="Q44" s="33"/>
      <c r="R44" s="33"/>
      <c r="S44" s="34"/>
    </row>
    <row r="45" spans="1:19" x14ac:dyDescent="0.35">
      <c r="A45" s="37">
        <v>22</v>
      </c>
      <c r="B45" s="38">
        <v>3.9750000000000001</v>
      </c>
      <c r="C45" s="5">
        <v>-2.9270000000000001E-2</v>
      </c>
      <c r="D45" s="36">
        <f t="shared" ref="D45" si="190">AVERAGE(C45:C46)</f>
        <v>-2.7295E-2</v>
      </c>
      <c r="E45" s="36">
        <f t="shared" ref="E45" si="191">_xlfn.STDEV.S(C45:C46)/SQRT(2)</f>
        <v>1.9750000000000006E-3</v>
      </c>
      <c r="F45" s="36">
        <f t="shared" ref="F45" si="192">(-D45*1*0.21)/(6220*0.6*0.02*10^-3)</f>
        <v>7.6794614147909959E-2</v>
      </c>
      <c r="G45" s="36">
        <f>F45/B45</f>
        <v>1.9319399785637726E-2</v>
      </c>
      <c r="H45" s="33">
        <f t="shared" ref="H45" si="193">G45*1000</f>
        <v>19.319399785637724</v>
      </c>
      <c r="I45" s="33">
        <f t="shared" ref="I45" si="194">AVERAGE(H45:H50)</f>
        <v>16.112180740794994</v>
      </c>
      <c r="J45" s="34">
        <f t="shared" ref="J45" si="195">(_xlfn.STDEV.S(H45:H50)/SQRT(3))/I45</f>
        <v>0.10589254309976301</v>
      </c>
      <c r="K45" s="36">
        <v>10.86</v>
      </c>
      <c r="L45" s="2">
        <v>-1.213E-2</v>
      </c>
      <c r="M45" s="36">
        <f t="shared" ref="M45" si="196">AVERAGE(L45:L46)</f>
        <v>-2.3165000000000002E-2</v>
      </c>
      <c r="N45" s="36">
        <f t="shared" ref="N45" si="197">_xlfn.STDEV.S(L45:L46)/SQRT(2)</f>
        <v>1.1034999999999998E-2</v>
      </c>
      <c r="O45" s="36">
        <f t="shared" ref="O45" si="198">(-M45*1*0.2)/(6220*0.6*0.01*10^-3)</f>
        <v>0.12414255091103968</v>
      </c>
      <c r="P45" s="36">
        <f t="shared" ref="P45" si="199">O45/K45</f>
        <v>1.1431174117038645E-2</v>
      </c>
      <c r="Q45" s="33">
        <f t="shared" ref="Q45" si="200">P45*1000</f>
        <v>11.431174117038644</v>
      </c>
      <c r="R45" s="33">
        <f t="shared" ref="R45" si="201">AVERAGE(Q45:Q50)</f>
        <v>11.387894022669395</v>
      </c>
      <c r="S45" s="34">
        <f t="shared" ref="S45" si="202">(_xlfn.STDEV.S(Q45:Q50)/SQRT(3))/R45</f>
        <v>3.035012029884384E-2</v>
      </c>
    </row>
    <row r="46" spans="1:19" x14ac:dyDescent="0.35">
      <c r="A46" s="37"/>
      <c r="B46" s="38"/>
      <c r="C46" s="5">
        <v>-2.5319999999999999E-2</v>
      </c>
      <c r="D46" s="36"/>
      <c r="E46" s="36"/>
      <c r="F46" s="36"/>
      <c r="G46" s="36"/>
      <c r="H46" s="33"/>
      <c r="I46" s="33"/>
      <c r="J46" s="34"/>
      <c r="K46" s="36"/>
      <c r="L46" s="2">
        <v>-3.4200000000000001E-2</v>
      </c>
      <c r="M46" s="36"/>
      <c r="N46" s="36"/>
      <c r="O46" s="36"/>
      <c r="P46" s="36"/>
      <c r="Q46" s="33"/>
      <c r="R46" s="33"/>
      <c r="S46" s="34"/>
    </row>
    <row r="47" spans="1:19" x14ac:dyDescent="0.35">
      <c r="A47" s="37">
        <v>23</v>
      </c>
      <c r="B47" s="38">
        <v>6.81</v>
      </c>
      <c r="C47" s="5">
        <v>-3.5450000000000002E-2</v>
      </c>
      <c r="D47" s="36">
        <f t="shared" ref="D47" si="203">AVERAGE(C47:C48)</f>
        <v>-3.7559999999999996E-2</v>
      </c>
      <c r="E47" s="36">
        <f t="shared" ref="E47" si="204">_xlfn.STDEV.S(C47:C48)/SQRT(2)</f>
        <v>2.1099999999999973E-3</v>
      </c>
      <c r="F47" s="36">
        <f t="shared" ref="F47" si="205">(-D47*1*0.21)/(6220*0.6*0.02*10^-3)</f>
        <v>0.10567524115755625</v>
      </c>
      <c r="G47" s="36">
        <f>F47/B47</f>
        <v>1.551765655764409E-2</v>
      </c>
      <c r="H47" s="33">
        <f t="shared" ref="H47" si="206">G47*1000</f>
        <v>15.51765655764409</v>
      </c>
      <c r="I47" s="33"/>
      <c r="J47" s="34"/>
      <c r="K47" s="36">
        <v>12.690000000000001</v>
      </c>
      <c r="L47" s="2">
        <v>-1.18E-2</v>
      </c>
      <c r="M47" s="36">
        <f t="shared" ref="M47" si="207">AVERAGE(L47:L48)</f>
        <v>-2.5499999999999998E-2</v>
      </c>
      <c r="N47" s="36">
        <f t="shared" ref="N47" si="208">_xlfn.STDEV.S(L47:L48)/SQRT(2)</f>
        <v>1.37E-2</v>
      </c>
      <c r="O47" s="36">
        <f t="shared" ref="O47" si="209">(-M47*1*0.2)/(6220*0.6*0.01*10^-3)</f>
        <v>0.13665594855305468</v>
      </c>
      <c r="P47" s="36">
        <f t="shared" ref="P47" si="210">O47/K47</f>
        <v>1.0768790272108327E-2</v>
      </c>
      <c r="Q47" s="33">
        <f t="shared" ref="Q47" si="211">P47*1000</f>
        <v>10.768790272108328</v>
      </c>
      <c r="R47" s="33"/>
      <c r="S47" s="34"/>
    </row>
    <row r="48" spans="1:19" x14ac:dyDescent="0.35">
      <c r="A48" s="37"/>
      <c r="B48" s="38"/>
      <c r="C48" s="5">
        <v>-3.9669999999999997E-2</v>
      </c>
      <c r="D48" s="36"/>
      <c r="E48" s="36"/>
      <c r="F48" s="36"/>
      <c r="G48" s="36"/>
      <c r="H48" s="33"/>
      <c r="I48" s="33"/>
      <c r="J48" s="34"/>
      <c r="K48" s="36"/>
      <c r="L48" s="2">
        <v>-3.9199999999999999E-2</v>
      </c>
      <c r="M48" s="36"/>
      <c r="N48" s="36"/>
      <c r="O48" s="36"/>
      <c r="P48" s="36"/>
      <c r="Q48" s="33"/>
      <c r="R48" s="33"/>
      <c r="S48" s="34"/>
    </row>
    <row r="49" spans="1:19" x14ac:dyDescent="0.35">
      <c r="A49" s="37">
        <v>24</v>
      </c>
      <c r="B49" s="38">
        <v>7.38</v>
      </c>
      <c r="C49" s="5">
        <v>-3.4200000000000001E-2</v>
      </c>
      <c r="D49" s="36">
        <f t="shared" ref="D49" si="212">AVERAGE(C49:C50)</f>
        <v>-3.5409999999999997E-2</v>
      </c>
      <c r="E49" s="36">
        <f t="shared" ref="E49" si="213">_xlfn.STDEV.S(C49:C50)/SQRT(2)</f>
        <v>1.2099999999999993E-3</v>
      </c>
      <c r="F49" s="36">
        <f t="shared" ref="F49" si="214">(-D49*1*0.21)/(6220*0.6*0.02*10^-3)</f>
        <v>9.9626205787781349E-2</v>
      </c>
      <c r="G49" s="36">
        <f>F49/B49</f>
        <v>1.3499485879103164E-2</v>
      </c>
      <c r="H49" s="33">
        <f t="shared" ref="H49" si="215">G49*1000</f>
        <v>13.499485879103164</v>
      </c>
      <c r="I49" s="33"/>
      <c r="J49" s="34"/>
      <c r="K49" s="36">
        <v>9.9599999999999991</v>
      </c>
      <c r="L49" s="2">
        <v>-1.6E-2</v>
      </c>
      <c r="M49" s="36">
        <f t="shared" ref="M49" si="216">AVERAGE(L49:L50)</f>
        <v>-2.2234999999999998E-2</v>
      </c>
      <c r="N49" s="36">
        <f t="shared" ref="N49" si="217">_xlfn.STDEV.S(L49:L50)/SQRT(2)</f>
        <v>6.2350000000000114E-3</v>
      </c>
      <c r="O49" s="36">
        <f t="shared" ref="O49" si="218">(-M49*1*0.2)/(6220*0.6*0.01*10^-3)</f>
        <v>0.11915862808145765</v>
      </c>
      <c r="P49" s="36">
        <f t="shared" ref="P49" si="219">O49/K49</f>
        <v>1.1963717678861211E-2</v>
      </c>
      <c r="Q49" s="33">
        <f t="shared" ref="Q49" si="220">P49*1000</f>
        <v>11.963717678861212</v>
      </c>
      <c r="R49" s="33"/>
      <c r="S49" s="34"/>
    </row>
    <row r="50" spans="1:19" x14ac:dyDescent="0.35">
      <c r="A50" s="37"/>
      <c r="B50" s="38"/>
      <c r="C50" s="5">
        <v>-3.662E-2</v>
      </c>
      <c r="D50" s="36"/>
      <c r="E50" s="36"/>
      <c r="F50" s="36"/>
      <c r="G50" s="36"/>
      <c r="H50" s="33"/>
      <c r="I50" s="33"/>
      <c r="J50" s="34"/>
      <c r="K50" s="36"/>
      <c r="L50" s="2">
        <v>-2.8469999999999999E-2</v>
      </c>
      <c r="M50" s="36"/>
      <c r="N50" s="36"/>
      <c r="O50" s="36"/>
      <c r="P50" s="36"/>
      <c r="Q50" s="33"/>
      <c r="R50" s="33"/>
      <c r="S50" s="34"/>
    </row>
    <row r="51" spans="1:19" x14ac:dyDescent="0.35">
      <c r="A51" s="37">
        <v>25</v>
      </c>
      <c r="B51" s="38">
        <v>6.54</v>
      </c>
      <c r="C51" s="5">
        <v>-2.887E-2</v>
      </c>
      <c r="D51" s="36">
        <f t="shared" ref="D51" si="221">AVERAGE(C51:C52)</f>
        <v>-3.193E-2</v>
      </c>
      <c r="E51" s="36">
        <f t="shared" ref="E51" si="222">_xlfn.STDEV.S(C51:C52)/SQRT(2)</f>
        <v>3.0600000000000002E-3</v>
      </c>
      <c r="F51" s="36">
        <f t="shared" ref="F51" si="223">(-D51*1*0.21)/(6220*0.6*0.02*10^-3)</f>
        <v>8.9835209003215441E-2</v>
      </c>
      <c r="G51" s="36">
        <f>F51/B51</f>
        <v>1.3736270489788293E-2</v>
      </c>
      <c r="H51" s="33">
        <f t="shared" ref="H51" si="224">G51*1000</f>
        <v>13.736270489788293</v>
      </c>
      <c r="I51" s="33">
        <f t="shared" ref="I51" si="225">AVERAGE(H51:H56)</f>
        <v>12.671746971436548</v>
      </c>
      <c r="J51" s="34">
        <f t="shared" ref="J51" si="226">(_xlfn.STDEV.S(H51:H56)/SQRT(3))/I51</f>
        <v>6.7347054606056972E-2</v>
      </c>
      <c r="K51" s="36">
        <v>12</v>
      </c>
      <c r="L51" s="2">
        <v>-6.0400000000000002E-3</v>
      </c>
      <c r="M51" s="36">
        <f t="shared" ref="M51" si="227">AVERAGE(L51:L52)</f>
        <v>-1.06E-2</v>
      </c>
      <c r="N51" s="36">
        <f t="shared" ref="N51" si="228">_xlfn.STDEV.S(L51:L52)/SQRT(2)</f>
        <v>4.559999999999999E-3</v>
      </c>
      <c r="O51" s="36">
        <f t="shared" ref="O51" si="229">(-M51*1*0.2)/(6220*0.6*0.01*10^-3)</f>
        <v>5.6806002143622719E-2</v>
      </c>
      <c r="P51" s="36">
        <f t="shared" ref="P51" si="230">O51/K51</f>
        <v>4.7338335119685602E-3</v>
      </c>
      <c r="Q51" s="33">
        <f t="shared" ref="Q51" si="231">P51*1000</f>
        <v>4.7338335119685606</v>
      </c>
      <c r="R51" s="33">
        <f t="shared" ref="R51" si="232">AVERAGE(Q51:Q56)</f>
        <v>8.2635010928954173</v>
      </c>
      <c r="S51" s="34">
        <f t="shared" ref="S51" si="233">(_xlfn.STDEV.S(Q51:Q56)/SQRT(3))/R51</f>
        <v>0.24660909523568286</v>
      </c>
    </row>
    <row r="52" spans="1:19" x14ac:dyDescent="0.35">
      <c r="A52" s="37"/>
      <c r="B52" s="38"/>
      <c r="C52" s="5">
        <v>-3.499E-2</v>
      </c>
      <c r="D52" s="36"/>
      <c r="E52" s="36"/>
      <c r="F52" s="36"/>
      <c r="G52" s="36"/>
      <c r="H52" s="33"/>
      <c r="I52" s="33"/>
      <c r="J52" s="34"/>
      <c r="K52" s="36"/>
      <c r="L52" s="2">
        <v>-1.516E-2</v>
      </c>
      <c r="M52" s="36"/>
      <c r="N52" s="36"/>
      <c r="O52" s="36"/>
      <c r="P52" s="36"/>
      <c r="Q52" s="33"/>
      <c r="R52" s="33"/>
      <c r="S52" s="34"/>
    </row>
    <row r="53" spans="1:19" x14ac:dyDescent="0.35">
      <c r="A53" s="37">
        <v>26</v>
      </c>
      <c r="B53" s="38">
        <v>7.0349999999999993</v>
      </c>
      <c r="C53" s="5">
        <v>-2.2929999999999999E-2</v>
      </c>
      <c r="D53" s="36">
        <f t="shared" ref="D53" si="234">AVERAGE(C53:C54)</f>
        <v>-2.7465E-2</v>
      </c>
      <c r="E53" s="36">
        <f t="shared" ref="E53" si="235">_xlfn.STDEV.S(C53:C54)/SQRT(2)</f>
        <v>4.5349999999999922E-3</v>
      </c>
      <c r="F53" s="36">
        <f t="shared" ref="F53" si="236">(-D53*1*0.21)/(6220*0.6*0.02*10^-3)</f>
        <v>7.7272909967845665E-2</v>
      </c>
      <c r="G53" s="36">
        <f>F53/B53</f>
        <v>1.0984066804242455E-2</v>
      </c>
      <c r="H53" s="33">
        <f t="shared" ref="H53" si="237">G53*1000</f>
        <v>10.984066804242454</v>
      </c>
      <c r="I53" s="33"/>
      <c r="J53" s="34"/>
      <c r="K53" s="36">
        <v>10.079999999999998</v>
      </c>
      <c r="L53" s="13">
        <v>-2.8600000000000001E-3</v>
      </c>
      <c r="M53" s="44">
        <f>AVERAGE(L53:L53)</f>
        <v>-2.8600000000000001E-3</v>
      </c>
      <c r="N53" s="44" t="e">
        <f>_xlfn.STDEV.S(L53:L53)/SQRT(2)</f>
        <v>#DIV/0!</v>
      </c>
      <c r="O53" s="44">
        <f t="shared" ref="O53" si="238">(-M53*1*0.2)/(6220*0.6*0.01*10^-3)</f>
        <v>1.5326902465166131E-2</v>
      </c>
      <c r="P53" s="44">
        <f t="shared" ref="P53" si="239">O53/K53</f>
        <v>1.5205260382109259E-3</v>
      </c>
      <c r="Q53" s="39">
        <f>AVERAGE(Q51,Q55)</f>
        <v>8.2635010928954173</v>
      </c>
      <c r="R53" s="33"/>
      <c r="S53" s="34"/>
    </row>
    <row r="54" spans="1:19" x14ac:dyDescent="0.35">
      <c r="A54" s="37"/>
      <c r="B54" s="38"/>
      <c r="C54" s="5">
        <v>-3.2000000000000001E-2</v>
      </c>
      <c r="D54" s="36"/>
      <c r="E54" s="36"/>
      <c r="F54" s="36"/>
      <c r="G54" s="36"/>
      <c r="H54" s="33"/>
      <c r="I54" s="33"/>
      <c r="J54" s="34"/>
      <c r="K54" s="36"/>
      <c r="L54" s="13">
        <v>-6.3100000000000005E-4</v>
      </c>
      <c r="M54" s="44"/>
      <c r="N54" s="44"/>
      <c r="O54" s="44"/>
      <c r="P54" s="44"/>
      <c r="Q54" s="39"/>
      <c r="R54" s="33"/>
      <c r="S54" s="34"/>
    </row>
    <row r="55" spans="1:19" x14ac:dyDescent="0.35">
      <c r="A55" s="37">
        <v>27</v>
      </c>
      <c r="B55" s="38">
        <v>5.79</v>
      </c>
      <c r="C55" s="5">
        <v>-2.4660000000000001E-2</v>
      </c>
      <c r="D55" s="36">
        <f t="shared" ref="D55" si="240">AVERAGE(C55:C56)</f>
        <v>-2.7360000000000002E-2</v>
      </c>
      <c r="E55" s="36">
        <f>_xlfn.STDEV.S(C55:C56)/SQRT(2)</f>
        <v>2.6999999999999993E-3</v>
      </c>
      <c r="F55" s="36">
        <f t="shared" ref="F55" si="241">(-D55*1*0.21)/(6220*0.6*0.02*10^-3)</f>
        <v>7.697749196141479E-2</v>
      </c>
      <c r="G55" s="36">
        <f>F55/B55</f>
        <v>1.3294903620278893E-2</v>
      </c>
      <c r="H55" s="33">
        <f t="shared" ref="H55" si="242">G55*1000</f>
        <v>13.294903620278893</v>
      </c>
      <c r="I55" s="33"/>
      <c r="J55" s="34"/>
      <c r="K55" s="36">
        <v>11.565</v>
      </c>
      <c r="L55" s="2">
        <v>-1.7160000000000002E-2</v>
      </c>
      <c r="M55" s="36">
        <f t="shared" ref="M55" si="243">AVERAGE(L55:L56)</f>
        <v>-2.545E-2</v>
      </c>
      <c r="N55" s="36">
        <f t="shared" ref="N55" si="244">_xlfn.STDEV.S(L55:L56)/SQRT(2)</f>
        <v>8.289999999999997E-3</v>
      </c>
      <c r="O55" s="36">
        <f t="shared" ref="O55" si="245">(-M55*1*0.2)/(6220*0.6*0.01*10^-3)</f>
        <v>0.13638799571275459</v>
      </c>
      <c r="P55" s="36">
        <f t="shared" ref="P55" si="246">O55/K55</f>
        <v>1.1793168673822274E-2</v>
      </c>
      <c r="Q55" s="33">
        <f t="shared" ref="Q55" si="247">P55*1000</f>
        <v>11.793168673822274</v>
      </c>
      <c r="R55" s="33"/>
      <c r="S55" s="34"/>
    </row>
    <row r="56" spans="1:19" x14ac:dyDescent="0.35">
      <c r="A56" s="37"/>
      <c r="B56" s="38"/>
      <c r="C56" s="5">
        <v>-3.006E-2</v>
      </c>
      <c r="D56" s="36"/>
      <c r="E56" s="36"/>
      <c r="F56" s="36"/>
      <c r="G56" s="36"/>
      <c r="H56" s="33"/>
      <c r="I56" s="33"/>
      <c r="J56" s="34"/>
      <c r="K56" s="36"/>
      <c r="L56" s="2">
        <v>-3.3739999999999999E-2</v>
      </c>
      <c r="M56" s="36"/>
      <c r="N56" s="36"/>
      <c r="O56" s="36"/>
      <c r="P56" s="36"/>
      <c r="Q56" s="33"/>
      <c r="R56" s="33"/>
      <c r="S56" s="34"/>
    </row>
    <row r="57" spans="1:19" x14ac:dyDescent="0.35">
      <c r="A57" s="37">
        <v>28</v>
      </c>
      <c r="B57" s="38">
        <v>6.3750000000000009</v>
      </c>
      <c r="C57" s="5">
        <v>-2.4760000000000001E-2</v>
      </c>
      <c r="D57" s="36">
        <f t="shared" ref="D57" si="248">AVERAGE(C57:C58)</f>
        <v>-3.0304999999999999E-2</v>
      </c>
      <c r="E57" s="36">
        <f t="shared" ref="E57" si="249">_xlfn.STDEV.S(C57:C58)/SQRT(2)</f>
        <v>5.5450000000000126E-3</v>
      </c>
      <c r="F57" s="36">
        <f t="shared" ref="F57" si="250">(-D57*1*0.21)/(6220*0.6*0.02*10^-3)</f>
        <v>8.5263263665594849E-2</v>
      </c>
      <c r="G57" s="36">
        <f>F57/B57</f>
        <v>1.3374629594603112E-2</v>
      </c>
      <c r="H57" s="33">
        <f t="shared" ref="H57" si="251">G57*1000</f>
        <v>13.374629594603112</v>
      </c>
      <c r="I57" s="33">
        <f t="shared" ref="I57" si="252">AVERAGE(H57:H62)</f>
        <v>13.88310367614951</v>
      </c>
      <c r="J57" s="34">
        <f t="shared" ref="J57" si="253">(_xlfn.STDEV.S(H57:H62)/SQRT(3))/I57</f>
        <v>5.7878610846599461E-2</v>
      </c>
      <c r="K57" s="36">
        <v>11.58</v>
      </c>
      <c r="L57" s="2">
        <v>-2.9270000000000001E-2</v>
      </c>
      <c r="M57" s="36">
        <f t="shared" ref="M57" si="254">AVERAGE(L57:L58)</f>
        <v>-2.3475000000000003E-2</v>
      </c>
      <c r="N57" s="36">
        <f t="shared" ref="N57" si="255">_xlfn.STDEV.S(L57:L58)/SQRT(2)</f>
        <v>5.7949999999999894E-3</v>
      </c>
      <c r="O57" s="36">
        <f t="shared" ref="O57" si="256">(-M57*1*0.2)/(6220*0.6*0.01*10^-3)</f>
        <v>0.12580385852090037</v>
      </c>
      <c r="P57" s="36">
        <f t="shared" ref="P57" si="257">O57/K57</f>
        <v>1.0863891063981033E-2</v>
      </c>
      <c r="Q57" s="33">
        <f t="shared" ref="Q57" si="258">P57*1000</f>
        <v>10.863891063981033</v>
      </c>
      <c r="R57" s="33">
        <f t="shared" ref="R57" si="259">AVERAGE(Q57:Q62)</f>
        <v>10.11627302611698</v>
      </c>
      <c r="S57" s="34">
        <f t="shared" ref="S57" si="260">(_xlfn.STDEV.S(Q57:Q62)/SQRT(3))/R57</f>
        <v>7.3889237251337961E-2</v>
      </c>
    </row>
    <row r="58" spans="1:19" x14ac:dyDescent="0.35">
      <c r="A58" s="37"/>
      <c r="B58" s="38"/>
      <c r="C58" s="5">
        <v>-3.585E-2</v>
      </c>
      <c r="D58" s="36"/>
      <c r="E58" s="36"/>
      <c r="F58" s="36"/>
      <c r="G58" s="36"/>
      <c r="H58" s="33"/>
      <c r="I58" s="33"/>
      <c r="J58" s="34"/>
      <c r="K58" s="36"/>
      <c r="L58" s="2">
        <v>-1.7680000000000001E-2</v>
      </c>
      <c r="M58" s="36"/>
      <c r="N58" s="36"/>
      <c r="O58" s="36"/>
      <c r="P58" s="36"/>
      <c r="Q58" s="33"/>
      <c r="R58" s="33"/>
      <c r="S58" s="34"/>
    </row>
    <row r="59" spans="1:19" x14ac:dyDescent="0.35">
      <c r="A59" s="37">
        <v>29</v>
      </c>
      <c r="B59" s="38">
        <v>6.75</v>
      </c>
      <c r="C59" s="5">
        <v>-3.6679999999999997E-2</v>
      </c>
      <c r="D59" s="36">
        <f t="shared" ref="D59" si="261">AVERAGE(C59:C60)</f>
        <v>-3.7085E-2</v>
      </c>
      <c r="E59" s="36">
        <f t="shared" ref="E59" si="262">_xlfn.STDEV.S(C59:C60)/SQRT(2)</f>
        <v>4.0500000000000253E-4</v>
      </c>
      <c r="F59" s="36">
        <f t="shared" ref="F59" si="263">(-D59*1*0.21)/(6220*0.6*0.02*10^-3)</f>
        <v>0.10433882636655949</v>
      </c>
      <c r="G59" s="36">
        <f>F59/B59</f>
        <v>1.5457603906156961E-2</v>
      </c>
      <c r="H59" s="33">
        <f t="shared" ref="H59" si="264">G59*1000</f>
        <v>15.45760390615696</v>
      </c>
      <c r="I59" s="33"/>
      <c r="J59" s="34"/>
      <c r="K59" s="36">
        <v>10.875</v>
      </c>
      <c r="L59" s="2">
        <v>-1.6080000000000001E-2</v>
      </c>
      <c r="M59" s="36">
        <f t="shared" ref="M59" si="265">AVERAGE(L59:L60)</f>
        <v>-1.7495E-2</v>
      </c>
      <c r="N59" s="36">
        <f t="shared" ref="N59" si="266">_xlfn.STDEV.S(L59:L60)/SQRT(2)</f>
        <v>1.4149999999999994E-3</v>
      </c>
      <c r="O59" s="36">
        <f t="shared" ref="O59" si="267">(-M59*1*0.2)/(6220*0.6*0.01*10^-3)</f>
        <v>9.3756698821007511E-2</v>
      </c>
      <c r="P59" s="36">
        <f t="shared" ref="P59" si="268">O59/K59</f>
        <v>8.6213056387133349E-3</v>
      </c>
      <c r="Q59" s="33">
        <f t="shared" ref="Q59" si="269">P59*1000</f>
        <v>8.6213056387133342</v>
      </c>
      <c r="R59" s="33"/>
      <c r="S59" s="34"/>
    </row>
    <row r="60" spans="1:19" x14ac:dyDescent="0.35">
      <c r="A60" s="37"/>
      <c r="B60" s="38"/>
      <c r="C60" s="5">
        <v>-3.7490000000000002E-2</v>
      </c>
      <c r="D60" s="36"/>
      <c r="E60" s="36"/>
      <c r="F60" s="36"/>
      <c r="G60" s="36"/>
      <c r="H60" s="33"/>
      <c r="I60" s="33"/>
      <c r="J60" s="34"/>
      <c r="K60" s="36"/>
      <c r="L60" s="2">
        <v>-1.891E-2</v>
      </c>
      <c r="M60" s="36"/>
      <c r="N60" s="36"/>
      <c r="O60" s="36"/>
      <c r="P60" s="36"/>
      <c r="Q60" s="33"/>
      <c r="R60" s="33"/>
      <c r="S60" s="34"/>
    </row>
    <row r="61" spans="1:19" x14ac:dyDescent="0.35">
      <c r="A61" s="37">
        <v>30</v>
      </c>
      <c r="B61" s="38">
        <v>5.0399999999999991</v>
      </c>
      <c r="C61" s="5">
        <v>-2.29E-2</v>
      </c>
      <c r="D61" s="36">
        <f t="shared" ref="D61" si="270">AVERAGE(C61:C62)</f>
        <v>-2.2960000000000001E-2</v>
      </c>
      <c r="E61" s="36">
        <f t="shared" ref="E61" si="271">_xlfn.STDEV.S(C61:C62)/SQRT(2)</f>
        <v>5.9999999999999283E-5</v>
      </c>
      <c r="F61" s="36">
        <f t="shared" ref="F61" si="272">(-D61*1*0.21)/(6220*0.6*0.02*10^-3)</f>
        <v>6.4598070739549832E-2</v>
      </c>
      <c r="G61" s="36">
        <f>F61/B61</f>
        <v>1.281707752768846E-2</v>
      </c>
      <c r="H61" s="33">
        <f t="shared" ref="H61" si="273">G61*1000</f>
        <v>12.817077527688459</v>
      </c>
      <c r="I61" s="33"/>
      <c r="J61" s="34"/>
      <c r="K61" s="36">
        <v>8.6549999999999994</v>
      </c>
      <c r="L61" s="2">
        <v>-2.3310000000000001E-2</v>
      </c>
      <c r="M61" s="36">
        <f t="shared" ref="M61" si="274">AVERAGE(L61:L62)</f>
        <v>-1.7545000000000002E-2</v>
      </c>
      <c r="N61" s="36">
        <f t="shared" ref="N61" si="275">_xlfn.STDEV.S(L61:L62)/SQRT(2)</f>
        <v>5.7649999999999967E-3</v>
      </c>
      <c r="O61" s="36">
        <f t="shared" ref="O61" si="276">(-M61*1*0.2)/(6220*0.6*0.01*10^-3)</f>
        <v>9.4024651661307621E-2</v>
      </c>
      <c r="P61" s="36">
        <f t="shared" ref="P61" si="277">O61/K61</f>
        <v>1.0863622375656572E-2</v>
      </c>
      <c r="Q61" s="33">
        <f t="shared" ref="Q61" si="278">P61*1000</f>
        <v>10.863622375656572</v>
      </c>
      <c r="R61" s="33"/>
      <c r="S61" s="34"/>
    </row>
    <row r="62" spans="1:19" x14ac:dyDescent="0.35">
      <c r="A62" s="37"/>
      <c r="B62" s="38"/>
      <c r="C62" s="5">
        <v>-2.3019999999999999E-2</v>
      </c>
      <c r="D62" s="36"/>
      <c r="E62" s="36"/>
      <c r="F62" s="36"/>
      <c r="G62" s="36"/>
      <c r="H62" s="33"/>
      <c r="I62" s="33"/>
      <c r="J62" s="34"/>
      <c r="K62" s="36"/>
      <c r="L62" s="2">
        <v>-1.1780000000000001E-2</v>
      </c>
      <c r="M62" s="36"/>
      <c r="N62" s="36"/>
      <c r="O62" s="36"/>
      <c r="P62" s="36"/>
      <c r="Q62" s="33"/>
      <c r="R62" s="33"/>
      <c r="S62" s="34"/>
    </row>
    <row r="63" spans="1:19" x14ac:dyDescent="0.35">
      <c r="A63" s="37">
        <v>31</v>
      </c>
      <c r="B63" s="38">
        <v>2.2950000000000004</v>
      </c>
      <c r="C63" s="5">
        <v>-1.133E-2</v>
      </c>
      <c r="D63" s="36">
        <f t="shared" ref="D63" si="279">AVERAGE(C63:C64)</f>
        <v>-1.1900000000000001E-2</v>
      </c>
      <c r="E63" s="36">
        <f t="shared" ref="E63" si="280">_xlfn.STDEV.S(C63:C64)/SQRT(2)</f>
        <v>5.7000000000000009E-4</v>
      </c>
      <c r="F63" s="36">
        <f t="shared" ref="F63" si="281">(-D63*1*0.21)/(6220*0.6*0.02*10^-3)</f>
        <v>3.3480707395498389E-2</v>
      </c>
      <c r="G63" s="36">
        <f>F63/B63</f>
        <v>1.4588543527450277E-2</v>
      </c>
      <c r="H63" s="33">
        <f t="shared" ref="H63" si="282">G63*1000</f>
        <v>14.588543527450277</v>
      </c>
      <c r="I63" s="33">
        <f t="shared" ref="I63" si="283">AVERAGE(H63:H68)</f>
        <v>14.380035891127177</v>
      </c>
      <c r="J63" s="34">
        <f t="shared" ref="J63" si="284">(_xlfn.STDEV.S(H63:H68)/SQRT(3))/I63</f>
        <v>2.1086023813930262E-2</v>
      </c>
      <c r="K63" s="36">
        <v>7.5449999999999999</v>
      </c>
      <c r="L63" s="2">
        <v>-7.1600000000000006E-3</v>
      </c>
      <c r="M63" s="36">
        <f t="shared" ref="M63" si="285">AVERAGE(L63:L64)</f>
        <v>-5.7079999999999999E-2</v>
      </c>
      <c r="N63" s="36">
        <f t="shared" ref="N63" si="286">_xlfn.STDEV.S(L63:L64)/SQRT(2)</f>
        <v>4.9919999999999985E-2</v>
      </c>
      <c r="O63" s="36">
        <f t="shared" ref="O63" si="287">(-M63*1*0.2)/(6220*0.6*0.01*10^-3)</f>
        <v>0.30589496248660236</v>
      </c>
      <c r="P63" s="36">
        <f t="shared" ref="P63" si="288">O63/K63</f>
        <v>4.0542738566812772E-2</v>
      </c>
      <c r="Q63" s="43">
        <f t="shared" ref="Q63" si="289">P63*1000</f>
        <v>40.542738566812773</v>
      </c>
      <c r="R63" s="33">
        <f>AVERAGE(Q65:Q68)</f>
        <v>4.9012287072294969</v>
      </c>
      <c r="S63" s="34">
        <f>(_xlfn.STDEV.S(Q65:Q68)/SQRT(2))/R63</f>
        <v>8.9110348034421222E-2</v>
      </c>
    </row>
    <row r="64" spans="1:19" x14ac:dyDescent="0.35">
      <c r="A64" s="37"/>
      <c r="B64" s="38"/>
      <c r="C64" s="5">
        <v>-1.247E-2</v>
      </c>
      <c r="D64" s="36"/>
      <c r="E64" s="36"/>
      <c r="F64" s="36"/>
      <c r="G64" s="36"/>
      <c r="H64" s="33"/>
      <c r="I64" s="33"/>
      <c r="J64" s="34"/>
      <c r="K64" s="36"/>
      <c r="L64" s="2">
        <v>-0.107</v>
      </c>
      <c r="M64" s="36"/>
      <c r="N64" s="36"/>
      <c r="O64" s="36"/>
      <c r="P64" s="36"/>
      <c r="Q64" s="43"/>
      <c r="R64" s="33"/>
      <c r="S64" s="34"/>
    </row>
    <row r="65" spans="1:19" x14ac:dyDescent="0.35">
      <c r="A65" s="37">
        <v>32</v>
      </c>
      <c r="B65" s="38">
        <v>4.74</v>
      </c>
      <c r="C65" s="5">
        <v>-2.196E-2</v>
      </c>
      <c r="D65" s="36">
        <f t="shared" ref="D65" si="290">AVERAGE(C65:C66)</f>
        <v>-2.3219999999999998E-2</v>
      </c>
      <c r="E65" s="36">
        <f t="shared" ref="E65" si="291">_xlfn.STDEV.S(C65:C66)/SQRT(2)</f>
        <v>1.259999999999999E-3</v>
      </c>
      <c r="F65" s="36">
        <f t="shared" ref="F65" si="292">(-D65*1*0.21)/(6220*0.6*0.02*10^-3)</f>
        <v>6.5329581993569114E-2</v>
      </c>
      <c r="G65" s="36">
        <f>F65/B65</f>
        <v>1.3782612234930191E-2</v>
      </c>
      <c r="H65" s="33">
        <f t="shared" ref="H65" si="293">G65*1000</f>
        <v>13.782612234930191</v>
      </c>
      <c r="I65" s="33"/>
      <c r="J65" s="34"/>
      <c r="K65" s="36">
        <v>9.5549999999999997</v>
      </c>
      <c r="L65" s="2" t="s">
        <v>1</v>
      </c>
      <c r="M65" s="36">
        <f t="shared" ref="M65" si="294">AVERAGE(L65:L66)</f>
        <v>-7.9600000000000001E-3</v>
      </c>
      <c r="N65" s="36" t="e">
        <f>_xlfn.STDEV.S(L65:L66)/SQRT(2)</f>
        <v>#DIV/0!</v>
      </c>
      <c r="O65" s="36">
        <f t="shared" ref="O65" si="295">(-M65*1*0.2)/(6220*0.6*0.01*10^-3)</f>
        <v>4.2658092175777068E-2</v>
      </c>
      <c r="P65" s="36">
        <f t="shared" ref="P65" si="296">O65/K65</f>
        <v>4.4644785113319803E-3</v>
      </c>
      <c r="Q65" s="33">
        <f t="shared" ref="Q65" si="297">P65*1000</f>
        <v>4.46447851133198</v>
      </c>
      <c r="R65" s="33"/>
      <c r="S65" s="34"/>
    </row>
    <row r="66" spans="1:19" x14ac:dyDescent="0.35">
      <c r="A66" s="37"/>
      <c r="B66" s="38"/>
      <c r="C66" s="5">
        <v>-2.4479999999999998E-2</v>
      </c>
      <c r="D66" s="36"/>
      <c r="E66" s="36"/>
      <c r="F66" s="36"/>
      <c r="G66" s="36"/>
      <c r="H66" s="33"/>
      <c r="I66" s="33"/>
      <c r="J66" s="34"/>
      <c r="K66" s="36"/>
      <c r="L66" s="2">
        <v>-7.9600000000000001E-3</v>
      </c>
      <c r="M66" s="36"/>
      <c r="N66" s="36"/>
      <c r="O66" s="36"/>
      <c r="P66" s="36"/>
      <c r="Q66" s="33"/>
      <c r="R66" s="33"/>
      <c r="S66" s="34"/>
    </row>
    <row r="67" spans="1:19" x14ac:dyDescent="0.35">
      <c r="A67" s="37">
        <v>33</v>
      </c>
      <c r="B67" s="38">
        <v>5.415</v>
      </c>
      <c r="C67" s="5">
        <v>-2.9579999999999999E-2</v>
      </c>
      <c r="D67" s="36">
        <f t="shared" ref="D67" si="298">AVERAGE(C67:C68)</f>
        <v>-2.8424999999999999E-2</v>
      </c>
      <c r="E67" s="36">
        <f t="shared" ref="E67" si="299">_xlfn.STDEV.S(C67:C68)/SQRT(2)</f>
        <v>1.1549999999999996E-3</v>
      </c>
      <c r="F67" s="36">
        <f t="shared" ref="F67" si="300">(-D67*1*0.21)/(6220*0.6*0.02*10^-3)</f>
        <v>7.9973874598070732E-2</v>
      </c>
      <c r="G67" s="36">
        <f>F67/B67</f>
        <v>1.4768951911001058E-2</v>
      </c>
      <c r="H67" s="33">
        <f t="shared" ref="H67" si="301">G67*1000</f>
        <v>14.768951911001059</v>
      </c>
      <c r="I67" s="33"/>
      <c r="J67" s="34"/>
      <c r="K67" s="36">
        <v>10.169999999999998</v>
      </c>
      <c r="L67" s="2">
        <v>-7.7999999999999996E-3</v>
      </c>
      <c r="M67" s="36">
        <f t="shared" ref="M67" si="302">AVERAGE(L67:L68)</f>
        <v>-1.013E-2</v>
      </c>
      <c r="N67" s="36">
        <f t="shared" ref="N67" si="303">_xlfn.STDEV.S(L67:L68)/SQRT(2)</f>
        <v>2.3299999999999992E-3</v>
      </c>
      <c r="O67" s="36">
        <f t="shared" ref="O67" si="304">(-M67*1*0.2)/(6220*0.6*0.01*10^-3)</f>
        <v>5.4287245444801714E-2</v>
      </c>
      <c r="P67" s="36">
        <f t="shared" ref="P67" si="305">O67/K67</f>
        <v>5.3379789031270134E-3</v>
      </c>
      <c r="Q67" s="33">
        <f t="shared" ref="Q67" si="306">P67*1000</f>
        <v>5.3379789031270137</v>
      </c>
      <c r="R67" s="33"/>
      <c r="S67" s="34"/>
    </row>
    <row r="68" spans="1:19" x14ac:dyDescent="0.35">
      <c r="A68" s="37"/>
      <c r="B68" s="38"/>
      <c r="C68" s="5">
        <v>-2.7269999999999999E-2</v>
      </c>
      <c r="D68" s="36"/>
      <c r="E68" s="36"/>
      <c r="F68" s="36"/>
      <c r="G68" s="36"/>
      <c r="H68" s="33"/>
      <c r="I68" s="33"/>
      <c r="J68" s="34"/>
      <c r="K68" s="36"/>
      <c r="L68" s="2">
        <v>-1.2460000000000001E-2</v>
      </c>
      <c r="M68" s="36"/>
      <c r="N68" s="36"/>
      <c r="O68" s="36"/>
      <c r="P68" s="36"/>
      <c r="Q68" s="33"/>
      <c r="R68" s="33"/>
      <c r="S68" s="34"/>
    </row>
    <row r="69" spans="1:19" x14ac:dyDescent="0.35">
      <c r="A69" s="37">
        <v>34</v>
      </c>
      <c r="B69" s="38">
        <v>5.64</v>
      </c>
      <c r="C69" s="5">
        <v>-3.141E-2</v>
      </c>
      <c r="D69" s="36">
        <f t="shared" ref="D69" si="307">AVERAGE(C69:C70)</f>
        <v>-2.7654999999999999E-2</v>
      </c>
      <c r="E69" s="36">
        <f t="shared" ref="E69" si="308">_xlfn.STDEV.S(C69:C70)/SQRT(2)</f>
        <v>3.7550000000000105E-3</v>
      </c>
      <c r="F69" s="36">
        <f t="shared" ref="F69" si="309">(-D69*1*0.21)/(6220*0.6*0.02*10^-3)</f>
        <v>7.7807475884244373E-2</v>
      </c>
      <c r="G69" s="36">
        <f>F69/B69</f>
        <v>1.3795651752525598E-2</v>
      </c>
      <c r="H69" s="33">
        <f t="shared" ref="H69" si="310">G69*1000</f>
        <v>13.795651752525599</v>
      </c>
      <c r="I69" s="33">
        <f t="shared" ref="I69" si="311">AVERAGE(H69:H74)</f>
        <v>12.738442773755892</v>
      </c>
      <c r="J69" s="34">
        <f t="shared" ref="J69" si="312">(_xlfn.STDEV.S(H69:H74)/SQRT(3))/I69</f>
        <v>6.7535906503903523E-2</v>
      </c>
      <c r="K69" s="36">
        <v>8.5200000000000014</v>
      </c>
      <c r="L69" s="2">
        <v>-8.6499999999999997E-3</v>
      </c>
      <c r="M69" s="36">
        <f t="shared" ref="M69" si="313">AVERAGE(L69:L70)</f>
        <v>-7.3200000000000001E-3</v>
      </c>
      <c r="N69" s="36">
        <f t="shared" ref="N69" si="314">_xlfn.STDEV.S(L69:L70)/SQRT(2)</f>
        <v>1.3299999999999994E-3</v>
      </c>
      <c r="O69" s="36">
        <f t="shared" ref="O69" si="315">(-M69*1*0.2)/(6220*0.6*0.01*10^-3)</f>
        <v>3.9228295819935692E-2</v>
      </c>
      <c r="P69" s="36">
        <f t="shared" ref="P69" si="316">O69/K69</f>
        <v>4.6042600727624044E-3</v>
      </c>
      <c r="Q69" s="33">
        <f t="shared" ref="Q69" si="317">P69*1000</f>
        <v>4.6042600727624041</v>
      </c>
      <c r="R69" s="33">
        <f t="shared" ref="R69" si="318">AVERAGE(Q69:Q74)</f>
        <v>5.8975819413445487</v>
      </c>
      <c r="S69" s="34">
        <f t="shared" ref="S69" si="319">(_xlfn.STDEV.S(Q69:Q74)/SQRT(3))/R69</f>
        <v>0.14419834760686334</v>
      </c>
    </row>
    <row r="70" spans="1:19" x14ac:dyDescent="0.35">
      <c r="A70" s="37"/>
      <c r="B70" s="38"/>
      <c r="C70" s="5">
        <v>-2.3900000000000001E-2</v>
      </c>
      <c r="D70" s="36"/>
      <c r="E70" s="36"/>
      <c r="F70" s="36"/>
      <c r="G70" s="36"/>
      <c r="H70" s="33"/>
      <c r="I70" s="33"/>
      <c r="J70" s="34"/>
      <c r="K70" s="36"/>
      <c r="L70" s="2">
        <v>-5.9900000000000005E-3</v>
      </c>
      <c r="M70" s="36"/>
      <c r="N70" s="36"/>
      <c r="O70" s="36"/>
      <c r="P70" s="36"/>
      <c r="Q70" s="33"/>
      <c r="R70" s="33"/>
      <c r="S70" s="34"/>
    </row>
    <row r="71" spans="1:19" x14ac:dyDescent="0.35">
      <c r="A71" s="37">
        <v>35</v>
      </c>
      <c r="B71" s="38">
        <v>5.76</v>
      </c>
      <c r="C71" s="5">
        <v>-2.563E-2</v>
      </c>
      <c r="D71" s="36">
        <f t="shared" ref="D71" si="320">AVERAGE(C71:C72)</f>
        <v>-2.2589999999999999E-2</v>
      </c>
      <c r="E71" s="36">
        <f t="shared" ref="E71" si="321">_xlfn.STDEV.S(C71:C72)/SQRT(2)</f>
        <v>3.0399999999999989E-3</v>
      </c>
      <c r="F71" s="36">
        <f t="shared" ref="F71" si="322">(-D71*1*0.21)/(6220*0.6*0.02*10^-3)</f>
        <v>6.3557073954983917E-2</v>
      </c>
      <c r="G71" s="36">
        <f>F71/B71</f>
        <v>1.1034214228295819E-2</v>
      </c>
      <c r="H71" s="33">
        <f t="shared" ref="H71" si="323">G71*1000</f>
        <v>11.034214228295818</v>
      </c>
      <c r="I71" s="33"/>
      <c r="J71" s="34"/>
      <c r="K71" s="36">
        <v>8.91</v>
      </c>
      <c r="L71" s="2">
        <v>-9.0200000000000002E-3</v>
      </c>
      <c r="M71" s="36">
        <f t="shared" ref="M71" si="324">AVERAGE(L71:L72)</f>
        <v>-9.2899999999999996E-3</v>
      </c>
      <c r="N71" s="36">
        <f t="shared" ref="N71" si="325">_xlfn.STDEV.S(L71:L72)/SQRT(2)</f>
        <v>2.7000000000000027E-4</v>
      </c>
      <c r="O71" s="36">
        <f t="shared" ref="O71" si="326">(-M71*1*0.2)/(6220*0.6*0.01*10^-3)</f>
        <v>4.9785637727759915E-2</v>
      </c>
      <c r="P71" s="36">
        <f t="shared" ref="P71" si="327">O71/K71</f>
        <v>5.5876136619259159E-3</v>
      </c>
      <c r="Q71" s="33">
        <f t="shared" ref="Q71" si="328">P71*1000</f>
        <v>5.587613661925916</v>
      </c>
      <c r="R71" s="33"/>
      <c r="S71" s="34"/>
    </row>
    <row r="72" spans="1:19" x14ac:dyDescent="0.35">
      <c r="A72" s="37"/>
      <c r="B72" s="38"/>
      <c r="C72" s="5">
        <v>-1.9550000000000001E-2</v>
      </c>
      <c r="D72" s="36"/>
      <c r="E72" s="36"/>
      <c r="F72" s="36"/>
      <c r="G72" s="36"/>
      <c r="H72" s="33"/>
      <c r="I72" s="33"/>
      <c r="J72" s="34"/>
      <c r="K72" s="36"/>
      <c r="L72" s="2">
        <v>-9.5600000000000008E-3</v>
      </c>
      <c r="M72" s="36"/>
      <c r="N72" s="36"/>
      <c r="O72" s="36"/>
      <c r="P72" s="36"/>
      <c r="Q72" s="33"/>
      <c r="R72" s="33"/>
      <c r="S72" s="34"/>
    </row>
    <row r="73" spans="1:19" x14ac:dyDescent="0.35">
      <c r="A73" s="37">
        <v>36</v>
      </c>
      <c r="B73" s="38">
        <v>4.4550000000000001</v>
      </c>
      <c r="C73" s="5">
        <v>-2.1930000000000002E-2</v>
      </c>
      <c r="D73" s="36">
        <f t="shared" ref="D73" si="329">AVERAGE(C73:C74)</f>
        <v>-2.1194999999999999E-2</v>
      </c>
      <c r="E73" s="36">
        <f t="shared" ref="E73" si="330">_xlfn.STDEV.S(C73:C74)/SQRT(2)</f>
        <v>7.3500000000000128E-4</v>
      </c>
      <c r="F73" s="36">
        <f t="shared" ref="F73" si="331">(-D73*1*0.21)/(6220*0.6*0.02*10^-3)</f>
        <v>5.9632234726688098E-2</v>
      </c>
      <c r="G73" s="36">
        <f>F73/B73</f>
        <v>1.3385462340446262E-2</v>
      </c>
      <c r="H73" s="33">
        <f t="shared" ref="H73" si="332">G73*1000</f>
        <v>13.385462340446262</v>
      </c>
      <c r="I73" s="33"/>
      <c r="J73" s="34"/>
      <c r="K73" s="36">
        <v>8.8949999999999996</v>
      </c>
      <c r="L73" s="2">
        <v>-1.4749999999999999E-2</v>
      </c>
      <c r="M73" s="36">
        <f t="shared" ref="M73" si="333">AVERAGE(L73:L74)</f>
        <v>-1.2449999999999999E-2</v>
      </c>
      <c r="N73" s="36">
        <f t="shared" ref="N73" si="334">_xlfn.STDEV.S(L73:L74)/SQRT(2)</f>
        <v>2.3E-3</v>
      </c>
      <c r="O73" s="36">
        <f t="shared" ref="O73" si="335">(-M73*1*0.2)/(6220*0.6*0.01*10^-3)</f>
        <v>6.6720257234726688E-2</v>
      </c>
      <c r="P73" s="36">
        <f t="shared" ref="P73" si="336">O73/K73</f>
        <v>7.5008720893453276E-3</v>
      </c>
      <c r="Q73" s="33">
        <f t="shared" ref="Q73" si="337">P73*1000</f>
        <v>7.5008720893453278</v>
      </c>
      <c r="R73" s="33"/>
      <c r="S73" s="34"/>
    </row>
    <row r="74" spans="1:19" x14ac:dyDescent="0.35">
      <c r="A74" s="37"/>
      <c r="B74" s="38"/>
      <c r="C74" s="5">
        <v>-2.0459999999999999E-2</v>
      </c>
      <c r="D74" s="36"/>
      <c r="E74" s="36"/>
      <c r="F74" s="36"/>
      <c r="G74" s="36"/>
      <c r="H74" s="33"/>
      <c r="I74" s="33"/>
      <c r="J74" s="34"/>
      <c r="K74" s="36"/>
      <c r="L74" s="2">
        <v>-1.0149999999999999E-2</v>
      </c>
      <c r="M74" s="36"/>
      <c r="N74" s="36"/>
      <c r="O74" s="36"/>
      <c r="P74" s="36"/>
      <c r="Q74" s="33"/>
      <c r="R74" s="33"/>
      <c r="S74" s="34"/>
    </row>
    <row r="75" spans="1:19" x14ac:dyDescent="0.35">
      <c r="A75" s="37">
        <v>37</v>
      </c>
      <c r="B75" s="38">
        <v>6.7650000000000006</v>
      </c>
      <c r="C75" s="5">
        <v>-1.9529999999999999E-2</v>
      </c>
      <c r="D75" s="36">
        <f t="shared" ref="D75" si="338">AVERAGE(C75:C76)</f>
        <v>-2.1545000000000002E-2</v>
      </c>
      <c r="E75" s="36">
        <f t="shared" ref="E75" si="339">_xlfn.STDEV.S(C75:C76)/SQRT(2)</f>
        <v>2.0150000000000012E-3</v>
      </c>
      <c r="F75" s="36">
        <f t="shared" ref="F75" si="340">(-D75*1*0.21)/(6220*0.6*0.02*10^-3)</f>
        <v>6.0616961414791004E-2</v>
      </c>
      <c r="G75" s="36">
        <f>F75/B75</f>
        <v>8.9603786274635618E-3</v>
      </c>
      <c r="H75" s="33">
        <f t="shared" ref="H75" si="341">G75*1000</f>
        <v>8.9603786274635624</v>
      </c>
      <c r="I75" s="33">
        <f t="shared" ref="I75" si="342">AVERAGE(H75:H80)</f>
        <v>13.143712324970663</v>
      </c>
      <c r="J75" s="34">
        <f t="shared" ref="J75" si="343">(_xlfn.STDEV.S(H75:H80)/SQRT(3))/I75</f>
        <v>0.16541586294257887</v>
      </c>
      <c r="K75" s="36">
        <v>10.5</v>
      </c>
      <c r="L75" s="2">
        <v>-4.9199999999999999E-3</v>
      </c>
      <c r="M75" s="36">
        <f t="shared" ref="M75" si="344">AVERAGE(L75:L76)</f>
        <v>-6.195E-3</v>
      </c>
      <c r="N75" s="36">
        <f t="shared" ref="N75" si="345">_xlfn.STDEV.S(L75:L76)/SQRT(2)</f>
        <v>1.2749999999999999E-3</v>
      </c>
      <c r="O75" s="36">
        <f t="shared" ref="O75" si="346">(-M75*1*0.2)/(6220*0.6*0.01*10^-3)</f>
        <v>3.3199356913183285E-2</v>
      </c>
      <c r="P75" s="36">
        <f t="shared" ref="P75" si="347">O75/K75</f>
        <v>3.1618435155412652E-3</v>
      </c>
      <c r="Q75" s="41">
        <f t="shared" ref="Q75" si="348">P75*1000</f>
        <v>3.161843515541265</v>
      </c>
      <c r="R75" s="33">
        <f>AVERAGE(Q75:Q78)</f>
        <v>4.228712937724314</v>
      </c>
      <c r="S75" s="34">
        <f>(_xlfn.STDEV.S(Q75:Q78)/SQRT(3))/R75</f>
        <v>0.20599535800545052</v>
      </c>
    </row>
    <row r="76" spans="1:19" x14ac:dyDescent="0.35">
      <c r="A76" s="37"/>
      <c r="B76" s="38"/>
      <c r="C76" s="5">
        <v>-2.3560000000000001E-2</v>
      </c>
      <c r="D76" s="36"/>
      <c r="E76" s="36"/>
      <c r="F76" s="36"/>
      <c r="G76" s="36"/>
      <c r="H76" s="33"/>
      <c r="I76" s="33"/>
      <c r="J76" s="34"/>
      <c r="K76" s="36"/>
      <c r="L76" s="2">
        <v>-7.4700000000000001E-3</v>
      </c>
      <c r="M76" s="36"/>
      <c r="N76" s="36"/>
      <c r="O76" s="36"/>
      <c r="P76" s="36"/>
      <c r="Q76" s="41"/>
      <c r="R76" s="33"/>
      <c r="S76" s="34"/>
    </row>
    <row r="77" spans="1:19" x14ac:dyDescent="0.35">
      <c r="A77" s="37">
        <v>38</v>
      </c>
      <c r="B77" s="38">
        <v>5.1150000000000002</v>
      </c>
      <c r="C77" s="5">
        <v>-2.6880000000000001E-2</v>
      </c>
      <c r="D77" s="36">
        <f t="shared" ref="D77" si="349">AVERAGE(C77:C78)</f>
        <v>-2.5829999999999999E-2</v>
      </c>
      <c r="E77" s="36">
        <f t="shared" ref="E77" si="350">_xlfn.STDEV.S(C77:C78)/SQRT(2)</f>
        <v>1.0500000000000006E-3</v>
      </c>
      <c r="F77" s="36">
        <f t="shared" ref="F77" si="351">(-D77*1*0.21)/(6220*0.6*0.02*10^-3)</f>
        <v>7.2672829581993573E-2</v>
      </c>
      <c r="G77" s="36">
        <f>F77/B77</f>
        <v>1.4207786819549085E-2</v>
      </c>
      <c r="H77" s="33">
        <f t="shared" ref="H77" si="352">G77*1000</f>
        <v>14.207786819549085</v>
      </c>
      <c r="I77" s="33"/>
      <c r="J77" s="34"/>
      <c r="K77" s="36">
        <v>8.8650000000000002</v>
      </c>
      <c r="L77" s="23">
        <v>-0.1235</v>
      </c>
      <c r="M77" s="36">
        <f>AVERAGE(L78:L78)</f>
        <v>-8.7600000000000004E-3</v>
      </c>
      <c r="N77" s="36" t="e">
        <f>_xlfn.STDEV.S(L78:L78)/SQRT(2)</f>
        <v>#DIV/0!</v>
      </c>
      <c r="O77" s="36">
        <f t="shared" ref="O77" si="353">(-M77*1*0.2)/(6220*0.6*0.01*10^-3)</f>
        <v>4.694533762057878E-2</v>
      </c>
      <c r="P77" s="36">
        <f t="shared" ref="P77" si="354">O77/K77</f>
        <v>5.2955823599073635E-3</v>
      </c>
      <c r="Q77" s="41">
        <f t="shared" ref="Q77" si="355">P77*1000</f>
        <v>5.2955823599073639</v>
      </c>
      <c r="R77" s="33"/>
      <c r="S77" s="34"/>
    </row>
    <row r="78" spans="1:19" x14ac:dyDescent="0.35">
      <c r="A78" s="37"/>
      <c r="B78" s="38"/>
      <c r="C78" s="5">
        <v>-2.478E-2</v>
      </c>
      <c r="D78" s="36"/>
      <c r="E78" s="36"/>
      <c r="F78" s="36"/>
      <c r="G78" s="36"/>
      <c r="H78" s="33"/>
      <c r="I78" s="33"/>
      <c r="J78" s="34"/>
      <c r="K78" s="36"/>
      <c r="L78" s="2">
        <v>-8.7600000000000004E-3</v>
      </c>
      <c r="M78" s="36"/>
      <c r="N78" s="36"/>
      <c r="O78" s="36"/>
      <c r="P78" s="36"/>
      <c r="Q78" s="41"/>
      <c r="R78" s="33"/>
      <c r="S78" s="34"/>
    </row>
    <row r="79" spans="1:19" x14ac:dyDescent="0.35">
      <c r="A79" s="37">
        <v>39</v>
      </c>
      <c r="B79" s="38">
        <v>5.2350000000000003</v>
      </c>
      <c r="C79" s="5">
        <v>-2.9139999999999999E-2</v>
      </c>
      <c r="D79" s="36">
        <f>AVERAGE(C79:C80)</f>
        <v>-3.0259999999999999E-2</v>
      </c>
      <c r="E79" s="36">
        <f t="shared" ref="E79" si="356">_xlfn.STDEV.S(C79:C80)/SQRT(2)</f>
        <v>1.1199999999999993E-3</v>
      </c>
      <c r="F79" s="36">
        <f t="shared" ref="F79" si="357">(-D79*1*0.21)/(6220*0.6*0.02*10^-3)</f>
        <v>8.5136655948553047E-2</v>
      </c>
      <c r="G79" s="36">
        <f>F79/B79</f>
        <v>1.626297152789934E-2</v>
      </c>
      <c r="H79" s="33">
        <f t="shared" ref="H79" si="358">G79*1000</f>
        <v>16.262971527899339</v>
      </c>
      <c r="I79" s="33"/>
      <c r="J79" s="34"/>
      <c r="K79" s="36">
        <v>10.215</v>
      </c>
      <c r="L79" s="2">
        <v>-2.52E-2</v>
      </c>
      <c r="M79" s="36">
        <f>AVERAGE(L79:L80)</f>
        <v>-2.0764999999999999E-2</v>
      </c>
      <c r="N79" s="36">
        <f t="shared" ref="N79" si="359">_xlfn.STDEV.S(L79:L80)/SQRT(2)</f>
        <v>4.4350000000000075E-3</v>
      </c>
      <c r="O79" s="36">
        <f t="shared" ref="O79" si="360">(-M79*1*0.2)/(6220*0.6*0.01*10^-3)</f>
        <v>0.11128081457663451</v>
      </c>
      <c r="P79" s="36">
        <f t="shared" ref="P79" si="361">O79/K79</f>
        <v>1.0893863394677877E-2</v>
      </c>
      <c r="Q79" s="43">
        <f t="shared" ref="Q79" si="362">P79*1000</f>
        <v>10.893863394677878</v>
      </c>
      <c r="R79" s="33"/>
      <c r="S79" s="34"/>
    </row>
    <row r="80" spans="1:19" x14ac:dyDescent="0.35">
      <c r="A80" s="37"/>
      <c r="B80" s="38"/>
      <c r="C80" s="5">
        <v>-3.1379999999999998E-2</v>
      </c>
      <c r="D80" s="36"/>
      <c r="E80" s="36"/>
      <c r="F80" s="36"/>
      <c r="G80" s="36"/>
      <c r="H80" s="33"/>
      <c r="I80" s="33"/>
      <c r="J80" s="34"/>
      <c r="K80" s="36"/>
      <c r="L80" s="2">
        <v>-1.6330000000000001E-2</v>
      </c>
      <c r="M80" s="36"/>
      <c r="N80" s="36"/>
      <c r="O80" s="36"/>
      <c r="P80" s="36"/>
      <c r="Q80" s="43"/>
      <c r="R80" s="33"/>
      <c r="S80" s="34"/>
    </row>
    <row r="81" spans="1:19" x14ac:dyDescent="0.35">
      <c r="A81" s="37">
        <v>40</v>
      </c>
      <c r="B81" s="38">
        <v>6.15</v>
      </c>
      <c r="C81" s="2">
        <v>-1.873E-2</v>
      </c>
      <c r="D81" s="36">
        <f t="shared" ref="D81" si="363">AVERAGE(C81:C82)</f>
        <v>-1.8849999999999999E-2</v>
      </c>
      <c r="E81" s="36">
        <f t="shared" ref="E81" si="364">_xlfn.STDEV.S(C81:C82)/SQRT(2)</f>
        <v>1.2000000000000031E-4</v>
      </c>
      <c r="F81" s="36">
        <f t="shared" ref="F81" si="365">(-D81*1*0.21)/(6220*0.6*0.02*10^-3)</f>
        <v>5.3034565916398706E-2</v>
      </c>
      <c r="G81" s="36">
        <f>F81/B81</f>
        <v>8.6235066530729598E-3</v>
      </c>
      <c r="H81" s="33">
        <f t="shared" ref="H81" si="366">G81*1000</f>
        <v>8.62350665307296</v>
      </c>
      <c r="I81" s="33">
        <f t="shared" ref="I81" si="367">AVERAGE(H81:H86)</f>
        <v>9.4717220993048912</v>
      </c>
      <c r="J81" s="34">
        <f t="shared" ref="J81" si="368">(_xlfn.STDEV.S(H81:H86)/SQRT(3))/I81</f>
        <v>8.749237341613568E-2</v>
      </c>
      <c r="K81" s="36">
        <v>9.09</v>
      </c>
      <c r="L81" s="5">
        <v>-1.2619999999999999E-2</v>
      </c>
      <c r="M81" s="36">
        <f t="shared" ref="M81" si="369">AVERAGE(L81:L82)</f>
        <v>-1.0345E-2</v>
      </c>
      <c r="N81" s="36">
        <f t="shared" ref="N81" si="370">_xlfn.STDEV.S(L81:L82)/SQRT(2)</f>
        <v>2.2749999999999997E-3</v>
      </c>
      <c r="O81" s="36">
        <f t="shared" ref="O81" si="371">(-M81*1*0.2)/(6220*0.6*0.01*10^-3)</f>
        <v>5.5439442658092176E-2</v>
      </c>
      <c r="P81" s="36">
        <f t="shared" ref="P81" si="372">O81/K81</f>
        <v>6.098948587248864E-3</v>
      </c>
      <c r="Q81" s="33">
        <f t="shared" ref="Q81" si="373">P81*1000</f>
        <v>6.0989485872488638</v>
      </c>
      <c r="R81" s="33">
        <f t="shared" ref="R81" si="374">AVERAGE(Q81:Q86)</f>
        <v>5.5119089293906969</v>
      </c>
      <c r="S81" s="34">
        <f t="shared" ref="S81" si="375">(_xlfn.STDEV.S(Q81:Q86)/SQRT(3))/R81</f>
        <v>0.22839397623411761</v>
      </c>
    </row>
    <row r="82" spans="1:19" x14ac:dyDescent="0.35">
      <c r="A82" s="37"/>
      <c r="B82" s="38"/>
      <c r="C82" s="2">
        <v>-1.8970000000000001E-2</v>
      </c>
      <c r="D82" s="36"/>
      <c r="E82" s="36"/>
      <c r="F82" s="36"/>
      <c r="G82" s="36"/>
      <c r="H82" s="33"/>
      <c r="I82" s="33"/>
      <c r="J82" s="34"/>
      <c r="K82" s="36"/>
      <c r="L82" s="5">
        <v>-8.0700000000000008E-3</v>
      </c>
      <c r="M82" s="36"/>
      <c r="N82" s="36"/>
      <c r="O82" s="36"/>
      <c r="P82" s="36"/>
      <c r="Q82" s="33"/>
      <c r="R82" s="33"/>
      <c r="S82" s="34"/>
    </row>
    <row r="83" spans="1:19" x14ac:dyDescent="0.35">
      <c r="A83" s="37">
        <v>41</v>
      </c>
      <c r="B83" s="38">
        <v>7.1549999999999994</v>
      </c>
      <c r="C83" s="2">
        <v>-2.3189999999999999E-2</v>
      </c>
      <c r="D83" s="36">
        <f t="shared" ref="D83" si="376">AVERAGE(C83:C84)</f>
        <v>-2.2030000000000001E-2</v>
      </c>
      <c r="E83" s="36">
        <f t="shared" ref="E83" si="377">_xlfn.STDEV.S(C83:C84)/SQRT(2)</f>
        <v>1.1599999999999996E-3</v>
      </c>
      <c r="F83" s="36">
        <f t="shared" ref="F83" si="378">(-D83*1*0.21)/(6220*0.6*0.02*10^-3)</f>
        <v>6.1981511254019295E-2</v>
      </c>
      <c r="G83" s="36">
        <f>F83/B83</f>
        <v>8.6626850110439278E-3</v>
      </c>
      <c r="H83" s="33">
        <f t="shared" ref="H83" si="379">G83*1000</f>
        <v>8.6626850110439282</v>
      </c>
      <c r="I83" s="33"/>
      <c r="J83" s="34"/>
      <c r="K83" s="36">
        <v>9.5400000000000009</v>
      </c>
      <c r="L83" s="5">
        <v>-7.3499999999999998E-3</v>
      </c>
      <c r="M83" s="36">
        <f t="shared" ref="M83" si="380">AVERAGE(L83:L84)</f>
        <v>-5.5149999999999999E-3</v>
      </c>
      <c r="N83" s="36">
        <f t="shared" ref="N83" si="381">_xlfn.STDEV.S(L83:L84)/SQRT(2)</f>
        <v>1.8350000000000005E-3</v>
      </c>
      <c r="O83" s="36">
        <f t="shared" ref="O83" si="382">(-M83*1*0.2)/(6220*0.6*0.01*10^-3)</f>
        <v>2.9555198285101825E-2</v>
      </c>
      <c r="P83" s="36">
        <f t="shared" ref="P83" si="383">O83/K83</f>
        <v>3.0980291703461031E-3</v>
      </c>
      <c r="Q83" s="33">
        <f t="shared" ref="Q83" si="384">P83*1000</f>
        <v>3.0980291703461029</v>
      </c>
      <c r="R83" s="33"/>
      <c r="S83" s="34"/>
    </row>
    <row r="84" spans="1:19" x14ac:dyDescent="0.35">
      <c r="A84" s="37"/>
      <c r="B84" s="38"/>
      <c r="C84" s="2">
        <v>-2.087E-2</v>
      </c>
      <c r="D84" s="36"/>
      <c r="E84" s="36"/>
      <c r="F84" s="36"/>
      <c r="G84" s="36"/>
      <c r="H84" s="33"/>
      <c r="I84" s="33"/>
      <c r="J84" s="34"/>
      <c r="K84" s="36"/>
      <c r="L84" s="5">
        <v>-3.6800000000000001E-3</v>
      </c>
      <c r="M84" s="36"/>
      <c r="N84" s="36"/>
      <c r="O84" s="36"/>
      <c r="P84" s="36"/>
      <c r="Q84" s="33"/>
      <c r="R84" s="33"/>
      <c r="S84" s="34"/>
    </row>
    <row r="85" spans="1:19" x14ac:dyDescent="0.35">
      <c r="A85" s="37">
        <v>42</v>
      </c>
      <c r="B85" s="38">
        <v>3.8250000000000002</v>
      </c>
      <c r="C85" s="2">
        <v>-1.4370000000000001E-2</v>
      </c>
      <c r="D85" s="36">
        <f t="shared" ref="D85" si="385">AVERAGE(C85:C86)</f>
        <v>-1.5130000000000001E-2</v>
      </c>
      <c r="E85" s="36">
        <f t="shared" ref="E85" si="386">_xlfn.STDEV.S(C85:C86)/SQRT(2)</f>
        <v>7.6000000000000026E-4</v>
      </c>
      <c r="F85" s="36">
        <f t="shared" ref="F85" si="387">(-D85*1*0.21)/(6220*0.6*0.02*10^-3)</f>
        <v>4.2568327974276531E-2</v>
      </c>
      <c r="G85" s="36">
        <f>F85/B85</f>
        <v>1.1128974633797785E-2</v>
      </c>
      <c r="H85" s="33">
        <f t="shared" ref="H85" si="388">G85*1000</f>
        <v>11.128974633797785</v>
      </c>
      <c r="I85" s="33"/>
      <c r="J85" s="34"/>
      <c r="K85" s="36">
        <v>9.8399999999999981</v>
      </c>
      <c r="L85" s="5">
        <v>-1.4749999999999999E-2</v>
      </c>
      <c r="M85" s="36">
        <f t="shared" ref="M85" si="389">AVERAGE(L85:L86)</f>
        <v>-1.3475000000000001E-2</v>
      </c>
      <c r="N85" s="36">
        <f t="shared" ref="N85" si="390">_xlfn.STDEV.S(L85:L86)/SQRT(2)</f>
        <v>1.2749999999999992E-3</v>
      </c>
      <c r="O85" s="36">
        <f t="shared" ref="O85" si="391">(-M85*1*0.2)/(6220*0.6*0.01*10^-3)</f>
        <v>7.221329046087889E-2</v>
      </c>
      <c r="P85" s="36">
        <f t="shared" ref="P85" si="392">O85/K85</f>
        <v>7.3387490305771245E-3</v>
      </c>
      <c r="Q85" s="33">
        <f t="shared" ref="Q85" si="393">P85*1000</f>
        <v>7.3387490305771248</v>
      </c>
      <c r="R85" s="33"/>
      <c r="S85" s="34"/>
    </row>
    <row r="86" spans="1:19" x14ac:dyDescent="0.35">
      <c r="A86" s="37"/>
      <c r="B86" s="38"/>
      <c r="C86" s="2">
        <v>-1.5890000000000001E-2</v>
      </c>
      <c r="D86" s="36"/>
      <c r="E86" s="36"/>
      <c r="F86" s="36"/>
      <c r="G86" s="36"/>
      <c r="H86" s="33"/>
      <c r="I86" s="33"/>
      <c r="J86" s="34"/>
      <c r="K86" s="36"/>
      <c r="L86" s="5">
        <v>-1.2200000000000001E-2</v>
      </c>
      <c r="M86" s="36"/>
      <c r="N86" s="36"/>
      <c r="O86" s="36"/>
      <c r="P86" s="36"/>
      <c r="Q86" s="33"/>
      <c r="R86" s="33"/>
      <c r="S86" s="34"/>
    </row>
    <row r="87" spans="1:19" x14ac:dyDescent="0.35">
      <c r="A87" s="37">
        <v>43</v>
      </c>
      <c r="B87" s="38">
        <v>8.3249999999999993</v>
      </c>
      <c r="C87" s="2">
        <v>-3.3840000000000002E-2</v>
      </c>
      <c r="D87" s="36">
        <f t="shared" ref="D87" si="394">AVERAGE(C87:C88)</f>
        <v>-3.3055000000000001E-2</v>
      </c>
      <c r="E87" s="36">
        <f t="shared" ref="E87" si="395">_xlfn.STDEV.S(C87:C88)/SQRT(2)</f>
        <v>7.8500000000000097E-4</v>
      </c>
      <c r="F87" s="36">
        <f t="shared" ref="F87" si="396">(-D87*1*0.21)/(6220*0.6*0.02*10^-3)</f>
        <v>9.3000401929260457E-2</v>
      </c>
      <c r="G87" s="36">
        <f>F87/B87</f>
        <v>1.1171219450962219E-2</v>
      </c>
      <c r="H87" s="33">
        <f t="shared" ref="H87" si="397">G87*1000</f>
        <v>11.171219450962219</v>
      </c>
      <c r="I87" s="33">
        <f t="shared" ref="I87" si="398">AVERAGE(H87:H92)</f>
        <v>11.01003151883747</v>
      </c>
      <c r="J87" s="34">
        <f t="shared" ref="J87" si="399">(_xlfn.STDEV.S(H87:H92)/SQRT(3))/I87</f>
        <v>2.2324004737960233E-2</v>
      </c>
      <c r="K87" s="36">
        <v>12.375</v>
      </c>
      <c r="L87" s="5">
        <v>-2.215E-2</v>
      </c>
      <c r="M87" s="36">
        <f t="shared" ref="M87" si="400">AVERAGE(L87:L88)</f>
        <v>-1.8384999999999999E-2</v>
      </c>
      <c r="N87" s="36">
        <f t="shared" ref="N87" si="401">_xlfn.STDEV.S(L87:L88)/SQRT(2)</f>
        <v>3.7650000000000036E-3</v>
      </c>
      <c r="O87" s="36">
        <f t="shared" ref="O87" si="402">(-M87*1*0.2)/(6220*0.6*0.01*10^-3)</f>
        <v>9.8526259378349412E-2</v>
      </c>
      <c r="P87" s="36">
        <f t="shared" ref="P87" si="403">O87/K87</f>
        <v>7.9617179295635894E-3</v>
      </c>
      <c r="Q87" s="33">
        <f t="shared" ref="Q87" si="404">P87*1000</f>
        <v>7.9617179295635898</v>
      </c>
      <c r="R87" s="33">
        <f t="shared" ref="R87" si="405">AVERAGE(Q87:Q92)</f>
        <v>5.7585436894338002</v>
      </c>
      <c r="S87" s="34">
        <f t="shared" ref="S87" si="406">(_xlfn.STDEV.S(Q87:Q92)/SQRT(3))/R87</f>
        <v>0.28733112271177075</v>
      </c>
    </row>
    <row r="88" spans="1:19" x14ac:dyDescent="0.35">
      <c r="A88" s="37"/>
      <c r="B88" s="38"/>
      <c r="C88" s="2">
        <v>-3.227E-2</v>
      </c>
      <c r="D88" s="36"/>
      <c r="E88" s="36"/>
      <c r="F88" s="36"/>
      <c r="G88" s="36"/>
      <c r="H88" s="33"/>
      <c r="I88" s="33"/>
      <c r="J88" s="34"/>
      <c r="K88" s="36"/>
      <c r="L88" s="5">
        <v>-1.4619999999999999E-2</v>
      </c>
      <c r="M88" s="36"/>
      <c r="N88" s="36"/>
      <c r="O88" s="36"/>
      <c r="P88" s="36"/>
      <c r="Q88" s="33"/>
      <c r="R88" s="33"/>
      <c r="S88" s="34"/>
    </row>
    <row r="89" spans="1:19" x14ac:dyDescent="0.35">
      <c r="A89" s="37">
        <v>44</v>
      </c>
      <c r="B89" s="38">
        <v>5.8650000000000002</v>
      </c>
      <c r="C89" s="2">
        <v>-2.2859999999999998E-2</v>
      </c>
      <c r="D89" s="36">
        <f t="shared" ref="D89" si="407">AVERAGE(C89:C90)</f>
        <v>-2.1944999999999999E-2</v>
      </c>
      <c r="E89" s="36">
        <f t="shared" ref="E89" si="408">_xlfn.STDEV.S(C89:C90)/SQRT(2)</f>
        <v>9.1499999999999904E-4</v>
      </c>
      <c r="F89" s="36">
        <f t="shared" ref="F89" si="409">(-D89*1*0.21)/(6220*0.6*0.02*10^-3)</f>
        <v>6.1742363344051449E-2</v>
      </c>
      <c r="G89" s="36">
        <f>F89/B89</f>
        <v>1.0527257177161372E-2</v>
      </c>
      <c r="H89" s="33">
        <f t="shared" ref="H89" si="410">G89*1000</f>
        <v>10.527257177161372</v>
      </c>
      <c r="I89" s="33"/>
      <c r="J89" s="34"/>
      <c r="K89" s="36">
        <v>8.49</v>
      </c>
      <c r="L89" s="5">
        <v>-3.4300000000000003E-3</v>
      </c>
      <c r="M89" s="36">
        <f t="shared" ref="M89" si="411">AVERAGE(L89:L90)</f>
        <v>-3.9900000000000005E-3</v>
      </c>
      <c r="N89" s="36">
        <f t="shared" ref="N89" si="412">_xlfn.STDEV.S(L89:L90)/SQRT(2)</f>
        <v>5.5999999999999984E-4</v>
      </c>
      <c r="O89" s="36">
        <f t="shared" ref="O89" si="413">(-M89*1*0.2)/(6220*0.6*0.01*10^-3)</f>
        <v>2.1382636655948556E-2</v>
      </c>
      <c r="P89" s="36">
        <f t="shared" ref="P89" si="414">O89/K89</f>
        <v>2.5185673328561313E-3</v>
      </c>
      <c r="Q89" s="33">
        <f t="shared" ref="Q89" si="415">P89*1000</f>
        <v>2.5185673328561311</v>
      </c>
      <c r="R89" s="33"/>
      <c r="S89" s="34"/>
    </row>
    <row r="90" spans="1:19" x14ac:dyDescent="0.35">
      <c r="A90" s="37"/>
      <c r="B90" s="38"/>
      <c r="C90" s="2">
        <v>-2.103E-2</v>
      </c>
      <c r="D90" s="36"/>
      <c r="E90" s="36"/>
      <c r="F90" s="36"/>
      <c r="G90" s="36"/>
      <c r="H90" s="33"/>
      <c r="I90" s="33"/>
      <c r="J90" s="34"/>
      <c r="K90" s="36"/>
      <c r="L90" s="5">
        <v>-4.5500000000000002E-3</v>
      </c>
      <c r="M90" s="36"/>
      <c r="N90" s="36"/>
      <c r="O90" s="36"/>
      <c r="P90" s="36"/>
      <c r="Q90" s="33"/>
      <c r="R90" s="33"/>
      <c r="S90" s="34"/>
    </row>
    <row r="91" spans="1:19" x14ac:dyDescent="0.35">
      <c r="A91" s="37">
        <v>45</v>
      </c>
      <c r="B91" s="38">
        <v>6.3450000000000006</v>
      </c>
      <c r="C91" s="2">
        <v>-2.5360000000000001E-2</v>
      </c>
      <c r="D91" s="36">
        <f t="shared" ref="D91" si="416">AVERAGE(C91:C92)</f>
        <v>-2.5555000000000001E-2</v>
      </c>
      <c r="E91" s="36">
        <f t="shared" ref="E91" si="417">_xlfn.STDEV.S(C91:C92)/SQRT(2)</f>
        <v>1.9499999999999899E-4</v>
      </c>
      <c r="F91" s="36">
        <f t="shared" ref="F91" si="418">(-D91*1*0.21)/(6220*0.6*0.02*10^-3)</f>
        <v>7.1899115755627019E-2</v>
      </c>
      <c r="G91" s="36">
        <f>F91/B91</f>
        <v>1.1331617928388812E-2</v>
      </c>
      <c r="H91" s="33">
        <f t="shared" ref="H91" si="419">G91*1000</f>
        <v>11.331617928388813</v>
      </c>
      <c r="I91" s="33"/>
      <c r="J91" s="34"/>
      <c r="K91" s="36">
        <v>10.41</v>
      </c>
      <c r="L91" s="5">
        <v>-1.321E-2</v>
      </c>
      <c r="M91" s="36">
        <f t="shared" ref="M91" si="420">AVERAGE(L91:L92)</f>
        <v>-1.32E-2</v>
      </c>
      <c r="N91" s="36">
        <f t="shared" ref="N91" si="421">_xlfn.STDEV.S(L91:L92)/SQRT(2)</f>
        <v>9.9999999999995909E-6</v>
      </c>
      <c r="O91" s="36">
        <f t="shared" ref="O91" si="422">(-M91*1*0.2)/(6220*0.6*0.01*10^-3)</f>
        <v>7.0739549839228297E-2</v>
      </c>
      <c r="P91" s="36">
        <f t="shared" ref="P91" si="423">O91/K91</f>
        <v>6.7953458058816803E-3</v>
      </c>
      <c r="Q91" s="33">
        <f t="shared" ref="Q91" si="424">P91*1000</f>
        <v>6.7953458058816807</v>
      </c>
      <c r="R91" s="33"/>
      <c r="S91" s="34"/>
    </row>
    <row r="92" spans="1:19" x14ac:dyDescent="0.35">
      <c r="A92" s="37"/>
      <c r="B92" s="38"/>
      <c r="C92" s="2">
        <v>-2.5749999999999999E-2</v>
      </c>
      <c r="D92" s="36"/>
      <c r="E92" s="36"/>
      <c r="F92" s="36"/>
      <c r="G92" s="36"/>
      <c r="H92" s="33"/>
      <c r="I92" s="33"/>
      <c r="J92" s="34"/>
      <c r="K92" s="36"/>
      <c r="L92" s="5">
        <v>-1.319E-2</v>
      </c>
      <c r="M92" s="36"/>
      <c r="N92" s="36"/>
      <c r="O92" s="36"/>
      <c r="P92" s="36"/>
      <c r="Q92" s="33"/>
      <c r="R92" s="33"/>
      <c r="S92" s="34"/>
    </row>
    <row r="93" spans="1:19" x14ac:dyDescent="0.35">
      <c r="A93" s="37">
        <v>46</v>
      </c>
      <c r="B93" s="38">
        <v>7.9949999999999992</v>
      </c>
      <c r="C93" s="2">
        <v>-2.2970000000000001E-2</v>
      </c>
      <c r="D93" s="36">
        <f t="shared" ref="D93" si="425">AVERAGE(C93:C94)</f>
        <v>-2.5660000000000002E-2</v>
      </c>
      <c r="E93" s="36">
        <f t="shared" ref="E93" si="426">_xlfn.STDEV.S(C93:C94)/SQRT(2)</f>
        <v>2.6899999999999997E-3</v>
      </c>
      <c r="F93" s="36">
        <f t="shared" ref="F93" si="427">(-D93*1*0.21)/(6220*0.6*0.02*10^-3)</f>
        <v>7.219453376205788E-2</v>
      </c>
      <c r="G93" s="36">
        <f>F93/B93</f>
        <v>9.0299604455356952E-3</v>
      </c>
      <c r="H93" s="33">
        <f t="shared" ref="H93" si="428">G93*1000</f>
        <v>9.0299604455356945</v>
      </c>
      <c r="I93" s="33">
        <f t="shared" ref="I93" si="429">AVERAGE(H93:H98)</f>
        <v>10.03343929501334</v>
      </c>
      <c r="J93" s="34">
        <f t="shared" ref="J93" si="430">(_xlfn.STDEV.S(H93:H98)/SQRT(3))/I93</f>
        <v>5.9448360792078381E-2</v>
      </c>
      <c r="K93" s="36">
        <v>9.0150000000000006</v>
      </c>
      <c r="L93" s="5">
        <v>-2.7199999999999998E-2</v>
      </c>
      <c r="M93" s="36">
        <f t="shared" ref="M93" si="431">AVERAGE(L93:L94)</f>
        <v>-1.9799999999999998E-2</v>
      </c>
      <c r="N93" s="36">
        <f t="shared" ref="N93" si="432">_xlfn.STDEV.S(L93:L94)/SQRT(2)</f>
        <v>7.4000000000000038E-3</v>
      </c>
      <c r="O93" s="36">
        <f t="shared" ref="O93" si="433">(-M93*1*0.2)/(6220*0.6*0.01*10^-3)</f>
        <v>0.10610932475884245</v>
      </c>
      <c r="P93" s="36">
        <f t="shared" ref="P93" si="434">O93/K93</f>
        <v>1.1770307793548802E-2</v>
      </c>
      <c r="Q93" s="33">
        <f t="shared" ref="Q93" si="435">P93*1000</f>
        <v>11.770307793548803</v>
      </c>
      <c r="R93" s="33">
        <f t="shared" ref="R93" si="436">AVERAGE(Q93:Q98)</f>
        <v>10.869528011628612</v>
      </c>
      <c r="S93" s="34">
        <f t="shared" ref="S93" si="437">(_xlfn.STDEV.S(Q93:Q98)/SQRT(3))/R93</f>
        <v>0.16107753006612363</v>
      </c>
    </row>
    <row r="94" spans="1:19" x14ac:dyDescent="0.35">
      <c r="A94" s="37"/>
      <c r="B94" s="38"/>
      <c r="C94" s="2">
        <v>-2.835E-2</v>
      </c>
      <c r="D94" s="36"/>
      <c r="E94" s="36"/>
      <c r="F94" s="36"/>
      <c r="G94" s="36"/>
      <c r="H94" s="33"/>
      <c r="I94" s="33"/>
      <c r="J94" s="34"/>
      <c r="K94" s="36"/>
      <c r="L94" s="5">
        <v>-1.24E-2</v>
      </c>
      <c r="M94" s="36"/>
      <c r="N94" s="36"/>
      <c r="O94" s="36"/>
      <c r="P94" s="36"/>
      <c r="Q94" s="33"/>
      <c r="R94" s="33"/>
      <c r="S94" s="34"/>
    </row>
    <row r="95" spans="1:19" x14ac:dyDescent="0.35">
      <c r="A95" s="37">
        <v>47</v>
      </c>
      <c r="B95" s="38">
        <v>6.0600000000000005</v>
      </c>
      <c r="C95" s="2">
        <v>-2.2870000000000001E-2</v>
      </c>
      <c r="D95" s="36">
        <f t="shared" ref="D95" si="438">AVERAGE(C95:C96)</f>
        <v>-2.3895E-2</v>
      </c>
      <c r="E95" s="36">
        <f t="shared" ref="E95" si="439">_xlfn.STDEV.S(C95:C96)/SQRT(2)</f>
        <v>1.0249999999999999E-3</v>
      </c>
      <c r="F95" s="36">
        <f t="shared" ref="F95" si="440">(-D95*1*0.21)/(6220*0.6*0.02*10^-3)</f>
        <v>6.722869774919614E-2</v>
      </c>
      <c r="G95" s="36">
        <f>F95/B95</f>
        <v>1.1093844513068669E-2</v>
      </c>
      <c r="H95" s="33">
        <f t="shared" ref="H95" si="441">G95*1000</f>
        <v>11.093844513068669</v>
      </c>
      <c r="I95" s="33"/>
      <c r="J95" s="34"/>
      <c r="K95" s="36">
        <v>7.26</v>
      </c>
      <c r="L95" s="5">
        <v>-1.1270000000000001E-2</v>
      </c>
      <c r="M95" s="36">
        <f t="shared" ref="M95" si="442">AVERAGE(L95:L96)</f>
        <v>-1.0145000000000001E-2</v>
      </c>
      <c r="N95" s="36">
        <f t="shared" ref="N95" si="443">_xlfn.STDEV.S(L95:L96)/SQRT(2)</f>
        <v>1.1250000000000001E-3</v>
      </c>
      <c r="O95" s="36">
        <f t="shared" ref="O95" si="444">(-M95*1*0.2)/(6220*0.6*0.01*10^-3)</f>
        <v>5.4367631296891761E-2</v>
      </c>
      <c r="P95" s="36">
        <f t="shared" ref="P95" si="445">O95/K95</f>
        <v>7.4886544486076805E-3</v>
      </c>
      <c r="Q95" s="33">
        <f t="shared" ref="Q95" si="446">P95*1000</f>
        <v>7.4886544486076803</v>
      </c>
      <c r="R95" s="33"/>
      <c r="S95" s="34"/>
    </row>
    <row r="96" spans="1:19" x14ac:dyDescent="0.35">
      <c r="A96" s="37"/>
      <c r="B96" s="38"/>
      <c r="C96" s="2">
        <v>-2.4920000000000001E-2</v>
      </c>
      <c r="D96" s="36"/>
      <c r="E96" s="36"/>
      <c r="F96" s="36"/>
      <c r="G96" s="36"/>
      <c r="H96" s="33"/>
      <c r="I96" s="33"/>
      <c r="J96" s="34"/>
      <c r="K96" s="36"/>
      <c r="L96" s="5">
        <v>-9.0200000000000002E-3</v>
      </c>
      <c r="M96" s="36"/>
      <c r="N96" s="36"/>
      <c r="O96" s="36"/>
      <c r="P96" s="36"/>
      <c r="Q96" s="33"/>
      <c r="R96" s="33"/>
      <c r="S96" s="34"/>
    </row>
    <row r="97" spans="1:19" x14ac:dyDescent="0.35">
      <c r="A97" s="37">
        <v>48</v>
      </c>
      <c r="B97" s="38">
        <v>6.585</v>
      </c>
      <c r="C97" s="2">
        <v>-2.3429999999999999E-2</v>
      </c>
      <c r="D97" s="36">
        <f t="shared" ref="D97" si="447">AVERAGE(C97:C98)</f>
        <v>-2.3349999999999999E-2</v>
      </c>
      <c r="E97" s="36">
        <f t="shared" ref="E97" si="448">_xlfn.STDEV.S(C97:C98)/SQRT(2)</f>
        <v>8.0000000000000196E-5</v>
      </c>
      <c r="F97" s="36">
        <f t="shared" ref="F97" si="449">(-D97*1*0.21)/(6220*0.6*0.02*10^-3)</f>
        <v>6.5695337620578775E-2</v>
      </c>
      <c r="G97" s="36">
        <f>F97/B97</f>
        <v>9.9765129264356538E-3</v>
      </c>
      <c r="H97" s="33">
        <f t="shared" ref="H97" si="450">G97*1000</f>
        <v>9.9765129264356531</v>
      </c>
      <c r="I97" s="33"/>
      <c r="J97" s="34"/>
      <c r="K97" s="36">
        <v>6.9750000000000005</v>
      </c>
      <c r="L97" s="5">
        <v>-2.4709999999999999E-2</v>
      </c>
      <c r="M97" s="36">
        <f t="shared" ref="M97" si="451">AVERAGE(L97:L98)</f>
        <v>-1.7375000000000002E-2</v>
      </c>
      <c r="N97" s="36">
        <f t="shared" ref="N97" si="452">_xlfn.STDEV.S(L97:L98)/SQRT(2)</f>
        <v>7.3349999999999926E-3</v>
      </c>
      <c r="O97" s="36">
        <f t="shared" ref="O97" si="453">(-M97*1*0.2)/(6220*0.6*0.01*10^-3)</f>
        <v>9.3113612004287263E-2</v>
      </c>
      <c r="P97" s="36">
        <f t="shared" ref="P97" si="454">O97/K97</f>
        <v>1.3349621792729355E-2</v>
      </c>
      <c r="Q97" s="33">
        <f t="shared" ref="Q97" si="455">P97*1000</f>
        <v>13.349621792729355</v>
      </c>
      <c r="R97" s="33"/>
      <c r="S97" s="34"/>
    </row>
    <row r="98" spans="1:19" x14ac:dyDescent="0.35">
      <c r="A98" s="37"/>
      <c r="B98" s="38"/>
      <c r="C98" s="2">
        <v>-2.3269999999999999E-2</v>
      </c>
      <c r="D98" s="36"/>
      <c r="E98" s="36"/>
      <c r="F98" s="36"/>
      <c r="G98" s="36"/>
      <c r="H98" s="33"/>
      <c r="I98" s="33"/>
      <c r="J98" s="34"/>
      <c r="K98" s="36"/>
      <c r="L98" s="5">
        <v>-1.004E-2</v>
      </c>
      <c r="M98" s="36"/>
      <c r="N98" s="36"/>
      <c r="O98" s="36"/>
      <c r="P98" s="36"/>
      <c r="Q98" s="33"/>
      <c r="R98" s="33"/>
      <c r="S98" s="34"/>
    </row>
    <row r="99" spans="1:19" x14ac:dyDescent="0.35">
      <c r="A99" s="37">
        <v>49</v>
      </c>
      <c r="B99" s="38">
        <v>7.1849999999999996</v>
      </c>
      <c r="C99" s="2">
        <v>-2.5999999999999999E-2</v>
      </c>
      <c r="D99" s="36">
        <f>AVERAGE(C99:C100)</f>
        <v>-2.5599999999999998E-2</v>
      </c>
      <c r="E99" s="36">
        <f t="shared" ref="E99" si="456">_xlfn.STDEV.S(C99:C100)/SQRT(2)</f>
        <v>3.9999999999999931E-4</v>
      </c>
      <c r="F99" s="36">
        <f t="shared" ref="F99" si="457">(-D99*1*0.21)/(6220*0.6*0.02*10^-3)</f>
        <v>7.2025723472668807E-2</v>
      </c>
      <c r="G99" s="36">
        <f>F99/B99</f>
        <v>1.0024456989933029E-2</v>
      </c>
      <c r="H99" s="33">
        <f t="shared" ref="H99" si="458">G99*1000</f>
        <v>10.024456989933029</v>
      </c>
      <c r="I99" s="33">
        <f t="shared" ref="I99" si="459">AVERAGE(H99:H104)</f>
        <v>11.74547943206599</v>
      </c>
      <c r="J99" s="34">
        <f t="shared" ref="J99" si="460">(_xlfn.STDEV.S(H99:H104)/SQRT(3))/I99</f>
        <v>8.6380417067812312E-2</v>
      </c>
      <c r="K99" s="36">
        <v>7.7925000000000013</v>
      </c>
      <c r="L99" s="5">
        <v>-8.5700000000000012E-4</v>
      </c>
      <c r="M99" s="36">
        <f>AVERAGE(L99:L100)</f>
        <v>-6.5700000000000003E-4</v>
      </c>
      <c r="N99" s="36">
        <f t="shared" ref="N99" si="461">_xlfn.STDEV.S(L99:L100)/SQRT(2)</f>
        <v>2.0000000000000004E-4</v>
      </c>
      <c r="O99" s="36">
        <f t="shared" ref="O99" si="462">(-M99*1*0.2)/(6220*0.6*0.01*10^-3)</f>
        <v>3.5209003215434091E-3</v>
      </c>
      <c r="P99" s="36">
        <f t="shared" ref="P99" si="463">O99/K99</f>
        <v>4.5183193090066198E-4</v>
      </c>
      <c r="Q99" s="43">
        <f t="shared" ref="Q99" si="464">P99*1000</f>
        <v>0.45183193090066198</v>
      </c>
      <c r="R99" s="33">
        <f>AVERAGE(Q101:Q104)</f>
        <v>12.585230402495544</v>
      </c>
      <c r="S99" s="34">
        <f>(_xlfn.STDEV.S(Q101:Q104)/SQRT(2))/R99</f>
        <v>7.6779853376791329E-2</v>
      </c>
    </row>
    <row r="100" spans="1:19" x14ac:dyDescent="0.35">
      <c r="A100" s="37"/>
      <c r="B100" s="38"/>
      <c r="C100" s="2">
        <v>-2.52E-2</v>
      </c>
      <c r="D100" s="36"/>
      <c r="E100" s="36"/>
      <c r="F100" s="36"/>
      <c r="G100" s="36"/>
      <c r="H100" s="33"/>
      <c r="I100" s="33"/>
      <c r="J100" s="34"/>
      <c r="K100" s="36"/>
      <c r="L100" s="5">
        <v>-4.5700000000000005E-4</v>
      </c>
      <c r="M100" s="36"/>
      <c r="N100" s="36"/>
      <c r="O100" s="36"/>
      <c r="P100" s="36"/>
      <c r="Q100" s="43"/>
      <c r="R100" s="33"/>
      <c r="S100" s="34"/>
    </row>
    <row r="101" spans="1:19" x14ac:dyDescent="0.35">
      <c r="A101" s="37">
        <v>50</v>
      </c>
      <c r="B101" s="38">
        <v>4.9050000000000002</v>
      </c>
      <c r="C101" s="2">
        <v>-2.291E-2</v>
      </c>
      <c r="D101" s="36">
        <f>AVERAGE(C101:C102)</f>
        <v>-2.3599999999999999E-2</v>
      </c>
      <c r="E101" s="36">
        <f t="shared" ref="E101" si="465">_xlfn.STDEV.S(C101:C102)/SQRT(2)</f>
        <v>6.8999999999999964E-4</v>
      </c>
      <c r="F101" s="36">
        <f t="shared" ref="F101" si="466">(-D101*1*0.21)/(6220*0.6*0.02*10^-3)</f>
        <v>6.6398713826366557E-2</v>
      </c>
      <c r="G101" s="36">
        <f>F101/B101</f>
        <v>1.3536944714855566E-2</v>
      </c>
      <c r="H101" s="33">
        <f t="shared" ref="H101" si="467">G101*1000</f>
        <v>13.536944714855565</v>
      </c>
      <c r="I101" s="33"/>
      <c r="J101" s="34"/>
      <c r="K101" s="36">
        <v>7.8825000000000012</v>
      </c>
      <c r="L101" s="5">
        <v>-1.251E-2</v>
      </c>
      <c r="M101" s="36">
        <f>AVERAGE(L101:L102)</f>
        <v>-1.7090000000000001E-2</v>
      </c>
      <c r="N101" s="36">
        <f t="shared" ref="N101" si="468">_xlfn.STDEV.S(L101:L102)/SQRT(2)</f>
        <v>4.5799999999999938E-3</v>
      </c>
      <c r="O101" s="36">
        <f t="shared" ref="O101" si="469">(-M101*1*0.2)/(6220*0.6*0.01*10^-3)</f>
        <v>9.1586280814576648E-2</v>
      </c>
      <c r="P101" s="36">
        <f t="shared" ref="P101" si="470">O101/K101</f>
        <v>1.1618938257478799E-2</v>
      </c>
      <c r="Q101" s="33">
        <f t="shared" ref="Q101" si="471">P101*1000</f>
        <v>11.618938257478799</v>
      </c>
      <c r="R101" s="33"/>
      <c r="S101" s="34"/>
    </row>
    <row r="102" spans="1:19" x14ac:dyDescent="0.35">
      <c r="A102" s="37"/>
      <c r="B102" s="38"/>
      <c r="C102" s="2">
        <v>-2.4289999999999999E-2</v>
      </c>
      <c r="D102" s="36"/>
      <c r="E102" s="36"/>
      <c r="F102" s="36"/>
      <c r="G102" s="36"/>
      <c r="H102" s="33"/>
      <c r="I102" s="33"/>
      <c r="J102" s="34"/>
      <c r="K102" s="36"/>
      <c r="L102" s="5">
        <v>-2.1669999999999998E-2</v>
      </c>
      <c r="M102" s="36"/>
      <c r="N102" s="36"/>
      <c r="O102" s="36"/>
      <c r="P102" s="36"/>
      <c r="Q102" s="33"/>
      <c r="R102" s="33"/>
      <c r="S102" s="34"/>
    </row>
    <row r="103" spans="1:19" x14ac:dyDescent="0.35">
      <c r="A103" s="37">
        <v>51</v>
      </c>
      <c r="B103" s="38">
        <v>5.58</v>
      </c>
      <c r="C103" s="2">
        <v>-2.3470000000000001E-2</v>
      </c>
      <c r="D103" s="36">
        <f>AVERAGE(C103:C104)</f>
        <v>-2.3155000000000002E-2</v>
      </c>
      <c r="E103" s="36">
        <f t="shared" ref="E103" si="472">_xlfn.STDEV.S(C103:C104)/SQRT(2)</f>
        <v>3.1500000000000104E-4</v>
      </c>
      <c r="F103" s="36">
        <f t="shared" ref="F103" si="473">(-D103*1*0.21)/(6220*0.6*0.02*10^-3)</f>
        <v>6.514670418006431E-2</v>
      </c>
      <c r="G103" s="36">
        <f>F103/B103</f>
        <v>1.1675036591409374E-2</v>
      </c>
      <c r="H103" s="33">
        <f t="shared" ref="H103" si="474">G103*1000</f>
        <v>11.675036591409375</v>
      </c>
      <c r="I103" s="33"/>
      <c r="J103" s="34"/>
      <c r="K103" s="38">
        <v>8.01</v>
      </c>
      <c r="L103" s="5">
        <v>-1.5709999999999998E-2</v>
      </c>
      <c r="M103" s="36">
        <f>AVERAGE(L103:L104)</f>
        <v>-2.0254999999999999E-2</v>
      </c>
      <c r="N103" s="36">
        <f t="shared" ref="N103" si="475">_xlfn.STDEV.S(L103:L104)/SQRT(2)</f>
        <v>4.5449999999999996E-3</v>
      </c>
      <c r="O103" s="36">
        <f t="shared" ref="O103" si="476">(-M103*1*0.2)/(6220*0.6*0.01*10^-3)</f>
        <v>0.10854769560557342</v>
      </c>
      <c r="P103" s="36">
        <f t="shared" ref="P103" si="477">O103/K103</f>
        <v>1.3551522547512289E-2</v>
      </c>
      <c r="Q103" s="33">
        <f t="shared" ref="Q103" si="478">P103*1000</f>
        <v>13.551522547512288</v>
      </c>
      <c r="R103" s="33"/>
      <c r="S103" s="34"/>
    </row>
    <row r="104" spans="1:19" x14ac:dyDescent="0.35">
      <c r="A104" s="37"/>
      <c r="B104" s="38"/>
      <c r="C104" s="2">
        <v>-2.2839999999999999E-2</v>
      </c>
      <c r="D104" s="36"/>
      <c r="E104" s="36"/>
      <c r="F104" s="36"/>
      <c r="G104" s="36"/>
      <c r="H104" s="33"/>
      <c r="I104" s="33"/>
      <c r="J104" s="34"/>
      <c r="K104" s="38"/>
      <c r="L104" s="5">
        <v>-2.4799999999999999E-2</v>
      </c>
      <c r="M104" s="36"/>
      <c r="N104" s="36"/>
      <c r="O104" s="36"/>
      <c r="P104" s="36"/>
      <c r="Q104" s="33"/>
      <c r="R104" s="33"/>
      <c r="S104" s="34"/>
    </row>
  </sheetData>
  <mergeCells count="725">
    <mergeCell ref="D3:D4"/>
    <mergeCell ref="E3:E4"/>
    <mergeCell ref="F3:F4"/>
    <mergeCell ref="N5:N6"/>
    <mergeCell ref="O5:O6"/>
    <mergeCell ref="P5:P6"/>
    <mergeCell ref="A7:A8"/>
    <mergeCell ref="B7:B8"/>
    <mergeCell ref="D7:D8"/>
    <mergeCell ref="E7:E8"/>
    <mergeCell ref="F7:F8"/>
    <mergeCell ref="P3:P4"/>
    <mergeCell ref="A5:A6"/>
    <mergeCell ref="B5:B6"/>
    <mergeCell ref="D5:D6"/>
    <mergeCell ref="E5:E6"/>
    <mergeCell ref="F5:F6"/>
    <mergeCell ref="G5:G6"/>
    <mergeCell ref="K5:K6"/>
    <mergeCell ref="M5:M6"/>
    <mergeCell ref="G3:G4"/>
    <mergeCell ref="K3:K4"/>
    <mergeCell ref="M3:M4"/>
    <mergeCell ref="N3:N4"/>
    <mergeCell ref="O3:O4"/>
    <mergeCell ref="A3:A4"/>
    <mergeCell ref="B3:B4"/>
    <mergeCell ref="N9:N10"/>
    <mergeCell ref="O9:O10"/>
    <mergeCell ref="P9:P10"/>
    <mergeCell ref="A11:A12"/>
    <mergeCell ref="B11:B12"/>
    <mergeCell ref="D11:D12"/>
    <mergeCell ref="E11:E12"/>
    <mergeCell ref="F11:F12"/>
    <mergeCell ref="P7:P8"/>
    <mergeCell ref="A9:A10"/>
    <mergeCell ref="B9:B10"/>
    <mergeCell ref="D9:D10"/>
    <mergeCell ref="E9:E10"/>
    <mergeCell ref="F9:F10"/>
    <mergeCell ref="G9:G10"/>
    <mergeCell ref="K9:K10"/>
    <mergeCell ref="M9:M10"/>
    <mergeCell ref="G7:G8"/>
    <mergeCell ref="K7:K8"/>
    <mergeCell ref="M7:M8"/>
    <mergeCell ref="N7:N8"/>
    <mergeCell ref="O7:O8"/>
    <mergeCell ref="N13:N14"/>
    <mergeCell ref="O13:O14"/>
    <mergeCell ref="P13:P14"/>
    <mergeCell ref="A15:A16"/>
    <mergeCell ref="B15:B16"/>
    <mergeCell ref="D15:D16"/>
    <mergeCell ref="E15:E16"/>
    <mergeCell ref="F15:F16"/>
    <mergeCell ref="P11:P12"/>
    <mergeCell ref="A13:A14"/>
    <mergeCell ref="B13:B14"/>
    <mergeCell ref="D13:D14"/>
    <mergeCell ref="E13:E14"/>
    <mergeCell ref="F13:F14"/>
    <mergeCell ref="G13:G14"/>
    <mergeCell ref="K13:K14"/>
    <mergeCell ref="M13:M14"/>
    <mergeCell ref="G11:G12"/>
    <mergeCell ref="K11:K12"/>
    <mergeCell ref="M11:M12"/>
    <mergeCell ref="N11:N12"/>
    <mergeCell ref="O11:O12"/>
    <mergeCell ref="I3:I12"/>
    <mergeCell ref="N17:N18"/>
    <mergeCell ref="O17:O18"/>
    <mergeCell ref="P17:P18"/>
    <mergeCell ref="A19:A20"/>
    <mergeCell ref="B19:B20"/>
    <mergeCell ref="D19:D20"/>
    <mergeCell ref="E19:E20"/>
    <mergeCell ref="F19:F20"/>
    <mergeCell ref="P15:P16"/>
    <mergeCell ref="A17:A18"/>
    <mergeCell ref="B17:B18"/>
    <mergeCell ref="D17:D18"/>
    <mergeCell ref="E17:E18"/>
    <mergeCell ref="F17:F18"/>
    <mergeCell ref="G17:G18"/>
    <mergeCell ref="K17:K18"/>
    <mergeCell ref="M17:M18"/>
    <mergeCell ref="G15:G16"/>
    <mergeCell ref="K15:K16"/>
    <mergeCell ref="M15:M16"/>
    <mergeCell ref="N15:N16"/>
    <mergeCell ref="O15:O16"/>
    <mergeCell ref="N21:N22"/>
    <mergeCell ref="O21:O22"/>
    <mergeCell ref="P21:P22"/>
    <mergeCell ref="A23:A24"/>
    <mergeCell ref="B23:B24"/>
    <mergeCell ref="D23:D24"/>
    <mergeCell ref="E23:E24"/>
    <mergeCell ref="F23:F24"/>
    <mergeCell ref="P19:P20"/>
    <mergeCell ref="A21:A22"/>
    <mergeCell ref="B21:B22"/>
    <mergeCell ref="D21:D22"/>
    <mergeCell ref="E21:E22"/>
    <mergeCell ref="F21:F22"/>
    <mergeCell ref="G21:G22"/>
    <mergeCell ref="K21:K22"/>
    <mergeCell ref="M21:M22"/>
    <mergeCell ref="G19:G20"/>
    <mergeCell ref="K19:K20"/>
    <mergeCell ref="M19:M20"/>
    <mergeCell ref="N19:N20"/>
    <mergeCell ref="O19:O20"/>
    <mergeCell ref="H21:H22"/>
    <mergeCell ref="J23:J32"/>
    <mergeCell ref="N25:N26"/>
    <mergeCell ref="O25:O26"/>
    <mergeCell ref="P25:P26"/>
    <mergeCell ref="A27:A28"/>
    <mergeCell ref="B27:B28"/>
    <mergeCell ref="D27:D28"/>
    <mergeCell ref="E27:E28"/>
    <mergeCell ref="F27:F28"/>
    <mergeCell ref="P23:P24"/>
    <mergeCell ref="A25:A26"/>
    <mergeCell ref="B25:B26"/>
    <mergeCell ref="D25:D26"/>
    <mergeCell ref="E25:E26"/>
    <mergeCell ref="F25:F26"/>
    <mergeCell ref="G25:G26"/>
    <mergeCell ref="K25:K26"/>
    <mergeCell ref="M25:M26"/>
    <mergeCell ref="G23:G24"/>
    <mergeCell ref="K23:K24"/>
    <mergeCell ref="M23:M24"/>
    <mergeCell ref="N23:N24"/>
    <mergeCell ref="O23:O24"/>
    <mergeCell ref="H23:H24"/>
    <mergeCell ref="H25:H26"/>
    <mergeCell ref="N29:N30"/>
    <mergeCell ref="O29:O30"/>
    <mergeCell ref="P29:P30"/>
    <mergeCell ref="A31:A32"/>
    <mergeCell ref="B31:B32"/>
    <mergeCell ref="D31:D32"/>
    <mergeCell ref="E31:E32"/>
    <mergeCell ref="F31:F32"/>
    <mergeCell ref="P27:P28"/>
    <mergeCell ref="A29:A30"/>
    <mergeCell ref="B29:B30"/>
    <mergeCell ref="D29:D30"/>
    <mergeCell ref="E29:E30"/>
    <mergeCell ref="F29:F30"/>
    <mergeCell ref="G29:G30"/>
    <mergeCell ref="K29:K30"/>
    <mergeCell ref="M29:M30"/>
    <mergeCell ref="G27:G28"/>
    <mergeCell ref="K27:K28"/>
    <mergeCell ref="M27:M28"/>
    <mergeCell ref="N27:N28"/>
    <mergeCell ref="O27:O28"/>
    <mergeCell ref="H27:H28"/>
    <mergeCell ref="H29:H30"/>
    <mergeCell ref="N33:N34"/>
    <mergeCell ref="O33:O34"/>
    <mergeCell ref="P33:P34"/>
    <mergeCell ref="A35:A36"/>
    <mergeCell ref="B35:B36"/>
    <mergeCell ref="D35:D36"/>
    <mergeCell ref="E35:E36"/>
    <mergeCell ref="F35:F36"/>
    <mergeCell ref="P31:P32"/>
    <mergeCell ref="A33:A34"/>
    <mergeCell ref="B33:B34"/>
    <mergeCell ref="D33:D34"/>
    <mergeCell ref="E33:E34"/>
    <mergeCell ref="F33:F34"/>
    <mergeCell ref="G33:G34"/>
    <mergeCell ref="K33:K34"/>
    <mergeCell ref="M33:M34"/>
    <mergeCell ref="G31:G32"/>
    <mergeCell ref="K31:K32"/>
    <mergeCell ref="M31:M32"/>
    <mergeCell ref="N31:N32"/>
    <mergeCell ref="O31:O32"/>
    <mergeCell ref="H31:H32"/>
    <mergeCell ref="H33:H34"/>
    <mergeCell ref="N37:N38"/>
    <mergeCell ref="O37:O38"/>
    <mergeCell ref="P37:P38"/>
    <mergeCell ref="A39:A40"/>
    <mergeCell ref="B39:B40"/>
    <mergeCell ref="D39:D40"/>
    <mergeCell ref="E39:E40"/>
    <mergeCell ref="F39:F40"/>
    <mergeCell ref="P35:P36"/>
    <mergeCell ref="A37:A38"/>
    <mergeCell ref="B37:B38"/>
    <mergeCell ref="D37:D38"/>
    <mergeCell ref="E37:E38"/>
    <mergeCell ref="F37:F38"/>
    <mergeCell ref="G37:G38"/>
    <mergeCell ref="K37:K38"/>
    <mergeCell ref="M37:M38"/>
    <mergeCell ref="G35:G36"/>
    <mergeCell ref="K35:K36"/>
    <mergeCell ref="M35:M36"/>
    <mergeCell ref="N35:N36"/>
    <mergeCell ref="O35:O36"/>
    <mergeCell ref="H35:H36"/>
    <mergeCell ref="H37:H38"/>
    <mergeCell ref="N41:N42"/>
    <mergeCell ref="O41:O42"/>
    <mergeCell ref="P41:P42"/>
    <mergeCell ref="A43:A44"/>
    <mergeCell ref="B43:B44"/>
    <mergeCell ref="D43:D44"/>
    <mergeCell ref="E43:E44"/>
    <mergeCell ref="F43:F44"/>
    <mergeCell ref="P39:P40"/>
    <mergeCell ref="A41:A42"/>
    <mergeCell ref="B41:B42"/>
    <mergeCell ref="D41:D42"/>
    <mergeCell ref="E41:E42"/>
    <mergeCell ref="F41:F42"/>
    <mergeCell ref="G41:G42"/>
    <mergeCell ref="K41:K42"/>
    <mergeCell ref="M41:M42"/>
    <mergeCell ref="G39:G40"/>
    <mergeCell ref="K39:K40"/>
    <mergeCell ref="M39:M40"/>
    <mergeCell ref="N39:N40"/>
    <mergeCell ref="O39:O40"/>
    <mergeCell ref="H39:H40"/>
    <mergeCell ref="H41:H42"/>
    <mergeCell ref="N45:N46"/>
    <mergeCell ref="O45:O46"/>
    <mergeCell ref="P45:P46"/>
    <mergeCell ref="A47:A48"/>
    <mergeCell ref="B47:B48"/>
    <mergeCell ref="D47:D48"/>
    <mergeCell ref="E47:E48"/>
    <mergeCell ref="F47:F48"/>
    <mergeCell ref="P43:P44"/>
    <mergeCell ref="A45:A46"/>
    <mergeCell ref="B45:B46"/>
    <mergeCell ref="D45:D46"/>
    <mergeCell ref="E45:E46"/>
    <mergeCell ref="F45:F46"/>
    <mergeCell ref="G45:G46"/>
    <mergeCell ref="K45:K46"/>
    <mergeCell ref="M45:M46"/>
    <mergeCell ref="G43:G44"/>
    <mergeCell ref="K43:K44"/>
    <mergeCell ref="M43:M44"/>
    <mergeCell ref="N43:N44"/>
    <mergeCell ref="O43:O44"/>
    <mergeCell ref="H43:H44"/>
    <mergeCell ref="N49:N50"/>
    <mergeCell ref="O49:O50"/>
    <mergeCell ref="P49:P50"/>
    <mergeCell ref="A51:A52"/>
    <mergeCell ref="B51:B52"/>
    <mergeCell ref="D51:D52"/>
    <mergeCell ref="E51:E52"/>
    <mergeCell ref="F51:F52"/>
    <mergeCell ref="P47:P48"/>
    <mergeCell ref="A49:A50"/>
    <mergeCell ref="B49:B50"/>
    <mergeCell ref="D49:D50"/>
    <mergeCell ref="E49:E50"/>
    <mergeCell ref="F49:F50"/>
    <mergeCell ref="G49:G50"/>
    <mergeCell ref="K49:K50"/>
    <mergeCell ref="M49:M50"/>
    <mergeCell ref="G47:G48"/>
    <mergeCell ref="K47:K48"/>
    <mergeCell ref="M47:M48"/>
    <mergeCell ref="N47:N48"/>
    <mergeCell ref="O47:O48"/>
    <mergeCell ref="I45:I50"/>
    <mergeCell ref="J45:J50"/>
    <mergeCell ref="N53:N54"/>
    <mergeCell ref="O53:O54"/>
    <mergeCell ref="P53:P54"/>
    <mergeCell ref="A55:A56"/>
    <mergeCell ref="B55:B56"/>
    <mergeCell ref="D55:D56"/>
    <mergeCell ref="E55:E56"/>
    <mergeCell ref="F55:F56"/>
    <mergeCell ref="P51:P52"/>
    <mergeCell ref="A53:A54"/>
    <mergeCell ref="B53:B54"/>
    <mergeCell ref="D53:D54"/>
    <mergeCell ref="E53:E54"/>
    <mergeCell ref="F53:F54"/>
    <mergeCell ref="G53:G54"/>
    <mergeCell ref="K53:K54"/>
    <mergeCell ref="M53:M54"/>
    <mergeCell ref="G51:G52"/>
    <mergeCell ref="K51:K52"/>
    <mergeCell ref="M51:M52"/>
    <mergeCell ref="N51:N52"/>
    <mergeCell ref="O51:O52"/>
    <mergeCell ref="H51:H52"/>
    <mergeCell ref="H53:H54"/>
    <mergeCell ref="N57:N58"/>
    <mergeCell ref="O57:O58"/>
    <mergeCell ref="P57:P58"/>
    <mergeCell ref="A59:A60"/>
    <mergeCell ref="B59:B60"/>
    <mergeCell ref="D59:D60"/>
    <mergeCell ref="E59:E60"/>
    <mergeCell ref="F59:F60"/>
    <mergeCell ref="P55:P56"/>
    <mergeCell ref="A57:A58"/>
    <mergeCell ref="B57:B58"/>
    <mergeCell ref="D57:D58"/>
    <mergeCell ref="E57:E58"/>
    <mergeCell ref="F57:F58"/>
    <mergeCell ref="G57:G58"/>
    <mergeCell ref="K57:K58"/>
    <mergeCell ref="M57:M58"/>
    <mergeCell ref="G55:G56"/>
    <mergeCell ref="K55:K56"/>
    <mergeCell ref="M55:M56"/>
    <mergeCell ref="N55:N56"/>
    <mergeCell ref="O55:O56"/>
    <mergeCell ref="H55:H56"/>
    <mergeCell ref="I51:I56"/>
    <mergeCell ref="N61:N62"/>
    <mergeCell ref="O61:O62"/>
    <mergeCell ref="P61:P62"/>
    <mergeCell ref="A63:A64"/>
    <mergeCell ref="B63:B64"/>
    <mergeCell ref="D63:D64"/>
    <mergeCell ref="E63:E64"/>
    <mergeCell ref="F63:F64"/>
    <mergeCell ref="P59:P60"/>
    <mergeCell ref="A61:A62"/>
    <mergeCell ref="B61:B62"/>
    <mergeCell ref="D61:D62"/>
    <mergeCell ref="E61:E62"/>
    <mergeCell ref="F61:F62"/>
    <mergeCell ref="G61:G62"/>
    <mergeCell ref="K61:K62"/>
    <mergeCell ref="M61:M62"/>
    <mergeCell ref="G59:G60"/>
    <mergeCell ref="K59:K60"/>
    <mergeCell ref="M59:M60"/>
    <mergeCell ref="N59:N60"/>
    <mergeCell ref="O59:O60"/>
    <mergeCell ref="N65:N66"/>
    <mergeCell ref="O65:O66"/>
    <mergeCell ref="P65:P66"/>
    <mergeCell ref="A67:A68"/>
    <mergeCell ref="B67:B68"/>
    <mergeCell ref="D67:D68"/>
    <mergeCell ref="E67:E68"/>
    <mergeCell ref="F67:F68"/>
    <mergeCell ref="P63:P64"/>
    <mergeCell ref="A65:A66"/>
    <mergeCell ref="B65:B66"/>
    <mergeCell ref="D65:D66"/>
    <mergeCell ref="E65:E66"/>
    <mergeCell ref="F65:F66"/>
    <mergeCell ref="G65:G66"/>
    <mergeCell ref="K65:K66"/>
    <mergeCell ref="M65:M66"/>
    <mergeCell ref="G63:G64"/>
    <mergeCell ref="K63:K64"/>
    <mergeCell ref="M63:M64"/>
    <mergeCell ref="N63:N64"/>
    <mergeCell ref="O63:O64"/>
    <mergeCell ref="P67:P68"/>
    <mergeCell ref="N67:N68"/>
    <mergeCell ref="A69:A70"/>
    <mergeCell ref="B69:B70"/>
    <mergeCell ref="D69:D70"/>
    <mergeCell ref="E69:E70"/>
    <mergeCell ref="F69:F70"/>
    <mergeCell ref="G69:G70"/>
    <mergeCell ref="K69:K70"/>
    <mergeCell ref="M69:M70"/>
    <mergeCell ref="G67:G68"/>
    <mergeCell ref="K67:K68"/>
    <mergeCell ref="M67:M68"/>
    <mergeCell ref="O67:O68"/>
    <mergeCell ref="G71:G72"/>
    <mergeCell ref="K71:K72"/>
    <mergeCell ref="M71:M72"/>
    <mergeCell ref="N71:N72"/>
    <mergeCell ref="O71:O72"/>
    <mergeCell ref="N69:N70"/>
    <mergeCell ref="O69:O70"/>
    <mergeCell ref="P69:P70"/>
    <mergeCell ref="P71:P72"/>
    <mergeCell ref="H69:H70"/>
    <mergeCell ref="A71:A72"/>
    <mergeCell ref="B71:B72"/>
    <mergeCell ref="D71:D72"/>
    <mergeCell ref="E71:E72"/>
    <mergeCell ref="F71:F72"/>
    <mergeCell ref="G75:G76"/>
    <mergeCell ref="K75:K76"/>
    <mergeCell ref="M75:M76"/>
    <mergeCell ref="N75:N76"/>
    <mergeCell ref="H71:H72"/>
    <mergeCell ref="O75:O76"/>
    <mergeCell ref="N73:N74"/>
    <mergeCell ref="O73:O74"/>
    <mergeCell ref="P73:P74"/>
    <mergeCell ref="A75:A76"/>
    <mergeCell ref="B75:B76"/>
    <mergeCell ref="D75:D76"/>
    <mergeCell ref="E75:E76"/>
    <mergeCell ref="F75:F76"/>
    <mergeCell ref="A73:A74"/>
    <mergeCell ref="B73:B74"/>
    <mergeCell ref="D73:D74"/>
    <mergeCell ref="E73:E74"/>
    <mergeCell ref="F73:F74"/>
    <mergeCell ref="G73:G74"/>
    <mergeCell ref="K73:K74"/>
    <mergeCell ref="M73:M74"/>
    <mergeCell ref="P75:P76"/>
    <mergeCell ref="H73:H74"/>
    <mergeCell ref="H75:H76"/>
    <mergeCell ref="G79:G80"/>
    <mergeCell ref="K79:K80"/>
    <mergeCell ref="M79:M80"/>
    <mergeCell ref="N79:N80"/>
    <mergeCell ref="O79:O80"/>
    <mergeCell ref="N77:N78"/>
    <mergeCell ref="O77:O78"/>
    <mergeCell ref="P77:P78"/>
    <mergeCell ref="A79:A80"/>
    <mergeCell ref="B79:B80"/>
    <mergeCell ref="D79:D80"/>
    <mergeCell ref="E79:E80"/>
    <mergeCell ref="F79:F80"/>
    <mergeCell ref="A77:A78"/>
    <mergeCell ref="B77:B78"/>
    <mergeCell ref="D77:D78"/>
    <mergeCell ref="E77:E78"/>
    <mergeCell ref="F77:F78"/>
    <mergeCell ref="G77:G78"/>
    <mergeCell ref="K77:K78"/>
    <mergeCell ref="M77:M78"/>
    <mergeCell ref="P79:P80"/>
    <mergeCell ref="H77:H78"/>
    <mergeCell ref="H79:H80"/>
    <mergeCell ref="G83:G84"/>
    <mergeCell ref="K83:K84"/>
    <mergeCell ref="M83:M84"/>
    <mergeCell ref="N83:N84"/>
    <mergeCell ref="O83:O84"/>
    <mergeCell ref="N81:N82"/>
    <mergeCell ref="O81:O82"/>
    <mergeCell ref="P81:P82"/>
    <mergeCell ref="A83:A84"/>
    <mergeCell ref="B83:B84"/>
    <mergeCell ref="D83:D84"/>
    <mergeCell ref="E83:E84"/>
    <mergeCell ref="F83:F84"/>
    <mergeCell ref="A81:A82"/>
    <mergeCell ref="B81:B82"/>
    <mergeCell ref="D81:D82"/>
    <mergeCell ref="E81:E82"/>
    <mergeCell ref="F81:F82"/>
    <mergeCell ref="G81:G82"/>
    <mergeCell ref="K81:K82"/>
    <mergeCell ref="M81:M82"/>
    <mergeCell ref="P83:P84"/>
    <mergeCell ref="H81:H82"/>
    <mergeCell ref="H83:H84"/>
    <mergeCell ref="G87:G88"/>
    <mergeCell ref="K87:K88"/>
    <mergeCell ref="M87:M88"/>
    <mergeCell ref="N87:N88"/>
    <mergeCell ref="O87:O88"/>
    <mergeCell ref="N85:N86"/>
    <mergeCell ref="O85:O86"/>
    <mergeCell ref="P85:P86"/>
    <mergeCell ref="A87:A88"/>
    <mergeCell ref="B87:B88"/>
    <mergeCell ref="D87:D88"/>
    <mergeCell ref="E87:E88"/>
    <mergeCell ref="F87:F88"/>
    <mergeCell ref="A85:A86"/>
    <mergeCell ref="B85:B86"/>
    <mergeCell ref="D85:D86"/>
    <mergeCell ref="E85:E86"/>
    <mergeCell ref="F85:F86"/>
    <mergeCell ref="G85:G86"/>
    <mergeCell ref="K85:K86"/>
    <mergeCell ref="M85:M86"/>
    <mergeCell ref="P87:P88"/>
    <mergeCell ref="H85:H86"/>
    <mergeCell ref="H87:H88"/>
    <mergeCell ref="G91:G92"/>
    <mergeCell ref="K91:K92"/>
    <mergeCell ref="M91:M92"/>
    <mergeCell ref="N91:N92"/>
    <mergeCell ref="O91:O92"/>
    <mergeCell ref="N89:N90"/>
    <mergeCell ref="O89:O90"/>
    <mergeCell ref="P89:P90"/>
    <mergeCell ref="A91:A92"/>
    <mergeCell ref="B91:B92"/>
    <mergeCell ref="D91:D92"/>
    <mergeCell ref="E91:E92"/>
    <mergeCell ref="F91:F92"/>
    <mergeCell ref="A89:A90"/>
    <mergeCell ref="B89:B90"/>
    <mergeCell ref="D89:D90"/>
    <mergeCell ref="E89:E90"/>
    <mergeCell ref="F89:F90"/>
    <mergeCell ref="G89:G90"/>
    <mergeCell ref="K89:K90"/>
    <mergeCell ref="M89:M90"/>
    <mergeCell ref="P91:P92"/>
    <mergeCell ref="H89:H90"/>
    <mergeCell ref="H91:H92"/>
    <mergeCell ref="G95:G96"/>
    <mergeCell ref="K95:K96"/>
    <mergeCell ref="M95:M96"/>
    <mergeCell ref="N95:N96"/>
    <mergeCell ref="O95:O96"/>
    <mergeCell ref="N93:N94"/>
    <mergeCell ref="O93:O94"/>
    <mergeCell ref="P93:P94"/>
    <mergeCell ref="A95:A96"/>
    <mergeCell ref="B95:B96"/>
    <mergeCell ref="D95:D96"/>
    <mergeCell ref="E95:E96"/>
    <mergeCell ref="F95:F96"/>
    <mergeCell ref="A93:A94"/>
    <mergeCell ref="B93:B94"/>
    <mergeCell ref="D93:D94"/>
    <mergeCell ref="E93:E94"/>
    <mergeCell ref="F93:F94"/>
    <mergeCell ref="G93:G94"/>
    <mergeCell ref="K93:K94"/>
    <mergeCell ref="M93:M94"/>
    <mergeCell ref="P95:P96"/>
    <mergeCell ref="H93:H94"/>
    <mergeCell ref="H95:H96"/>
    <mergeCell ref="G99:G100"/>
    <mergeCell ref="K99:K100"/>
    <mergeCell ref="M99:M100"/>
    <mergeCell ref="N99:N100"/>
    <mergeCell ref="O99:O100"/>
    <mergeCell ref="N97:N98"/>
    <mergeCell ref="O97:O98"/>
    <mergeCell ref="P97:P98"/>
    <mergeCell ref="A99:A100"/>
    <mergeCell ref="B99:B100"/>
    <mergeCell ref="D99:D100"/>
    <mergeCell ref="E99:E100"/>
    <mergeCell ref="F99:F100"/>
    <mergeCell ref="A97:A98"/>
    <mergeCell ref="B97:B98"/>
    <mergeCell ref="D97:D98"/>
    <mergeCell ref="E97:E98"/>
    <mergeCell ref="F97:F98"/>
    <mergeCell ref="G97:G98"/>
    <mergeCell ref="K97:K98"/>
    <mergeCell ref="M97:M98"/>
    <mergeCell ref="P99:P100"/>
    <mergeCell ref="H99:H100"/>
    <mergeCell ref="H97:H98"/>
    <mergeCell ref="G103:G104"/>
    <mergeCell ref="K103:K104"/>
    <mergeCell ref="M103:M104"/>
    <mergeCell ref="N103:N104"/>
    <mergeCell ref="O103:O104"/>
    <mergeCell ref="N101:N102"/>
    <mergeCell ref="O101:O102"/>
    <mergeCell ref="P101:P102"/>
    <mergeCell ref="A103:A104"/>
    <mergeCell ref="B103:B104"/>
    <mergeCell ref="D103:D104"/>
    <mergeCell ref="E103:E104"/>
    <mergeCell ref="F103:F104"/>
    <mergeCell ref="A101:A102"/>
    <mergeCell ref="B101:B102"/>
    <mergeCell ref="D101:D102"/>
    <mergeCell ref="E101:E102"/>
    <mergeCell ref="F101:F102"/>
    <mergeCell ref="G101:G102"/>
    <mergeCell ref="K101:K102"/>
    <mergeCell ref="M101:M102"/>
    <mergeCell ref="P103:P104"/>
    <mergeCell ref="H101:H102"/>
    <mergeCell ref="H103:H104"/>
    <mergeCell ref="H3:H4"/>
    <mergeCell ref="H5:H6"/>
    <mergeCell ref="H7:H8"/>
    <mergeCell ref="H9:H10"/>
    <mergeCell ref="H11:H12"/>
    <mergeCell ref="H13:H14"/>
    <mergeCell ref="H15:H16"/>
    <mergeCell ref="H17:H18"/>
    <mergeCell ref="H19:H20"/>
    <mergeCell ref="H57:H58"/>
    <mergeCell ref="H59:H60"/>
    <mergeCell ref="H61:H62"/>
    <mergeCell ref="H63:H64"/>
    <mergeCell ref="H65:H66"/>
    <mergeCell ref="H67:H68"/>
    <mergeCell ref="H45:H46"/>
    <mergeCell ref="H47:H48"/>
    <mergeCell ref="H49:H50"/>
    <mergeCell ref="Q15:Q16"/>
    <mergeCell ref="Q17:Q18"/>
    <mergeCell ref="Q19:Q20"/>
    <mergeCell ref="Q21:Q22"/>
    <mergeCell ref="Q23:Q24"/>
    <mergeCell ref="Q25:Q26"/>
    <mergeCell ref="Q3:Q4"/>
    <mergeCell ref="Q5:Q6"/>
    <mergeCell ref="Q7:Q8"/>
    <mergeCell ref="Q9:Q10"/>
    <mergeCell ref="Q11:Q12"/>
    <mergeCell ref="Q13:Q14"/>
    <mergeCell ref="Q39:Q40"/>
    <mergeCell ref="Q41:Q42"/>
    <mergeCell ref="Q43:Q44"/>
    <mergeCell ref="Q45:Q46"/>
    <mergeCell ref="Q47:Q48"/>
    <mergeCell ref="Q49:Q50"/>
    <mergeCell ref="Q27:Q28"/>
    <mergeCell ref="Q29:Q30"/>
    <mergeCell ref="Q31:Q32"/>
    <mergeCell ref="Q33:Q34"/>
    <mergeCell ref="Q35:Q36"/>
    <mergeCell ref="Q37:Q38"/>
    <mergeCell ref="Q69:Q70"/>
    <mergeCell ref="Q71:Q72"/>
    <mergeCell ref="Q73:Q74"/>
    <mergeCell ref="Q51:Q52"/>
    <mergeCell ref="Q53:Q54"/>
    <mergeCell ref="Q55:Q56"/>
    <mergeCell ref="Q57:Q58"/>
    <mergeCell ref="Q59:Q60"/>
    <mergeCell ref="Q61:Q62"/>
    <mergeCell ref="J33:J38"/>
    <mergeCell ref="I39:I44"/>
    <mergeCell ref="J39:J44"/>
    <mergeCell ref="Q99:Q100"/>
    <mergeCell ref="Q101:Q102"/>
    <mergeCell ref="Q103:Q104"/>
    <mergeCell ref="B1:H1"/>
    <mergeCell ref="K1:Q1"/>
    <mergeCell ref="Q87:Q88"/>
    <mergeCell ref="Q89:Q90"/>
    <mergeCell ref="Q91:Q92"/>
    <mergeCell ref="Q93:Q94"/>
    <mergeCell ref="Q95:Q96"/>
    <mergeCell ref="Q97:Q98"/>
    <mergeCell ref="Q75:Q76"/>
    <mergeCell ref="Q77:Q78"/>
    <mergeCell ref="Q79:Q80"/>
    <mergeCell ref="Q81:Q82"/>
    <mergeCell ref="Q83:Q84"/>
    <mergeCell ref="Q85:Q86"/>
    <mergeCell ref="Q63:Q64"/>
    <mergeCell ref="Q65:Q66"/>
    <mergeCell ref="I81:I86"/>
    <mergeCell ref="Q67:Q68"/>
    <mergeCell ref="J81:J86"/>
    <mergeCell ref="I87:I92"/>
    <mergeCell ref="J87:J92"/>
    <mergeCell ref="I93:I98"/>
    <mergeCell ref="J93:J98"/>
    <mergeCell ref="I99:I104"/>
    <mergeCell ref="J99:J104"/>
    <mergeCell ref="R3:R12"/>
    <mergeCell ref="R45:R50"/>
    <mergeCell ref="R75:R80"/>
    <mergeCell ref="J51:J56"/>
    <mergeCell ref="I57:I62"/>
    <mergeCell ref="J57:J62"/>
    <mergeCell ref="I63:I68"/>
    <mergeCell ref="J63:J68"/>
    <mergeCell ref="I69:I74"/>
    <mergeCell ref="J69:J74"/>
    <mergeCell ref="I75:I80"/>
    <mergeCell ref="J75:J80"/>
    <mergeCell ref="J3:J12"/>
    <mergeCell ref="I13:I22"/>
    <mergeCell ref="J13:J22"/>
    <mergeCell ref="I23:I32"/>
    <mergeCell ref="I33:I38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S75:S80"/>
    <mergeCell ref="R81:R86"/>
    <mergeCell ref="S81:S86"/>
    <mergeCell ref="R87:R92"/>
    <mergeCell ref="S87:S92"/>
    <mergeCell ref="R93:R98"/>
    <mergeCell ref="S93:S98"/>
    <mergeCell ref="R99:R104"/>
    <mergeCell ref="S99:S104"/>
  </mergeCells>
  <conditionalFormatting sqref="C2:C1048576 L2:L1048576">
    <cfRule type="beginsWith" dxfId="3" priority="4" operator="beginsWith" text="NA">
      <formula>LEFT(C2,LEN("NA"))="NA"</formula>
    </cfRule>
  </conditionalFormatting>
  <conditionalFormatting sqref="E2:E1048576 N2:N1048576">
    <cfRule type="iconSet" priority="3">
      <iconSet reverse="1">
        <cfvo type="percent" val="0"/>
        <cfvo type="num" val="1"/>
        <cfvo type="num" val="5"/>
      </iconSet>
    </cfRule>
  </conditionalFormatting>
  <conditionalFormatting sqref="J3:J104">
    <cfRule type="iconSet" priority="2">
      <iconSet reverse="1">
        <cfvo type="percent" val="0"/>
        <cfvo type="num" val="0.1"/>
        <cfvo type="num" val="0.15"/>
      </iconSet>
    </cfRule>
  </conditionalFormatting>
  <conditionalFormatting sqref="S3:S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C27AA-C42A-4109-BC6B-DBFDA1F7EADA}">
  <dimension ref="A1:Y104"/>
  <sheetViews>
    <sheetView topLeftCell="H1" zoomScale="70" zoomScaleNormal="70" workbookViewId="0">
      <selection activeCell="K3" sqref="K3:K12"/>
    </sheetView>
  </sheetViews>
  <sheetFormatPr baseColWidth="10" defaultRowHeight="14.5" x14ac:dyDescent="0.35"/>
  <cols>
    <col min="2" max="2" width="13.81640625" bestFit="1" customWidth="1"/>
    <col min="8" max="8" width="14.1796875" bestFit="1" customWidth="1"/>
    <col min="9" max="9" width="15.453125" bestFit="1" customWidth="1"/>
    <col min="10" max="11" width="15.453125" customWidth="1"/>
    <col min="12" max="12" width="13.81640625" bestFit="1" customWidth="1"/>
    <col min="18" max="18" width="14.1796875" bestFit="1" customWidth="1"/>
    <col min="19" max="19" width="15.453125" bestFit="1" customWidth="1"/>
    <col min="20" max="21" width="15.453125" customWidth="1"/>
  </cols>
  <sheetData>
    <row r="1" spans="1:25" x14ac:dyDescent="0.35">
      <c r="B1" s="31" t="s">
        <v>3</v>
      </c>
      <c r="C1" s="31"/>
      <c r="D1" s="31"/>
      <c r="E1" s="31"/>
      <c r="F1" s="31"/>
      <c r="G1" s="31"/>
      <c r="H1" s="31"/>
      <c r="I1" s="31"/>
      <c r="J1" s="11"/>
      <c r="K1" s="11"/>
      <c r="L1" s="32" t="s">
        <v>4</v>
      </c>
      <c r="M1" s="32"/>
      <c r="N1" s="32"/>
      <c r="O1" s="32"/>
      <c r="P1" s="32"/>
      <c r="Q1" s="32"/>
      <c r="R1" s="32"/>
      <c r="S1" s="32"/>
      <c r="T1" s="12"/>
      <c r="U1" s="12"/>
    </row>
    <row r="2" spans="1:25" x14ac:dyDescent="0.35">
      <c r="A2" s="1" t="s">
        <v>0</v>
      </c>
      <c r="B2" s="4" t="s">
        <v>8</v>
      </c>
      <c r="C2" s="3" t="s">
        <v>7</v>
      </c>
      <c r="D2" s="3" t="s">
        <v>2</v>
      </c>
      <c r="E2" s="3" t="s">
        <v>5</v>
      </c>
      <c r="F2" s="3" t="s">
        <v>6</v>
      </c>
      <c r="G2" s="3" t="s">
        <v>9</v>
      </c>
      <c r="H2" s="3" t="s">
        <v>10</v>
      </c>
      <c r="I2" s="6" t="s">
        <v>21</v>
      </c>
      <c r="J2" s="6" t="s">
        <v>36</v>
      </c>
      <c r="K2" s="6" t="s">
        <v>37</v>
      </c>
      <c r="L2" s="3" t="s">
        <v>8</v>
      </c>
      <c r="M2" s="3" t="s">
        <v>7</v>
      </c>
      <c r="N2" s="3" t="s">
        <v>2</v>
      </c>
      <c r="O2" s="3" t="s">
        <v>5</v>
      </c>
      <c r="P2" s="3" t="s">
        <v>6</v>
      </c>
      <c r="Q2" s="3" t="s">
        <v>9</v>
      </c>
      <c r="R2" s="3" t="s">
        <v>10</v>
      </c>
      <c r="S2" s="6" t="s">
        <v>21</v>
      </c>
      <c r="T2" s="6" t="s">
        <v>36</v>
      </c>
      <c r="U2" s="6" t="s">
        <v>37</v>
      </c>
    </row>
    <row r="3" spans="1:25" x14ac:dyDescent="0.35">
      <c r="A3" s="37">
        <v>1</v>
      </c>
      <c r="B3" s="38">
        <v>8.2649999999999988</v>
      </c>
      <c r="C3" s="2">
        <v>18.062999999999999</v>
      </c>
      <c r="D3" s="36">
        <f>AVERAGE(C3:C4)</f>
        <v>17.908000000000001</v>
      </c>
      <c r="E3" s="42">
        <f>_xlfn.STDEV.S(C3:C4)/SQRT(2)</f>
        <v>0.15499999999999936</v>
      </c>
      <c r="F3" s="36">
        <f>D3/1000</f>
        <v>1.7908E-2</v>
      </c>
      <c r="G3" s="36">
        <f>(F3*16*0.2)/(9600*0.6*0.01*10^-3)</f>
        <v>0.99488888888888893</v>
      </c>
      <c r="H3" s="36">
        <f>G3/B3</f>
        <v>0.12037373126302348</v>
      </c>
      <c r="I3" s="33">
        <f>H3*1000</f>
        <v>120.37373126302347</v>
      </c>
      <c r="J3" s="33">
        <f>AVERAGE(I3:I12)</f>
        <v>119.04393286364389</v>
      </c>
      <c r="K3" s="34">
        <f>(_xlfn.STDEV.S(I3:I12)/SQRT(5))/J3</f>
        <v>3.9963224080579292E-2</v>
      </c>
      <c r="L3" s="36">
        <v>6.0449999999999999</v>
      </c>
      <c r="M3" s="2">
        <v>6.5250000000000004</v>
      </c>
      <c r="N3" s="36">
        <f>AVERAGE(M3:M4)</f>
        <v>5.1715999999999998</v>
      </c>
      <c r="O3" s="42">
        <f>_xlfn.STDEV.S(M3:M4)/SQRT(2)</f>
        <v>1.353400000000001</v>
      </c>
      <c r="P3" s="36">
        <f>N3/1000</f>
        <v>5.1716000000000002E-3</v>
      </c>
      <c r="Q3" s="36">
        <f>(P3*32*0.2)/(9600*0.6*0.01*10^-3)</f>
        <v>0.57462222222222215</v>
      </c>
      <c r="R3" s="36">
        <f>Q3/L3</f>
        <v>9.5057439573568589E-2</v>
      </c>
      <c r="S3" s="33">
        <f>R3*1000</f>
        <v>95.057439573568587</v>
      </c>
      <c r="T3" s="33">
        <f>AVERAGE(S3:S12)</f>
        <v>100.87195875346184</v>
      </c>
      <c r="U3" s="34">
        <f>(_xlfn.STDEV.S(S3:S12)/SQRT(5))/T3</f>
        <v>8.542207129883049E-2</v>
      </c>
    </row>
    <row r="4" spans="1:25" x14ac:dyDescent="0.35">
      <c r="A4" s="37"/>
      <c r="B4" s="38"/>
      <c r="C4" s="2">
        <v>17.753</v>
      </c>
      <c r="D4" s="36"/>
      <c r="E4" s="42"/>
      <c r="F4" s="36"/>
      <c r="G4" s="36"/>
      <c r="H4" s="36"/>
      <c r="I4" s="33"/>
      <c r="J4" s="33"/>
      <c r="K4" s="34"/>
      <c r="L4" s="36"/>
      <c r="M4" s="2">
        <v>3.8182</v>
      </c>
      <c r="N4" s="36"/>
      <c r="O4" s="42"/>
      <c r="P4" s="36"/>
      <c r="Q4" s="36"/>
      <c r="R4" s="36"/>
      <c r="S4" s="33"/>
      <c r="T4" s="33"/>
      <c r="U4" s="34"/>
    </row>
    <row r="5" spans="1:25" x14ac:dyDescent="0.35">
      <c r="A5" s="37">
        <v>2</v>
      </c>
      <c r="B5" s="38">
        <v>5.7149999999999999</v>
      </c>
      <c r="C5" s="2">
        <v>11.154</v>
      </c>
      <c r="D5" s="36">
        <f>AVERAGE(C5:C6)</f>
        <v>11.346499999999999</v>
      </c>
      <c r="E5" s="42">
        <f>_xlfn.STDEV.S(C5:C6)/SQRT(2)</f>
        <v>0.19249999999999987</v>
      </c>
      <c r="F5" s="36">
        <f t="shared" ref="F5" si="0">D5/1000</f>
        <v>1.1346499999999999E-2</v>
      </c>
      <c r="G5" s="36">
        <f t="shared" ref="G5" si="1">(F5*16*0.2)/(9600*0.6*0.01*10^-3)</f>
        <v>0.63036111111111093</v>
      </c>
      <c r="H5" s="36">
        <f>G5/B5</f>
        <v>0.11029940701856709</v>
      </c>
      <c r="I5" s="33">
        <f t="shared" ref="I5" si="2">H5*1000</f>
        <v>110.29940701856709</v>
      </c>
      <c r="J5" s="33"/>
      <c r="K5" s="34"/>
      <c r="L5" s="36">
        <v>10.425000000000001</v>
      </c>
      <c r="M5" s="2">
        <v>8.3734999999999999</v>
      </c>
      <c r="N5" s="36">
        <f t="shared" ref="N5" si="3">AVERAGE(M5:M6)</f>
        <v>7.1029499999999999</v>
      </c>
      <c r="O5" s="42">
        <f t="shared" ref="O5" si="4">_xlfn.STDEV.S(M5:M6)/SQRT(2)</f>
        <v>1.2705500000000023</v>
      </c>
      <c r="P5" s="36">
        <f t="shared" ref="P5" si="5">N5/1000</f>
        <v>7.1029500000000002E-3</v>
      </c>
      <c r="Q5" s="36">
        <f t="shared" ref="Q5" si="6">(P5*32*0.2)/(9600*0.6*0.01*10^-3)</f>
        <v>0.78921666666666668</v>
      </c>
      <c r="R5" s="36">
        <f t="shared" ref="R5" si="7">Q5/L5</f>
        <v>7.570423661071142E-2</v>
      </c>
      <c r="S5" s="33">
        <f t="shared" ref="S5" si="8">R5*1000</f>
        <v>75.704236610711419</v>
      </c>
      <c r="T5" s="33"/>
      <c r="U5" s="34"/>
    </row>
    <row r="6" spans="1:25" x14ac:dyDescent="0.35">
      <c r="A6" s="37"/>
      <c r="B6" s="38"/>
      <c r="C6" s="2">
        <v>11.539</v>
      </c>
      <c r="D6" s="36"/>
      <c r="E6" s="42"/>
      <c r="F6" s="36"/>
      <c r="G6" s="36"/>
      <c r="H6" s="36"/>
      <c r="I6" s="33"/>
      <c r="J6" s="33"/>
      <c r="K6" s="34"/>
      <c r="L6" s="36"/>
      <c r="M6" s="2">
        <v>5.8323999999999998</v>
      </c>
      <c r="N6" s="36"/>
      <c r="O6" s="42"/>
      <c r="P6" s="36"/>
      <c r="Q6" s="36"/>
      <c r="R6" s="36"/>
      <c r="S6" s="33"/>
      <c r="T6" s="33"/>
      <c r="U6" s="34"/>
    </row>
    <row r="7" spans="1:25" x14ac:dyDescent="0.35">
      <c r="A7" s="37">
        <v>3</v>
      </c>
      <c r="B7" s="38">
        <v>6.4050000000000011</v>
      </c>
      <c r="C7" s="2">
        <v>16.332000000000001</v>
      </c>
      <c r="D7" s="36">
        <f t="shared" ref="D7" si="9">AVERAGE(C7:C8)</f>
        <v>15.070499999999999</v>
      </c>
      <c r="E7" s="42">
        <f t="shared" ref="E7" si="10">_xlfn.STDEV.S(C7:C8)/SQRT(2)</f>
        <v>1.2615000000000007</v>
      </c>
      <c r="F7" s="36">
        <f t="shared" ref="F7" si="11">D7/1000</f>
        <v>1.5070499999999999E-2</v>
      </c>
      <c r="G7" s="36">
        <f t="shared" ref="G7" si="12">(F7*16*0.2)/(9600*0.6*0.01*10^-3)</f>
        <v>0.83724999999999994</v>
      </c>
      <c r="H7" s="36">
        <f>G7/B7</f>
        <v>0.13071818891491019</v>
      </c>
      <c r="I7" s="33">
        <f t="shared" ref="I7" si="13">H7*1000</f>
        <v>130.7181889149102</v>
      </c>
      <c r="J7" s="33"/>
      <c r="K7" s="34"/>
      <c r="L7" s="36">
        <v>10.319999999999999</v>
      </c>
      <c r="M7" s="2">
        <v>10.337</v>
      </c>
      <c r="N7" s="36">
        <f t="shared" ref="N7" si="14">AVERAGE(M7:M8)</f>
        <v>8.638300000000001</v>
      </c>
      <c r="O7" s="42">
        <f t="shared" ref="O7" si="15">_xlfn.STDEV.S(M7:M8)/SQRT(2)</f>
        <v>1.6986999999999983</v>
      </c>
      <c r="P7" s="36">
        <f t="shared" ref="P7" si="16">N7/1000</f>
        <v>8.6383000000000015E-3</v>
      </c>
      <c r="Q7" s="36">
        <f t="shared" ref="Q7" si="17">(P7*32*0.2)/(9600*0.6*0.01*10^-3)</f>
        <v>0.95981111111111128</v>
      </c>
      <c r="R7" s="36">
        <f t="shared" ref="R7" si="18">Q7/L7</f>
        <v>9.3004952627045681E-2</v>
      </c>
      <c r="S7" s="33">
        <f t="shared" ref="S7" si="19">R7*1000</f>
        <v>93.004952627045682</v>
      </c>
      <c r="T7" s="33"/>
      <c r="U7" s="34"/>
      <c r="X7" t="s">
        <v>19</v>
      </c>
      <c r="Y7" t="s">
        <v>20</v>
      </c>
    </row>
    <row r="8" spans="1:25" x14ac:dyDescent="0.35">
      <c r="A8" s="37"/>
      <c r="B8" s="38"/>
      <c r="C8" s="2">
        <v>13.808999999999999</v>
      </c>
      <c r="D8" s="36"/>
      <c r="E8" s="42"/>
      <c r="F8" s="36"/>
      <c r="G8" s="36"/>
      <c r="H8" s="36"/>
      <c r="I8" s="33"/>
      <c r="J8" s="33"/>
      <c r="K8" s="34"/>
      <c r="L8" s="36"/>
      <c r="M8" s="2">
        <v>6.9396000000000004</v>
      </c>
      <c r="N8" s="36"/>
      <c r="O8" s="42"/>
      <c r="P8" s="36"/>
      <c r="Q8" s="36"/>
      <c r="R8" s="36"/>
      <c r="S8" s="33"/>
      <c r="T8" s="33"/>
      <c r="U8" s="34"/>
      <c r="W8" s="8" t="s">
        <v>13</v>
      </c>
      <c r="X8">
        <v>16</v>
      </c>
      <c r="Y8">
        <v>32</v>
      </c>
    </row>
    <row r="9" spans="1:25" x14ac:dyDescent="0.35">
      <c r="A9" s="37">
        <v>4</v>
      </c>
      <c r="B9" s="38">
        <v>5.625</v>
      </c>
      <c r="C9" s="2">
        <v>11.275</v>
      </c>
      <c r="D9" s="36">
        <f t="shared" ref="D9" si="20">AVERAGE(C9:C10)</f>
        <v>10.754000000000001</v>
      </c>
      <c r="E9" s="42">
        <f t="shared" ref="E9" si="21">_xlfn.STDEV.S(C9:C10)/SQRT(2)</f>
        <v>0.52099999999999991</v>
      </c>
      <c r="F9" s="36">
        <f t="shared" ref="F9" si="22">D9/1000</f>
        <v>1.0754000000000001E-2</v>
      </c>
      <c r="G9" s="36">
        <f t="shared" ref="G9" si="23">(F9*16*0.2)/(9600*0.6*0.01*10^-3)</f>
        <v>0.59744444444444456</v>
      </c>
      <c r="H9" s="36">
        <f>G9/B9</f>
        <v>0.10621234567901236</v>
      </c>
      <c r="I9" s="33">
        <f t="shared" ref="I9" si="24">H9*1000</f>
        <v>106.21234567901236</v>
      </c>
      <c r="J9" s="33"/>
      <c r="K9" s="34"/>
      <c r="L9" s="36">
        <v>8.7000000000000011</v>
      </c>
      <c r="M9" s="2">
        <v>11.175000000000001</v>
      </c>
      <c r="N9" s="36">
        <f t="shared" ref="N9" si="25">AVERAGE(M9:M10)</f>
        <v>9.3584999999999994</v>
      </c>
      <c r="O9" s="42">
        <f t="shared" ref="O9" si="26">_xlfn.STDEV.S(M9:M10)/SQRT(2)</f>
        <v>1.816500000000004</v>
      </c>
      <c r="P9" s="36">
        <f t="shared" ref="P9" si="27">N9/1000</f>
        <v>9.3584999999999988E-3</v>
      </c>
      <c r="Q9" s="36">
        <f t="shared" ref="Q9" si="28">(P9*32*0.2)/(9600*0.6*0.01*10^-3)</f>
        <v>1.0398333333333332</v>
      </c>
      <c r="R9" s="36">
        <f t="shared" ref="R9" si="29">Q9/L9</f>
        <v>0.11952107279693483</v>
      </c>
      <c r="S9" s="33">
        <f t="shared" ref="S9" si="30">R9*1000</f>
        <v>119.52107279693483</v>
      </c>
      <c r="T9" s="33"/>
      <c r="U9" s="34"/>
      <c r="W9" s="8" t="s">
        <v>16</v>
      </c>
      <c r="X9">
        <v>0.2</v>
      </c>
      <c r="Y9">
        <v>0.2</v>
      </c>
    </row>
    <row r="10" spans="1:25" x14ac:dyDescent="0.35">
      <c r="A10" s="37"/>
      <c r="B10" s="38"/>
      <c r="C10" s="2">
        <v>10.233000000000001</v>
      </c>
      <c r="D10" s="36"/>
      <c r="E10" s="42"/>
      <c r="F10" s="36"/>
      <c r="G10" s="36"/>
      <c r="H10" s="36"/>
      <c r="I10" s="33"/>
      <c r="J10" s="33"/>
      <c r="K10" s="34"/>
      <c r="L10" s="36"/>
      <c r="M10" s="2">
        <v>7.5419999999999998</v>
      </c>
      <c r="N10" s="36"/>
      <c r="O10" s="42"/>
      <c r="P10" s="36"/>
      <c r="Q10" s="36"/>
      <c r="R10" s="36"/>
      <c r="S10" s="33"/>
      <c r="T10" s="33"/>
      <c r="U10" s="34"/>
      <c r="W10" s="8" t="s">
        <v>15</v>
      </c>
      <c r="X10">
        <v>9600</v>
      </c>
      <c r="Y10">
        <v>9600</v>
      </c>
    </row>
    <row r="11" spans="1:25" x14ac:dyDescent="0.35">
      <c r="A11" s="37">
        <v>5</v>
      </c>
      <c r="B11" s="38">
        <v>4.1550000000000002</v>
      </c>
      <c r="C11" s="2">
        <v>9.8705999999999996</v>
      </c>
      <c r="D11" s="36">
        <f t="shared" ref="D11" si="31">AVERAGE(C11:C12)</f>
        <v>9.5443999999999996</v>
      </c>
      <c r="E11" s="42">
        <f t="shared" ref="E11" si="32">_xlfn.STDEV.S(C11:C12)/SQRT(2)</f>
        <v>0.32619999999999999</v>
      </c>
      <c r="F11" s="36">
        <f t="shared" ref="F11" si="33">D11/1000</f>
        <v>9.5443999999999998E-3</v>
      </c>
      <c r="G11" s="36">
        <f t="shared" ref="G11" si="34">(F11*16*0.2)/(9600*0.6*0.01*10^-3)</f>
        <v>0.53024444444444441</v>
      </c>
      <c r="H11" s="36">
        <f>G11/B11</f>
        <v>0.12761599144270622</v>
      </c>
      <c r="I11" s="33">
        <f t="shared" ref="I11" si="35">H11*1000</f>
        <v>127.61599144270622</v>
      </c>
      <c r="J11" s="33"/>
      <c r="K11" s="34"/>
      <c r="L11" s="36">
        <v>8.9699999999999989</v>
      </c>
      <c r="M11" s="2">
        <v>12.238</v>
      </c>
      <c r="N11" s="36">
        <f t="shared" ref="N11" si="36">AVERAGE(M11:M12)</f>
        <v>9.7741499999999988</v>
      </c>
      <c r="O11" s="42">
        <f t="shared" ref="O11" si="37">_xlfn.STDEV.S(M11:M12)/SQRT(2)</f>
        <v>2.4638500000000048</v>
      </c>
      <c r="P11" s="36">
        <f t="shared" ref="P11" si="38">N11/1000</f>
        <v>9.7741499999999988E-3</v>
      </c>
      <c r="Q11" s="36">
        <f t="shared" ref="Q11" si="39">(P11*32*0.2)/(9600*0.6*0.01*10^-3)</f>
        <v>1.0860166666666664</v>
      </c>
      <c r="R11" s="36">
        <f t="shared" ref="R11" si="40">Q11/L11</f>
        <v>0.12107209215904867</v>
      </c>
      <c r="S11" s="33">
        <f t="shared" ref="S11" si="41">R11*1000</f>
        <v>121.07209215904867</v>
      </c>
      <c r="T11" s="33"/>
      <c r="U11" s="34"/>
      <c r="W11" s="8" t="s">
        <v>14</v>
      </c>
      <c r="X11">
        <v>0.01</v>
      </c>
      <c r="Y11">
        <v>0.01</v>
      </c>
    </row>
    <row r="12" spans="1:25" x14ac:dyDescent="0.35">
      <c r="A12" s="37"/>
      <c r="B12" s="38"/>
      <c r="C12" s="2">
        <v>9.2181999999999995</v>
      </c>
      <c r="D12" s="36"/>
      <c r="E12" s="42"/>
      <c r="F12" s="36"/>
      <c r="G12" s="36"/>
      <c r="H12" s="36"/>
      <c r="I12" s="33"/>
      <c r="J12" s="33"/>
      <c r="K12" s="34"/>
      <c r="L12" s="36"/>
      <c r="M12" s="2">
        <v>7.3102999999999998</v>
      </c>
      <c r="N12" s="36"/>
      <c r="O12" s="42"/>
      <c r="P12" s="36"/>
      <c r="Q12" s="36"/>
      <c r="R12" s="36"/>
      <c r="S12" s="33"/>
      <c r="T12" s="33"/>
      <c r="U12" s="34"/>
    </row>
    <row r="13" spans="1:25" x14ac:dyDescent="0.35">
      <c r="A13" s="37">
        <v>6</v>
      </c>
      <c r="B13" s="38">
        <v>5.61</v>
      </c>
      <c r="C13" s="2">
        <v>20.065000000000001</v>
      </c>
      <c r="D13" s="36">
        <f t="shared" ref="D13" si="42">AVERAGE(C13:C14)</f>
        <v>19.8735</v>
      </c>
      <c r="E13" s="42">
        <f t="shared" ref="E13" si="43">_xlfn.STDEV.S(C13:C14)/SQRT(2)</f>
        <v>0.19150000000000134</v>
      </c>
      <c r="F13" s="36">
        <f t="shared" ref="F13" si="44">D13/1000</f>
        <v>1.9873499999999999E-2</v>
      </c>
      <c r="G13" s="36">
        <f t="shared" ref="G13" si="45">(F13*16*0.2)/(9600*0.6*0.01*10^-3)</f>
        <v>1.1040833333333333</v>
      </c>
      <c r="H13" s="36">
        <f>G13/B13</f>
        <v>0.1968062982768865</v>
      </c>
      <c r="I13" s="33">
        <f t="shared" ref="I13" si="46">H13*1000</f>
        <v>196.80629827688651</v>
      </c>
      <c r="J13" s="33">
        <f>AVERAGE(I13:I20)</f>
        <v>190.8579041450059</v>
      </c>
      <c r="K13" s="34">
        <f>(_xlfn.STDEV.S(I13:I20)/SQRT(4))/J13</f>
        <v>0.11225405555970311</v>
      </c>
      <c r="L13" s="36">
        <v>9.4350000000000005</v>
      </c>
      <c r="M13" s="2">
        <v>12.693</v>
      </c>
      <c r="N13" s="36">
        <f t="shared" ref="N13" si="47">AVERAGE(M13:M14)</f>
        <v>9.6752000000000002</v>
      </c>
      <c r="O13" s="42">
        <f t="shared" ref="O13" si="48">_xlfn.STDEV.S(M13:M14)/SQRT(2)</f>
        <v>3.017799999999998</v>
      </c>
      <c r="P13" s="36">
        <f t="shared" ref="P13" si="49">N13/1000</f>
        <v>9.6752000000000001E-3</v>
      </c>
      <c r="Q13" s="36">
        <f t="shared" ref="Q13" si="50">(P13*32*0.2)/(9600*0.6*0.01*10^-3)</f>
        <v>1.0750222222222221</v>
      </c>
      <c r="R13" s="36">
        <f t="shared" ref="R13" si="51">Q13/L13</f>
        <v>0.11393982217511628</v>
      </c>
      <c r="S13" s="33">
        <f t="shared" ref="S13" si="52">R13*1000</f>
        <v>113.93982217511628</v>
      </c>
      <c r="T13" s="33">
        <f>AVERAGE(S13:S16,S19:S22)</f>
        <v>140.14530101819398</v>
      </c>
      <c r="U13" s="34">
        <f>(_xlfn.STDEV.S(S13:S16,S19:S22)/SQRT(4))/T13</f>
        <v>0.10294141329346543</v>
      </c>
    </row>
    <row r="14" spans="1:25" x14ac:dyDescent="0.35">
      <c r="A14" s="37"/>
      <c r="B14" s="38"/>
      <c r="C14" s="2">
        <v>19.681999999999999</v>
      </c>
      <c r="D14" s="36"/>
      <c r="E14" s="42"/>
      <c r="F14" s="36"/>
      <c r="G14" s="36"/>
      <c r="H14" s="36"/>
      <c r="I14" s="33"/>
      <c r="J14" s="33"/>
      <c r="K14" s="34"/>
      <c r="L14" s="36"/>
      <c r="M14" s="2">
        <v>6.6574</v>
      </c>
      <c r="N14" s="36"/>
      <c r="O14" s="42"/>
      <c r="P14" s="36"/>
      <c r="Q14" s="36"/>
      <c r="R14" s="36"/>
      <c r="S14" s="33"/>
      <c r="T14" s="33"/>
      <c r="U14" s="34"/>
    </row>
    <row r="15" spans="1:25" x14ac:dyDescent="0.35">
      <c r="A15" s="37">
        <v>7</v>
      </c>
      <c r="B15" s="38">
        <v>6.51</v>
      </c>
      <c r="C15" s="2">
        <v>22.001000000000001</v>
      </c>
      <c r="D15" s="36">
        <f t="shared" ref="D15" si="53">AVERAGE(C15:C16)</f>
        <v>21.551000000000002</v>
      </c>
      <c r="E15" s="42">
        <f t="shared" ref="E15" si="54">_xlfn.STDEV.S(C15:C16)/SQRT(2)</f>
        <v>0.45000000000000107</v>
      </c>
      <c r="F15" s="36">
        <f t="shared" ref="F15" si="55">D15/1000</f>
        <v>2.1551000000000001E-2</v>
      </c>
      <c r="G15" s="36">
        <f t="shared" ref="G15" si="56">(F15*16*0.2)/(9600*0.6*0.01*10^-3)</f>
        <v>1.1972777777777777</v>
      </c>
      <c r="H15" s="36">
        <f>G15/B15</f>
        <v>0.18391363713944359</v>
      </c>
      <c r="I15" s="33">
        <f t="shared" ref="I15" si="57">H15*1000</f>
        <v>183.91363713944358</v>
      </c>
      <c r="J15" s="33"/>
      <c r="K15" s="34"/>
      <c r="L15" s="36">
        <v>8.4449999999999985</v>
      </c>
      <c r="M15" s="2">
        <v>10.516</v>
      </c>
      <c r="N15" s="36">
        <f t="shared" ref="N15" si="58">AVERAGE(M15:M16)</f>
        <v>9.0300499999999992</v>
      </c>
      <c r="O15" s="42">
        <f t="shared" ref="O15" si="59">_xlfn.STDEV.S(M15:M16)/SQRT(2)</f>
        <v>1.4859500000000045</v>
      </c>
      <c r="P15" s="36">
        <f t="shared" ref="P15" si="60">N15/1000</f>
        <v>9.0300499999999995E-3</v>
      </c>
      <c r="Q15" s="36">
        <f t="shared" ref="Q15" si="61">(P15*32*0.2)/(9600*0.6*0.01*10^-3)</f>
        <v>1.0033388888888888</v>
      </c>
      <c r="R15" s="36">
        <f t="shared" ref="R15" si="62">Q15/L15</f>
        <v>0.1188086310111177</v>
      </c>
      <c r="S15" s="33">
        <f t="shared" ref="S15" si="63">R15*1000</f>
        <v>118.8086310111177</v>
      </c>
      <c r="T15" s="33"/>
      <c r="U15" s="34"/>
    </row>
    <row r="16" spans="1:25" x14ac:dyDescent="0.35">
      <c r="A16" s="37"/>
      <c r="B16" s="38"/>
      <c r="C16" s="2">
        <v>21.100999999999999</v>
      </c>
      <c r="D16" s="36"/>
      <c r="E16" s="42"/>
      <c r="F16" s="36"/>
      <c r="G16" s="36"/>
      <c r="H16" s="36"/>
      <c r="I16" s="33"/>
      <c r="J16" s="33"/>
      <c r="K16" s="34"/>
      <c r="L16" s="36"/>
      <c r="M16" s="2">
        <v>7.5441000000000003</v>
      </c>
      <c r="N16" s="36"/>
      <c r="O16" s="42"/>
      <c r="P16" s="36"/>
      <c r="Q16" s="36"/>
      <c r="R16" s="36"/>
      <c r="S16" s="33"/>
      <c r="T16" s="33"/>
      <c r="U16" s="34"/>
    </row>
    <row r="17" spans="1:21" x14ac:dyDescent="0.35">
      <c r="A17" s="37">
        <v>8</v>
      </c>
      <c r="B17" s="38">
        <v>7.6950000000000003</v>
      </c>
      <c r="C17" s="2">
        <v>18.489999999999998</v>
      </c>
      <c r="D17" s="36">
        <f t="shared" ref="D17" si="64">AVERAGE(C17:C18)</f>
        <v>19.291499999999999</v>
      </c>
      <c r="E17" s="42">
        <f t="shared" ref="E17" si="65">_xlfn.STDEV.S(C17:C18)/SQRT(2)</f>
        <v>0.80150000000000077</v>
      </c>
      <c r="F17" s="36">
        <f t="shared" ref="F17" si="66">D17/1000</f>
        <v>1.92915E-2</v>
      </c>
      <c r="G17" s="36">
        <f t="shared" ref="G17" si="67">(F17*16*0.2)/(9600*0.6*0.01*10^-3)</f>
        <v>1.07175</v>
      </c>
      <c r="H17" s="36">
        <f>G17/B17</f>
        <v>0.13927875243664717</v>
      </c>
      <c r="I17" s="33">
        <f t="shared" ref="I17" si="68">H17*1000</f>
        <v>139.27875243664718</v>
      </c>
      <c r="J17" s="33"/>
      <c r="K17" s="34"/>
      <c r="L17" s="36">
        <v>9.7800000000000011</v>
      </c>
      <c r="M17" s="2">
        <v>4.9191000000000003</v>
      </c>
      <c r="N17" s="36">
        <f t="shared" ref="N17" si="69">AVERAGE(M17:M18)</f>
        <v>4.5006000000000004</v>
      </c>
      <c r="O17" s="42">
        <f t="shared" ref="O17" si="70">_xlfn.STDEV.S(M17:M18)/SQRT(2)</f>
        <v>0.41850000000000032</v>
      </c>
      <c r="P17" s="36">
        <f t="shared" ref="P17" si="71">N17/1000</f>
        <v>4.5006000000000004E-3</v>
      </c>
      <c r="Q17" s="36">
        <f t="shared" ref="Q17" si="72">(P17*32*0.2)/(9600*0.6*0.01*10^-3)</f>
        <v>0.50006666666666666</v>
      </c>
      <c r="R17" s="36">
        <f t="shared" ref="R17" si="73">Q17/L17</f>
        <v>5.1131561008861619E-2</v>
      </c>
      <c r="S17" s="43">
        <f t="shared" ref="S17" si="74">R17*1000</f>
        <v>51.131561008861617</v>
      </c>
      <c r="T17" s="33"/>
      <c r="U17" s="34"/>
    </row>
    <row r="18" spans="1:21" x14ac:dyDescent="0.35">
      <c r="A18" s="37"/>
      <c r="B18" s="38"/>
      <c r="C18" s="2">
        <v>20.093</v>
      </c>
      <c r="D18" s="36"/>
      <c r="E18" s="42"/>
      <c r="F18" s="36"/>
      <c r="G18" s="36"/>
      <c r="H18" s="36"/>
      <c r="I18" s="33"/>
      <c r="J18" s="33"/>
      <c r="K18" s="34"/>
      <c r="L18" s="36"/>
      <c r="M18" s="2">
        <v>4.0820999999999996</v>
      </c>
      <c r="N18" s="36"/>
      <c r="O18" s="42"/>
      <c r="P18" s="36"/>
      <c r="Q18" s="36"/>
      <c r="R18" s="36"/>
      <c r="S18" s="43"/>
      <c r="T18" s="33"/>
      <c r="U18" s="34"/>
    </row>
    <row r="19" spans="1:21" x14ac:dyDescent="0.35">
      <c r="A19" s="37">
        <v>9</v>
      </c>
      <c r="B19" s="38">
        <v>3.57</v>
      </c>
      <c r="C19" s="2">
        <v>17.126999999999999</v>
      </c>
      <c r="D19" s="36">
        <f t="shared" ref="D19" si="75">AVERAGE(C19:C20)</f>
        <v>15.643000000000001</v>
      </c>
      <c r="E19" s="42">
        <f t="shared" ref="E19" si="76">_xlfn.STDEV.S(C19:C20)/SQRT(2)</f>
        <v>1.4839999999999991</v>
      </c>
      <c r="F19" s="36">
        <f t="shared" ref="F19" si="77">D19/1000</f>
        <v>1.5643000000000001E-2</v>
      </c>
      <c r="G19" s="36">
        <f t="shared" ref="G19" si="78">(F19*16*0.2)/(9600*0.6*0.01*10^-3)</f>
        <v>0.86905555555555558</v>
      </c>
      <c r="H19" s="36">
        <f>G19/B19</f>
        <v>0.24343292872704639</v>
      </c>
      <c r="I19" s="33">
        <f t="shared" ref="I19" si="79">H19*1000</f>
        <v>243.4329287270464</v>
      </c>
      <c r="J19" s="33"/>
      <c r="K19" s="34"/>
      <c r="L19" s="36">
        <v>10.29</v>
      </c>
      <c r="M19" s="2">
        <v>16.204000000000001</v>
      </c>
      <c r="N19" s="36">
        <f t="shared" ref="N19" si="80">AVERAGE(M19:M20)</f>
        <v>14.196999999999999</v>
      </c>
      <c r="O19" s="42">
        <f t="shared" ref="O19" si="81">_xlfn.STDEV.S(M19:M20)/SQRT(2)</f>
        <v>2.0070000000000023</v>
      </c>
      <c r="P19" s="36">
        <f t="shared" ref="P19" si="82">N19/1000</f>
        <v>1.4197E-2</v>
      </c>
      <c r="Q19" s="36">
        <f t="shared" ref="Q19" si="83">(P19*32*0.2)/(9600*0.6*0.01*10^-3)</f>
        <v>1.5774444444444444</v>
      </c>
      <c r="R19" s="36">
        <f t="shared" ref="R19" si="84">Q19/L19</f>
        <v>0.15329877982939208</v>
      </c>
      <c r="S19" s="33">
        <f t="shared" ref="S19" si="85">R19*1000</f>
        <v>153.29877982939209</v>
      </c>
      <c r="T19" s="33"/>
      <c r="U19" s="34"/>
    </row>
    <row r="20" spans="1:21" x14ac:dyDescent="0.35">
      <c r="A20" s="37"/>
      <c r="B20" s="38"/>
      <c r="C20" s="2">
        <v>14.159000000000001</v>
      </c>
      <c r="D20" s="36"/>
      <c r="E20" s="42"/>
      <c r="F20" s="36"/>
      <c r="G20" s="36"/>
      <c r="H20" s="36"/>
      <c r="I20" s="33"/>
      <c r="J20" s="33"/>
      <c r="K20" s="34"/>
      <c r="L20" s="36"/>
      <c r="M20" s="2">
        <v>12.19</v>
      </c>
      <c r="N20" s="36"/>
      <c r="O20" s="42"/>
      <c r="P20" s="36"/>
      <c r="Q20" s="36"/>
      <c r="R20" s="36"/>
      <c r="S20" s="33"/>
      <c r="T20" s="33"/>
      <c r="U20" s="34"/>
    </row>
    <row r="21" spans="1:21" x14ac:dyDescent="0.35">
      <c r="A21" s="37">
        <v>10</v>
      </c>
      <c r="B21" s="38">
        <v>6.7499999999999991</v>
      </c>
      <c r="C21" s="2">
        <v>10.773999999999999</v>
      </c>
      <c r="D21" s="36">
        <f t="shared" ref="D21" si="86">AVERAGE(C21:C22)</f>
        <v>10.818999999999999</v>
      </c>
      <c r="E21" s="42">
        <f t="shared" ref="E21" si="87">_xlfn.STDEV.S(C21:C22)/SQRT(2)</f>
        <v>4.5000000000000817E-2</v>
      </c>
      <c r="F21" s="36">
        <f t="shared" ref="F21" si="88">D21/1000</f>
        <v>1.0818999999999999E-2</v>
      </c>
      <c r="G21" s="36">
        <f t="shared" ref="G21" si="89">(F21*16*0.2)/(9600*0.6*0.01*10^-3)</f>
        <v>0.60105555555555545</v>
      </c>
      <c r="H21" s="36">
        <f>G21/B21</f>
        <v>8.9045267489711935E-2</v>
      </c>
      <c r="I21" s="43">
        <f t="shared" ref="I21" si="90">H21*1000</f>
        <v>89.045267489711932</v>
      </c>
      <c r="J21" s="33"/>
      <c r="K21" s="34"/>
      <c r="L21" s="36">
        <v>9.06</v>
      </c>
      <c r="M21" s="2">
        <v>16.899000000000001</v>
      </c>
      <c r="N21" s="36">
        <f t="shared" ref="N21" si="91">AVERAGE(M21:M22)</f>
        <v>14.2315</v>
      </c>
      <c r="O21" s="42">
        <f t="shared" ref="O21" si="92">_xlfn.STDEV.S(M21:M22)/SQRT(2)</f>
        <v>2.6675000000000049</v>
      </c>
      <c r="P21" s="36">
        <f t="shared" ref="P21" si="93">N21/1000</f>
        <v>1.4231500000000001E-2</v>
      </c>
      <c r="Q21" s="36">
        <f t="shared" ref="Q21" si="94">(P21*32*0.2)/(9600*0.6*0.01*10^-3)</f>
        <v>1.5812777777777778</v>
      </c>
      <c r="R21" s="36">
        <f t="shared" ref="R21" si="95">Q21/L21</f>
        <v>0.17453397105714985</v>
      </c>
      <c r="S21" s="33">
        <f t="shared" ref="S21" si="96">R21*1000</f>
        <v>174.53397105714984</v>
      </c>
      <c r="T21" s="33"/>
      <c r="U21" s="34"/>
    </row>
    <row r="22" spans="1:21" x14ac:dyDescent="0.35">
      <c r="A22" s="37"/>
      <c r="B22" s="38"/>
      <c r="C22" s="2">
        <v>10.864000000000001</v>
      </c>
      <c r="D22" s="36"/>
      <c r="E22" s="42"/>
      <c r="F22" s="36"/>
      <c r="G22" s="36"/>
      <c r="H22" s="36"/>
      <c r="I22" s="43"/>
      <c r="J22" s="33"/>
      <c r="K22" s="34"/>
      <c r="L22" s="36"/>
      <c r="M22" s="2">
        <v>11.564</v>
      </c>
      <c r="N22" s="36"/>
      <c r="O22" s="42"/>
      <c r="P22" s="36"/>
      <c r="Q22" s="36"/>
      <c r="R22" s="36"/>
      <c r="S22" s="33"/>
      <c r="T22" s="33"/>
      <c r="U22" s="34"/>
    </row>
    <row r="23" spans="1:21" x14ac:dyDescent="0.35">
      <c r="A23" s="37">
        <v>11</v>
      </c>
      <c r="B23" s="38">
        <v>4.6349999999999998</v>
      </c>
      <c r="C23" s="2">
        <v>20.254999999999999</v>
      </c>
      <c r="D23" s="36">
        <f t="shared" ref="D23" si="97">AVERAGE(C23:C24)</f>
        <v>19.932000000000002</v>
      </c>
      <c r="E23" s="42">
        <f t="shared" ref="E23" si="98">_xlfn.STDEV.S(C23:C24)/SQRT(2)</f>
        <v>0.32299999999999862</v>
      </c>
      <c r="F23" s="36">
        <f t="shared" ref="F23" si="99">D23/1000</f>
        <v>1.9932000000000002E-2</v>
      </c>
      <c r="G23" s="36">
        <f t="shared" ref="G23" si="100">(F23*16*0.2)/(9600*0.6*0.01*10^-3)</f>
        <v>1.1073333333333333</v>
      </c>
      <c r="H23" s="36">
        <f>G23/B23</f>
        <v>0.23890686803308162</v>
      </c>
      <c r="I23" s="33">
        <f t="shared" ref="I23" si="101">H23*1000</f>
        <v>238.90686803308162</v>
      </c>
      <c r="J23" s="33">
        <f t="shared" ref="J23" si="102">AVERAGE(I23:I32)</f>
        <v>205.23999267588957</v>
      </c>
      <c r="K23" s="34">
        <f t="shared" ref="K23" si="103">(_xlfn.STDEV.S(I23:I32)/SQRT(5))/J23</f>
        <v>7.0427203811868885E-2</v>
      </c>
      <c r="L23" s="36">
        <v>8.7600000000000016</v>
      </c>
      <c r="M23" s="2">
        <v>26.14</v>
      </c>
      <c r="N23" s="36">
        <f t="shared" ref="N23" si="104">AVERAGE(M23:M24)</f>
        <v>21.353000000000002</v>
      </c>
      <c r="O23" s="42">
        <f t="shared" ref="O23" si="105">_xlfn.STDEV.S(M23:M24)/SQRT(2)</f>
        <v>4.786999999999999</v>
      </c>
      <c r="P23" s="36">
        <f t="shared" ref="P23" si="106">N23/1000</f>
        <v>2.1353E-2</v>
      </c>
      <c r="Q23" s="36">
        <f t="shared" ref="Q23" si="107">(P23*32*0.2)/(9600*0.6*0.01*10^-3)</f>
        <v>2.3725555555555555</v>
      </c>
      <c r="R23" s="36">
        <f t="shared" ref="R23" si="108">Q23/L23</f>
        <v>0.27083967529173003</v>
      </c>
      <c r="S23" s="43">
        <f t="shared" ref="S23" si="109">R23*1000</f>
        <v>270.83967529173003</v>
      </c>
      <c r="T23" s="33">
        <f>AVERAGE(S25:S32)</f>
        <v>123.7208630008039</v>
      </c>
      <c r="U23" s="34">
        <f>(_xlfn.STDEV.S(S25:S32)/SQRT(4))/T23</f>
        <v>0.20706987734691421</v>
      </c>
    </row>
    <row r="24" spans="1:21" x14ac:dyDescent="0.35">
      <c r="A24" s="37"/>
      <c r="B24" s="38"/>
      <c r="C24" s="2">
        <v>19.609000000000002</v>
      </c>
      <c r="D24" s="36"/>
      <c r="E24" s="42"/>
      <c r="F24" s="36"/>
      <c r="G24" s="36"/>
      <c r="H24" s="36"/>
      <c r="I24" s="33"/>
      <c r="J24" s="33"/>
      <c r="K24" s="34"/>
      <c r="L24" s="36"/>
      <c r="M24" s="2">
        <v>16.565999999999999</v>
      </c>
      <c r="N24" s="36"/>
      <c r="O24" s="42"/>
      <c r="P24" s="36"/>
      <c r="Q24" s="36"/>
      <c r="R24" s="36"/>
      <c r="S24" s="43"/>
      <c r="T24" s="33"/>
      <c r="U24" s="34"/>
    </row>
    <row r="25" spans="1:21" x14ac:dyDescent="0.35">
      <c r="A25" s="37">
        <v>12</v>
      </c>
      <c r="B25" s="38">
        <v>3.9750000000000001</v>
      </c>
      <c r="C25" s="2">
        <v>16.116</v>
      </c>
      <c r="D25" s="36">
        <f t="shared" ref="D25" si="110">AVERAGE(C25:C26)</f>
        <v>16.1005</v>
      </c>
      <c r="E25" s="42">
        <f t="shared" ref="E25" si="111">_xlfn.STDEV.S(C25:C26)/SQRT(2)</f>
        <v>1.5499999999999401E-2</v>
      </c>
      <c r="F25" s="36">
        <f t="shared" ref="F25" si="112">D25/1000</f>
        <v>1.61005E-2</v>
      </c>
      <c r="G25" s="36">
        <f t="shared" ref="G25" si="113">(F25*16*0.2)/(9600*0.6*0.01*10^-3)</f>
        <v>0.89447222222222211</v>
      </c>
      <c r="H25" s="36">
        <f>G25/B25</f>
        <v>0.2250244584206848</v>
      </c>
      <c r="I25" s="33">
        <f t="shared" ref="I25" si="114">H25*1000</f>
        <v>225.02445842068479</v>
      </c>
      <c r="J25" s="33"/>
      <c r="K25" s="34"/>
      <c r="L25" s="36">
        <v>11.295</v>
      </c>
      <c r="M25" s="2">
        <v>10.615</v>
      </c>
      <c r="N25" s="36">
        <f t="shared" ref="N25" si="115">AVERAGE(M25:M26)</f>
        <v>8.8832500000000003</v>
      </c>
      <c r="O25" s="42">
        <f t="shared" ref="O25" si="116">_xlfn.STDEV.S(M25:M26)/SQRT(2)</f>
        <v>1.7317499999999981</v>
      </c>
      <c r="P25" s="36">
        <f t="shared" ref="P25" si="117">N25/1000</f>
        <v>8.8832500000000005E-3</v>
      </c>
      <c r="Q25" s="36">
        <f t="shared" ref="Q25" si="118">(P25*32*0.2)/(9600*0.6*0.01*10^-3)</f>
        <v>0.98702777777777784</v>
      </c>
      <c r="R25" s="36">
        <f t="shared" ref="R25" si="119">Q25/L25</f>
        <v>8.7386257439378293E-2</v>
      </c>
      <c r="S25" s="33">
        <f t="shared" ref="S25" si="120">R25*1000</f>
        <v>87.386257439378298</v>
      </c>
      <c r="T25" s="33"/>
      <c r="U25" s="34"/>
    </row>
    <row r="26" spans="1:21" x14ac:dyDescent="0.35">
      <c r="A26" s="37"/>
      <c r="B26" s="38"/>
      <c r="C26" s="2">
        <v>16.085000000000001</v>
      </c>
      <c r="D26" s="36"/>
      <c r="E26" s="42"/>
      <c r="F26" s="36"/>
      <c r="G26" s="36"/>
      <c r="H26" s="36"/>
      <c r="I26" s="33"/>
      <c r="J26" s="33"/>
      <c r="K26" s="34"/>
      <c r="L26" s="36"/>
      <c r="M26" s="2">
        <v>7.1515000000000004</v>
      </c>
      <c r="N26" s="36"/>
      <c r="O26" s="42"/>
      <c r="P26" s="36"/>
      <c r="Q26" s="36"/>
      <c r="R26" s="36"/>
      <c r="S26" s="33"/>
      <c r="T26" s="33"/>
      <c r="U26" s="34"/>
    </row>
    <row r="27" spans="1:21" x14ac:dyDescent="0.35">
      <c r="A27" s="37">
        <v>13</v>
      </c>
      <c r="B27" s="38">
        <v>5.3849999999999998</v>
      </c>
      <c r="C27" s="2">
        <v>18.818000000000001</v>
      </c>
      <c r="D27" s="36">
        <f t="shared" ref="D27" si="121">AVERAGE(C27:C28)</f>
        <v>19.757000000000001</v>
      </c>
      <c r="E27" s="42">
        <f t="shared" ref="E27" si="122">_xlfn.STDEV.S(C27:C28)/SQRT(2)</f>
        <v>0.93900000000000006</v>
      </c>
      <c r="F27" s="36">
        <f t="shared" ref="F27" si="123">D27/1000</f>
        <v>1.9757E-2</v>
      </c>
      <c r="G27" s="36">
        <f t="shared" ref="G27" si="124">(F27*16*0.2)/(9600*0.6*0.01*10^-3)</f>
        <v>1.0976111111111109</v>
      </c>
      <c r="H27" s="36">
        <f>G27/B27</f>
        <v>0.20382750438460742</v>
      </c>
      <c r="I27" s="33">
        <f t="shared" ref="I27" si="125">H27*1000</f>
        <v>203.82750438460741</v>
      </c>
      <c r="J27" s="33"/>
      <c r="K27" s="34"/>
      <c r="L27" s="36">
        <v>10.545000000000002</v>
      </c>
      <c r="M27" s="2">
        <v>21.715</v>
      </c>
      <c r="N27" s="36">
        <f t="shared" ref="N27" si="126">AVERAGE(M27:M28)</f>
        <v>18.097000000000001</v>
      </c>
      <c r="O27" s="42">
        <f t="shared" ref="O27" si="127">_xlfn.STDEV.S(M27:M28)/SQRT(2)</f>
        <v>3.6179999999999914</v>
      </c>
      <c r="P27" s="36">
        <f t="shared" ref="P27" si="128">N27/1000</f>
        <v>1.8097000000000002E-2</v>
      </c>
      <c r="Q27" s="36">
        <f t="shared" ref="Q27" si="129">(P27*32*0.2)/(9600*0.6*0.01*10^-3)</f>
        <v>2.0107777777777778</v>
      </c>
      <c r="R27" s="36">
        <f t="shared" ref="R27" si="130">Q27/L27</f>
        <v>0.1906854222643696</v>
      </c>
      <c r="S27" s="33">
        <f t="shared" ref="S27" si="131">R27*1000</f>
        <v>190.68542226436961</v>
      </c>
      <c r="T27" s="33"/>
      <c r="U27" s="34"/>
    </row>
    <row r="28" spans="1:21" x14ac:dyDescent="0.35">
      <c r="A28" s="37"/>
      <c r="B28" s="38"/>
      <c r="C28" s="2">
        <v>20.696000000000002</v>
      </c>
      <c r="D28" s="36"/>
      <c r="E28" s="42"/>
      <c r="F28" s="36"/>
      <c r="G28" s="36"/>
      <c r="H28" s="36"/>
      <c r="I28" s="33"/>
      <c r="J28" s="33"/>
      <c r="K28" s="34"/>
      <c r="L28" s="36"/>
      <c r="M28" s="2">
        <v>14.478999999999999</v>
      </c>
      <c r="N28" s="36"/>
      <c r="O28" s="42"/>
      <c r="P28" s="36"/>
      <c r="Q28" s="36"/>
      <c r="R28" s="36"/>
      <c r="S28" s="33"/>
      <c r="T28" s="33"/>
      <c r="U28" s="34"/>
    </row>
    <row r="29" spans="1:21" x14ac:dyDescent="0.35">
      <c r="A29" s="37">
        <v>14</v>
      </c>
      <c r="B29" s="38">
        <v>3.54</v>
      </c>
      <c r="C29" s="2">
        <v>8.9475999999999996</v>
      </c>
      <c r="D29" s="36">
        <f t="shared" ref="D29" si="132">AVERAGE(C29:C30)</f>
        <v>9.7968000000000011</v>
      </c>
      <c r="E29" s="42">
        <f t="shared" ref="E29" si="133">_xlfn.STDEV.S(C29:C30)/SQRT(2)</f>
        <v>0.84920000000000051</v>
      </c>
      <c r="F29" s="36">
        <f t="shared" ref="F29" si="134">D29/1000</f>
        <v>9.7968000000000013E-3</v>
      </c>
      <c r="G29" s="36">
        <f t="shared" ref="G29" si="135">(F29*16*0.2)/(9600*0.6*0.01*10^-3)</f>
        <v>0.54426666666666668</v>
      </c>
      <c r="H29" s="36">
        <f>G29/B29</f>
        <v>0.15374764595103579</v>
      </c>
      <c r="I29" s="33">
        <f t="shared" ref="I29" si="136">H29*1000</f>
        <v>153.74764595103579</v>
      </c>
      <c r="J29" s="33"/>
      <c r="K29" s="34"/>
      <c r="L29" s="36">
        <v>9.7050000000000001</v>
      </c>
      <c r="M29" s="2">
        <v>8.4856999999999996</v>
      </c>
      <c r="N29" s="36">
        <f t="shared" ref="N29" si="137">AVERAGE(M29:M30)</f>
        <v>6.9963999999999995</v>
      </c>
      <c r="O29" s="42">
        <f t="shared" ref="O29" si="138">_xlfn.STDEV.S(M29:M30)/SQRT(2)</f>
        <v>1.4893000000000003</v>
      </c>
      <c r="P29" s="36">
        <f t="shared" ref="P29" si="139">N29/1000</f>
        <v>6.9963999999999998E-3</v>
      </c>
      <c r="Q29" s="36">
        <f t="shared" ref="Q29" si="140">(P29*32*0.2)/(9600*0.6*0.01*10^-3)</f>
        <v>0.77737777777777783</v>
      </c>
      <c r="R29" s="36">
        <f t="shared" ref="R29" si="141">Q29/L29</f>
        <v>8.0100749899822549E-2</v>
      </c>
      <c r="S29" s="33">
        <f t="shared" ref="S29" si="142">R29*1000</f>
        <v>80.100749899822546</v>
      </c>
      <c r="T29" s="33"/>
      <c r="U29" s="34"/>
    </row>
    <row r="30" spans="1:21" x14ac:dyDescent="0.35">
      <c r="A30" s="37"/>
      <c r="B30" s="38"/>
      <c r="C30" s="2">
        <v>10.646000000000001</v>
      </c>
      <c r="D30" s="36"/>
      <c r="E30" s="42"/>
      <c r="F30" s="36"/>
      <c r="G30" s="36"/>
      <c r="H30" s="36"/>
      <c r="I30" s="33"/>
      <c r="J30" s="33"/>
      <c r="K30" s="34"/>
      <c r="L30" s="36"/>
      <c r="M30" s="2">
        <v>5.5071000000000003</v>
      </c>
      <c r="N30" s="36"/>
      <c r="O30" s="42"/>
      <c r="P30" s="36"/>
      <c r="Q30" s="36"/>
      <c r="R30" s="36"/>
      <c r="S30" s="33"/>
      <c r="T30" s="33"/>
      <c r="U30" s="34"/>
    </row>
    <row r="31" spans="1:21" x14ac:dyDescent="0.35">
      <c r="A31" s="37">
        <v>15</v>
      </c>
      <c r="B31" s="38">
        <v>5.22</v>
      </c>
      <c r="C31" s="2">
        <v>19.47</v>
      </c>
      <c r="D31" s="36">
        <f t="shared" ref="D31" si="143">AVERAGE(C31:C32)</f>
        <v>19.232999999999997</v>
      </c>
      <c r="E31" s="42">
        <f t="shared" ref="E31" si="144">_xlfn.STDEV.S(C31:C32)/SQRT(2)</f>
        <v>0.2370000000000001</v>
      </c>
      <c r="F31" s="36">
        <f t="shared" ref="F31" si="145">D31/1000</f>
        <v>1.9232999999999997E-2</v>
      </c>
      <c r="G31" s="36">
        <f t="shared" ref="G31" si="146">(F31*16*0.2)/(9600*0.6*0.01*10^-3)</f>
        <v>1.0684999999999998</v>
      </c>
      <c r="H31" s="36">
        <f>G31/B31</f>
        <v>0.20469348659003828</v>
      </c>
      <c r="I31" s="33">
        <f t="shared" ref="I31" si="147">H31*1000</f>
        <v>204.69348659003828</v>
      </c>
      <c r="J31" s="33"/>
      <c r="K31" s="34"/>
      <c r="L31" s="36">
        <v>10.020000000000001</v>
      </c>
      <c r="M31" s="2">
        <v>14.819000000000001</v>
      </c>
      <c r="N31" s="36">
        <f t="shared" ref="N31" si="148">AVERAGE(M31:M32)</f>
        <v>12.328600000000002</v>
      </c>
      <c r="O31" s="42">
        <f t="shared" ref="O31" si="149">_xlfn.STDEV.S(M31:M32)/SQRT(2)</f>
        <v>2.4903999999999953</v>
      </c>
      <c r="P31" s="36">
        <f t="shared" ref="P31" si="150">N31/1000</f>
        <v>1.2328600000000002E-2</v>
      </c>
      <c r="Q31" s="36">
        <f t="shared" ref="Q31" si="151">(P31*32*0.2)/(9600*0.6*0.01*10^-3)</f>
        <v>1.3698444444444446</v>
      </c>
      <c r="R31" s="36">
        <f t="shared" ref="R31" si="152">Q31/L31</f>
        <v>0.13671102239964517</v>
      </c>
      <c r="S31" s="33">
        <f t="shared" ref="S31" si="153">R31*1000</f>
        <v>136.71102239964517</v>
      </c>
      <c r="T31" s="33"/>
      <c r="U31" s="34"/>
    </row>
    <row r="32" spans="1:21" x14ac:dyDescent="0.35">
      <c r="A32" s="37"/>
      <c r="B32" s="38"/>
      <c r="C32" s="2">
        <v>18.995999999999999</v>
      </c>
      <c r="D32" s="36"/>
      <c r="E32" s="42"/>
      <c r="F32" s="36"/>
      <c r="G32" s="36"/>
      <c r="H32" s="36"/>
      <c r="I32" s="33"/>
      <c r="J32" s="33"/>
      <c r="K32" s="34"/>
      <c r="L32" s="36"/>
      <c r="M32" s="2">
        <v>9.8382000000000005</v>
      </c>
      <c r="N32" s="36"/>
      <c r="O32" s="42"/>
      <c r="P32" s="36"/>
      <c r="Q32" s="36"/>
      <c r="R32" s="36"/>
      <c r="S32" s="33"/>
      <c r="T32" s="33"/>
      <c r="U32" s="34"/>
    </row>
    <row r="33" spans="1:21" x14ac:dyDescent="0.35">
      <c r="A33" s="37">
        <v>16</v>
      </c>
      <c r="B33" s="38">
        <v>6.9149999999999991</v>
      </c>
      <c r="C33" s="2">
        <v>16.324000000000002</v>
      </c>
      <c r="D33" s="36">
        <f t="shared" ref="D33" si="154">AVERAGE(C33:C34)</f>
        <v>16.069000000000003</v>
      </c>
      <c r="E33" s="42">
        <f t="shared" ref="E33" si="155">_xlfn.STDEV.S(C33:C34)/SQRT(2)</f>
        <v>0.25500000000000073</v>
      </c>
      <c r="F33" s="36">
        <f t="shared" ref="F33" si="156">D33/1000</f>
        <v>1.6069000000000003E-2</v>
      </c>
      <c r="G33" s="36">
        <f t="shared" ref="G33" si="157">(F33*16*0.2)/(9600*0.6*0.01*10^-3)</f>
        <v>0.89272222222222242</v>
      </c>
      <c r="H33" s="36">
        <f>G33/B33</f>
        <v>0.12909938137703869</v>
      </c>
      <c r="I33" s="33">
        <f t="shared" ref="I33" si="158">H33*1000</f>
        <v>129.0993813770387</v>
      </c>
      <c r="J33" s="33">
        <f>AVERAGE(I33:I38)</f>
        <v>152.22964048885959</v>
      </c>
      <c r="K33" s="34">
        <f>(_xlfn.STDEV.S(I33:I38)/SQRT(3))/J33</f>
        <v>7.9073102557129307E-2</v>
      </c>
      <c r="L33" s="36">
        <v>12.6</v>
      </c>
      <c r="M33" s="2">
        <v>7.2720000000000002</v>
      </c>
      <c r="N33" s="36">
        <f t="shared" ref="N33" si="159">AVERAGE(M33:M34)</f>
        <v>6.9867500000000007</v>
      </c>
      <c r="O33" s="42">
        <f t="shared" ref="O33" si="160">_xlfn.STDEV.S(M33:M34)/SQRT(2)</f>
        <v>0.28525</v>
      </c>
      <c r="P33" s="36">
        <f t="shared" ref="P33" si="161">N33/1000</f>
        <v>6.9867500000000008E-3</v>
      </c>
      <c r="Q33" s="36">
        <f t="shared" ref="Q33" si="162">(P33*32*0.2)/(9600*0.6*0.01*10^-3)</f>
        <v>0.77630555555555569</v>
      </c>
      <c r="R33" s="36">
        <f t="shared" ref="R33" si="163">Q33/L33</f>
        <v>6.1611552028218705E-2</v>
      </c>
      <c r="S33" s="43">
        <f t="shared" ref="S33" si="164">R33*1000</f>
        <v>61.611552028218703</v>
      </c>
      <c r="T33" s="33">
        <f>AVERAGE(S35:S38)</f>
        <v>202.73461240625986</v>
      </c>
      <c r="U33" s="34">
        <f>(_xlfn.STDEV.S(S35:S38)/SQRT(2))/T33</f>
        <v>0.32198691410020591</v>
      </c>
    </row>
    <row r="34" spans="1:21" x14ac:dyDescent="0.35">
      <c r="A34" s="37"/>
      <c r="B34" s="38"/>
      <c r="C34" s="2">
        <v>15.814</v>
      </c>
      <c r="D34" s="36"/>
      <c r="E34" s="42"/>
      <c r="F34" s="36"/>
      <c r="G34" s="36"/>
      <c r="H34" s="36"/>
      <c r="I34" s="33"/>
      <c r="J34" s="33"/>
      <c r="K34" s="34"/>
      <c r="L34" s="36"/>
      <c r="M34" s="2">
        <v>6.7015000000000002</v>
      </c>
      <c r="N34" s="36"/>
      <c r="O34" s="42"/>
      <c r="P34" s="36"/>
      <c r="Q34" s="36"/>
      <c r="R34" s="36"/>
      <c r="S34" s="43"/>
      <c r="T34" s="33"/>
      <c r="U34" s="34"/>
    </row>
    <row r="35" spans="1:21" x14ac:dyDescent="0.35">
      <c r="A35" s="37">
        <v>17</v>
      </c>
      <c r="B35" s="38">
        <v>6.2399999999999993</v>
      </c>
      <c r="C35" s="2">
        <v>17.452999999999999</v>
      </c>
      <c r="D35" s="36">
        <f t="shared" ref="D35" si="165">AVERAGE(C35:C36)</f>
        <v>17.747999999999998</v>
      </c>
      <c r="E35" s="42">
        <f t="shared" ref="E35" si="166">_xlfn.STDEV.S(C35:C36)/SQRT(2)</f>
        <v>0.29499999999999993</v>
      </c>
      <c r="F35" s="36">
        <f t="shared" ref="F35" si="167">D35/1000</f>
        <v>1.7747999999999996E-2</v>
      </c>
      <c r="G35" s="36">
        <f t="shared" ref="G35" si="168">(F35*16*0.2)/(9600*0.6*0.01*10^-3)</f>
        <v>0.98599999999999977</v>
      </c>
      <c r="H35" s="36">
        <f>G35/B35</f>
        <v>0.15801282051282048</v>
      </c>
      <c r="I35" s="33">
        <f t="shared" ref="I35" si="169">H35*1000</f>
        <v>158.01282051282047</v>
      </c>
      <c r="J35" s="33"/>
      <c r="K35" s="34"/>
      <c r="L35" s="36">
        <v>10.485000000000001</v>
      </c>
      <c r="M35" s="2">
        <v>25.981999999999999</v>
      </c>
      <c r="N35" s="36">
        <f t="shared" ref="N35" si="170">AVERAGE(M35:M36)</f>
        <v>25.291</v>
      </c>
      <c r="O35" s="42">
        <f t="shared" ref="O35" si="171">_xlfn.STDEV.S(M35:M36)/SQRT(2)</f>
        <v>0.69099999999999884</v>
      </c>
      <c r="P35" s="36">
        <f t="shared" ref="P35" si="172">N35/1000</f>
        <v>2.5291000000000001E-2</v>
      </c>
      <c r="Q35" s="36">
        <f t="shared" ref="Q35" si="173">(P35*32*0.2)/(9600*0.6*0.01*10^-3)</f>
        <v>2.810111111111111</v>
      </c>
      <c r="R35" s="36">
        <f t="shared" ref="R35" si="174">Q35/L35</f>
        <v>0.26801250463625281</v>
      </c>
      <c r="S35" s="33">
        <f t="shared" ref="S35" si="175">R35*1000</f>
        <v>268.0125046362528</v>
      </c>
      <c r="T35" s="33"/>
      <c r="U35" s="34"/>
    </row>
    <row r="36" spans="1:21" x14ac:dyDescent="0.35">
      <c r="A36" s="37"/>
      <c r="B36" s="38"/>
      <c r="C36" s="2">
        <v>18.042999999999999</v>
      </c>
      <c r="D36" s="36"/>
      <c r="E36" s="42"/>
      <c r="F36" s="36"/>
      <c r="G36" s="36"/>
      <c r="H36" s="36"/>
      <c r="I36" s="33"/>
      <c r="J36" s="33"/>
      <c r="K36" s="34"/>
      <c r="L36" s="36"/>
      <c r="M36" s="2">
        <v>24.6</v>
      </c>
      <c r="N36" s="36"/>
      <c r="O36" s="42"/>
      <c r="P36" s="36"/>
      <c r="Q36" s="36"/>
      <c r="R36" s="36"/>
      <c r="S36" s="33"/>
      <c r="T36" s="33"/>
      <c r="U36" s="34"/>
    </row>
    <row r="37" spans="1:21" x14ac:dyDescent="0.35">
      <c r="A37" s="37">
        <v>18</v>
      </c>
      <c r="B37" s="38">
        <v>5.04</v>
      </c>
      <c r="C37" s="2">
        <v>15.847</v>
      </c>
      <c r="D37" s="36">
        <f t="shared" ref="D37" si="176">AVERAGE(C37:C38)</f>
        <v>15.384</v>
      </c>
      <c r="E37" s="42">
        <f t="shared" ref="E37" si="177">_xlfn.STDEV.S(C37:C38)/SQRT(2)</f>
        <v>0.46300000000000008</v>
      </c>
      <c r="F37" s="36">
        <f t="shared" ref="F37" si="178">D37/1000</f>
        <v>1.5384E-2</v>
      </c>
      <c r="G37" s="36">
        <f t="shared" ref="G37" si="179">(F37*16*0.2)/(9600*0.6*0.01*10^-3)</f>
        <v>0.85466666666666669</v>
      </c>
      <c r="H37" s="36">
        <f>G37/B37</f>
        <v>0.16957671957671958</v>
      </c>
      <c r="I37" s="33">
        <f t="shared" ref="I37" si="180">H37*1000</f>
        <v>169.57671957671957</v>
      </c>
      <c r="J37" s="33"/>
      <c r="K37" s="34"/>
      <c r="L37" s="36">
        <v>10.59</v>
      </c>
      <c r="M37" s="2">
        <v>13.129</v>
      </c>
      <c r="N37" s="36">
        <f t="shared" ref="N37" si="181">AVERAGE(M37:M38)</f>
        <v>13.100999999999999</v>
      </c>
      <c r="O37" s="42">
        <f t="shared" ref="O37" si="182">_xlfn.STDEV.S(M37:M38)/SQRT(2)</f>
        <v>2.7999999999999581E-2</v>
      </c>
      <c r="P37" s="36">
        <f t="shared" ref="P37" si="183">N37/1000</f>
        <v>1.3101E-2</v>
      </c>
      <c r="Q37" s="36">
        <f t="shared" ref="Q37" si="184">(P37*32*0.2)/(9600*0.6*0.01*10^-3)</f>
        <v>1.4556666666666667</v>
      </c>
      <c r="R37" s="36">
        <f t="shared" ref="R37" si="185">Q37/L37</f>
        <v>0.13745672017626692</v>
      </c>
      <c r="S37" s="33">
        <f t="shared" ref="S37" si="186">R37*1000</f>
        <v>137.45672017626691</v>
      </c>
      <c r="T37" s="33"/>
      <c r="U37" s="34"/>
    </row>
    <row r="38" spans="1:21" x14ac:dyDescent="0.35">
      <c r="A38" s="37"/>
      <c r="B38" s="38"/>
      <c r="C38" s="2">
        <v>14.920999999999999</v>
      </c>
      <c r="D38" s="36"/>
      <c r="E38" s="42"/>
      <c r="F38" s="36"/>
      <c r="G38" s="36"/>
      <c r="H38" s="36"/>
      <c r="I38" s="33"/>
      <c r="J38" s="33"/>
      <c r="K38" s="34"/>
      <c r="L38" s="36"/>
      <c r="M38" s="2">
        <v>13.073</v>
      </c>
      <c r="N38" s="36"/>
      <c r="O38" s="42"/>
      <c r="P38" s="36"/>
      <c r="Q38" s="36"/>
      <c r="R38" s="36"/>
      <c r="S38" s="33"/>
      <c r="T38" s="33"/>
      <c r="U38" s="34"/>
    </row>
    <row r="39" spans="1:21" x14ac:dyDescent="0.35">
      <c r="A39" s="37">
        <v>19</v>
      </c>
      <c r="B39" s="38">
        <v>7.5449999999999999</v>
      </c>
      <c r="C39" s="2">
        <v>21.283999999999999</v>
      </c>
      <c r="D39" s="36">
        <f t="shared" ref="D39" si="187">AVERAGE(C39:C40)</f>
        <v>21.773</v>
      </c>
      <c r="E39" s="42">
        <f t="shared" ref="E39" si="188">_xlfn.STDEV.S(C39:C40)/SQRT(2)</f>
        <v>0.48900000000000071</v>
      </c>
      <c r="F39" s="36">
        <f t="shared" ref="F39" si="189">D39/1000</f>
        <v>2.1773000000000001E-2</v>
      </c>
      <c r="G39" s="36">
        <f t="shared" ref="G39" si="190">(F39*16*0.2)/(9600*0.6*0.01*10^-3)</f>
        <v>1.209611111111111</v>
      </c>
      <c r="H39" s="36">
        <f>G39/B39</f>
        <v>0.16031956409690007</v>
      </c>
      <c r="I39" s="33">
        <f t="shared" ref="I39" si="191">H39*1000</f>
        <v>160.31956409690008</v>
      </c>
      <c r="J39" s="33">
        <f t="shared" ref="J39" si="192">AVERAGE(I39:I44)</f>
        <v>154.87580141743211</v>
      </c>
      <c r="K39" s="34">
        <f t="shared" ref="K39" si="193">(_xlfn.STDEV.S(I39:I44)/SQRT(3))/J39</f>
        <v>5.6189576678309955E-2</v>
      </c>
      <c r="L39" s="36">
        <v>10.74</v>
      </c>
      <c r="M39" s="2">
        <v>38</v>
      </c>
      <c r="N39" s="36">
        <f t="shared" ref="N39" si="194">AVERAGE(M39:M40)</f>
        <v>34.881999999999998</v>
      </c>
      <c r="O39" s="42">
        <f t="shared" ref="O39" si="195">_xlfn.STDEV.S(M39:M40)/SQRT(2)</f>
        <v>3.1179999999999999</v>
      </c>
      <c r="P39" s="36">
        <f t="shared" ref="P39" si="196">N39/1000</f>
        <v>3.4881999999999996E-2</v>
      </c>
      <c r="Q39" s="36">
        <f t="shared" ref="Q39" si="197">(P39*32*0.2)/(9600*0.6*0.01*10^-3)</f>
        <v>3.8757777777777771</v>
      </c>
      <c r="R39" s="36">
        <f t="shared" ref="R39" si="198">Q39/L39</f>
        <v>0.36087316366645966</v>
      </c>
      <c r="S39" s="33">
        <f t="shared" ref="S39" si="199">R39*1000</f>
        <v>360.87316366645967</v>
      </c>
      <c r="T39" s="33">
        <f t="shared" ref="T39" si="200">AVERAGE(S39:S44)</f>
        <v>349.8059587778003</v>
      </c>
      <c r="U39" s="34">
        <f t="shared" ref="U39" si="201">(_xlfn.STDEV.S(S39:S44)/SQRT(3))/T39</f>
        <v>5.545540452449807E-2</v>
      </c>
    </row>
    <row r="40" spans="1:21" x14ac:dyDescent="0.35">
      <c r="A40" s="37"/>
      <c r="B40" s="38"/>
      <c r="C40" s="2">
        <v>22.262</v>
      </c>
      <c r="D40" s="36"/>
      <c r="E40" s="42"/>
      <c r="F40" s="36"/>
      <c r="G40" s="36"/>
      <c r="H40" s="36"/>
      <c r="I40" s="33"/>
      <c r="J40" s="33"/>
      <c r="K40" s="34"/>
      <c r="L40" s="36"/>
      <c r="M40" s="2">
        <v>31.763999999999999</v>
      </c>
      <c r="N40" s="36"/>
      <c r="O40" s="42"/>
      <c r="P40" s="36"/>
      <c r="Q40" s="36"/>
      <c r="R40" s="36"/>
      <c r="S40" s="33"/>
      <c r="T40" s="33"/>
      <c r="U40" s="34"/>
    </row>
    <row r="41" spans="1:21" x14ac:dyDescent="0.35">
      <c r="A41" s="37">
        <v>20</v>
      </c>
      <c r="B41" s="38">
        <v>5.52</v>
      </c>
      <c r="C41" s="2">
        <v>13.741</v>
      </c>
      <c r="D41" s="36">
        <f t="shared" ref="D41" si="202">AVERAGE(C41:C42)</f>
        <v>13.695499999999999</v>
      </c>
      <c r="E41" s="42">
        <f t="shared" ref="E41" si="203">_xlfn.STDEV.S(C41:C42)/SQRT(2)</f>
        <v>4.5499999999999652E-2</v>
      </c>
      <c r="F41" s="36">
        <f t="shared" ref="F41" si="204">D41/1000</f>
        <v>1.3695499999999999E-2</v>
      </c>
      <c r="G41" s="36">
        <f t="shared" ref="G41" si="205">(F41*16*0.2)/(9600*0.6*0.01*10^-3)</f>
        <v>0.76086111111111099</v>
      </c>
      <c r="H41" s="36">
        <f>G41/B41</f>
        <v>0.13783715780998387</v>
      </c>
      <c r="I41" s="33">
        <f t="shared" ref="I41" si="206">H41*1000</f>
        <v>137.83715780998386</v>
      </c>
      <c r="J41" s="33"/>
      <c r="K41" s="34"/>
      <c r="L41" s="36">
        <v>8.6999999999999993</v>
      </c>
      <c r="M41" s="2">
        <v>25.055</v>
      </c>
      <c r="N41" s="36">
        <f t="shared" ref="N41" si="207">AVERAGE(M41:M42)</f>
        <v>24.435000000000002</v>
      </c>
      <c r="O41" s="42">
        <f t="shared" ref="O41" si="208">_xlfn.STDEV.S(M41:M42)/SQRT(2)</f>
        <v>0.61999999999999922</v>
      </c>
      <c r="P41" s="36">
        <f t="shared" ref="P41" si="209">N41/1000</f>
        <v>2.4435000000000002E-2</v>
      </c>
      <c r="Q41" s="36">
        <f t="shared" ref="Q41" si="210">(P41*32*0.2)/(9600*0.6*0.01*10^-3)</f>
        <v>2.7150000000000003</v>
      </c>
      <c r="R41" s="36">
        <f t="shared" ref="R41" si="211">Q41/L41</f>
        <v>0.31206896551724145</v>
      </c>
      <c r="S41" s="33">
        <f t="shared" ref="S41" si="212">R41*1000</f>
        <v>312.06896551724145</v>
      </c>
      <c r="T41" s="33"/>
      <c r="U41" s="34"/>
    </row>
    <row r="42" spans="1:21" x14ac:dyDescent="0.35">
      <c r="A42" s="37"/>
      <c r="B42" s="38"/>
      <c r="C42" s="2">
        <v>13.65</v>
      </c>
      <c r="D42" s="36"/>
      <c r="E42" s="42"/>
      <c r="F42" s="36"/>
      <c r="G42" s="36"/>
      <c r="H42" s="36"/>
      <c r="I42" s="33"/>
      <c r="J42" s="33"/>
      <c r="K42" s="34"/>
      <c r="L42" s="36"/>
      <c r="M42" s="2">
        <v>23.815000000000001</v>
      </c>
      <c r="N42" s="36"/>
      <c r="O42" s="42"/>
      <c r="P42" s="36"/>
      <c r="Q42" s="36"/>
      <c r="R42" s="36"/>
      <c r="S42" s="33"/>
      <c r="T42" s="33"/>
      <c r="U42" s="34"/>
    </row>
    <row r="43" spans="1:21" x14ac:dyDescent="0.35">
      <c r="A43" s="37">
        <v>21</v>
      </c>
      <c r="B43" s="38">
        <v>6.9449999999999994</v>
      </c>
      <c r="C43" s="2">
        <v>20.056000000000001</v>
      </c>
      <c r="D43" s="36">
        <f t="shared" ref="D43" si="213">AVERAGE(C43:C44)</f>
        <v>20.810500000000001</v>
      </c>
      <c r="E43" s="42">
        <f t="shared" ref="E43" si="214">_xlfn.STDEV.S(C43:C44)/SQRT(2)</f>
        <v>0.75450000000000017</v>
      </c>
      <c r="F43" s="36">
        <f t="shared" ref="F43" si="215">D43/1000</f>
        <v>2.0810500000000003E-2</v>
      </c>
      <c r="G43" s="36">
        <f t="shared" ref="G43" si="216">(F43*16*0.2)/(9600*0.6*0.01*10^-3)</f>
        <v>1.156138888888889</v>
      </c>
      <c r="H43" s="36">
        <f>G43/B43</f>
        <v>0.1664706823454124</v>
      </c>
      <c r="I43" s="33">
        <f t="shared" ref="I43" si="217">H43*1000</f>
        <v>166.4706823454124</v>
      </c>
      <c r="J43" s="33"/>
      <c r="K43" s="34"/>
      <c r="L43" s="36">
        <v>8.2349999999999994</v>
      </c>
      <c r="M43" s="2">
        <v>27.626000000000001</v>
      </c>
      <c r="N43" s="36">
        <f t="shared" ref="N43" si="218">AVERAGE(M43:M44)</f>
        <v>27.9025</v>
      </c>
      <c r="O43" s="42">
        <f t="shared" ref="O43" si="219">_xlfn.STDEV.S(M43:M44)/SQRT(2)</f>
        <v>0.27649999999999864</v>
      </c>
      <c r="P43" s="36">
        <f t="shared" ref="P43" si="220">N43/1000</f>
        <v>2.79025E-2</v>
      </c>
      <c r="Q43" s="36">
        <f t="shared" ref="Q43" si="221">(P43*32*0.2)/(9600*0.6*0.01*10^-3)</f>
        <v>3.1002777777777779</v>
      </c>
      <c r="R43" s="36">
        <f t="shared" ref="R43" si="222">Q43/L43</f>
        <v>0.37647574714969984</v>
      </c>
      <c r="S43" s="33">
        <f t="shared" ref="S43" si="223">R43*1000</f>
        <v>376.47574714969983</v>
      </c>
      <c r="T43" s="33"/>
      <c r="U43" s="34"/>
    </row>
    <row r="44" spans="1:21" x14ac:dyDescent="0.35">
      <c r="A44" s="37"/>
      <c r="B44" s="38"/>
      <c r="C44" s="2">
        <v>21.565000000000001</v>
      </c>
      <c r="D44" s="36"/>
      <c r="E44" s="42"/>
      <c r="F44" s="36"/>
      <c r="G44" s="36"/>
      <c r="H44" s="36"/>
      <c r="I44" s="33"/>
      <c r="J44" s="33"/>
      <c r="K44" s="34"/>
      <c r="L44" s="36"/>
      <c r="M44" s="2">
        <v>28.178999999999998</v>
      </c>
      <c r="N44" s="36"/>
      <c r="O44" s="42"/>
      <c r="P44" s="36"/>
      <c r="Q44" s="36"/>
      <c r="R44" s="36"/>
      <c r="S44" s="33"/>
      <c r="T44" s="33"/>
      <c r="U44" s="34"/>
    </row>
    <row r="45" spans="1:21" x14ac:dyDescent="0.35">
      <c r="A45" s="37">
        <v>22</v>
      </c>
      <c r="B45" s="38">
        <v>3.9750000000000001</v>
      </c>
      <c r="C45" s="2">
        <v>14.077999999999999</v>
      </c>
      <c r="D45" s="36">
        <f t="shared" ref="D45" si="224">AVERAGE(C45:C46)</f>
        <v>14.7585</v>
      </c>
      <c r="E45" s="42">
        <f t="shared" ref="E45" si="225">_xlfn.STDEV.S(C45:C46)/SQRT(2)</f>
        <v>0.68050000000000033</v>
      </c>
      <c r="F45" s="36">
        <f t="shared" ref="F45" si="226">D45/1000</f>
        <v>1.4758499999999999E-2</v>
      </c>
      <c r="G45" s="36">
        <f t="shared" ref="G45" si="227">(F45*16*0.2)/(9600*0.6*0.01*10^-3)</f>
        <v>0.81991666666666652</v>
      </c>
      <c r="H45" s="36">
        <f>G45/B45</f>
        <v>0.20626834381551359</v>
      </c>
      <c r="I45" s="33">
        <f t="shared" ref="I45" si="228">H45*1000</f>
        <v>206.26834381551359</v>
      </c>
      <c r="J45" s="33">
        <f t="shared" ref="J45" si="229">AVERAGE(I45:I50)</f>
        <v>187.57787516328912</v>
      </c>
      <c r="K45" s="34">
        <f t="shared" ref="K45" si="230">(_xlfn.STDEV.S(I45:I50)/SQRT(3))/J45</f>
        <v>9.6841754391067653E-2</v>
      </c>
      <c r="L45" s="36">
        <v>10.86</v>
      </c>
      <c r="M45" s="2">
        <v>23.963999999999999</v>
      </c>
      <c r="N45" s="36">
        <f t="shared" ref="N45" si="231">AVERAGE(M45:M46)</f>
        <v>25.0185</v>
      </c>
      <c r="O45" s="42">
        <f t="shared" ref="O45" si="232">_xlfn.STDEV.S(M45:M46)/SQRT(2)</f>
        <v>1.0545000000000009</v>
      </c>
      <c r="P45" s="36">
        <f t="shared" ref="P45" si="233">N45/1000</f>
        <v>2.5018499999999999E-2</v>
      </c>
      <c r="Q45" s="36">
        <f t="shared" ref="Q45" si="234">(P45*32*0.2)/(9600*0.6*0.01*10^-3)</f>
        <v>2.7798333333333329</v>
      </c>
      <c r="R45" s="36">
        <f t="shared" ref="R45" si="235">Q45/L45</f>
        <v>0.25596992019643949</v>
      </c>
      <c r="S45" s="33">
        <f t="shared" ref="S45" si="236">R45*1000</f>
        <v>255.96992019643949</v>
      </c>
      <c r="T45" s="33">
        <f t="shared" ref="T45" si="237">AVERAGE(S45:S50)</f>
        <v>205.52065333772649</v>
      </c>
      <c r="U45" s="34">
        <f t="shared" ref="U45" si="238">(_xlfn.STDEV.S(S45:S50)/SQRT(3))/T45</f>
        <v>0.12831489542118946</v>
      </c>
    </row>
    <row r="46" spans="1:21" x14ac:dyDescent="0.35">
      <c r="A46" s="37"/>
      <c r="B46" s="38"/>
      <c r="C46" s="2">
        <v>15.439</v>
      </c>
      <c r="D46" s="36"/>
      <c r="E46" s="42"/>
      <c r="F46" s="36"/>
      <c r="G46" s="36"/>
      <c r="H46" s="36"/>
      <c r="I46" s="33"/>
      <c r="J46" s="33"/>
      <c r="K46" s="34"/>
      <c r="L46" s="36"/>
      <c r="M46" s="2">
        <v>26.073</v>
      </c>
      <c r="N46" s="36"/>
      <c r="O46" s="42"/>
      <c r="P46" s="36"/>
      <c r="Q46" s="36"/>
      <c r="R46" s="36"/>
      <c r="S46" s="33"/>
      <c r="T46" s="33"/>
      <c r="U46" s="34"/>
    </row>
    <row r="47" spans="1:21" x14ac:dyDescent="0.35">
      <c r="A47" s="37">
        <v>23</v>
      </c>
      <c r="B47" s="38">
        <v>6.81</v>
      </c>
      <c r="C47" s="2">
        <v>18.706</v>
      </c>
      <c r="D47" s="36">
        <f t="shared" ref="D47" si="239">AVERAGE(C47:C48)</f>
        <v>18.540500000000002</v>
      </c>
      <c r="E47" s="42">
        <f t="shared" ref="E47" si="240">_xlfn.STDEV.S(C47:C48)/SQRT(2)</f>
        <v>0.16549999999999976</v>
      </c>
      <c r="F47" s="36">
        <f t="shared" ref="F47" si="241">D47/1000</f>
        <v>1.8540500000000001E-2</v>
      </c>
      <c r="G47" s="36">
        <f t="shared" ref="G47" si="242">(F47*16*0.2)/(9600*0.6*0.01*10^-3)</f>
        <v>1.0300277777777778</v>
      </c>
      <c r="H47" s="36">
        <f>G47/B47</f>
        <v>0.15125224343286017</v>
      </c>
      <c r="I47" s="33">
        <f t="shared" ref="I47" si="243">H47*1000</f>
        <v>151.25224343286018</v>
      </c>
      <c r="J47" s="33"/>
      <c r="K47" s="34"/>
      <c r="L47" s="36">
        <v>12.690000000000001</v>
      </c>
      <c r="M47" s="2">
        <v>17.899000000000001</v>
      </c>
      <c r="N47" s="36">
        <f t="shared" ref="N47" si="244">AVERAGE(M47:M48)</f>
        <v>19.07</v>
      </c>
      <c r="O47" s="42">
        <f t="shared" ref="O47" si="245">_xlfn.STDEV.S(M47:M48)/SQRT(2)</f>
        <v>1.1709999999999994</v>
      </c>
      <c r="P47" s="36">
        <f t="shared" ref="P47" si="246">N47/1000</f>
        <v>1.907E-2</v>
      </c>
      <c r="Q47" s="36">
        <f t="shared" ref="Q47" si="247">(P47*32*0.2)/(9600*0.6*0.01*10^-3)</f>
        <v>2.1188888888888888</v>
      </c>
      <c r="R47" s="36">
        <f t="shared" ref="R47" si="248">Q47/L47</f>
        <v>0.16697311969179579</v>
      </c>
      <c r="S47" s="33">
        <f t="shared" ref="S47" si="249">R47*1000</f>
        <v>166.9731196917958</v>
      </c>
      <c r="T47" s="33"/>
      <c r="U47" s="34"/>
    </row>
    <row r="48" spans="1:21" x14ac:dyDescent="0.35">
      <c r="A48" s="37"/>
      <c r="B48" s="38"/>
      <c r="C48" s="2">
        <v>18.375</v>
      </c>
      <c r="D48" s="36"/>
      <c r="E48" s="42"/>
      <c r="F48" s="36"/>
      <c r="G48" s="36"/>
      <c r="H48" s="36"/>
      <c r="I48" s="33"/>
      <c r="J48" s="33"/>
      <c r="K48" s="34"/>
      <c r="L48" s="36"/>
      <c r="M48" s="2">
        <v>20.241</v>
      </c>
      <c r="N48" s="36"/>
      <c r="O48" s="42"/>
      <c r="P48" s="36"/>
      <c r="Q48" s="36"/>
      <c r="R48" s="36"/>
      <c r="S48" s="33"/>
      <c r="T48" s="33"/>
      <c r="U48" s="34"/>
    </row>
    <row r="49" spans="1:21" x14ac:dyDescent="0.35">
      <c r="A49" s="37">
        <v>24</v>
      </c>
      <c r="B49" s="38">
        <v>7.38</v>
      </c>
      <c r="C49" s="2">
        <v>28.600999999999999</v>
      </c>
      <c r="D49" s="36">
        <f t="shared" ref="D49" si="250">AVERAGE(C49:C50)</f>
        <v>27.2605</v>
      </c>
      <c r="E49" s="42">
        <f t="shared" ref="E49" si="251">_xlfn.STDEV.S(C49:C50)/SQRT(2)</f>
        <v>1.3404999999999987</v>
      </c>
      <c r="F49" s="36">
        <f t="shared" ref="F49" si="252">D49/1000</f>
        <v>2.72605E-2</v>
      </c>
      <c r="G49" s="36">
        <f t="shared" ref="G49" si="253">(F49*16*0.2)/(9600*0.6*0.01*10^-3)</f>
        <v>1.5144722222222222</v>
      </c>
      <c r="H49" s="36">
        <f>G49/B49</f>
        <v>0.20521303824149353</v>
      </c>
      <c r="I49" s="33">
        <f t="shared" ref="I49" si="254">H49*1000</f>
        <v>205.21303824149354</v>
      </c>
      <c r="J49" s="33"/>
      <c r="K49" s="34"/>
      <c r="L49" s="36">
        <v>9.9599999999999991</v>
      </c>
      <c r="M49" s="2">
        <v>16.681000000000001</v>
      </c>
      <c r="N49" s="36">
        <f t="shared" ref="N49" si="255">AVERAGE(M49:M50)</f>
        <v>17.356000000000002</v>
      </c>
      <c r="O49" s="42">
        <f t="shared" ref="O49" si="256">_xlfn.STDEV.S(M49:M50)/SQRT(2)</f>
        <v>0.67499999999999882</v>
      </c>
      <c r="P49" s="36">
        <f t="shared" ref="P49" si="257">N49/1000</f>
        <v>1.7356000000000003E-2</v>
      </c>
      <c r="Q49" s="36">
        <f t="shared" ref="Q49" si="258">(P49*32*0.2)/(9600*0.6*0.01*10^-3)</f>
        <v>1.9284444444444446</v>
      </c>
      <c r="R49" s="36">
        <f t="shared" ref="R49" si="259">Q49/L49</f>
        <v>0.19361892012494425</v>
      </c>
      <c r="S49" s="33">
        <f t="shared" ref="S49" si="260">R49*1000</f>
        <v>193.61892012494425</v>
      </c>
      <c r="T49" s="33"/>
      <c r="U49" s="34"/>
    </row>
    <row r="50" spans="1:21" x14ac:dyDescent="0.35">
      <c r="A50" s="37"/>
      <c r="B50" s="38"/>
      <c r="C50" s="2">
        <v>25.92</v>
      </c>
      <c r="D50" s="36"/>
      <c r="E50" s="42"/>
      <c r="F50" s="36"/>
      <c r="G50" s="36"/>
      <c r="H50" s="36"/>
      <c r="I50" s="33"/>
      <c r="J50" s="33"/>
      <c r="K50" s="34"/>
      <c r="L50" s="36"/>
      <c r="M50" s="2">
        <v>18.030999999999999</v>
      </c>
      <c r="N50" s="36"/>
      <c r="O50" s="42"/>
      <c r="P50" s="36"/>
      <c r="Q50" s="36"/>
      <c r="R50" s="36"/>
      <c r="S50" s="33"/>
      <c r="T50" s="33"/>
      <c r="U50" s="34"/>
    </row>
    <row r="51" spans="1:21" x14ac:dyDescent="0.35">
      <c r="A51" s="37">
        <v>25</v>
      </c>
      <c r="B51" s="38">
        <v>6.54</v>
      </c>
      <c r="C51" s="2">
        <v>12.096</v>
      </c>
      <c r="D51" s="36">
        <f t="shared" ref="D51" si="261">AVERAGE(C51:C52)</f>
        <v>12.7295</v>
      </c>
      <c r="E51" s="42">
        <f t="shared" ref="E51" si="262">_xlfn.STDEV.S(C51:C52)/SQRT(2)</f>
        <v>0.63349999999999962</v>
      </c>
      <c r="F51" s="36">
        <f t="shared" ref="F51" si="263">D51/1000</f>
        <v>1.2729499999999999E-2</v>
      </c>
      <c r="G51" s="36">
        <f t="shared" ref="G51" si="264">(F51*16*0.2)/(9600*0.6*0.01*10^-3)</f>
        <v>0.70719444444444446</v>
      </c>
      <c r="H51" s="36">
        <f>G51/B51</f>
        <v>0.10813370710159702</v>
      </c>
      <c r="I51" s="33">
        <f t="shared" ref="I51" si="265">H51*1000</f>
        <v>108.13370710159701</v>
      </c>
      <c r="J51" s="33">
        <f t="shared" ref="J51" si="266">AVERAGE(I51:I56)</f>
        <v>116.01844748272673</v>
      </c>
      <c r="K51" s="34">
        <f t="shared" ref="K51" si="267">(_xlfn.STDEV.S(I51:I56)/SQRT(3))/J51</f>
        <v>0.1118012498242064</v>
      </c>
      <c r="L51" s="36">
        <v>12</v>
      </c>
      <c r="M51" s="2">
        <v>23.215</v>
      </c>
      <c r="N51" s="36">
        <f t="shared" ref="N51" si="268">AVERAGE(M51:M52)</f>
        <v>23.463999999999999</v>
      </c>
      <c r="O51" s="42">
        <f t="shared" ref="O51" si="269">_xlfn.STDEV.S(M51:M52)/SQRT(2)</f>
        <v>0.24900000000000055</v>
      </c>
      <c r="P51" s="36">
        <f t="shared" ref="P51" si="270">N51/1000</f>
        <v>2.3463999999999999E-2</v>
      </c>
      <c r="Q51" s="36">
        <f t="shared" ref="Q51" si="271">(P51*32*0.2)/(9600*0.6*0.01*10^-3)</f>
        <v>2.6071111111111112</v>
      </c>
      <c r="R51" s="36">
        <f t="shared" ref="R51" si="272">Q51/L51</f>
        <v>0.21725925925925926</v>
      </c>
      <c r="S51" s="43">
        <f t="shared" ref="S51" si="273">R51*1000</f>
        <v>217.25925925925927</v>
      </c>
      <c r="T51" s="33">
        <f>AVERAGE(S53:S56)</f>
        <v>143.85219798035951</v>
      </c>
      <c r="U51" s="34">
        <f t="shared" ref="U51" si="274">(_xlfn.STDEV.S(S51:S56)/SQRT(3))/T51</f>
        <v>0.21698747495453197</v>
      </c>
    </row>
    <row r="52" spans="1:21" x14ac:dyDescent="0.35">
      <c r="A52" s="37"/>
      <c r="B52" s="38"/>
      <c r="C52" s="2">
        <v>13.363</v>
      </c>
      <c r="D52" s="36"/>
      <c r="E52" s="42"/>
      <c r="F52" s="36"/>
      <c r="G52" s="36"/>
      <c r="H52" s="36"/>
      <c r="I52" s="33"/>
      <c r="J52" s="33"/>
      <c r="K52" s="34"/>
      <c r="L52" s="36"/>
      <c r="M52" s="2">
        <v>23.713000000000001</v>
      </c>
      <c r="N52" s="36"/>
      <c r="O52" s="42"/>
      <c r="P52" s="36"/>
      <c r="Q52" s="36"/>
      <c r="R52" s="36"/>
      <c r="S52" s="43"/>
      <c r="T52" s="33"/>
      <c r="U52" s="34"/>
    </row>
    <row r="53" spans="1:21" x14ac:dyDescent="0.35">
      <c r="A53" s="37">
        <v>26</v>
      </c>
      <c r="B53" s="38">
        <v>7.0349999999999993</v>
      </c>
      <c r="C53" s="2">
        <v>15.981999999999999</v>
      </c>
      <c r="D53" s="36">
        <f t="shared" ref="D53" si="275">AVERAGE(C53:C54)</f>
        <v>12.4803</v>
      </c>
      <c r="E53" s="42">
        <f t="shared" ref="E53" si="276">_xlfn.STDEV.S(C53:C54)/SQRT(2)</f>
        <v>3.5016999999999983</v>
      </c>
      <c r="F53" s="36">
        <f t="shared" ref="F53" si="277">D53/1000</f>
        <v>1.24803E-2</v>
      </c>
      <c r="G53" s="36">
        <f t="shared" ref="G53" si="278">(F53*16*0.2)/(9600*0.6*0.01*10^-3)</f>
        <v>0.69334999999999991</v>
      </c>
      <c r="H53" s="36">
        <f>G53/B53</f>
        <v>9.8557213930348261E-2</v>
      </c>
      <c r="I53" s="33">
        <f t="shared" ref="I53" si="279">H53*1000</f>
        <v>98.557213930348254</v>
      </c>
      <c r="J53" s="33"/>
      <c r="K53" s="34"/>
      <c r="L53" s="36">
        <v>10.079999999999998</v>
      </c>
      <c r="M53" s="2">
        <v>15.488</v>
      </c>
      <c r="N53" s="36">
        <f t="shared" ref="N53" si="280">AVERAGE(M53:M54)</f>
        <v>16.095500000000001</v>
      </c>
      <c r="O53" s="42">
        <f t="shared" ref="O53" si="281">_xlfn.STDEV.S(M53:M54)/SQRT(2)</f>
        <v>0.60749999999999993</v>
      </c>
      <c r="P53" s="36">
        <f t="shared" ref="P53" si="282">N53/1000</f>
        <v>1.6095500000000002E-2</v>
      </c>
      <c r="Q53" s="36">
        <f t="shared" ref="Q53" si="283">(P53*32*0.2)/(9600*0.6*0.01*10^-3)</f>
        <v>1.7883888888888892</v>
      </c>
      <c r="R53" s="36">
        <f t="shared" ref="R53" si="284">Q53/L53</f>
        <v>0.17741953262786603</v>
      </c>
      <c r="S53" s="33">
        <f t="shared" ref="S53" si="285">R53*1000</f>
        <v>177.41953262786603</v>
      </c>
      <c r="T53" s="33"/>
      <c r="U53" s="34"/>
    </row>
    <row r="54" spans="1:21" x14ac:dyDescent="0.35">
      <c r="A54" s="37"/>
      <c r="B54" s="38"/>
      <c r="C54" s="2">
        <v>8.9786000000000001</v>
      </c>
      <c r="D54" s="36"/>
      <c r="E54" s="42"/>
      <c r="F54" s="36"/>
      <c r="G54" s="36"/>
      <c r="H54" s="36"/>
      <c r="I54" s="33"/>
      <c r="J54" s="33"/>
      <c r="K54" s="34"/>
      <c r="L54" s="36"/>
      <c r="M54" s="2">
        <v>16.702999999999999</v>
      </c>
      <c r="N54" s="36"/>
      <c r="O54" s="42"/>
      <c r="P54" s="36"/>
      <c r="Q54" s="36"/>
      <c r="R54" s="36"/>
      <c r="S54" s="33"/>
      <c r="T54" s="33"/>
      <c r="U54" s="34"/>
    </row>
    <row r="55" spans="1:21" x14ac:dyDescent="0.35">
      <c r="A55" s="37">
        <v>27</v>
      </c>
      <c r="B55" s="38">
        <v>5.79</v>
      </c>
      <c r="C55" s="2">
        <v>18.757999999999999</v>
      </c>
      <c r="D55" s="36">
        <f t="shared" ref="D55" si="286">AVERAGE(C55:C56)</f>
        <v>14.733000000000001</v>
      </c>
      <c r="E55" s="42">
        <f>_xlfn.STDEV.S(C55:C56)/SQRT(2)</f>
        <v>4.0249999999999959</v>
      </c>
      <c r="F55" s="36">
        <f t="shared" ref="F55" si="287">D55/1000</f>
        <v>1.4733000000000001E-2</v>
      </c>
      <c r="G55" s="36">
        <f t="shared" ref="G55" si="288">(F55*16*0.2)/(9600*0.6*0.01*10^-3)</f>
        <v>0.81850000000000012</v>
      </c>
      <c r="H55" s="36">
        <f>G55/B55</f>
        <v>0.1413644214162349</v>
      </c>
      <c r="I55" s="33">
        <f t="shared" ref="I55" si="289">H55*1000</f>
        <v>141.3644214162349</v>
      </c>
      <c r="J55" s="33"/>
      <c r="K55" s="34"/>
      <c r="L55" s="36">
        <v>11.565</v>
      </c>
      <c r="M55" s="2">
        <v>11.500999999999999</v>
      </c>
      <c r="N55" s="36">
        <f t="shared" ref="N55" si="290">AVERAGE(M55:M56)</f>
        <v>11.478999999999999</v>
      </c>
      <c r="O55" s="42">
        <f t="shared" ref="O55" si="291">_xlfn.STDEV.S(M55:M56)/SQRT(2)</f>
        <v>2.199999999999935E-2</v>
      </c>
      <c r="P55" s="36">
        <f t="shared" ref="P55" si="292">N55/1000</f>
        <v>1.1479E-2</v>
      </c>
      <c r="Q55" s="36">
        <f t="shared" ref="Q55" si="293">(P55*32*0.2)/(9600*0.6*0.01*10^-3)</f>
        <v>1.2754444444444444</v>
      </c>
      <c r="R55" s="36">
        <f t="shared" ref="R55" si="294">Q55/L55</f>
        <v>0.11028486333285295</v>
      </c>
      <c r="S55" s="33">
        <f t="shared" ref="S55" si="295">R55*1000</f>
        <v>110.28486333285295</v>
      </c>
      <c r="T55" s="33"/>
      <c r="U55" s="34"/>
    </row>
    <row r="56" spans="1:21" x14ac:dyDescent="0.35">
      <c r="A56" s="37"/>
      <c r="B56" s="38"/>
      <c r="C56" s="2">
        <v>10.708</v>
      </c>
      <c r="D56" s="36"/>
      <c r="E56" s="42"/>
      <c r="F56" s="36"/>
      <c r="G56" s="36"/>
      <c r="H56" s="36"/>
      <c r="I56" s="33"/>
      <c r="J56" s="33"/>
      <c r="K56" s="34"/>
      <c r="L56" s="36"/>
      <c r="M56" s="2">
        <v>11.457000000000001</v>
      </c>
      <c r="N56" s="36"/>
      <c r="O56" s="42"/>
      <c r="P56" s="36"/>
      <c r="Q56" s="36"/>
      <c r="R56" s="36"/>
      <c r="S56" s="33"/>
      <c r="T56" s="33"/>
      <c r="U56" s="34"/>
    </row>
    <row r="57" spans="1:21" x14ac:dyDescent="0.35">
      <c r="A57" s="37">
        <v>28</v>
      </c>
      <c r="B57" s="38">
        <v>6.3750000000000009</v>
      </c>
      <c r="C57" s="2">
        <v>11.176</v>
      </c>
      <c r="D57" s="36">
        <f t="shared" ref="D57" si="296">AVERAGE(C57:C58)</f>
        <v>9.2056500000000003</v>
      </c>
      <c r="E57" s="42">
        <f t="shared" ref="E57" si="297">_xlfn.STDEV.S(C57:C58)/SQRT(2)</f>
        <v>1.970350000000002</v>
      </c>
      <c r="F57" s="36">
        <f t="shared" ref="F57" si="298">D57/1000</f>
        <v>9.205650000000001E-3</v>
      </c>
      <c r="G57" s="36">
        <f t="shared" ref="G57" si="299">(F57*16*0.2)/(9600*0.6*0.01*10^-3)</f>
        <v>0.51142500000000002</v>
      </c>
      <c r="H57" s="36">
        <f>G57/B57</f>
        <v>8.0223529411764694E-2</v>
      </c>
      <c r="I57" s="33">
        <f t="shared" ref="I57" si="300">H57*1000</f>
        <v>80.223529411764687</v>
      </c>
      <c r="J57" s="33">
        <f t="shared" ref="J57" si="301">AVERAGE(I57:I62)</f>
        <v>97.946391540155162</v>
      </c>
      <c r="K57" s="34">
        <f t="shared" ref="K57" si="302">(_xlfn.STDEV.S(I57:I62)/SQRT(3))/J57</f>
        <v>0.12745794773894339</v>
      </c>
      <c r="L57" s="36">
        <v>11.58</v>
      </c>
      <c r="M57" s="2">
        <v>22.831</v>
      </c>
      <c r="N57" s="36">
        <f t="shared" ref="N57" si="303">AVERAGE(M57:M58)</f>
        <v>23.060499999999998</v>
      </c>
      <c r="O57" s="42">
        <f t="shared" ref="O57" si="304">_xlfn.STDEV.S(M57:M58)/SQRT(2)</f>
        <v>0.22949999999999982</v>
      </c>
      <c r="P57" s="36">
        <f t="shared" ref="P57" si="305">N57/1000</f>
        <v>2.3060499999999998E-2</v>
      </c>
      <c r="Q57" s="36">
        <f t="shared" ref="Q57" si="306">(P57*32*0.2)/(9600*0.6*0.01*10^-3)</f>
        <v>2.5622777777777777</v>
      </c>
      <c r="R57" s="36">
        <f t="shared" ref="R57" si="307">Q57/L57</f>
        <v>0.22126751103435041</v>
      </c>
      <c r="S57" s="33">
        <f t="shared" ref="S57" si="308">R57*1000</f>
        <v>221.26751103435041</v>
      </c>
      <c r="T57" s="33">
        <f t="shared" ref="T57" si="309">AVERAGE(S57:S62)</f>
        <v>251.25053404318973</v>
      </c>
      <c r="U57" s="34">
        <f t="shared" ref="U57" si="310">(_xlfn.STDEV.S(S57:S62)/SQRT(3))/T57</f>
        <v>6.1106837366905566E-2</v>
      </c>
    </row>
    <row r="58" spans="1:21" x14ac:dyDescent="0.35">
      <c r="A58" s="37"/>
      <c r="B58" s="38"/>
      <c r="C58" s="2">
        <v>7.2352999999999996</v>
      </c>
      <c r="D58" s="36"/>
      <c r="E58" s="42"/>
      <c r="F58" s="36"/>
      <c r="G58" s="36"/>
      <c r="H58" s="36"/>
      <c r="I58" s="33"/>
      <c r="J58" s="33"/>
      <c r="K58" s="34"/>
      <c r="L58" s="36"/>
      <c r="M58" s="2">
        <v>23.29</v>
      </c>
      <c r="N58" s="36"/>
      <c r="O58" s="42"/>
      <c r="P58" s="36"/>
      <c r="Q58" s="36"/>
      <c r="R58" s="36"/>
      <c r="S58" s="33"/>
      <c r="T58" s="33"/>
      <c r="U58" s="34"/>
    </row>
    <row r="59" spans="1:21" x14ac:dyDescent="0.35">
      <c r="A59" s="37">
        <v>29</v>
      </c>
      <c r="B59" s="38">
        <v>6.75</v>
      </c>
      <c r="C59" s="2">
        <v>16.335000000000001</v>
      </c>
      <c r="D59" s="36">
        <f t="shared" ref="D59" si="311">AVERAGE(C59:C60)</f>
        <v>11.1266</v>
      </c>
      <c r="E59" s="42">
        <f t="shared" ref="E59" si="312">_xlfn.STDEV.S(C59:C60)/SQRT(2)</f>
        <v>5.2084000000000019</v>
      </c>
      <c r="F59" s="36">
        <f t="shared" ref="F59" si="313">D59/1000</f>
        <v>1.11266E-2</v>
      </c>
      <c r="G59" s="36">
        <f t="shared" ref="G59" si="314">(F59*16*0.2)/(9600*0.6*0.01*10^-3)</f>
        <v>0.6181444444444445</v>
      </c>
      <c r="H59" s="36">
        <f>G59/B59</f>
        <v>9.1576954732510291E-2</v>
      </c>
      <c r="I59" s="33">
        <f t="shared" ref="I59" si="315">H59*1000</f>
        <v>91.576954732510288</v>
      </c>
      <c r="J59" s="33"/>
      <c r="K59" s="34"/>
      <c r="L59" s="36">
        <v>10.875</v>
      </c>
      <c r="M59" s="2">
        <v>25.416</v>
      </c>
      <c r="N59" s="36">
        <f t="shared" ref="N59" si="316">AVERAGE(M59:M60)</f>
        <v>26.62</v>
      </c>
      <c r="O59" s="42">
        <f t="shared" ref="O59" si="317">_xlfn.STDEV.S(M59:M60)/SQRT(2)</f>
        <v>1.2040000000000006</v>
      </c>
      <c r="P59" s="36">
        <f t="shared" ref="P59" si="318">N59/1000</f>
        <v>2.6620000000000001E-2</v>
      </c>
      <c r="Q59" s="36">
        <f t="shared" ref="Q59" si="319">(P59*32*0.2)/(9600*0.6*0.01*10^-3)</f>
        <v>2.9577777777777778</v>
      </c>
      <c r="R59" s="36">
        <f t="shared" ref="R59" si="320">Q59/L59</f>
        <v>0.27197956577266924</v>
      </c>
      <c r="S59" s="33">
        <f t="shared" ref="S59" si="321">R59*1000</f>
        <v>271.97956577266922</v>
      </c>
      <c r="T59" s="33"/>
      <c r="U59" s="34"/>
    </row>
    <row r="60" spans="1:21" x14ac:dyDescent="0.35">
      <c r="A60" s="37"/>
      <c r="B60" s="38"/>
      <c r="C60" s="2">
        <v>5.9181999999999997</v>
      </c>
      <c r="D60" s="36"/>
      <c r="E60" s="42"/>
      <c r="F60" s="36"/>
      <c r="G60" s="36"/>
      <c r="H60" s="36"/>
      <c r="I60" s="33"/>
      <c r="J60" s="33"/>
      <c r="K60" s="34"/>
      <c r="L60" s="36"/>
      <c r="M60" s="2">
        <v>27.824000000000002</v>
      </c>
      <c r="N60" s="36"/>
      <c r="O60" s="42"/>
      <c r="P60" s="36"/>
      <c r="Q60" s="36"/>
      <c r="R60" s="36"/>
      <c r="S60" s="33"/>
      <c r="T60" s="33"/>
      <c r="U60" s="34"/>
    </row>
    <row r="61" spans="1:21" x14ac:dyDescent="0.35">
      <c r="A61" s="37">
        <v>30</v>
      </c>
      <c r="B61" s="38">
        <v>5.0399999999999991</v>
      </c>
      <c r="C61" s="2">
        <v>7.9187000000000003</v>
      </c>
      <c r="D61" s="36">
        <f t="shared" ref="D61" si="322">AVERAGE(C61:C62)</f>
        <v>11.071350000000001</v>
      </c>
      <c r="E61" s="42">
        <f t="shared" ref="E61" si="323">_xlfn.STDEV.S(C61:C62)/SQRT(2)</f>
        <v>3.1526499999999995</v>
      </c>
      <c r="F61" s="36">
        <f t="shared" ref="F61" si="324">D61/1000</f>
        <v>1.1071350000000001E-2</v>
      </c>
      <c r="G61" s="36">
        <f t="shared" ref="G61" si="325">(F61*16*0.2)/(9600*0.6*0.01*10^-3)</f>
        <v>0.61507500000000004</v>
      </c>
      <c r="H61" s="36">
        <f>G61/B61</f>
        <v>0.12203869047619051</v>
      </c>
      <c r="I61" s="33">
        <f t="shared" ref="I61" si="326">H61*1000</f>
        <v>122.03869047619051</v>
      </c>
      <c r="J61" s="33"/>
      <c r="K61" s="34"/>
      <c r="L61" s="36">
        <v>8.6549999999999994</v>
      </c>
      <c r="M61" s="2">
        <v>21.137</v>
      </c>
      <c r="N61" s="36">
        <f t="shared" ref="N61" si="327">AVERAGE(M61:M62)</f>
        <v>20.292000000000002</v>
      </c>
      <c r="O61" s="42">
        <f t="shared" ref="O61" si="328">_xlfn.STDEV.S(M61:M62)/SQRT(2)</f>
        <v>0.84500000000000064</v>
      </c>
      <c r="P61" s="36">
        <f t="shared" ref="P61" si="329">N61/1000</f>
        <v>2.0292000000000001E-2</v>
      </c>
      <c r="Q61" s="36">
        <f t="shared" ref="Q61" si="330">(P61*32*0.2)/(9600*0.6*0.01*10^-3)</f>
        <v>2.2546666666666666</v>
      </c>
      <c r="R61" s="36">
        <f t="shared" ref="R61" si="331">Q61/L61</f>
        <v>0.26050452532254958</v>
      </c>
      <c r="S61" s="33">
        <f t="shared" ref="S61" si="332">R61*1000</f>
        <v>260.50452532254957</v>
      </c>
      <c r="T61" s="33"/>
      <c r="U61" s="34"/>
    </row>
    <row r="62" spans="1:21" x14ac:dyDescent="0.35">
      <c r="A62" s="37"/>
      <c r="B62" s="38"/>
      <c r="C62" s="2">
        <v>14.224</v>
      </c>
      <c r="D62" s="36"/>
      <c r="E62" s="42"/>
      <c r="F62" s="36"/>
      <c r="G62" s="36"/>
      <c r="H62" s="36"/>
      <c r="I62" s="33"/>
      <c r="J62" s="33"/>
      <c r="K62" s="34"/>
      <c r="L62" s="36"/>
      <c r="M62" s="2">
        <v>19.446999999999999</v>
      </c>
      <c r="N62" s="36"/>
      <c r="O62" s="42"/>
      <c r="P62" s="36"/>
      <c r="Q62" s="36"/>
      <c r="R62" s="36"/>
      <c r="S62" s="33"/>
      <c r="T62" s="33"/>
      <c r="U62" s="34"/>
    </row>
    <row r="63" spans="1:21" x14ac:dyDescent="0.35">
      <c r="A63" s="37">
        <v>31</v>
      </c>
      <c r="B63" s="38">
        <v>2.2950000000000004</v>
      </c>
      <c r="C63" s="2">
        <v>6.3296999999999999</v>
      </c>
      <c r="D63" s="36">
        <f t="shared" ref="D63" si="333">AVERAGE(C63:C64)</f>
        <v>8.8488500000000005</v>
      </c>
      <c r="E63" s="42">
        <f t="shared" ref="E63" si="334">_xlfn.STDEV.S(C63:C64)/SQRT(2)</f>
        <v>2.5191499999999971</v>
      </c>
      <c r="F63" s="36">
        <f t="shared" ref="F63" si="335">D63/1000</f>
        <v>8.8488500000000001E-3</v>
      </c>
      <c r="G63" s="36">
        <f t="shared" ref="G63" si="336">(F63*16*0.2)/(9600*0.6*0.01*10^-3)</f>
        <v>0.49160277777777778</v>
      </c>
      <c r="H63" s="36">
        <f>G63/B63</f>
        <v>0.21420600338900989</v>
      </c>
      <c r="I63" s="43">
        <f t="shared" ref="I63" si="337">H63*1000</f>
        <v>214.20600338900988</v>
      </c>
      <c r="J63" s="33">
        <f>AVERAGE(I65:I68)</f>
        <v>131.23431844657168</v>
      </c>
      <c r="K63" s="34">
        <f>(_xlfn.STDEV.S(I65:I68)/SQRT(2))/J63</f>
        <v>0.12249698345674455</v>
      </c>
      <c r="L63" s="36">
        <v>7.5449999999999999</v>
      </c>
      <c r="M63" s="2">
        <v>21.966000000000001</v>
      </c>
      <c r="N63" s="36">
        <f t="shared" ref="N63" si="338">AVERAGE(M63:M64)</f>
        <v>21.094999999999999</v>
      </c>
      <c r="O63" s="42">
        <f t="shared" ref="O63" si="339">_xlfn.STDEV.S(M63:M64)/SQRT(2)</f>
        <v>0.87100000000000044</v>
      </c>
      <c r="P63" s="36">
        <f t="shared" ref="P63" si="340">N63/1000</f>
        <v>2.1094999999999999E-2</v>
      </c>
      <c r="Q63" s="36">
        <f t="shared" ref="Q63" si="341">(P63*32*0.2)/(9600*0.6*0.01*10^-3)</f>
        <v>2.3438888888888885</v>
      </c>
      <c r="R63" s="36">
        <f t="shared" ref="R63" si="342">Q63/L63</f>
        <v>0.31065459097268239</v>
      </c>
      <c r="S63" s="33">
        <f t="shared" ref="S63" si="343">R63*1000</f>
        <v>310.6545909726824</v>
      </c>
      <c r="T63" s="33">
        <f t="shared" ref="T63" si="344">AVERAGE(S63:S68)</f>
        <v>315.92124116984786</v>
      </c>
      <c r="U63" s="34">
        <f t="shared" ref="U63" si="345">(_xlfn.STDEV.S(S63:S68)/SQRT(3))/T63</f>
        <v>0.10825506661503988</v>
      </c>
    </row>
    <row r="64" spans="1:21" x14ac:dyDescent="0.35">
      <c r="A64" s="37"/>
      <c r="B64" s="38"/>
      <c r="C64" s="2">
        <v>11.368</v>
      </c>
      <c r="D64" s="36"/>
      <c r="E64" s="42"/>
      <c r="F64" s="36"/>
      <c r="G64" s="36"/>
      <c r="H64" s="36"/>
      <c r="I64" s="43"/>
      <c r="J64" s="33"/>
      <c r="K64" s="34"/>
      <c r="L64" s="36"/>
      <c r="M64" s="2">
        <v>20.224</v>
      </c>
      <c r="N64" s="36"/>
      <c r="O64" s="42"/>
      <c r="P64" s="36"/>
      <c r="Q64" s="36"/>
      <c r="R64" s="36"/>
      <c r="S64" s="33"/>
      <c r="T64" s="33"/>
      <c r="U64" s="34"/>
    </row>
    <row r="65" spans="1:21" x14ac:dyDescent="0.35">
      <c r="A65" s="37">
        <v>32</v>
      </c>
      <c r="B65" s="38">
        <v>4.74</v>
      </c>
      <c r="C65" s="2">
        <v>12.451000000000001</v>
      </c>
      <c r="D65" s="36">
        <f t="shared" ref="D65" si="346">AVERAGE(C65:C66)</f>
        <v>12.5685</v>
      </c>
      <c r="E65" s="42">
        <f t="shared" ref="E65" si="347">_xlfn.STDEV.S(C65:C66)/SQRT(2)</f>
        <v>0.11749999999999972</v>
      </c>
      <c r="F65" s="36">
        <f t="shared" ref="F65" si="348">D65/1000</f>
        <v>1.25685E-2</v>
      </c>
      <c r="G65" s="36">
        <f t="shared" ref="G65" si="349">(F65*16*0.2)/(9600*0.6*0.01*10^-3)</f>
        <v>0.69825000000000004</v>
      </c>
      <c r="H65" s="36">
        <f>G65/B65</f>
        <v>0.14731012658227849</v>
      </c>
      <c r="I65" s="33">
        <f t="shared" ref="I65" si="350">H65*1000</f>
        <v>147.31012658227849</v>
      </c>
      <c r="J65" s="33"/>
      <c r="K65" s="34"/>
      <c r="L65" s="36">
        <v>9.5549999999999997</v>
      </c>
      <c r="M65" s="2">
        <v>33.798999999999999</v>
      </c>
      <c r="N65" s="36">
        <f t="shared" ref="N65" si="351">AVERAGE(M65:M66)</f>
        <v>32.472999999999999</v>
      </c>
      <c r="O65" s="42">
        <f>_xlfn.STDEV.S(M65:M66)/SQRT(2)</f>
        <v>1.3260000000000005</v>
      </c>
      <c r="P65" s="36">
        <f t="shared" ref="P65" si="352">N65/1000</f>
        <v>3.2473000000000002E-2</v>
      </c>
      <c r="Q65" s="36">
        <f t="shared" ref="Q65" si="353">(P65*32*0.2)/(9600*0.6*0.01*10^-3)</f>
        <v>3.608111111111111</v>
      </c>
      <c r="R65" s="36">
        <f t="shared" ref="R65" si="354">Q65/L65</f>
        <v>0.37761497761497764</v>
      </c>
      <c r="S65" s="33">
        <f t="shared" ref="S65" si="355">R65*1000</f>
        <v>377.61497761497765</v>
      </c>
      <c r="T65" s="33"/>
      <c r="U65" s="34"/>
    </row>
    <row r="66" spans="1:21" x14ac:dyDescent="0.35">
      <c r="A66" s="37"/>
      <c r="B66" s="38"/>
      <c r="C66" s="2">
        <v>12.686</v>
      </c>
      <c r="D66" s="36"/>
      <c r="E66" s="42"/>
      <c r="F66" s="36"/>
      <c r="G66" s="36"/>
      <c r="H66" s="36"/>
      <c r="I66" s="33"/>
      <c r="J66" s="33"/>
      <c r="K66" s="34"/>
      <c r="L66" s="36"/>
      <c r="M66" s="2">
        <v>31.146999999999998</v>
      </c>
      <c r="N66" s="36"/>
      <c r="O66" s="42"/>
      <c r="P66" s="36"/>
      <c r="Q66" s="36"/>
      <c r="R66" s="36"/>
      <c r="S66" s="33"/>
      <c r="T66" s="33"/>
      <c r="U66" s="34"/>
    </row>
    <row r="67" spans="1:21" x14ac:dyDescent="0.35">
      <c r="A67" s="37">
        <v>33</v>
      </c>
      <c r="B67" s="38">
        <v>5.415</v>
      </c>
      <c r="C67" s="2">
        <v>13.416</v>
      </c>
      <c r="D67" s="36">
        <f t="shared" ref="D67" si="356">AVERAGE(C67:C68)</f>
        <v>11.224499999999999</v>
      </c>
      <c r="E67" s="42">
        <f t="shared" ref="E67" si="357">_xlfn.STDEV.S(C67:C68)/SQRT(2)</f>
        <v>2.1915000000000031</v>
      </c>
      <c r="F67" s="36">
        <f t="shared" ref="F67" si="358">D67/1000</f>
        <v>1.1224499999999998E-2</v>
      </c>
      <c r="G67" s="36">
        <f t="shared" ref="G67" si="359">(F67*16*0.2)/(9600*0.6*0.01*10^-3)</f>
        <v>0.62358333333333316</v>
      </c>
      <c r="H67" s="36">
        <f>G67/B67</f>
        <v>0.11515851031086485</v>
      </c>
      <c r="I67" s="33">
        <f t="shared" ref="I67" si="360">H67*1000</f>
        <v>115.15851031086486</v>
      </c>
      <c r="J67" s="33"/>
      <c r="K67" s="34"/>
      <c r="L67" s="36">
        <v>10.169999999999998</v>
      </c>
      <c r="M67" s="2">
        <v>24.904</v>
      </c>
      <c r="N67" s="36">
        <f t="shared" ref="N67" si="361">AVERAGE(M67:M68)</f>
        <v>23.7515</v>
      </c>
      <c r="O67" s="42">
        <f t="shared" ref="O67" si="362">_xlfn.STDEV.S(M67:M68)/SQRT(2)</f>
        <v>1.1524999999999999</v>
      </c>
      <c r="P67" s="36">
        <f t="shared" ref="P67" si="363">N67/1000</f>
        <v>2.3751500000000002E-2</v>
      </c>
      <c r="Q67" s="36">
        <f t="shared" ref="Q67" si="364">(P67*32*0.2)/(9600*0.6*0.01*10^-3)</f>
        <v>2.6390555555555557</v>
      </c>
      <c r="R67" s="36">
        <f t="shared" ref="R67" si="365">Q67/L67</f>
        <v>0.2594941549218836</v>
      </c>
      <c r="S67" s="33">
        <f t="shared" ref="S67" si="366">R67*1000</f>
        <v>259.49415492188359</v>
      </c>
      <c r="T67" s="33"/>
      <c r="U67" s="34"/>
    </row>
    <row r="68" spans="1:21" x14ac:dyDescent="0.35">
      <c r="A68" s="37"/>
      <c r="B68" s="38"/>
      <c r="C68" s="2">
        <v>9.0329999999999995</v>
      </c>
      <c r="D68" s="36"/>
      <c r="E68" s="42"/>
      <c r="F68" s="36"/>
      <c r="G68" s="36"/>
      <c r="H68" s="36"/>
      <c r="I68" s="33"/>
      <c r="J68" s="33"/>
      <c r="K68" s="34"/>
      <c r="L68" s="36"/>
      <c r="M68" s="2">
        <v>22.599</v>
      </c>
      <c r="N68" s="36"/>
      <c r="O68" s="42"/>
      <c r="P68" s="36"/>
      <c r="Q68" s="36"/>
      <c r="R68" s="36"/>
      <c r="S68" s="33"/>
      <c r="T68" s="33"/>
      <c r="U68" s="34"/>
    </row>
    <row r="69" spans="1:21" x14ac:dyDescent="0.35">
      <c r="A69" s="37">
        <v>34</v>
      </c>
      <c r="B69" s="38">
        <v>5.64</v>
      </c>
      <c r="C69" s="2">
        <v>10.794</v>
      </c>
      <c r="D69" s="36">
        <f t="shared" ref="D69" si="367">AVERAGE(C69:C70)</f>
        <v>9.4024999999999999</v>
      </c>
      <c r="E69" s="42">
        <f t="shared" ref="E69" si="368">_xlfn.STDEV.S(C69:C70)/SQRT(2)</f>
        <v>1.3915000000000006</v>
      </c>
      <c r="F69" s="36">
        <f t="shared" ref="F69" si="369">D69/1000</f>
        <v>9.4024999999999994E-3</v>
      </c>
      <c r="G69" s="36">
        <f t="shared" ref="G69" si="370">(F69*16*0.2)/(9600*0.6*0.01*10^-3)</f>
        <v>0.52236111111111105</v>
      </c>
      <c r="H69" s="36">
        <f>G69/B69</f>
        <v>9.2617218282111891E-2</v>
      </c>
      <c r="I69" s="33">
        <f t="shared" ref="I69" si="371">H69*1000</f>
        <v>92.617218282111892</v>
      </c>
      <c r="J69" s="33">
        <f t="shared" ref="J69" si="372">AVERAGE(I69:I74)</f>
        <v>107.41379899683066</v>
      </c>
      <c r="K69" s="34">
        <f t="shared" ref="K69" si="373">(_xlfn.STDEV.S(I69:I74)/SQRT(3))/J69</f>
        <v>0.1494126371130286</v>
      </c>
      <c r="L69" s="36">
        <v>8.5200000000000014</v>
      </c>
      <c r="M69" s="2">
        <v>22.181999999999999</v>
      </c>
      <c r="N69" s="36">
        <f t="shared" ref="N69" si="374">AVERAGE(M69:M70)</f>
        <v>21.875499999999999</v>
      </c>
      <c r="O69" s="42">
        <f t="shared" ref="O69" si="375">_xlfn.STDEV.S(M69:M70)/SQRT(2)</f>
        <v>0.30649999999999977</v>
      </c>
      <c r="P69" s="36">
        <f t="shared" ref="P69" si="376">N69/1000</f>
        <v>2.1875499999999999E-2</v>
      </c>
      <c r="Q69" s="36">
        <f t="shared" ref="Q69" si="377">(P69*32*0.2)/(9600*0.6*0.01*10^-3)</f>
        <v>2.4306111111111108</v>
      </c>
      <c r="R69" s="36">
        <f t="shared" ref="R69" si="378">Q69/L69</f>
        <v>0.28528299426186743</v>
      </c>
      <c r="S69" s="33">
        <f t="shared" ref="S69" si="379">R69*1000</f>
        <v>285.28299426186743</v>
      </c>
      <c r="T69" s="33">
        <f t="shared" ref="T69" si="380">AVERAGE(S69:S74)</f>
        <v>292.6990926254087</v>
      </c>
      <c r="U69" s="34">
        <f t="shared" ref="U69" si="381">(_xlfn.STDEV.S(S69:S74)/SQRT(3))/T69</f>
        <v>0.1723289723967795</v>
      </c>
    </row>
    <row r="70" spans="1:21" x14ac:dyDescent="0.35">
      <c r="A70" s="37"/>
      <c r="B70" s="38"/>
      <c r="C70" s="2">
        <v>8.0109999999999992</v>
      </c>
      <c r="D70" s="36"/>
      <c r="E70" s="42"/>
      <c r="F70" s="36"/>
      <c r="G70" s="36"/>
      <c r="H70" s="36"/>
      <c r="I70" s="33"/>
      <c r="J70" s="33"/>
      <c r="K70" s="34"/>
      <c r="L70" s="36"/>
      <c r="M70" s="2">
        <v>21.568999999999999</v>
      </c>
      <c r="N70" s="36"/>
      <c r="O70" s="42"/>
      <c r="P70" s="36"/>
      <c r="Q70" s="36"/>
      <c r="R70" s="36"/>
      <c r="S70" s="33"/>
      <c r="T70" s="33"/>
      <c r="U70" s="34"/>
    </row>
    <row r="71" spans="1:21" x14ac:dyDescent="0.35">
      <c r="A71" s="37">
        <v>35</v>
      </c>
      <c r="B71" s="38">
        <v>5.76</v>
      </c>
      <c r="C71" s="2">
        <v>9.6922999999999995</v>
      </c>
      <c r="D71" s="36">
        <f t="shared" ref="D71" si="382">AVERAGE(C71:C72)</f>
        <v>9.3461499999999997</v>
      </c>
      <c r="E71" s="42">
        <f t="shared" ref="E71" si="383">_xlfn.STDEV.S(C71:C72)/SQRT(2)</f>
        <v>0.34614999999999974</v>
      </c>
      <c r="F71" s="36">
        <f t="shared" ref="F71" si="384">D71/1000</f>
        <v>9.3461499999999992E-3</v>
      </c>
      <c r="G71" s="36">
        <f t="shared" ref="G71" si="385">(F71*16*0.2)/(9600*0.6*0.01*10^-3)</f>
        <v>0.51923055555555553</v>
      </c>
      <c r="H71" s="36">
        <f>G71/B71</f>
        <v>9.0144193672839504E-2</v>
      </c>
      <c r="I71" s="33">
        <f t="shared" ref="I71" si="386">H71*1000</f>
        <v>90.144193672839506</v>
      </c>
      <c r="J71" s="33"/>
      <c r="K71" s="34"/>
      <c r="L71" s="36">
        <v>8.91</v>
      </c>
      <c r="M71" s="2">
        <v>16.782</v>
      </c>
      <c r="N71" s="36">
        <f t="shared" ref="N71" si="387">AVERAGE(M71:M72)</f>
        <v>16.782</v>
      </c>
      <c r="O71" s="42">
        <f t="shared" ref="O71" si="388">_xlfn.STDEV.S(M71:M72)/SQRT(2)</f>
        <v>0</v>
      </c>
      <c r="P71" s="36">
        <f t="shared" ref="P71" si="389">N71/1000</f>
        <v>1.6781999999999998E-2</v>
      </c>
      <c r="Q71" s="36">
        <f t="shared" ref="Q71" si="390">(P71*32*0.2)/(9600*0.6*0.01*10^-3)</f>
        <v>1.8646666666666665</v>
      </c>
      <c r="R71" s="36">
        <f t="shared" ref="R71" si="391">Q71/L71</f>
        <v>0.20927796483352037</v>
      </c>
      <c r="S71" s="33">
        <f t="shared" ref="S71" si="392">R71*1000</f>
        <v>209.27796483352037</v>
      </c>
      <c r="T71" s="33"/>
      <c r="U71" s="34"/>
    </row>
    <row r="72" spans="1:21" x14ac:dyDescent="0.35">
      <c r="A72" s="37"/>
      <c r="B72" s="38"/>
      <c r="C72" s="2">
        <v>9</v>
      </c>
      <c r="D72" s="36"/>
      <c r="E72" s="42"/>
      <c r="F72" s="36"/>
      <c r="G72" s="36"/>
      <c r="H72" s="36"/>
      <c r="I72" s="33"/>
      <c r="J72" s="33"/>
      <c r="K72" s="34"/>
      <c r="L72" s="36"/>
      <c r="M72" s="2">
        <v>16.782</v>
      </c>
      <c r="N72" s="36"/>
      <c r="O72" s="42"/>
      <c r="P72" s="36"/>
      <c r="Q72" s="36"/>
      <c r="R72" s="36"/>
      <c r="S72" s="33"/>
      <c r="T72" s="33"/>
      <c r="U72" s="34"/>
    </row>
    <row r="73" spans="1:21" x14ac:dyDescent="0.35">
      <c r="A73" s="37">
        <v>36</v>
      </c>
      <c r="B73" s="38">
        <v>4.4550000000000001</v>
      </c>
      <c r="C73" s="2">
        <v>12.385999999999999</v>
      </c>
      <c r="D73" s="36">
        <f t="shared" ref="D73" si="393">AVERAGE(C73:C74)</f>
        <v>11.184899999999999</v>
      </c>
      <c r="E73" s="42">
        <f t="shared" ref="E73" si="394">_xlfn.STDEV.S(C73:C74)/SQRT(2)</f>
        <v>1.2011000000000078</v>
      </c>
      <c r="F73" s="36">
        <f t="shared" ref="F73" si="395">D73/1000</f>
        <v>1.1184899999999999E-2</v>
      </c>
      <c r="G73" s="36">
        <f t="shared" ref="G73" si="396">(F73*16*0.2)/(9600*0.6*0.01*10^-3)</f>
        <v>0.62138333333333329</v>
      </c>
      <c r="H73" s="36">
        <f>G73/B73</f>
        <v>0.13947998503554057</v>
      </c>
      <c r="I73" s="33">
        <f t="shared" ref="I73" si="397">H73*1000</f>
        <v>139.47998503554058</v>
      </c>
      <c r="J73" s="33"/>
      <c r="K73" s="34"/>
      <c r="L73" s="36">
        <v>8.8949999999999996</v>
      </c>
      <c r="M73" s="2">
        <v>30.286999999999999</v>
      </c>
      <c r="N73" s="36">
        <f t="shared" ref="N73" si="398">AVERAGE(M73:M74)</f>
        <v>30.704000000000001</v>
      </c>
      <c r="O73" s="42">
        <f t="shared" ref="O73" si="399">_xlfn.STDEV.S(M73:M74)/SQRT(2)</f>
        <v>0.41699999999999982</v>
      </c>
      <c r="P73" s="36">
        <f t="shared" ref="P73" si="400">N73/1000</f>
        <v>3.0704000000000002E-2</v>
      </c>
      <c r="Q73" s="36">
        <f t="shared" ref="Q73" si="401">(P73*32*0.2)/(9600*0.6*0.01*10^-3)</f>
        <v>3.4115555555555557</v>
      </c>
      <c r="R73" s="36">
        <f t="shared" ref="R73" si="402">Q73/L73</f>
        <v>0.38353631878083821</v>
      </c>
      <c r="S73" s="33">
        <f t="shared" ref="S73" si="403">R73*1000</f>
        <v>383.5363187808382</v>
      </c>
      <c r="T73" s="33"/>
      <c r="U73" s="34"/>
    </row>
    <row r="74" spans="1:21" x14ac:dyDescent="0.35">
      <c r="A74" s="37"/>
      <c r="B74" s="38"/>
      <c r="C74" s="2">
        <v>9.9838000000000005</v>
      </c>
      <c r="D74" s="36"/>
      <c r="E74" s="42"/>
      <c r="F74" s="36"/>
      <c r="G74" s="36"/>
      <c r="H74" s="36"/>
      <c r="I74" s="33"/>
      <c r="J74" s="33"/>
      <c r="K74" s="34"/>
      <c r="L74" s="36"/>
      <c r="M74" s="2">
        <v>31.120999999999999</v>
      </c>
      <c r="N74" s="36"/>
      <c r="O74" s="42"/>
      <c r="P74" s="36"/>
      <c r="Q74" s="36"/>
      <c r="R74" s="36"/>
      <c r="S74" s="33"/>
      <c r="T74" s="33"/>
      <c r="U74" s="34"/>
    </row>
    <row r="75" spans="1:21" x14ac:dyDescent="0.35">
      <c r="A75" s="37">
        <v>37</v>
      </c>
      <c r="B75" s="38">
        <v>6.7650000000000006</v>
      </c>
      <c r="C75" s="2">
        <v>15.180999999999999</v>
      </c>
      <c r="D75" s="36">
        <f t="shared" ref="D75" si="404">AVERAGE(C75:C76)</f>
        <v>12.716999999999999</v>
      </c>
      <c r="E75" s="42">
        <f t="shared" ref="E75" si="405">_xlfn.STDEV.S(C75:C76)/SQRT(2)</f>
        <v>2.4640000000000093</v>
      </c>
      <c r="F75" s="36">
        <f t="shared" ref="F75" si="406">D75/1000</f>
        <v>1.2716999999999999E-2</v>
      </c>
      <c r="G75" s="36">
        <f t="shared" ref="G75" si="407">(F75*16*0.2)/(9600*0.6*0.01*10^-3)</f>
        <v>0.70649999999999991</v>
      </c>
      <c r="H75" s="36">
        <f>G75/B75</f>
        <v>0.10443458980044344</v>
      </c>
      <c r="I75" s="33">
        <f t="shared" ref="I75" si="408">H75*1000</f>
        <v>104.43458980044345</v>
      </c>
      <c r="J75" s="33">
        <f t="shared" ref="J75" si="409">AVERAGE(I75:I80)</f>
        <v>118.10953551019395</v>
      </c>
      <c r="K75" s="34">
        <f t="shared" ref="K75" si="410">(_xlfn.STDEV.S(I75:I80)/SQRT(3))/J75</f>
        <v>6.0409762939033461E-2</v>
      </c>
      <c r="L75" s="36">
        <v>10.5</v>
      </c>
      <c r="M75" s="2">
        <v>15.676</v>
      </c>
      <c r="N75" s="36">
        <f t="shared" ref="N75" si="411">AVERAGE(M75:M76)</f>
        <v>17.210999999999999</v>
      </c>
      <c r="O75" s="42">
        <f t="shared" ref="O75" si="412">_xlfn.STDEV.S(M75:M76)/SQRT(2)</f>
        <v>1.534999999999999</v>
      </c>
      <c r="P75" s="36">
        <f t="shared" ref="P75" si="413">N75/1000</f>
        <v>1.7210999999999997E-2</v>
      </c>
      <c r="Q75" s="36">
        <f t="shared" ref="Q75" si="414">(P75*32*0.2)/(9600*0.6*0.01*10^-3)</f>
        <v>1.9123333333333328</v>
      </c>
      <c r="R75" s="36">
        <f t="shared" ref="R75" si="415">Q75/L75</f>
        <v>0.18212698412698408</v>
      </c>
      <c r="S75" s="33">
        <f t="shared" ref="S75" si="416">R75*1000</f>
        <v>182.12698412698407</v>
      </c>
      <c r="T75" s="33">
        <f t="shared" ref="T75" si="417">AVERAGE(S75:S80)</f>
        <v>238.05400148519024</v>
      </c>
      <c r="U75" s="34">
        <f t="shared" ref="U75" si="418">(_xlfn.STDEV.S(S75:S80)/SQRT(3))/T75</f>
        <v>0.1870864661452519</v>
      </c>
    </row>
    <row r="76" spans="1:21" x14ac:dyDescent="0.35">
      <c r="A76" s="37"/>
      <c r="B76" s="38"/>
      <c r="C76" s="2">
        <v>10.253</v>
      </c>
      <c r="D76" s="36"/>
      <c r="E76" s="42"/>
      <c r="F76" s="36"/>
      <c r="G76" s="36"/>
      <c r="H76" s="36"/>
      <c r="I76" s="33"/>
      <c r="J76" s="33"/>
      <c r="K76" s="34"/>
      <c r="L76" s="36"/>
      <c r="M76" s="2">
        <v>18.745999999999999</v>
      </c>
      <c r="N76" s="36"/>
      <c r="O76" s="42"/>
      <c r="P76" s="36"/>
      <c r="Q76" s="36"/>
      <c r="R76" s="36"/>
      <c r="S76" s="33"/>
      <c r="T76" s="33"/>
      <c r="U76" s="34"/>
    </row>
    <row r="77" spans="1:21" x14ac:dyDescent="0.35">
      <c r="A77" s="37">
        <v>38</v>
      </c>
      <c r="B77" s="38">
        <v>5.1150000000000002</v>
      </c>
      <c r="C77" s="2">
        <v>13.49</v>
      </c>
      <c r="D77" s="36">
        <f t="shared" ref="D77" si="419">AVERAGE(C77:C78)</f>
        <v>11.829000000000001</v>
      </c>
      <c r="E77" s="42">
        <f t="shared" ref="E77" si="420">_xlfn.STDEV.S(C77:C78)/SQRT(2)</f>
        <v>1.6609999999999874</v>
      </c>
      <c r="F77" s="36">
        <f t="shared" ref="F77" si="421">D77/1000</f>
        <v>1.1829000000000001E-2</v>
      </c>
      <c r="G77" s="36">
        <f t="shared" ref="G77" si="422">(F77*16*0.2)/(9600*0.6*0.01*10^-3)</f>
        <v>0.65716666666666668</v>
      </c>
      <c r="H77" s="36">
        <f>G77/B77</f>
        <v>0.12847833170413817</v>
      </c>
      <c r="I77" s="33">
        <f t="shared" ref="I77" si="423">H77*1000</f>
        <v>128.47833170413816</v>
      </c>
      <c r="J77" s="33"/>
      <c r="K77" s="34"/>
      <c r="L77" s="36">
        <v>8.8650000000000002</v>
      </c>
      <c r="M77" s="2">
        <v>16.253</v>
      </c>
      <c r="N77" s="36">
        <f t="shared" ref="N77" si="424">AVERAGE(M77:M78)</f>
        <v>16.433999999999997</v>
      </c>
      <c r="O77" s="42">
        <f t="shared" ref="O77" si="425">_xlfn.STDEV.S(M77:M78)/SQRT(2)</f>
        <v>0.18099999999999916</v>
      </c>
      <c r="P77" s="36">
        <f t="shared" ref="P77" si="426">N77/1000</f>
        <v>1.6433999999999997E-2</v>
      </c>
      <c r="Q77" s="36">
        <f t="shared" ref="Q77" si="427">(P77*32*0.2)/(9600*0.6*0.01*10^-3)</f>
        <v>1.8259999999999996</v>
      </c>
      <c r="R77" s="36">
        <f t="shared" ref="R77" si="428">Q77/L77</f>
        <v>0.20597856739988715</v>
      </c>
      <c r="S77" s="33">
        <f t="shared" ref="S77" si="429">R77*1000</f>
        <v>205.97856739988714</v>
      </c>
      <c r="T77" s="33"/>
      <c r="U77" s="34"/>
    </row>
    <row r="78" spans="1:21" x14ac:dyDescent="0.35">
      <c r="A78" s="37"/>
      <c r="B78" s="38"/>
      <c r="C78" s="2">
        <v>10.167999999999999</v>
      </c>
      <c r="D78" s="36"/>
      <c r="E78" s="42"/>
      <c r="F78" s="36"/>
      <c r="G78" s="36"/>
      <c r="H78" s="36"/>
      <c r="I78" s="33"/>
      <c r="J78" s="33"/>
      <c r="K78" s="34"/>
      <c r="L78" s="36"/>
      <c r="M78" s="2">
        <v>16.614999999999998</v>
      </c>
      <c r="N78" s="36"/>
      <c r="O78" s="42"/>
      <c r="P78" s="36"/>
      <c r="Q78" s="36"/>
      <c r="R78" s="36"/>
      <c r="S78" s="33"/>
      <c r="T78" s="33"/>
      <c r="U78" s="34"/>
    </row>
    <row r="79" spans="1:21" x14ac:dyDescent="0.35">
      <c r="A79" s="37">
        <v>39</v>
      </c>
      <c r="B79" s="38">
        <v>5.2350000000000003</v>
      </c>
      <c r="C79" s="2">
        <v>12.33</v>
      </c>
      <c r="D79" s="36">
        <f>AVERAGE(C79:C80)</f>
        <v>11.440999999999999</v>
      </c>
      <c r="E79" s="42">
        <f t="shared" ref="E79" si="430">_xlfn.STDEV.S(C79:C80)/SQRT(2)</f>
        <v>0.88900000000000023</v>
      </c>
      <c r="F79" s="36">
        <f t="shared" ref="F79" si="431">D79/1000</f>
        <v>1.1441E-2</v>
      </c>
      <c r="G79" s="36">
        <f t="shared" ref="G79" si="432">(F79*16*0.2)/(9600*0.6*0.01*10^-3)</f>
        <v>0.63561111111111113</v>
      </c>
      <c r="H79" s="36">
        <f>G79/B79</f>
        <v>0.12141568502600021</v>
      </c>
      <c r="I79" s="33">
        <f t="shared" ref="I79" si="433">H79*1000</f>
        <v>121.4156850260002</v>
      </c>
      <c r="J79" s="33"/>
      <c r="K79" s="34"/>
      <c r="L79" s="36">
        <v>10.215</v>
      </c>
      <c r="M79" s="2">
        <v>31.65</v>
      </c>
      <c r="N79" s="36">
        <f>AVERAGE(M79:M80)</f>
        <v>29.975999999999999</v>
      </c>
      <c r="O79" s="42">
        <f t="shared" ref="O79" si="434">_xlfn.STDEV.S(M79:M80)/SQRT(2)</f>
        <v>1.6739999999999993</v>
      </c>
      <c r="P79" s="36">
        <f t="shared" ref="P79" si="435">N79/1000</f>
        <v>2.9975999999999999E-2</v>
      </c>
      <c r="Q79" s="36">
        <f t="shared" ref="Q79" si="436">(P79*32*0.2)/(9600*0.6*0.01*10^-3)</f>
        <v>3.3306666666666662</v>
      </c>
      <c r="R79" s="36">
        <f t="shared" ref="R79" si="437">Q79/L79</f>
        <v>0.32605645292869956</v>
      </c>
      <c r="S79" s="33">
        <f t="shared" ref="S79" si="438">R79*1000</f>
        <v>326.05645292869957</v>
      </c>
      <c r="T79" s="33"/>
      <c r="U79" s="34"/>
    </row>
    <row r="80" spans="1:21" x14ac:dyDescent="0.35">
      <c r="A80" s="37"/>
      <c r="B80" s="38"/>
      <c r="C80" s="2">
        <v>10.552</v>
      </c>
      <c r="D80" s="36"/>
      <c r="E80" s="42"/>
      <c r="F80" s="36"/>
      <c r="G80" s="36"/>
      <c r="H80" s="36"/>
      <c r="I80" s="33"/>
      <c r="J80" s="33"/>
      <c r="K80" s="34"/>
      <c r="L80" s="36"/>
      <c r="M80" s="2">
        <v>28.302</v>
      </c>
      <c r="N80" s="36"/>
      <c r="O80" s="42"/>
      <c r="P80" s="36"/>
      <c r="Q80" s="36"/>
      <c r="R80" s="36"/>
      <c r="S80" s="33"/>
      <c r="T80" s="33"/>
      <c r="U80" s="34"/>
    </row>
    <row r="81" spans="1:21" x14ac:dyDescent="0.35">
      <c r="A81" s="37">
        <v>40</v>
      </c>
      <c r="B81" s="38">
        <v>6.15</v>
      </c>
      <c r="C81" s="2">
        <v>11.593</v>
      </c>
      <c r="D81" s="36">
        <f t="shared" ref="D81" si="439">AVERAGE(C81:C82)</f>
        <v>10.1053</v>
      </c>
      <c r="E81" s="42">
        <f t="shared" ref="E81" si="440">_xlfn.STDEV.S(C81:C82)/SQRT(2)</f>
        <v>1.4877000000000005</v>
      </c>
      <c r="F81" s="36">
        <f t="shared" ref="F81" si="441">D81/1000</f>
        <v>1.0105299999999999E-2</v>
      </c>
      <c r="G81" s="36">
        <f t="shared" ref="G81" si="442">(F81*16*0.2)/(9600*0.6*0.01*10^-3)</f>
        <v>0.56140555555555549</v>
      </c>
      <c r="H81" s="36">
        <f>G81/B81</f>
        <v>9.12854561878952E-2</v>
      </c>
      <c r="I81" s="33">
        <f t="shared" ref="I81" si="443">H81*1000</f>
        <v>91.285456187895207</v>
      </c>
      <c r="J81" s="33">
        <f t="shared" ref="J81" si="444">AVERAGE(I81:I86)</f>
        <v>92.509346624686714</v>
      </c>
      <c r="K81" s="34">
        <f t="shared" ref="K81" si="445">(_xlfn.STDEV.S(I81:I86)/SQRT(3))/J81</f>
        <v>6.3286792645734419E-2</v>
      </c>
      <c r="L81" s="36">
        <v>9.09</v>
      </c>
      <c r="M81" s="2">
        <v>19.791</v>
      </c>
      <c r="N81" s="36">
        <f t="shared" ref="N81" si="446">AVERAGE(M81:M82)</f>
        <v>20.202500000000001</v>
      </c>
      <c r="O81" s="42">
        <f t="shared" ref="O81" si="447">_xlfn.STDEV.S(M81:M82)/SQRT(2)</f>
        <v>0.41150000000000014</v>
      </c>
      <c r="P81" s="36">
        <f t="shared" ref="P81" si="448">N81/1000</f>
        <v>2.0202500000000002E-2</v>
      </c>
      <c r="Q81" s="36">
        <f t="shared" ref="Q81" si="449">(P81*32*0.2)/(9600*0.6*0.01*10^-3)</f>
        <v>2.2447222222222223</v>
      </c>
      <c r="R81" s="36">
        <f t="shared" ref="R81" si="450">Q81/L81</f>
        <v>0.24694413885833028</v>
      </c>
      <c r="S81" s="33">
        <f t="shared" ref="S81" si="451">R81*1000</f>
        <v>246.94413885833026</v>
      </c>
      <c r="T81" s="33">
        <f t="shared" ref="T81" si="452">AVERAGE(S81:S86)</f>
        <v>246.3446425602489</v>
      </c>
      <c r="U81" s="34">
        <f t="shared" ref="U81" si="453">(_xlfn.STDEV.S(S81:S86)/SQRT(3))/T81</f>
        <v>0.13138087565642154</v>
      </c>
    </row>
    <row r="82" spans="1:21" x14ac:dyDescent="0.35">
      <c r="A82" s="37"/>
      <c r="B82" s="38"/>
      <c r="C82" s="2">
        <v>8.6175999999999995</v>
      </c>
      <c r="D82" s="36"/>
      <c r="E82" s="42"/>
      <c r="F82" s="36"/>
      <c r="G82" s="36"/>
      <c r="H82" s="36"/>
      <c r="I82" s="33"/>
      <c r="J82" s="33"/>
      <c r="K82" s="34"/>
      <c r="L82" s="36"/>
      <c r="M82" s="2">
        <v>20.614000000000001</v>
      </c>
      <c r="N82" s="36"/>
      <c r="O82" s="42"/>
      <c r="P82" s="36"/>
      <c r="Q82" s="36"/>
      <c r="R82" s="36"/>
      <c r="S82" s="33"/>
      <c r="T82" s="33"/>
      <c r="U82" s="34"/>
    </row>
    <row r="83" spans="1:21" x14ac:dyDescent="0.35">
      <c r="A83" s="37">
        <v>41</v>
      </c>
      <c r="B83" s="38">
        <v>7.1549999999999994</v>
      </c>
      <c r="C83" s="2">
        <v>12.512</v>
      </c>
      <c r="D83" s="36">
        <f t="shared" ref="D83" si="454">AVERAGE(C83:C84)</f>
        <v>10.69425</v>
      </c>
      <c r="E83" s="42">
        <f t="shared" ref="E83" si="455">_xlfn.STDEV.S(C83:C84)/SQRT(2)</f>
        <v>1.8177500000000015</v>
      </c>
      <c r="F83" s="36">
        <f t="shared" ref="F83" si="456">D83/1000</f>
        <v>1.0694250000000001E-2</v>
      </c>
      <c r="G83" s="36">
        <f t="shared" ref="G83" si="457">(F83*16*0.2)/(9600*0.6*0.01*10^-3)</f>
        <v>0.59412500000000001</v>
      </c>
      <c r="H83" s="36">
        <f>G83/B83</f>
        <v>8.3036338225017478E-2</v>
      </c>
      <c r="I83" s="33">
        <f t="shared" ref="I83" si="458">H83*1000</f>
        <v>83.036338225017474</v>
      </c>
      <c r="J83" s="33"/>
      <c r="K83" s="34"/>
      <c r="L83" s="36">
        <v>9.5400000000000009</v>
      </c>
      <c r="M83" s="2">
        <v>16.187000000000001</v>
      </c>
      <c r="N83" s="36">
        <f t="shared" ref="N83" si="459">AVERAGE(M83:M84)</f>
        <v>16.3125</v>
      </c>
      <c r="O83" s="42">
        <f t="shared" ref="O83" si="460">_xlfn.STDEV.S(M83:M84)/SQRT(2)</f>
        <v>0.12549999999999883</v>
      </c>
      <c r="P83" s="36">
        <f t="shared" ref="P83" si="461">N83/1000</f>
        <v>1.6312500000000001E-2</v>
      </c>
      <c r="Q83" s="36">
        <f t="shared" ref="Q83" si="462">(P83*32*0.2)/(9600*0.6*0.01*10^-3)</f>
        <v>1.8125</v>
      </c>
      <c r="R83" s="36">
        <f t="shared" ref="R83" si="463">Q83/L83</f>
        <v>0.18998951781970649</v>
      </c>
      <c r="S83" s="33">
        <f t="shared" ref="S83" si="464">R83*1000</f>
        <v>189.98951781970649</v>
      </c>
      <c r="T83" s="33"/>
      <c r="U83" s="34"/>
    </row>
    <row r="84" spans="1:21" x14ac:dyDescent="0.35">
      <c r="A84" s="37"/>
      <c r="B84" s="38"/>
      <c r="C84" s="2">
        <v>8.8765000000000001</v>
      </c>
      <c r="D84" s="36"/>
      <c r="E84" s="42"/>
      <c r="F84" s="36"/>
      <c r="G84" s="36"/>
      <c r="H84" s="36"/>
      <c r="I84" s="33"/>
      <c r="J84" s="33"/>
      <c r="K84" s="34"/>
      <c r="L84" s="36"/>
      <c r="M84" s="2">
        <v>16.437999999999999</v>
      </c>
      <c r="N84" s="36"/>
      <c r="O84" s="42"/>
      <c r="P84" s="36"/>
      <c r="Q84" s="36"/>
      <c r="R84" s="36"/>
      <c r="S84" s="33"/>
      <c r="T84" s="33"/>
      <c r="U84" s="34"/>
    </row>
    <row r="85" spans="1:21" x14ac:dyDescent="0.35">
      <c r="A85" s="37">
        <v>42</v>
      </c>
      <c r="B85" s="38">
        <v>3.8250000000000002</v>
      </c>
      <c r="C85" s="2">
        <v>7.4294000000000002</v>
      </c>
      <c r="D85" s="36">
        <f t="shared" ref="D85" si="465">AVERAGE(C85:C86)</f>
        <v>7.1057500000000005</v>
      </c>
      <c r="E85" s="42">
        <f t="shared" ref="E85" si="466">_xlfn.STDEV.S(C85:C86)/SQRT(2)</f>
        <v>0.32365000000000016</v>
      </c>
      <c r="F85" s="36">
        <f t="shared" ref="F85" si="467">D85/1000</f>
        <v>7.1057500000000001E-3</v>
      </c>
      <c r="G85" s="36">
        <f t="shared" ref="G85" si="468">(F85*16*0.2)/(9600*0.6*0.01*10^-3)</f>
        <v>0.39476388888888891</v>
      </c>
      <c r="H85" s="36">
        <f>G85/B85</f>
        <v>0.10320624546114743</v>
      </c>
      <c r="I85" s="33">
        <f t="shared" ref="I85" si="469">H85*1000</f>
        <v>103.20624546114743</v>
      </c>
      <c r="J85" s="33"/>
      <c r="K85" s="34"/>
      <c r="L85" s="36">
        <v>9.8399999999999981</v>
      </c>
      <c r="M85" s="2">
        <v>25.282</v>
      </c>
      <c r="N85" s="36">
        <f t="shared" ref="N85" si="470">AVERAGE(M85:M86)</f>
        <v>26.753999999999998</v>
      </c>
      <c r="O85" s="42">
        <f t="shared" ref="O85" si="471">_xlfn.STDEV.S(M85:M86)/SQRT(2)</f>
        <v>1.4719999999999993</v>
      </c>
      <c r="P85" s="36">
        <f t="shared" ref="P85" si="472">N85/1000</f>
        <v>2.6753999999999997E-2</v>
      </c>
      <c r="Q85" s="36">
        <f t="shared" ref="Q85" si="473">(P85*32*0.2)/(9600*0.6*0.01*10^-3)</f>
        <v>2.9726666666666661</v>
      </c>
      <c r="R85" s="36">
        <f t="shared" ref="R85" si="474">Q85/L85</f>
        <v>0.30210027100271003</v>
      </c>
      <c r="S85" s="33">
        <f t="shared" ref="S85" si="475">R85*1000</f>
        <v>302.10027100271003</v>
      </c>
      <c r="T85" s="33"/>
      <c r="U85" s="34"/>
    </row>
    <row r="86" spans="1:21" x14ac:dyDescent="0.35">
      <c r="A86" s="37"/>
      <c r="B86" s="38"/>
      <c r="C86" s="2">
        <v>6.7820999999999998</v>
      </c>
      <c r="D86" s="36"/>
      <c r="E86" s="42"/>
      <c r="F86" s="36"/>
      <c r="G86" s="36"/>
      <c r="H86" s="36"/>
      <c r="I86" s="33"/>
      <c r="J86" s="33"/>
      <c r="K86" s="34"/>
      <c r="L86" s="36"/>
      <c r="M86" s="2">
        <v>28.225999999999999</v>
      </c>
      <c r="N86" s="36"/>
      <c r="O86" s="42"/>
      <c r="P86" s="36"/>
      <c r="Q86" s="36"/>
      <c r="R86" s="36"/>
      <c r="S86" s="33"/>
      <c r="T86" s="33"/>
      <c r="U86" s="34"/>
    </row>
    <row r="87" spans="1:21" x14ac:dyDescent="0.35">
      <c r="A87" s="37">
        <v>43</v>
      </c>
      <c r="B87" s="38">
        <v>8.3249999999999993</v>
      </c>
      <c r="C87" s="2">
        <v>12.868</v>
      </c>
      <c r="D87" s="36">
        <f t="shared" ref="D87" si="476">AVERAGE(C87:C88)</f>
        <v>14.685500000000001</v>
      </c>
      <c r="E87" s="42">
        <f t="shared" ref="E87" si="477">_xlfn.STDEV.S(C87:C88)/SQRT(2)</f>
        <v>1.8174999999999897</v>
      </c>
      <c r="F87" s="36">
        <f t="shared" ref="F87" si="478">D87/1000</f>
        <v>1.4685500000000001E-2</v>
      </c>
      <c r="G87" s="36">
        <f t="shared" ref="G87" si="479">(F87*16*0.2)/(9600*0.6*0.01*10^-3)</f>
        <v>0.81586111111111115</v>
      </c>
      <c r="H87" s="36">
        <f>G87/B87</f>
        <v>9.8001334668001344E-2</v>
      </c>
      <c r="I87" s="33">
        <f t="shared" ref="I87" si="480">H87*1000</f>
        <v>98.001334668001348</v>
      </c>
      <c r="J87" s="33">
        <f t="shared" ref="J87" si="481">AVERAGE(I87:I92)</f>
        <v>84.911174387865259</v>
      </c>
      <c r="K87" s="34">
        <f t="shared" ref="K87" si="482">(_xlfn.STDEV.S(I87:I92)/SQRT(3))/J87</f>
        <v>0.11430399764285445</v>
      </c>
      <c r="L87" s="36">
        <v>12.375</v>
      </c>
      <c r="M87" s="2">
        <v>24.568999999999999</v>
      </c>
      <c r="N87" s="36">
        <f t="shared" ref="N87" si="483">AVERAGE(M87:M88)</f>
        <v>26.488</v>
      </c>
      <c r="O87" s="42">
        <f t="shared" ref="O87" si="484">_xlfn.STDEV.S(M87:M88)/SQRT(2)</f>
        <v>1.9190000000000003</v>
      </c>
      <c r="P87" s="36">
        <f t="shared" ref="P87" si="485">N87/1000</f>
        <v>2.6488000000000001E-2</v>
      </c>
      <c r="Q87" s="36">
        <f t="shared" ref="Q87" si="486">(P87*32*0.2)/(9600*0.6*0.01*10^-3)</f>
        <v>2.943111111111111</v>
      </c>
      <c r="R87" s="36">
        <f t="shared" ref="R87" si="487">Q87/L87</f>
        <v>0.23782716049382716</v>
      </c>
      <c r="S87" s="33">
        <f t="shared" ref="S87" si="488">R87*1000</f>
        <v>237.82716049382717</v>
      </c>
      <c r="T87" s="33">
        <f t="shared" ref="T87" si="489">AVERAGE(S87:S92)</f>
        <v>243.07756473107585</v>
      </c>
      <c r="U87" s="34">
        <f t="shared" ref="U87" si="490">(_xlfn.STDEV.S(S87:S92)/SQRT(3))/T87</f>
        <v>3.042805029677954E-2</v>
      </c>
    </row>
    <row r="88" spans="1:21" x14ac:dyDescent="0.35">
      <c r="A88" s="37"/>
      <c r="B88" s="38"/>
      <c r="C88" s="2">
        <v>16.503</v>
      </c>
      <c r="D88" s="36"/>
      <c r="E88" s="42"/>
      <c r="F88" s="36"/>
      <c r="G88" s="36"/>
      <c r="H88" s="36"/>
      <c r="I88" s="33"/>
      <c r="J88" s="33"/>
      <c r="K88" s="34"/>
      <c r="L88" s="36"/>
      <c r="M88" s="2">
        <v>28.407</v>
      </c>
      <c r="N88" s="36"/>
      <c r="O88" s="42"/>
      <c r="P88" s="36"/>
      <c r="Q88" s="36"/>
      <c r="R88" s="36"/>
      <c r="S88" s="33"/>
      <c r="T88" s="33"/>
      <c r="U88" s="34"/>
    </row>
    <row r="89" spans="1:21" x14ac:dyDescent="0.35">
      <c r="A89" s="37">
        <v>44</v>
      </c>
      <c r="B89" s="38">
        <v>5.8650000000000002</v>
      </c>
      <c r="C89" s="2">
        <v>6.7385000000000002</v>
      </c>
      <c r="D89" s="36">
        <f t="shared" ref="D89" si="491">AVERAGE(C89:C90)</f>
        <v>6.96265</v>
      </c>
      <c r="E89" s="42">
        <f t="shared" ref="E89" si="492">_xlfn.STDEV.S(C89:C90)/SQRT(2)</f>
        <v>0.22414999999999985</v>
      </c>
      <c r="F89" s="36">
        <f t="shared" ref="F89" si="493">D89/1000</f>
        <v>6.9626499999999999E-3</v>
      </c>
      <c r="G89" s="36">
        <f t="shared" ref="G89" si="494">(F89*16*0.2)/(9600*0.6*0.01*10^-3)</f>
        <v>0.3868138888888889</v>
      </c>
      <c r="H89" s="36">
        <f>G89/B89</f>
        <v>6.5952922231694605E-2</v>
      </c>
      <c r="I89" s="33">
        <f t="shared" ref="I89" si="495">H89*1000</f>
        <v>65.9529222316946</v>
      </c>
      <c r="J89" s="33"/>
      <c r="K89" s="34"/>
      <c r="L89" s="36">
        <v>8.49</v>
      </c>
      <c r="M89" s="2">
        <v>16.728999999999999</v>
      </c>
      <c r="N89" s="36">
        <f t="shared" ref="N89" si="496">AVERAGE(M89:M90)</f>
        <v>17.859000000000002</v>
      </c>
      <c r="O89" s="42">
        <f t="shared" ref="O89" si="497">_xlfn.STDEV.S(M89:M90)/SQRT(2)</f>
        <v>1.1300000000000008</v>
      </c>
      <c r="P89" s="36">
        <f t="shared" ref="P89" si="498">N89/1000</f>
        <v>1.7859000000000003E-2</v>
      </c>
      <c r="Q89" s="36">
        <f t="shared" ref="Q89" si="499">(P89*32*0.2)/(9600*0.6*0.01*10^-3)</f>
        <v>1.9843333333333337</v>
      </c>
      <c r="R89" s="36">
        <f t="shared" ref="R89" si="500">Q89/L89</f>
        <v>0.23372595210051045</v>
      </c>
      <c r="S89" s="33">
        <f t="shared" ref="S89" si="501">R89*1000</f>
        <v>233.72595210051045</v>
      </c>
      <c r="T89" s="33"/>
      <c r="U89" s="34"/>
    </row>
    <row r="90" spans="1:21" x14ac:dyDescent="0.35">
      <c r="A90" s="37"/>
      <c r="B90" s="38"/>
      <c r="C90" s="2">
        <v>7.1867999999999999</v>
      </c>
      <c r="D90" s="36"/>
      <c r="E90" s="42"/>
      <c r="F90" s="36"/>
      <c r="G90" s="36"/>
      <c r="H90" s="36"/>
      <c r="I90" s="33"/>
      <c r="J90" s="33"/>
      <c r="K90" s="34"/>
      <c r="L90" s="36"/>
      <c r="M90" s="2">
        <v>18.989000000000001</v>
      </c>
      <c r="N90" s="36"/>
      <c r="O90" s="42"/>
      <c r="P90" s="36"/>
      <c r="Q90" s="36"/>
      <c r="R90" s="36"/>
      <c r="S90" s="33"/>
      <c r="T90" s="33"/>
      <c r="U90" s="34"/>
    </row>
    <row r="91" spans="1:21" x14ac:dyDescent="0.35">
      <c r="A91" s="37">
        <v>45</v>
      </c>
      <c r="B91" s="38">
        <v>6.3450000000000006</v>
      </c>
      <c r="C91" s="2">
        <v>9.7447999999999997</v>
      </c>
      <c r="D91" s="36">
        <f t="shared" ref="D91" si="502">AVERAGE(C91:C92)</f>
        <v>10.367899999999999</v>
      </c>
      <c r="E91" s="42">
        <f t="shared" ref="E91" si="503">_xlfn.STDEV.S(C91:C92)/SQRT(2)</f>
        <v>0.62309999999999988</v>
      </c>
      <c r="F91" s="36">
        <f t="shared" ref="F91" si="504">D91/1000</f>
        <v>1.0367899999999999E-2</v>
      </c>
      <c r="G91" s="36">
        <f t="shared" ref="G91" si="505">(F91*16*0.2)/(9600*0.6*0.01*10^-3)</f>
        <v>0.57599444444444436</v>
      </c>
      <c r="H91" s="36">
        <f>G91/B91</f>
        <v>9.0779266263899816E-2</v>
      </c>
      <c r="I91" s="33">
        <f t="shared" ref="I91" si="506">H91*1000</f>
        <v>90.779266263899814</v>
      </c>
      <c r="J91" s="33"/>
      <c r="K91" s="34"/>
      <c r="L91" s="36">
        <v>10.41</v>
      </c>
      <c r="M91" s="2">
        <v>20.954000000000001</v>
      </c>
      <c r="N91" s="36">
        <f t="shared" ref="N91" si="507">AVERAGE(M91:M92)</f>
        <v>24.141999999999999</v>
      </c>
      <c r="O91" s="42">
        <f t="shared" ref="O91" si="508">_xlfn.STDEV.S(M91:M92)/SQRT(2)</f>
        <v>3.1880000000000082</v>
      </c>
      <c r="P91" s="36">
        <f t="shared" ref="P91" si="509">N91/1000</f>
        <v>2.4142E-2</v>
      </c>
      <c r="Q91" s="36">
        <f t="shared" ref="Q91" si="510">(P91*32*0.2)/(9600*0.6*0.01*10^-3)</f>
        <v>2.6824444444444442</v>
      </c>
      <c r="R91" s="36">
        <f t="shared" ref="R91" si="511">Q91/L91</f>
        <v>0.25767958159888993</v>
      </c>
      <c r="S91" s="33">
        <f t="shared" ref="S91" si="512">R91*1000</f>
        <v>257.67958159888991</v>
      </c>
      <c r="T91" s="33"/>
      <c r="U91" s="34"/>
    </row>
    <row r="92" spans="1:21" x14ac:dyDescent="0.35">
      <c r="A92" s="37"/>
      <c r="B92" s="38"/>
      <c r="C92" s="2">
        <v>10.991</v>
      </c>
      <c r="D92" s="36"/>
      <c r="E92" s="42"/>
      <c r="F92" s="36"/>
      <c r="G92" s="36"/>
      <c r="H92" s="36"/>
      <c r="I92" s="33"/>
      <c r="J92" s="33"/>
      <c r="K92" s="34"/>
      <c r="L92" s="36"/>
      <c r="M92" s="2">
        <v>27.33</v>
      </c>
      <c r="N92" s="36"/>
      <c r="O92" s="42"/>
      <c r="P92" s="36"/>
      <c r="Q92" s="36"/>
      <c r="R92" s="36"/>
      <c r="S92" s="33"/>
      <c r="T92" s="33"/>
      <c r="U92" s="34"/>
    </row>
    <row r="93" spans="1:21" x14ac:dyDescent="0.35">
      <c r="A93" s="37">
        <v>46</v>
      </c>
      <c r="B93" s="38">
        <v>7.9949999999999992</v>
      </c>
      <c r="C93" s="2">
        <v>10.811</v>
      </c>
      <c r="D93" s="36">
        <f t="shared" ref="D93" si="513">AVERAGE(C93:C94)</f>
        <v>11.132</v>
      </c>
      <c r="E93" s="42">
        <f t="shared" ref="E93" si="514">_xlfn.STDEV.S(C93:C94)/SQRT(2)</f>
        <v>0.32099999999999973</v>
      </c>
      <c r="F93" s="36">
        <f t="shared" ref="F93" si="515">D93/1000</f>
        <v>1.1132E-2</v>
      </c>
      <c r="G93" s="36">
        <f t="shared" ref="G93" si="516">(F93*16*0.2)/(9600*0.6*0.01*10^-3)</f>
        <v>0.61844444444444435</v>
      </c>
      <c r="H93" s="36">
        <f>G93/B93</f>
        <v>7.7353901744145637E-2</v>
      </c>
      <c r="I93" s="33">
        <f t="shared" ref="I93" si="517">H93*1000</f>
        <v>77.353901744145631</v>
      </c>
      <c r="J93" s="33">
        <f t="shared" ref="J93" si="518">AVERAGE(I93:I98)</f>
        <v>91.263952347697469</v>
      </c>
      <c r="K93" s="34">
        <f t="shared" ref="K93" si="519">(_xlfn.STDEV.S(I93:I98)/SQRT(3))/J93</f>
        <v>9.4956257363699573E-2</v>
      </c>
      <c r="L93" s="36">
        <v>9.0150000000000006</v>
      </c>
      <c r="M93" s="2">
        <v>22.09</v>
      </c>
      <c r="N93" s="36">
        <f t="shared" ref="N93" si="520">AVERAGE(M93:M94)</f>
        <v>22.838000000000001</v>
      </c>
      <c r="O93" s="42">
        <f t="shared" ref="O93" si="521">_xlfn.STDEV.S(M93:M94)/SQRT(2)</f>
        <v>0.74799999999999933</v>
      </c>
      <c r="P93" s="36">
        <f t="shared" ref="P93" si="522">N93/1000</f>
        <v>2.2838000000000001E-2</v>
      </c>
      <c r="Q93" s="36">
        <f t="shared" ref="Q93" si="523">(P93*32*0.2)/(9600*0.6*0.01*10^-3)</f>
        <v>2.5375555555555556</v>
      </c>
      <c r="R93" s="36">
        <f t="shared" ref="R93" si="524">Q93/L93</f>
        <v>0.28148148148148144</v>
      </c>
      <c r="S93" s="43">
        <f t="shared" ref="S93" si="525">R93*1000</f>
        <v>281.48148148148147</v>
      </c>
      <c r="T93" s="33">
        <f>AVERAGE(S95:S98)</f>
        <v>481.93829793536543</v>
      </c>
      <c r="U93" s="34">
        <f>(_xlfn.STDEV.S(S95:S98)/SQRT(2))/T93</f>
        <v>6.2713810584937135E-2</v>
      </c>
    </row>
    <row r="94" spans="1:21" x14ac:dyDescent="0.35">
      <c r="A94" s="37"/>
      <c r="B94" s="38"/>
      <c r="C94" s="2">
        <v>11.452999999999999</v>
      </c>
      <c r="D94" s="36"/>
      <c r="E94" s="42"/>
      <c r="F94" s="36"/>
      <c r="G94" s="36"/>
      <c r="H94" s="36"/>
      <c r="I94" s="33"/>
      <c r="J94" s="33"/>
      <c r="K94" s="34"/>
      <c r="L94" s="36"/>
      <c r="M94" s="2">
        <v>23.585999999999999</v>
      </c>
      <c r="N94" s="36"/>
      <c r="O94" s="42"/>
      <c r="P94" s="36"/>
      <c r="Q94" s="36"/>
      <c r="R94" s="36"/>
      <c r="S94" s="43"/>
      <c r="T94" s="33"/>
      <c r="U94" s="34"/>
    </row>
    <row r="95" spans="1:21" x14ac:dyDescent="0.35">
      <c r="A95" s="37">
        <v>47</v>
      </c>
      <c r="B95" s="38">
        <v>6.0600000000000005</v>
      </c>
      <c r="C95" s="2">
        <v>10.582000000000001</v>
      </c>
      <c r="D95" s="36">
        <f t="shared" ref="D95" si="526">AVERAGE(C95:C96)</f>
        <v>11.6905</v>
      </c>
      <c r="E95" s="42">
        <f t="shared" ref="E95" si="527">_xlfn.STDEV.S(C95:C96)/SQRT(2)</f>
        <v>1.1084999999999994</v>
      </c>
      <c r="F95" s="36">
        <f t="shared" ref="F95" si="528">D95/1000</f>
        <v>1.16905E-2</v>
      </c>
      <c r="G95" s="36">
        <f t="shared" ref="G95" si="529">(F95*16*0.2)/(9600*0.6*0.01*10^-3)</f>
        <v>0.64947222222222223</v>
      </c>
      <c r="H95" s="36">
        <f>G95/B95</f>
        <v>0.10717363403006967</v>
      </c>
      <c r="I95" s="33">
        <f t="shared" ref="I95" si="530">H95*1000</f>
        <v>107.17363403006968</v>
      </c>
      <c r="J95" s="33"/>
      <c r="K95" s="34"/>
      <c r="L95" s="36">
        <v>7.26</v>
      </c>
      <c r="M95" s="2">
        <v>29.187999999999999</v>
      </c>
      <c r="N95" s="36">
        <f t="shared" ref="N95" si="531">AVERAGE(M95:M96)</f>
        <v>29.515000000000001</v>
      </c>
      <c r="O95" s="42">
        <f t="shared" ref="O95" si="532">_xlfn.STDEV.S(M95:M96)/SQRT(2)</f>
        <v>0.3269999999999999</v>
      </c>
      <c r="P95" s="36">
        <f t="shared" ref="P95" si="533">N95/1000</f>
        <v>2.9515E-2</v>
      </c>
      <c r="Q95" s="36">
        <f t="shared" ref="Q95" si="534">(P95*32*0.2)/(9600*0.6*0.01*10^-3)</f>
        <v>3.2794444444444442</v>
      </c>
      <c r="R95" s="36">
        <f t="shared" ref="R95" si="535">Q95/L95</f>
        <v>0.45171411080501989</v>
      </c>
      <c r="S95" s="33">
        <f t="shared" ref="S95" si="536">R95*1000</f>
        <v>451.71411080501991</v>
      </c>
      <c r="T95" s="33"/>
      <c r="U95" s="34"/>
    </row>
    <row r="96" spans="1:21" x14ac:dyDescent="0.35">
      <c r="A96" s="37"/>
      <c r="B96" s="38"/>
      <c r="C96" s="2">
        <v>12.798999999999999</v>
      </c>
      <c r="D96" s="36"/>
      <c r="E96" s="42"/>
      <c r="F96" s="36"/>
      <c r="G96" s="36"/>
      <c r="H96" s="36"/>
      <c r="I96" s="33"/>
      <c r="J96" s="33"/>
      <c r="K96" s="34"/>
      <c r="L96" s="36"/>
      <c r="M96" s="2">
        <v>29.841999999999999</v>
      </c>
      <c r="N96" s="36"/>
      <c r="O96" s="42"/>
      <c r="P96" s="36"/>
      <c r="Q96" s="36"/>
      <c r="R96" s="36"/>
      <c r="S96" s="33"/>
      <c r="T96" s="33"/>
      <c r="U96" s="34"/>
    </row>
    <row r="97" spans="1:21" x14ac:dyDescent="0.35">
      <c r="A97" s="37">
        <v>48</v>
      </c>
      <c r="B97" s="38">
        <v>6.585</v>
      </c>
      <c r="C97" s="2">
        <v>10.688000000000001</v>
      </c>
      <c r="D97" s="36">
        <f t="shared" ref="D97" si="537">AVERAGE(C97:C98)</f>
        <v>10.580500000000001</v>
      </c>
      <c r="E97" s="42">
        <f t="shared" ref="E97" si="538">_xlfn.STDEV.S(C97:C98)/SQRT(2)</f>
        <v>0.10749999999999993</v>
      </c>
      <c r="F97" s="36">
        <f t="shared" ref="F97" si="539">D97/1000</f>
        <v>1.0580500000000001E-2</v>
      </c>
      <c r="G97" s="36">
        <f t="shared" ref="G97" si="540">(F97*16*0.2)/(9600*0.6*0.01*10^-3)</f>
        <v>0.58780555555555569</v>
      </c>
      <c r="H97" s="36">
        <f>G97/B97</f>
        <v>8.9264321268877095E-2</v>
      </c>
      <c r="I97" s="33">
        <f t="shared" ref="I97" si="541">H97*1000</f>
        <v>89.264321268877097</v>
      </c>
      <c r="J97" s="33"/>
      <c r="K97" s="34"/>
      <c r="L97" s="36">
        <v>6.9750000000000005</v>
      </c>
      <c r="M97" s="2">
        <v>31.712</v>
      </c>
      <c r="N97" s="36">
        <f t="shared" ref="N97" si="542">AVERAGE(M97:M98)</f>
        <v>32.151000000000003</v>
      </c>
      <c r="O97" s="42">
        <f t="shared" ref="O97" si="543">_xlfn.STDEV.S(M97:M98)/SQRT(2)</f>
        <v>0.43900000000000183</v>
      </c>
      <c r="P97" s="36">
        <f t="shared" ref="P97" si="544">N97/1000</f>
        <v>3.2151000000000006E-2</v>
      </c>
      <c r="Q97" s="36">
        <f t="shared" ref="Q97" si="545">(P97*32*0.2)/(9600*0.6*0.01*10^-3)</f>
        <v>3.5723333333333338</v>
      </c>
      <c r="R97" s="36">
        <f t="shared" ref="R97" si="546">Q97/L97</f>
        <v>0.51216248506571094</v>
      </c>
      <c r="S97" s="33">
        <f t="shared" ref="S97" si="547">R97*1000</f>
        <v>512.16248506571094</v>
      </c>
      <c r="T97" s="33"/>
      <c r="U97" s="34"/>
    </row>
    <row r="98" spans="1:21" x14ac:dyDescent="0.35">
      <c r="A98" s="37"/>
      <c r="B98" s="38"/>
      <c r="C98" s="2">
        <v>10.473000000000001</v>
      </c>
      <c r="D98" s="36"/>
      <c r="E98" s="42"/>
      <c r="F98" s="36"/>
      <c r="G98" s="36"/>
      <c r="H98" s="36"/>
      <c r="I98" s="33"/>
      <c r="J98" s="33"/>
      <c r="K98" s="34"/>
      <c r="L98" s="36"/>
      <c r="M98" s="2">
        <v>32.590000000000003</v>
      </c>
      <c r="N98" s="36"/>
      <c r="O98" s="42"/>
      <c r="P98" s="36"/>
      <c r="Q98" s="36"/>
      <c r="R98" s="36"/>
      <c r="S98" s="33"/>
      <c r="T98" s="33"/>
      <c r="U98" s="34"/>
    </row>
    <row r="99" spans="1:21" x14ac:dyDescent="0.35">
      <c r="A99" s="37">
        <v>49</v>
      </c>
      <c r="B99" s="38">
        <v>7.1849999999999996</v>
      </c>
      <c r="C99" s="2">
        <v>18.475999999999999</v>
      </c>
      <c r="D99" s="36">
        <f>AVERAGE(C99:C100)</f>
        <v>18.107999999999997</v>
      </c>
      <c r="E99" s="42">
        <f t="shared" ref="E99" si="548">_xlfn.STDEV.S(C99:C100)/SQRT(2)</f>
        <v>0.36800000000000033</v>
      </c>
      <c r="F99" s="36">
        <f t="shared" ref="F99" si="549">D99/1000</f>
        <v>1.8107999999999996E-2</v>
      </c>
      <c r="G99" s="36">
        <f t="shared" ref="G99" si="550">(F99*16*0.2)/(9600*0.6*0.01*10^-3)</f>
        <v>1.0059999999999996</v>
      </c>
      <c r="H99" s="36">
        <f>G99/B99</f>
        <v>0.1400139178844815</v>
      </c>
      <c r="I99" s="33">
        <f t="shared" ref="I99" si="551">H99*1000</f>
        <v>140.01391788448151</v>
      </c>
      <c r="J99" s="33">
        <f t="shared" ref="J99" si="552">AVERAGE(I99:I104)</f>
        <v>114.1273632239123</v>
      </c>
      <c r="K99" s="34">
        <f t="shared" ref="K99" si="553">(_xlfn.STDEV.S(I99:I104)/SQRT(3))/J99</f>
        <v>0.11458950067606426</v>
      </c>
      <c r="L99" s="36">
        <v>7.7925000000000013</v>
      </c>
      <c r="M99" s="2">
        <v>15.396000000000001</v>
      </c>
      <c r="N99" s="36">
        <f>AVERAGE(M99:M100)</f>
        <v>15.237500000000001</v>
      </c>
      <c r="O99" s="42">
        <f t="shared" ref="O99" si="554">_xlfn.STDEV.S(M99:M100)/SQRT(2)</f>
        <v>0.15850000000000009</v>
      </c>
      <c r="P99" s="36">
        <f t="shared" ref="P99" si="555">N99/1000</f>
        <v>1.5237500000000001E-2</v>
      </c>
      <c r="Q99" s="36">
        <f t="shared" ref="Q99" si="556">(P99*32*0.2)/(9600*0.6*0.01*10^-3)</f>
        <v>1.6930555555555555</v>
      </c>
      <c r="R99" s="36">
        <f t="shared" ref="R99" si="557">Q99/L99</f>
        <v>0.21726731543863398</v>
      </c>
      <c r="S99" s="33">
        <f t="shared" ref="S99" si="558">R99*1000</f>
        <v>217.26731543863397</v>
      </c>
      <c r="T99" s="33">
        <f t="shared" ref="T99" si="559">AVERAGE(S99:S104)</f>
        <v>181.54222553432257</v>
      </c>
      <c r="U99" s="34">
        <f t="shared" ref="U99" si="560">(_xlfn.STDEV.S(S99:S104)/SQRT(3))/T99</f>
        <v>9.9175744817055128E-2</v>
      </c>
    </row>
    <row r="100" spans="1:21" x14ac:dyDescent="0.35">
      <c r="A100" s="37"/>
      <c r="B100" s="38"/>
      <c r="C100" s="2">
        <v>17.739999999999998</v>
      </c>
      <c r="D100" s="36"/>
      <c r="E100" s="42"/>
      <c r="F100" s="36"/>
      <c r="G100" s="36"/>
      <c r="H100" s="36"/>
      <c r="I100" s="33"/>
      <c r="J100" s="33"/>
      <c r="K100" s="34"/>
      <c r="L100" s="36"/>
      <c r="M100" s="2">
        <v>15.079000000000001</v>
      </c>
      <c r="N100" s="36"/>
      <c r="O100" s="42"/>
      <c r="P100" s="36"/>
      <c r="Q100" s="36"/>
      <c r="R100" s="36"/>
      <c r="S100" s="33"/>
      <c r="T100" s="33"/>
      <c r="U100" s="34"/>
    </row>
    <row r="101" spans="1:21" x14ac:dyDescent="0.35">
      <c r="A101" s="37">
        <v>50</v>
      </c>
      <c r="B101" s="38">
        <v>4.9050000000000002</v>
      </c>
      <c r="C101" s="2">
        <v>8.5393000000000008</v>
      </c>
      <c r="D101" s="36">
        <f>AVERAGE(C101:C102)</f>
        <v>9.2196500000000015</v>
      </c>
      <c r="E101" s="42">
        <f t="shared" ref="E101" si="561">_xlfn.STDEV.S(C101:C102)/SQRT(2)</f>
        <v>0.68034999999999979</v>
      </c>
      <c r="F101" s="36">
        <f t="shared" ref="F101" si="562">D101/1000</f>
        <v>9.2196500000000011E-3</v>
      </c>
      <c r="G101" s="36">
        <f t="shared" ref="G101" si="563">(F101*16*0.2)/(9600*0.6*0.01*10^-3)</f>
        <v>0.51220277777777778</v>
      </c>
      <c r="H101" s="36">
        <f>G101/B101</f>
        <v>0.10442462340015857</v>
      </c>
      <c r="I101" s="33">
        <f t="shared" ref="I101" si="564">H101*1000</f>
        <v>104.42462340015857</v>
      </c>
      <c r="J101" s="33"/>
      <c r="K101" s="34"/>
      <c r="L101" s="36">
        <v>7.8825000000000012</v>
      </c>
      <c r="M101" s="2">
        <v>11.237</v>
      </c>
      <c r="N101" s="36">
        <f>AVERAGE(M101:M102)</f>
        <v>11.3345</v>
      </c>
      <c r="O101" s="42">
        <f t="shared" ref="O101" si="565">_xlfn.STDEV.S(M101:M102)/SQRT(2)</f>
        <v>9.7500000000000142E-2</v>
      </c>
      <c r="P101" s="36">
        <f t="shared" ref="P101" si="566">N101/1000</f>
        <v>1.1334500000000001E-2</v>
      </c>
      <c r="Q101" s="36">
        <f t="shared" ref="Q101" si="567">(P101*32*0.2)/(9600*0.6*0.01*10^-3)</f>
        <v>1.2593888888888889</v>
      </c>
      <c r="R101" s="36">
        <f t="shared" ref="R101" si="568">Q101/L101</f>
        <v>0.15977023645910418</v>
      </c>
      <c r="S101" s="33">
        <f t="shared" ref="S101" si="569">R101*1000</f>
        <v>159.77023645910418</v>
      </c>
      <c r="T101" s="33"/>
      <c r="U101" s="34"/>
    </row>
    <row r="102" spans="1:21" x14ac:dyDescent="0.35">
      <c r="A102" s="37"/>
      <c r="B102" s="38"/>
      <c r="C102" s="2">
        <v>9.9</v>
      </c>
      <c r="D102" s="36"/>
      <c r="E102" s="42"/>
      <c r="F102" s="36"/>
      <c r="G102" s="36"/>
      <c r="H102" s="36"/>
      <c r="I102" s="33"/>
      <c r="J102" s="33"/>
      <c r="K102" s="34"/>
      <c r="L102" s="36"/>
      <c r="M102" s="2">
        <v>11.432</v>
      </c>
      <c r="N102" s="36"/>
      <c r="O102" s="42"/>
      <c r="P102" s="36"/>
      <c r="Q102" s="36"/>
      <c r="R102" s="36"/>
      <c r="S102" s="33"/>
      <c r="T102" s="33"/>
      <c r="U102" s="34"/>
    </row>
    <row r="103" spans="1:21" x14ac:dyDescent="0.35">
      <c r="A103" s="37">
        <v>51</v>
      </c>
      <c r="B103" s="38">
        <v>5.58</v>
      </c>
      <c r="C103" s="2">
        <v>9.6529000000000007</v>
      </c>
      <c r="D103" s="36">
        <f>AVERAGE(C103:C104)</f>
        <v>9.8374500000000005</v>
      </c>
      <c r="E103" s="42">
        <f t="shared" ref="E103" si="570">_xlfn.STDEV.S(C103:C104)/SQRT(2)</f>
        <v>0.18454999999999974</v>
      </c>
      <c r="F103" s="36">
        <f t="shared" ref="F103" si="571">D103/1000</f>
        <v>9.8374500000000011E-3</v>
      </c>
      <c r="G103" s="36">
        <f t="shared" ref="G103" si="572">(F103*16*0.2)/(9600*0.6*0.01*10^-3)</f>
        <v>0.54652500000000004</v>
      </c>
      <c r="H103" s="36">
        <f>G103/B103</f>
        <v>9.7943548387096777E-2</v>
      </c>
      <c r="I103" s="33">
        <f t="shared" ref="I103" si="573">H103*1000</f>
        <v>97.943548387096783</v>
      </c>
      <c r="J103" s="33"/>
      <c r="K103" s="34"/>
      <c r="L103" s="38">
        <v>8.01</v>
      </c>
      <c r="M103" s="2">
        <v>11.488</v>
      </c>
      <c r="N103" s="36">
        <f>AVERAGE(M103:M104)</f>
        <v>12.0815</v>
      </c>
      <c r="O103" s="42">
        <f t="shared" ref="O103" si="574">_xlfn.STDEV.S(M103:M104)/SQRT(2)</f>
        <v>0.59350000000000058</v>
      </c>
      <c r="P103" s="36">
        <f t="shared" ref="P103" si="575">N103/1000</f>
        <v>1.20815E-2</v>
      </c>
      <c r="Q103" s="36">
        <f t="shared" ref="Q103" si="576">(P103*32*0.2)/(9600*0.6*0.01*10^-3)</f>
        <v>1.3423888888888889</v>
      </c>
      <c r="R103" s="36">
        <f t="shared" ref="R103" si="577">Q103/L103</f>
        <v>0.16758912470522958</v>
      </c>
      <c r="S103" s="33">
        <f t="shared" ref="S103" si="578">R103*1000</f>
        <v>167.58912470522958</v>
      </c>
      <c r="T103" s="33"/>
      <c r="U103" s="34"/>
    </row>
    <row r="104" spans="1:21" x14ac:dyDescent="0.35">
      <c r="A104" s="37"/>
      <c r="B104" s="38"/>
      <c r="C104" s="2">
        <v>10.022</v>
      </c>
      <c r="D104" s="36"/>
      <c r="E104" s="42"/>
      <c r="F104" s="36"/>
      <c r="G104" s="36"/>
      <c r="H104" s="36"/>
      <c r="I104" s="33"/>
      <c r="J104" s="33"/>
      <c r="K104" s="34"/>
      <c r="L104" s="38"/>
      <c r="M104" s="2">
        <v>12.675000000000001</v>
      </c>
      <c r="N104" s="36"/>
      <c r="O104" s="42"/>
      <c r="P104" s="36"/>
      <c r="Q104" s="36"/>
      <c r="R104" s="36"/>
      <c r="S104" s="33"/>
      <c r="T104" s="33"/>
      <c r="U104" s="34"/>
    </row>
  </sheetData>
  <mergeCells count="827">
    <mergeCell ref="E3:E4"/>
    <mergeCell ref="G3:G4"/>
    <mergeCell ref="H3:H4"/>
    <mergeCell ref="O5:O6"/>
    <mergeCell ref="O9:O10"/>
    <mergeCell ref="Q9:Q10"/>
    <mergeCell ref="R9:R10"/>
    <mergeCell ref="J3:J12"/>
    <mergeCell ref="S3:S4"/>
    <mergeCell ref="I3:I4"/>
    <mergeCell ref="L3:L4"/>
    <mergeCell ref="N3:N4"/>
    <mergeCell ref="O3:O4"/>
    <mergeCell ref="Q3:Q4"/>
    <mergeCell ref="R3:R4"/>
    <mergeCell ref="P3:P4"/>
    <mergeCell ref="E11:E12"/>
    <mergeCell ref="G11:G12"/>
    <mergeCell ref="H11:H12"/>
    <mergeCell ref="S11:S12"/>
    <mergeCell ref="I11:I12"/>
    <mergeCell ref="L11:L12"/>
    <mergeCell ref="N11:N12"/>
    <mergeCell ref="O11:O12"/>
    <mergeCell ref="A5:A6"/>
    <mergeCell ref="B5:B6"/>
    <mergeCell ref="D5:D6"/>
    <mergeCell ref="E5:E6"/>
    <mergeCell ref="G5:G6"/>
    <mergeCell ref="H5:H6"/>
    <mergeCell ref="I5:I6"/>
    <mergeCell ref="L5:L6"/>
    <mergeCell ref="N5:N6"/>
    <mergeCell ref="A3:A4"/>
    <mergeCell ref="B3:B4"/>
    <mergeCell ref="D3:D4"/>
    <mergeCell ref="Q5:Q6"/>
    <mergeCell ref="R5:R6"/>
    <mergeCell ref="S5:S6"/>
    <mergeCell ref="A7:A8"/>
    <mergeCell ref="B7:B8"/>
    <mergeCell ref="D7:D8"/>
    <mergeCell ref="E7:E8"/>
    <mergeCell ref="G7:G8"/>
    <mergeCell ref="H7:H8"/>
    <mergeCell ref="S7:S8"/>
    <mergeCell ref="I7:I8"/>
    <mergeCell ref="L7:L8"/>
    <mergeCell ref="N7:N8"/>
    <mergeCell ref="O7:O8"/>
    <mergeCell ref="Q7:Q8"/>
    <mergeCell ref="R7:R8"/>
    <mergeCell ref="K3:K12"/>
    <mergeCell ref="S9:S10"/>
    <mergeCell ref="A11:A12"/>
    <mergeCell ref="B11:B12"/>
    <mergeCell ref="D11:D12"/>
    <mergeCell ref="Q11:Q12"/>
    <mergeCell ref="R11:R12"/>
    <mergeCell ref="A9:A10"/>
    <mergeCell ref="B9:B10"/>
    <mergeCell ref="D9:D10"/>
    <mergeCell ref="E9:E10"/>
    <mergeCell ref="G9:G10"/>
    <mergeCell ref="H9:H10"/>
    <mergeCell ref="I9:I10"/>
    <mergeCell ref="L9:L10"/>
    <mergeCell ref="N9:N10"/>
    <mergeCell ref="F9:F10"/>
    <mergeCell ref="F11:F12"/>
    <mergeCell ref="S13:S14"/>
    <mergeCell ref="A15:A16"/>
    <mergeCell ref="B15:B16"/>
    <mergeCell ref="D15:D16"/>
    <mergeCell ref="E15:E16"/>
    <mergeCell ref="G15:G16"/>
    <mergeCell ref="H15:H16"/>
    <mergeCell ref="S15:S16"/>
    <mergeCell ref="I15:I16"/>
    <mergeCell ref="L15:L16"/>
    <mergeCell ref="N15:N16"/>
    <mergeCell ref="O15:O16"/>
    <mergeCell ref="Q15:Q16"/>
    <mergeCell ref="R15:R16"/>
    <mergeCell ref="A13:A14"/>
    <mergeCell ref="B13:B14"/>
    <mergeCell ref="D13:D14"/>
    <mergeCell ref="E13:E14"/>
    <mergeCell ref="G13:G14"/>
    <mergeCell ref="H13:H14"/>
    <mergeCell ref="I13:I14"/>
    <mergeCell ref="L13:L14"/>
    <mergeCell ref="N13:N14"/>
    <mergeCell ref="F13:F14"/>
    <mergeCell ref="S17:S18"/>
    <mergeCell ref="A19:A20"/>
    <mergeCell ref="B19:B20"/>
    <mergeCell ref="D19:D20"/>
    <mergeCell ref="E19:E20"/>
    <mergeCell ref="G19:G20"/>
    <mergeCell ref="H19:H20"/>
    <mergeCell ref="S19:S20"/>
    <mergeCell ref="I19:I20"/>
    <mergeCell ref="L19:L20"/>
    <mergeCell ref="N19:N20"/>
    <mergeCell ref="O19:O20"/>
    <mergeCell ref="Q19:Q20"/>
    <mergeCell ref="R19:R20"/>
    <mergeCell ref="P17:P18"/>
    <mergeCell ref="P19:P20"/>
    <mergeCell ref="A17:A18"/>
    <mergeCell ref="B17:B18"/>
    <mergeCell ref="D17:D18"/>
    <mergeCell ref="E17:E18"/>
    <mergeCell ref="G17:G18"/>
    <mergeCell ref="H17:H18"/>
    <mergeCell ref="I17:I18"/>
    <mergeCell ref="L17:L18"/>
    <mergeCell ref="S21:S22"/>
    <mergeCell ref="A23:A24"/>
    <mergeCell ref="B23:B24"/>
    <mergeCell ref="D23:D24"/>
    <mergeCell ref="E23:E24"/>
    <mergeCell ref="G23:G24"/>
    <mergeCell ref="H23:H24"/>
    <mergeCell ref="S23:S24"/>
    <mergeCell ref="I23:I24"/>
    <mergeCell ref="L23:L24"/>
    <mergeCell ref="N23:N24"/>
    <mergeCell ref="O23:O24"/>
    <mergeCell ref="Q23:Q24"/>
    <mergeCell ref="R23:R24"/>
    <mergeCell ref="F21:F22"/>
    <mergeCell ref="F23:F24"/>
    <mergeCell ref="P21:P22"/>
    <mergeCell ref="P23:P24"/>
    <mergeCell ref="A21:A22"/>
    <mergeCell ref="B21:B22"/>
    <mergeCell ref="D21:D22"/>
    <mergeCell ref="E21:E22"/>
    <mergeCell ref="G21:G22"/>
    <mergeCell ref="H21:H22"/>
    <mergeCell ref="O21:O22"/>
    <mergeCell ref="Q21:Q22"/>
    <mergeCell ref="R21:R22"/>
    <mergeCell ref="I21:I22"/>
    <mergeCell ref="L21:L22"/>
    <mergeCell ref="N21:N22"/>
    <mergeCell ref="O25:O26"/>
    <mergeCell ref="Q25:Q26"/>
    <mergeCell ref="R25:R26"/>
    <mergeCell ref="J13:J22"/>
    <mergeCell ref="K13:K22"/>
    <mergeCell ref="O17:O18"/>
    <mergeCell ref="Q17:Q18"/>
    <mergeCell ref="R17:R18"/>
    <mergeCell ref="N17:N18"/>
    <mergeCell ref="O13:O14"/>
    <mergeCell ref="Q13:Q14"/>
    <mergeCell ref="R13:R14"/>
    <mergeCell ref="A25:A26"/>
    <mergeCell ref="B25:B26"/>
    <mergeCell ref="D25:D26"/>
    <mergeCell ref="E25:E26"/>
    <mergeCell ref="G25:G26"/>
    <mergeCell ref="H25:H26"/>
    <mergeCell ref="I25:I26"/>
    <mergeCell ref="L25:L26"/>
    <mergeCell ref="N25:N26"/>
    <mergeCell ref="A27:A28"/>
    <mergeCell ref="B27:B28"/>
    <mergeCell ref="D27:D28"/>
    <mergeCell ref="E27:E28"/>
    <mergeCell ref="G27:G28"/>
    <mergeCell ref="H27:H28"/>
    <mergeCell ref="S27:S28"/>
    <mergeCell ref="I27:I28"/>
    <mergeCell ref="L27:L28"/>
    <mergeCell ref="N27:N28"/>
    <mergeCell ref="O27:O28"/>
    <mergeCell ref="Q27:Q28"/>
    <mergeCell ref="R27:R28"/>
    <mergeCell ref="F27:F28"/>
    <mergeCell ref="P27:P28"/>
    <mergeCell ref="E29:E30"/>
    <mergeCell ref="G29:G30"/>
    <mergeCell ref="H29:H30"/>
    <mergeCell ref="I29:I30"/>
    <mergeCell ref="L29:L30"/>
    <mergeCell ref="N29:N30"/>
    <mergeCell ref="J23:J32"/>
    <mergeCell ref="K23:K32"/>
    <mergeCell ref="S25:S26"/>
    <mergeCell ref="F25:F26"/>
    <mergeCell ref="P25:P26"/>
    <mergeCell ref="O29:O30"/>
    <mergeCell ref="Q29:Q30"/>
    <mergeCell ref="R29:R30"/>
    <mergeCell ref="S29:S30"/>
    <mergeCell ref="F29:F30"/>
    <mergeCell ref="P29:P30"/>
    <mergeCell ref="A31:A32"/>
    <mergeCell ref="B31:B32"/>
    <mergeCell ref="D31:D32"/>
    <mergeCell ref="E31:E32"/>
    <mergeCell ref="G31:G32"/>
    <mergeCell ref="H31:H32"/>
    <mergeCell ref="S31:S32"/>
    <mergeCell ref="I31:I32"/>
    <mergeCell ref="L31:L32"/>
    <mergeCell ref="N31:N32"/>
    <mergeCell ref="O31:O32"/>
    <mergeCell ref="Q31:Q32"/>
    <mergeCell ref="R31:R32"/>
    <mergeCell ref="F31:F32"/>
    <mergeCell ref="P31:P32"/>
    <mergeCell ref="A29:A30"/>
    <mergeCell ref="B29:B30"/>
    <mergeCell ref="D29:D30"/>
    <mergeCell ref="S33:S34"/>
    <mergeCell ref="A35:A36"/>
    <mergeCell ref="B35:B36"/>
    <mergeCell ref="D35:D36"/>
    <mergeCell ref="E35:E36"/>
    <mergeCell ref="G35:G36"/>
    <mergeCell ref="H35:H36"/>
    <mergeCell ref="S35:S36"/>
    <mergeCell ref="I35:I36"/>
    <mergeCell ref="L35:L36"/>
    <mergeCell ref="N35:N36"/>
    <mergeCell ref="O35:O36"/>
    <mergeCell ref="Q35:Q36"/>
    <mergeCell ref="R35:R36"/>
    <mergeCell ref="P33:P34"/>
    <mergeCell ref="P35:P36"/>
    <mergeCell ref="A33:A34"/>
    <mergeCell ref="B33:B34"/>
    <mergeCell ref="D33:D34"/>
    <mergeCell ref="E33:E34"/>
    <mergeCell ref="G33:G34"/>
    <mergeCell ref="S37:S38"/>
    <mergeCell ref="A39:A40"/>
    <mergeCell ref="B39:B40"/>
    <mergeCell ref="D39:D40"/>
    <mergeCell ref="E39:E40"/>
    <mergeCell ref="G39:G40"/>
    <mergeCell ref="H39:H40"/>
    <mergeCell ref="S39:S40"/>
    <mergeCell ref="I39:I40"/>
    <mergeCell ref="L39:L40"/>
    <mergeCell ref="N39:N40"/>
    <mergeCell ref="O39:O40"/>
    <mergeCell ref="Q39:Q40"/>
    <mergeCell ref="R39:R40"/>
    <mergeCell ref="F39:F40"/>
    <mergeCell ref="P37:P38"/>
    <mergeCell ref="P39:P40"/>
    <mergeCell ref="A37:A38"/>
    <mergeCell ref="B37:B38"/>
    <mergeCell ref="D37:D38"/>
    <mergeCell ref="E37:E38"/>
    <mergeCell ref="G37:G38"/>
    <mergeCell ref="H37:H38"/>
    <mergeCell ref="I37:I38"/>
    <mergeCell ref="I41:I42"/>
    <mergeCell ref="L41:L42"/>
    <mergeCell ref="N41:N42"/>
    <mergeCell ref="O37:O38"/>
    <mergeCell ref="Q37:Q38"/>
    <mergeCell ref="R37:R38"/>
    <mergeCell ref="L37:L38"/>
    <mergeCell ref="N37:N38"/>
    <mergeCell ref="O41:O42"/>
    <mergeCell ref="Q41:Q42"/>
    <mergeCell ref="R41:R42"/>
    <mergeCell ref="J33:J38"/>
    <mergeCell ref="K33:K38"/>
    <mergeCell ref="J39:J44"/>
    <mergeCell ref="K39:K44"/>
    <mergeCell ref="O33:O34"/>
    <mergeCell ref="Q33:Q34"/>
    <mergeCell ref="R33:R34"/>
    <mergeCell ref="N33:N34"/>
    <mergeCell ref="L33:L34"/>
    <mergeCell ref="H33:H34"/>
    <mergeCell ref="I33:I34"/>
    <mergeCell ref="S41:S42"/>
    <mergeCell ref="A43:A44"/>
    <mergeCell ref="B43:B44"/>
    <mergeCell ref="D43:D44"/>
    <mergeCell ref="E43:E44"/>
    <mergeCell ref="G43:G44"/>
    <mergeCell ref="H43:H44"/>
    <mergeCell ref="S43:S44"/>
    <mergeCell ref="I43:I44"/>
    <mergeCell ref="L43:L44"/>
    <mergeCell ref="N43:N44"/>
    <mergeCell ref="O43:O44"/>
    <mergeCell ref="Q43:Q44"/>
    <mergeCell ref="R43:R44"/>
    <mergeCell ref="F41:F42"/>
    <mergeCell ref="F43:F44"/>
    <mergeCell ref="P41:P42"/>
    <mergeCell ref="P43:P44"/>
    <mergeCell ref="A41:A42"/>
    <mergeCell ref="B41:B42"/>
    <mergeCell ref="D41:D42"/>
    <mergeCell ref="E41:E42"/>
    <mergeCell ref="G41:G42"/>
    <mergeCell ref="H41:H42"/>
    <mergeCell ref="R45:R46"/>
    <mergeCell ref="S45:S46"/>
    <mergeCell ref="A47:A48"/>
    <mergeCell ref="B47:B48"/>
    <mergeCell ref="D47:D48"/>
    <mergeCell ref="E47:E48"/>
    <mergeCell ref="G47:G48"/>
    <mergeCell ref="H47:H48"/>
    <mergeCell ref="S47:S48"/>
    <mergeCell ref="I47:I48"/>
    <mergeCell ref="L47:L48"/>
    <mergeCell ref="N47:N48"/>
    <mergeCell ref="O47:O48"/>
    <mergeCell ref="Q47:Q48"/>
    <mergeCell ref="R47:R48"/>
    <mergeCell ref="F45:F46"/>
    <mergeCell ref="F47:F48"/>
    <mergeCell ref="P45:P46"/>
    <mergeCell ref="P47:P48"/>
    <mergeCell ref="A45:A46"/>
    <mergeCell ref="B45:B46"/>
    <mergeCell ref="D45:D46"/>
    <mergeCell ref="E45:E46"/>
    <mergeCell ref="G45:G46"/>
    <mergeCell ref="D49:D50"/>
    <mergeCell ref="E49:E50"/>
    <mergeCell ref="G49:G50"/>
    <mergeCell ref="H49:H50"/>
    <mergeCell ref="I49:I50"/>
    <mergeCell ref="L49:L50"/>
    <mergeCell ref="N49:N50"/>
    <mergeCell ref="O45:O46"/>
    <mergeCell ref="Q45:Q46"/>
    <mergeCell ref="H45:H46"/>
    <mergeCell ref="I45:I46"/>
    <mergeCell ref="L45:L46"/>
    <mergeCell ref="N45:N46"/>
    <mergeCell ref="J45:J50"/>
    <mergeCell ref="K45:K50"/>
    <mergeCell ref="L53:L54"/>
    <mergeCell ref="N53:N54"/>
    <mergeCell ref="O49:O50"/>
    <mergeCell ref="Q49:Q50"/>
    <mergeCell ref="O53:O54"/>
    <mergeCell ref="Q53:Q54"/>
    <mergeCell ref="R49:R50"/>
    <mergeCell ref="S49:S50"/>
    <mergeCell ref="A51:A52"/>
    <mergeCell ref="B51:B52"/>
    <mergeCell ref="D51:D52"/>
    <mergeCell ref="E51:E52"/>
    <mergeCell ref="G51:G52"/>
    <mergeCell ref="H51:H52"/>
    <mergeCell ref="S51:S52"/>
    <mergeCell ref="I51:I52"/>
    <mergeCell ref="L51:L52"/>
    <mergeCell ref="N51:N52"/>
    <mergeCell ref="O51:O52"/>
    <mergeCell ref="Q51:Q52"/>
    <mergeCell ref="R51:R52"/>
    <mergeCell ref="F49:F50"/>
    <mergeCell ref="P49:P50"/>
    <mergeCell ref="P51:P52"/>
    <mergeCell ref="A49:A50"/>
    <mergeCell ref="B49:B50"/>
    <mergeCell ref="R53:R54"/>
    <mergeCell ref="S53:S54"/>
    <mergeCell ref="A55:A56"/>
    <mergeCell ref="B55:B56"/>
    <mergeCell ref="D55:D56"/>
    <mergeCell ref="E55:E56"/>
    <mergeCell ref="G55:G56"/>
    <mergeCell ref="H55:H56"/>
    <mergeCell ref="S55:S56"/>
    <mergeCell ref="I55:I56"/>
    <mergeCell ref="L55:L56"/>
    <mergeCell ref="N55:N56"/>
    <mergeCell ref="O55:O56"/>
    <mergeCell ref="Q55:Q56"/>
    <mergeCell ref="R55:R56"/>
    <mergeCell ref="A53:A54"/>
    <mergeCell ref="B53:B54"/>
    <mergeCell ref="D53:D54"/>
    <mergeCell ref="E53:E54"/>
    <mergeCell ref="G53:G54"/>
    <mergeCell ref="H53:H54"/>
    <mergeCell ref="I53:I54"/>
    <mergeCell ref="J51:J56"/>
    <mergeCell ref="K51:K56"/>
    <mergeCell ref="S57:S58"/>
    <mergeCell ref="A59:A60"/>
    <mergeCell ref="B59:B60"/>
    <mergeCell ref="D59:D60"/>
    <mergeCell ref="E59:E60"/>
    <mergeCell ref="G59:G60"/>
    <mergeCell ref="H59:H60"/>
    <mergeCell ref="S59:S60"/>
    <mergeCell ref="I59:I60"/>
    <mergeCell ref="L59:L60"/>
    <mergeCell ref="N59:N60"/>
    <mergeCell ref="O59:O60"/>
    <mergeCell ref="Q59:Q60"/>
    <mergeCell ref="R59:R60"/>
    <mergeCell ref="F59:F60"/>
    <mergeCell ref="P57:P58"/>
    <mergeCell ref="P59:P60"/>
    <mergeCell ref="A57:A58"/>
    <mergeCell ref="B57:B58"/>
    <mergeCell ref="D57:D58"/>
    <mergeCell ref="E57:E58"/>
    <mergeCell ref="G57:G58"/>
    <mergeCell ref="H57:H58"/>
    <mergeCell ref="I57:I58"/>
    <mergeCell ref="I61:I62"/>
    <mergeCell ref="L61:L62"/>
    <mergeCell ref="N61:N62"/>
    <mergeCell ref="O57:O58"/>
    <mergeCell ref="Q57:Q58"/>
    <mergeCell ref="R57:R58"/>
    <mergeCell ref="L57:L58"/>
    <mergeCell ref="N57:N58"/>
    <mergeCell ref="O61:O62"/>
    <mergeCell ref="Q61:Q62"/>
    <mergeCell ref="R61:R62"/>
    <mergeCell ref="J57:J62"/>
    <mergeCell ref="K57:K62"/>
    <mergeCell ref="S61:S62"/>
    <mergeCell ref="A63:A64"/>
    <mergeCell ref="B63:B64"/>
    <mergeCell ref="D63:D64"/>
    <mergeCell ref="E63:E64"/>
    <mergeCell ref="G63:G64"/>
    <mergeCell ref="H63:H64"/>
    <mergeCell ref="S63:S64"/>
    <mergeCell ref="I63:I64"/>
    <mergeCell ref="L63:L64"/>
    <mergeCell ref="N63:N64"/>
    <mergeCell ref="O63:O64"/>
    <mergeCell ref="Q63:Q64"/>
    <mergeCell ref="R63:R64"/>
    <mergeCell ref="F61:F62"/>
    <mergeCell ref="F63:F64"/>
    <mergeCell ref="P61:P62"/>
    <mergeCell ref="P63:P64"/>
    <mergeCell ref="A61:A62"/>
    <mergeCell ref="B61:B62"/>
    <mergeCell ref="D61:D62"/>
    <mergeCell ref="E61:E62"/>
    <mergeCell ref="G61:G62"/>
    <mergeCell ref="H61:H62"/>
    <mergeCell ref="R65:R66"/>
    <mergeCell ref="N65:N66"/>
    <mergeCell ref="F65:F66"/>
    <mergeCell ref="F67:F68"/>
    <mergeCell ref="A65:A66"/>
    <mergeCell ref="B65:B66"/>
    <mergeCell ref="D65:D66"/>
    <mergeCell ref="E65:E66"/>
    <mergeCell ref="G65:G66"/>
    <mergeCell ref="H65:H66"/>
    <mergeCell ref="I65:I66"/>
    <mergeCell ref="A67:A68"/>
    <mergeCell ref="B67:B68"/>
    <mergeCell ref="D67:D68"/>
    <mergeCell ref="E67:E68"/>
    <mergeCell ref="G67:G68"/>
    <mergeCell ref="H67:H68"/>
    <mergeCell ref="I67:I68"/>
    <mergeCell ref="J63:J68"/>
    <mergeCell ref="K63:K68"/>
    <mergeCell ref="L67:L68"/>
    <mergeCell ref="N67:N68"/>
    <mergeCell ref="A71:A72"/>
    <mergeCell ref="B71:B72"/>
    <mergeCell ref="D71:D72"/>
    <mergeCell ref="E71:E72"/>
    <mergeCell ref="G71:G72"/>
    <mergeCell ref="H71:H72"/>
    <mergeCell ref="S71:S72"/>
    <mergeCell ref="I71:I72"/>
    <mergeCell ref="L71:L72"/>
    <mergeCell ref="N71:N72"/>
    <mergeCell ref="O71:O72"/>
    <mergeCell ref="A69:A70"/>
    <mergeCell ref="B69:B70"/>
    <mergeCell ref="D69:D70"/>
    <mergeCell ref="E69:E70"/>
    <mergeCell ref="G69:G70"/>
    <mergeCell ref="H69:H70"/>
    <mergeCell ref="I69:I70"/>
    <mergeCell ref="L69:L70"/>
    <mergeCell ref="N69:N70"/>
    <mergeCell ref="H73:H74"/>
    <mergeCell ref="I73:I74"/>
    <mergeCell ref="L73:L74"/>
    <mergeCell ref="N73:N74"/>
    <mergeCell ref="O69:O70"/>
    <mergeCell ref="Q69:Q70"/>
    <mergeCell ref="R69:R70"/>
    <mergeCell ref="J69:J74"/>
    <mergeCell ref="K69:K74"/>
    <mergeCell ref="I77:I78"/>
    <mergeCell ref="L77:L78"/>
    <mergeCell ref="N77:N78"/>
    <mergeCell ref="O73:O74"/>
    <mergeCell ref="Q73:Q74"/>
    <mergeCell ref="R73:R74"/>
    <mergeCell ref="S73:S74"/>
    <mergeCell ref="A75:A76"/>
    <mergeCell ref="B75:B76"/>
    <mergeCell ref="D75:D76"/>
    <mergeCell ref="E75:E76"/>
    <mergeCell ref="G75:G76"/>
    <mergeCell ref="H75:H76"/>
    <mergeCell ref="S75:S76"/>
    <mergeCell ref="I75:I76"/>
    <mergeCell ref="L75:L76"/>
    <mergeCell ref="N75:N76"/>
    <mergeCell ref="O75:O76"/>
    <mergeCell ref="Q75:Q76"/>
    <mergeCell ref="R75:R76"/>
    <mergeCell ref="A73:A74"/>
    <mergeCell ref="B73:B74"/>
    <mergeCell ref="D73:D74"/>
    <mergeCell ref="G73:G74"/>
    <mergeCell ref="E73:E74"/>
    <mergeCell ref="N81:N82"/>
    <mergeCell ref="O77:O78"/>
    <mergeCell ref="Q77:Q78"/>
    <mergeCell ref="R77:R78"/>
    <mergeCell ref="S77:S78"/>
    <mergeCell ref="A79:A80"/>
    <mergeCell ref="B79:B80"/>
    <mergeCell ref="D79:D80"/>
    <mergeCell ref="E79:E80"/>
    <mergeCell ref="G79:G80"/>
    <mergeCell ref="H79:H80"/>
    <mergeCell ref="S79:S80"/>
    <mergeCell ref="I79:I80"/>
    <mergeCell ref="L79:L80"/>
    <mergeCell ref="N79:N80"/>
    <mergeCell ref="O79:O80"/>
    <mergeCell ref="Q79:Q80"/>
    <mergeCell ref="R79:R80"/>
    <mergeCell ref="A77:A78"/>
    <mergeCell ref="B77:B78"/>
    <mergeCell ref="D77:D78"/>
    <mergeCell ref="E77:E78"/>
    <mergeCell ref="G77:G78"/>
    <mergeCell ref="H77:H78"/>
    <mergeCell ref="N85:N86"/>
    <mergeCell ref="O81:O82"/>
    <mergeCell ref="Q81:Q82"/>
    <mergeCell ref="R81:R82"/>
    <mergeCell ref="J81:J86"/>
    <mergeCell ref="K81:K86"/>
    <mergeCell ref="S81:S82"/>
    <mergeCell ref="A83:A84"/>
    <mergeCell ref="B83:B84"/>
    <mergeCell ref="D83:D84"/>
    <mergeCell ref="E83:E84"/>
    <mergeCell ref="G83:G84"/>
    <mergeCell ref="H83:H84"/>
    <mergeCell ref="S83:S84"/>
    <mergeCell ref="I83:I84"/>
    <mergeCell ref="L83:L84"/>
    <mergeCell ref="N83:N84"/>
    <mergeCell ref="O83:O84"/>
    <mergeCell ref="Q83:Q84"/>
    <mergeCell ref="R83:R84"/>
    <mergeCell ref="A81:A82"/>
    <mergeCell ref="B81:B82"/>
    <mergeCell ref="D81:D82"/>
    <mergeCell ref="E81:E82"/>
    <mergeCell ref="N89:N90"/>
    <mergeCell ref="O85:O86"/>
    <mergeCell ref="Q85:Q86"/>
    <mergeCell ref="R85:R86"/>
    <mergeCell ref="S85:S86"/>
    <mergeCell ref="A87:A88"/>
    <mergeCell ref="B87:B88"/>
    <mergeCell ref="D87:D88"/>
    <mergeCell ref="E87:E88"/>
    <mergeCell ref="G87:G88"/>
    <mergeCell ref="H87:H88"/>
    <mergeCell ref="S87:S88"/>
    <mergeCell ref="I87:I88"/>
    <mergeCell ref="L87:L88"/>
    <mergeCell ref="N87:N88"/>
    <mergeCell ref="O87:O88"/>
    <mergeCell ref="Q87:Q88"/>
    <mergeCell ref="R87:R88"/>
    <mergeCell ref="A85:A86"/>
    <mergeCell ref="B85:B86"/>
    <mergeCell ref="D85:D86"/>
    <mergeCell ref="E85:E86"/>
    <mergeCell ref="G85:G86"/>
    <mergeCell ref="A93:A94"/>
    <mergeCell ref="B93:B94"/>
    <mergeCell ref="D93:D94"/>
    <mergeCell ref="E93:E94"/>
    <mergeCell ref="G93:G94"/>
    <mergeCell ref="H93:H94"/>
    <mergeCell ref="H85:H86"/>
    <mergeCell ref="N93:N94"/>
    <mergeCell ref="O89:O90"/>
    <mergeCell ref="A91:A92"/>
    <mergeCell ref="B91:B92"/>
    <mergeCell ref="D91:D92"/>
    <mergeCell ref="E91:E92"/>
    <mergeCell ref="G91:G92"/>
    <mergeCell ref="H91:H92"/>
    <mergeCell ref="I91:I92"/>
    <mergeCell ref="L91:L92"/>
    <mergeCell ref="N91:N92"/>
    <mergeCell ref="O91:O92"/>
    <mergeCell ref="A89:A90"/>
    <mergeCell ref="B89:B90"/>
    <mergeCell ref="D89:D90"/>
    <mergeCell ref="E89:E90"/>
    <mergeCell ref="G89:G90"/>
    <mergeCell ref="A95:A96"/>
    <mergeCell ref="B95:B96"/>
    <mergeCell ref="D95:D96"/>
    <mergeCell ref="E95:E96"/>
    <mergeCell ref="G95:G96"/>
    <mergeCell ref="H95:H96"/>
    <mergeCell ref="S95:S96"/>
    <mergeCell ref="I95:I96"/>
    <mergeCell ref="L95:L96"/>
    <mergeCell ref="N95:N96"/>
    <mergeCell ref="O95:O96"/>
    <mergeCell ref="Q95:Q96"/>
    <mergeCell ref="R95:R96"/>
    <mergeCell ref="N97:N98"/>
    <mergeCell ref="F93:F94"/>
    <mergeCell ref="F95:F96"/>
    <mergeCell ref="F97:F98"/>
    <mergeCell ref="J93:J98"/>
    <mergeCell ref="K93:K98"/>
    <mergeCell ref="J99:J104"/>
    <mergeCell ref="K99:K104"/>
    <mergeCell ref="H89:H90"/>
    <mergeCell ref="A99:A100"/>
    <mergeCell ref="B99:B100"/>
    <mergeCell ref="D99:D100"/>
    <mergeCell ref="E99:E100"/>
    <mergeCell ref="G99:G100"/>
    <mergeCell ref="H99:H100"/>
    <mergeCell ref="F99:F100"/>
    <mergeCell ref="A97:A98"/>
    <mergeCell ref="B97:B98"/>
    <mergeCell ref="D97:D98"/>
    <mergeCell ref="E97:E98"/>
    <mergeCell ref="G97:G98"/>
    <mergeCell ref="H97:H98"/>
    <mergeCell ref="A103:A104"/>
    <mergeCell ref="B103:B104"/>
    <mergeCell ref="D103:D104"/>
    <mergeCell ref="E103:E104"/>
    <mergeCell ref="G103:G104"/>
    <mergeCell ref="H103:H104"/>
    <mergeCell ref="S99:S100"/>
    <mergeCell ref="A101:A102"/>
    <mergeCell ref="B101:B102"/>
    <mergeCell ref="D101:D102"/>
    <mergeCell ref="E101:E102"/>
    <mergeCell ref="G101:G102"/>
    <mergeCell ref="H101:H102"/>
    <mergeCell ref="I101:I102"/>
    <mergeCell ref="L101:L102"/>
    <mergeCell ref="N101:N102"/>
    <mergeCell ref="I99:I100"/>
    <mergeCell ref="L99:L100"/>
    <mergeCell ref="N99:N100"/>
    <mergeCell ref="O99:O100"/>
    <mergeCell ref="Q99:Q100"/>
    <mergeCell ref="R99:R100"/>
    <mergeCell ref="F101:F102"/>
    <mergeCell ref="F103:F104"/>
    <mergeCell ref="F19:F20"/>
    <mergeCell ref="I103:I104"/>
    <mergeCell ref="L103:L104"/>
    <mergeCell ref="F51:F52"/>
    <mergeCell ref="F53:F54"/>
    <mergeCell ref="F55:F56"/>
    <mergeCell ref="F33:F34"/>
    <mergeCell ref="F35:F36"/>
    <mergeCell ref="F37:F38"/>
    <mergeCell ref="L93:L94"/>
    <mergeCell ref="I89:I90"/>
    <mergeCell ref="L89:L90"/>
    <mergeCell ref="I85:I86"/>
    <mergeCell ref="L85:L86"/>
    <mergeCell ref="G81:G82"/>
    <mergeCell ref="H81:H82"/>
    <mergeCell ref="I81:I82"/>
    <mergeCell ref="L81:L82"/>
    <mergeCell ref="I93:I94"/>
    <mergeCell ref="F81:F82"/>
    <mergeCell ref="F83:F84"/>
    <mergeCell ref="F85:F86"/>
    <mergeCell ref="I97:I98"/>
    <mergeCell ref="L97:L98"/>
    <mergeCell ref="F87:F88"/>
    <mergeCell ref="F89:F90"/>
    <mergeCell ref="F91:F92"/>
    <mergeCell ref="P5:P6"/>
    <mergeCell ref="P7:P8"/>
    <mergeCell ref="P9:P10"/>
    <mergeCell ref="P11:P12"/>
    <mergeCell ref="P13:P14"/>
    <mergeCell ref="P15:P16"/>
    <mergeCell ref="F69:F70"/>
    <mergeCell ref="F71:F72"/>
    <mergeCell ref="F73:F74"/>
    <mergeCell ref="F75:F76"/>
    <mergeCell ref="F77:F78"/>
    <mergeCell ref="F79:F80"/>
    <mergeCell ref="F57:F58"/>
    <mergeCell ref="J75:J80"/>
    <mergeCell ref="K75:K80"/>
    <mergeCell ref="J87:J92"/>
    <mergeCell ref="K87:K92"/>
    <mergeCell ref="F7:F8"/>
    <mergeCell ref="L65:L66"/>
    <mergeCell ref="F15:F16"/>
    <mergeCell ref="F17:F18"/>
    <mergeCell ref="B1:I1"/>
    <mergeCell ref="L1:S1"/>
    <mergeCell ref="P89:P90"/>
    <mergeCell ref="P91:P92"/>
    <mergeCell ref="P93:P94"/>
    <mergeCell ref="P95:P96"/>
    <mergeCell ref="P97:P98"/>
    <mergeCell ref="P99:P100"/>
    <mergeCell ref="P77:P78"/>
    <mergeCell ref="P79:P80"/>
    <mergeCell ref="P81:P82"/>
    <mergeCell ref="P83:P84"/>
    <mergeCell ref="P85:P86"/>
    <mergeCell ref="P87:P88"/>
    <mergeCell ref="P65:P66"/>
    <mergeCell ref="P67:P68"/>
    <mergeCell ref="P69:P70"/>
    <mergeCell ref="P71:P72"/>
    <mergeCell ref="P73:P74"/>
    <mergeCell ref="P75:P76"/>
    <mergeCell ref="P53:P54"/>
    <mergeCell ref="P55:P56"/>
    <mergeCell ref="F3:F4"/>
    <mergeCell ref="F5:F6"/>
    <mergeCell ref="O97:O98"/>
    <mergeCell ref="Q97:Q98"/>
    <mergeCell ref="R97:R98"/>
    <mergeCell ref="S97:S98"/>
    <mergeCell ref="S69:S70"/>
    <mergeCell ref="Q71:Q72"/>
    <mergeCell ref="R71:R72"/>
    <mergeCell ref="S65:S66"/>
    <mergeCell ref="S67:S68"/>
    <mergeCell ref="O93:O94"/>
    <mergeCell ref="Q93:Q94"/>
    <mergeCell ref="R93:R94"/>
    <mergeCell ref="S93:S94"/>
    <mergeCell ref="Q89:Q90"/>
    <mergeCell ref="R89:R90"/>
    <mergeCell ref="S89:S90"/>
    <mergeCell ref="S91:S92"/>
    <mergeCell ref="Q91:Q92"/>
    <mergeCell ref="R91:R92"/>
    <mergeCell ref="O67:O68"/>
    <mergeCell ref="Q67:Q68"/>
    <mergeCell ref="R67:R68"/>
    <mergeCell ref="O65:O66"/>
    <mergeCell ref="Q65:Q66"/>
    <mergeCell ref="P101:P102"/>
    <mergeCell ref="P103:P104"/>
    <mergeCell ref="S103:S104"/>
    <mergeCell ref="N103:N104"/>
    <mergeCell ref="O103:O104"/>
    <mergeCell ref="Q103:Q104"/>
    <mergeCell ref="R103:R104"/>
    <mergeCell ref="O101:O102"/>
    <mergeCell ref="Q101:Q102"/>
    <mergeCell ref="R101:R102"/>
    <mergeCell ref="S101:S102"/>
    <mergeCell ref="U3:U12"/>
    <mergeCell ref="T13:T22"/>
    <mergeCell ref="U13:U22"/>
    <mergeCell ref="T23:T32"/>
    <mergeCell ref="U23:U32"/>
    <mergeCell ref="T33:T38"/>
    <mergeCell ref="U33:U38"/>
    <mergeCell ref="T39:T44"/>
    <mergeCell ref="U39:U44"/>
    <mergeCell ref="T3:T12"/>
    <mergeCell ref="U45:U50"/>
    <mergeCell ref="T51:T56"/>
    <mergeCell ref="U51:U56"/>
    <mergeCell ref="T57:T62"/>
    <mergeCell ref="U57:U62"/>
    <mergeCell ref="T63:T68"/>
    <mergeCell ref="U63:U68"/>
    <mergeCell ref="T99:T104"/>
    <mergeCell ref="U99:U104"/>
    <mergeCell ref="T69:T74"/>
    <mergeCell ref="U69:U74"/>
    <mergeCell ref="T75:T80"/>
    <mergeCell ref="U75:U80"/>
    <mergeCell ref="T81:T86"/>
    <mergeCell ref="U81:U86"/>
    <mergeCell ref="T87:T92"/>
    <mergeCell ref="U87:U92"/>
    <mergeCell ref="T93:T98"/>
    <mergeCell ref="U93:U98"/>
    <mergeCell ref="T45:T50"/>
  </mergeCells>
  <conditionalFormatting sqref="C1:C1048576 M1:M1048576">
    <cfRule type="beginsWith" dxfId="2" priority="4" operator="beginsWith" text="NA">
      <formula>LEFT(C1,LEN("NA"))="NA"</formula>
    </cfRule>
  </conditionalFormatting>
  <conditionalFormatting sqref="E1:E1048576 O1:O1048576">
    <cfRule type="iconSet" priority="3">
      <iconSet reverse="1">
        <cfvo type="percent" val="0"/>
        <cfvo type="num" val="1"/>
        <cfvo type="num" val="5"/>
      </iconSet>
    </cfRule>
  </conditionalFormatting>
  <conditionalFormatting sqref="K3:K104">
    <cfRule type="iconSet" priority="2">
      <iconSet reverse="1">
        <cfvo type="percent" val="0"/>
        <cfvo type="num" val="0.1"/>
        <cfvo type="num" val="0.15"/>
      </iconSet>
    </cfRule>
  </conditionalFormatting>
  <conditionalFormatting sqref="U3:U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B30B-1C08-483B-99E4-86462B942BEF}">
  <dimension ref="A1:AA104"/>
  <sheetViews>
    <sheetView topLeftCell="K1" zoomScale="70" zoomScaleNormal="70" workbookViewId="0">
      <selection activeCell="H107" sqref="H107"/>
    </sheetView>
  </sheetViews>
  <sheetFormatPr baseColWidth="10" defaultRowHeight="14.5" x14ac:dyDescent="0.35"/>
  <cols>
    <col min="2" max="2" width="13.81640625" bestFit="1" customWidth="1"/>
    <col min="9" max="9" width="14" bestFit="1" customWidth="1"/>
    <col min="10" max="10" width="15.54296875" bestFit="1" customWidth="1"/>
    <col min="11" max="12" width="15.54296875" customWidth="1"/>
    <col min="13" max="13" width="13.81640625" bestFit="1" customWidth="1"/>
    <col min="20" max="20" width="14" bestFit="1" customWidth="1"/>
    <col min="21" max="23" width="14" customWidth="1"/>
  </cols>
  <sheetData>
    <row r="1" spans="1:27" x14ac:dyDescent="0.35">
      <c r="B1" s="31" t="s">
        <v>3</v>
      </c>
      <c r="C1" s="31"/>
      <c r="D1" s="31"/>
      <c r="E1" s="31"/>
      <c r="F1" s="31"/>
      <c r="G1" s="31"/>
      <c r="H1" s="31"/>
      <c r="I1" s="31"/>
      <c r="J1" s="31"/>
      <c r="K1" s="11"/>
      <c r="L1" s="11"/>
      <c r="M1" s="32" t="s">
        <v>4</v>
      </c>
      <c r="N1" s="32"/>
      <c r="O1" s="32"/>
      <c r="P1" s="32"/>
      <c r="Q1" s="32"/>
      <c r="R1" s="32"/>
      <c r="S1" s="32"/>
      <c r="T1" s="32"/>
      <c r="U1" s="32"/>
      <c r="V1" s="12"/>
      <c r="W1" s="12"/>
    </row>
    <row r="2" spans="1:27" x14ac:dyDescent="0.35">
      <c r="A2" s="1" t="s">
        <v>0</v>
      </c>
      <c r="B2" s="4" t="s">
        <v>8</v>
      </c>
      <c r="C2" s="3" t="s">
        <v>7</v>
      </c>
      <c r="D2" s="9" t="s">
        <v>18</v>
      </c>
      <c r="E2" s="3" t="s">
        <v>2</v>
      </c>
      <c r="F2" s="3" t="s">
        <v>5</v>
      </c>
      <c r="G2" s="3" t="s">
        <v>6</v>
      </c>
      <c r="H2" s="3" t="s">
        <v>9</v>
      </c>
      <c r="I2" s="3" t="s">
        <v>10</v>
      </c>
      <c r="J2" s="6" t="s">
        <v>17</v>
      </c>
      <c r="K2" s="6" t="s">
        <v>36</v>
      </c>
      <c r="L2" s="6" t="s">
        <v>37</v>
      </c>
      <c r="M2" s="3" t="s">
        <v>8</v>
      </c>
      <c r="N2" s="3" t="s">
        <v>7</v>
      </c>
      <c r="O2" s="9" t="s">
        <v>18</v>
      </c>
      <c r="P2" s="3" t="s">
        <v>2</v>
      </c>
      <c r="Q2" s="3" t="s">
        <v>5</v>
      </c>
      <c r="R2" s="3" t="s">
        <v>6</v>
      </c>
      <c r="S2" s="3" t="s">
        <v>9</v>
      </c>
      <c r="T2" s="3" t="s">
        <v>10</v>
      </c>
      <c r="U2" s="6" t="s">
        <v>17</v>
      </c>
      <c r="V2" s="6" t="s">
        <v>36</v>
      </c>
      <c r="W2" s="6" t="s">
        <v>37</v>
      </c>
    </row>
    <row r="3" spans="1:27" x14ac:dyDescent="0.35">
      <c r="A3" s="37">
        <v>1</v>
      </c>
      <c r="B3" s="38">
        <v>8.2649999999999988</v>
      </c>
      <c r="C3" s="2">
        <v>-14.14</v>
      </c>
      <c r="D3" s="5">
        <f t="shared" ref="D3:D34" si="0">C3-$Z$13</f>
        <v>-3.0747500000000016</v>
      </c>
      <c r="E3" s="36">
        <f>AVERAGE(D3:D4)</f>
        <v>-4.0467500000000012</v>
      </c>
      <c r="F3" s="42">
        <f>_xlfn.STDEV.S(D3:D4)/SQRT(2)</f>
        <v>0.97200000000000109</v>
      </c>
      <c r="G3" s="42">
        <f>E3/1000</f>
        <v>-4.0467500000000009E-3</v>
      </c>
      <c r="H3" s="36">
        <f>(-G3*2*0.205)/(21000*0.6*0.01*10^-3)</f>
        <v>1.3167996031746032E-2</v>
      </c>
      <c r="I3" s="36">
        <f>H3/B3</f>
        <v>1.5932239602838517E-3</v>
      </c>
      <c r="J3" s="33">
        <f>I3*1000</f>
        <v>1.5932239602838518</v>
      </c>
      <c r="K3" s="33">
        <f>AVERAGE(J3:J12)</f>
        <v>3.2063659151094654</v>
      </c>
      <c r="L3" s="34">
        <f>(_xlfn.STDEV.S(J3:J12)/SQRT(5))/K3</f>
        <v>0.2298130474065557</v>
      </c>
      <c r="M3" s="36">
        <v>6.0449999999999999</v>
      </c>
      <c r="N3" s="2">
        <v>-16.452999999999999</v>
      </c>
      <c r="O3" s="5">
        <f t="shared" ref="O3:O34" si="1">N3-$Z$13</f>
        <v>-5.3877500000000005</v>
      </c>
      <c r="P3" s="36">
        <f>AVERAGE(O3:O4)</f>
        <v>-6.9092500000000001</v>
      </c>
      <c r="Q3" s="42">
        <f>_xlfn.STDEV.S(O3:O4)/SQRT(2)</f>
        <v>1.5215000000000001</v>
      </c>
      <c r="R3" s="42">
        <f>P3/1000</f>
        <v>-6.9092500000000005E-3</v>
      </c>
      <c r="S3" s="36">
        <f>(-R3*1*0.205)/(21000*0.6*0.01*10^-3)</f>
        <v>1.1241240079365078E-2</v>
      </c>
      <c r="T3" s="36">
        <f>S3/M3</f>
        <v>1.8595930652382264E-3</v>
      </c>
      <c r="U3" s="33">
        <f>T3*1000</f>
        <v>1.8595930652382264</v>
      </c>
      <c r="V3" s="33">
        <f>AVERAGE(U3:U12)</f>
        <v>1.7638230520136484</v>
      </c>
      <c r="W3" s="34">
        <f>(_xlfn.STDEV.S(U3:U12)/SQRT(5))/V3</f>
        <v>7.5138504729453895E-2</v>
      </c>
    </row>
    <row r="4" spans="1:27" x14ac:dyDescent="0.35">
      <c r="A4" s="37"/>
      <c r="B4" s="38"/>
      <c r="C4" s="2">
        <v>-16.084</v>
      </c>
      <c r="D4" s="5">
        <f t="shared" si="0"/>
        <v>-5.0187500000000007</v>
      </c>
      <c r="E4" s="36"/>
      <c r="F4" s="42"/>
      <c r="G4" s="42"/>
      <c r="H4" s="36"/>
      <c r="I4" s="36"/>
      <c r="J4" s="33"/>
      <c r="K4" s="33"/>
      <c r="L4" s="34"/>
      <c r="M4" s="36"/>
      <c r="N4" s="2">
        <v>-19.495999999999999</v>
      </c>
      <c r="O4" s="5">
        <f t="shared" si="1"/>
        <v>-8.4307499999999997</v>
      </c>
      <c r="P4" s="36"/>
      <c r="Q4" s="42"/>
      <c r="R4" s="42"/>
      <c r="S4" s="36"/>
      <c r="T4" s="36"/>
      <c r="U4" s="33"/>
      <c r="V4" s="33"/>
      <c r="W4" s="34"/>
    </row>
    <row r="5" spans="1:27" x14ac:dyDescent="0.35">
      <c r="A5" s="37">
        <v>2</v>
      </c>
      <c r="B5" s="38">
        <v>5.7149999999999999</v>
      </c>
      <c r="C5" s="2">
        <v>-13.217000000000001</v>
      </c>
      <c r="D5" s="5">
        <f t="shared" si="0"/>
        <v>-2.1517500000000016</v>
      </c>
      <c r="E5" s="36">
        <f t="shared" ref="E5" si="2">AVERAGE(D5:D6)</f>
        <v>-3.2777500000000011</v>
      </c>
      <c r="F5" s="42">
        <f t="shared" ref="F5" si="3">_xlfn.STDEV.S(D5:D6)/SQRT(2)</f>
        <v>1.1259999999999988</v>
      </c>
      <c r="G5" s="42">
        <f t="shared" ref="G5" si="4">E5/1000</f>
        <v>-3.2777500000000011E-3</v>
      </c>
      <c r="H5" s="36">
        <f t="shared" ref="H5" si="5">(-G5*2*0.205)/(21000*0.6*0.01*10^-3)</f>
        <v>1.0665694444444448E-2</v>
      </c>
      <c r="I5" s="36">
        <f>H5/B5</f>
        <v>1.8662632448721694E-3</v>
      </c>
      <c r="J5" s="33">
        <f t="shared" ref="J5" si="6">I5*1000</f>
        <v>1.8662632448721694</v>
      </c>
      <c r="K5" s="33"/>
      <c r="L5" s="34"/>
      <c r="M5" s="36">
        <v>10.425000000000001</v>
      </c>
      <c r="N5" s="2">
        <v>-22.640999999999998</v>
      </c>
      <c r="O5" s="5">
        <f t="shared" si="1"/>
        <v>-11.575749999999999</v>
      </c>
      <c r="P5" s="36">
        <f t="shared" ref="P5" si="7">AVERAGE(O5:O6)</f>
        <v>-11.585750000000001</v>
      </c>
      <c r="Q5" s="42">
        <f t="shared" ref="Q5" si="8">_xlfn.STDEV.S(O5:O6)/SQRT(2)</f>
        <v>1.0000000000001563E-2</v>
      </c>
      <c r="R5" s="42">
        <f t="shared" ref="R5" si="9">P5/1000</f>
        <v>-1.1585750000000001E-2</v>
      </c>
      <c r="S5" s="36">
        <f t="shared" ref="S5" si="10">(-R5*1*0.205)/(21000*0.6*0.01*10^-3)</f>
        <v>1.8849831349206349E-2</v>
      </c>
      <c r="T5" s="36">
        <f>S5/M5</f>
        <v>1.8081372996840621E-3</v>
      </c>
      <c r="U5" s="33">
        <f t="shared" ref="U5" si="11">T5*1000</f>
        <v>1.8081372996840621</v>
      </c>
      <c r="V5" s="33"/>
      <c r="W5" s="34"/>
    </row>
    <row r="6" spans="1:27" x14ac:dyDescent="0.35">
      <c r="A6" s="37"/>
      <c r="B6" s="38"/>
      <c r="C6" s="2">
        <v>-15.468999999999999</v>
      </c>
      <c r="D6" s="5">
        <f t="shared" si="0"/>
        <v>-4.4037500000000005</v>
      </c>
      <c r="E6" s="36"/>
      <c r="F6" s="42"/>
      <c r="G6" s="42"/>
      <c r="H6" s="36"/>
      <c r="I6" s="36"/>
      <c r="J6" s="33"/>
      <c r="K6" s="33"/>
      <c r="L6" s="34"/>
      <c r="M6" s="36"/>
      <c r="N6" s="2">
        <v>-22.661000000000001</v>
      </c>
      <c r="O6" s="5">
        <f t="shared" si="1"/>
        <v>-11.595750000000002</v>
      </c>
      <c r="P6" s="36"/>
      <c r="Q6" s="42"/>
      <c r="R6" s="42"/>
      <c r="S6" s="36"/>
      <c r="T6" s="36"/>
      <c r="U6" s="33"/>
      <c r="V6" s="33"/>
      <c r="W6" s="34"/>
    </row>
    <row r="7" spans="1:27" x14ac:dyDescent="0.35">
      <c r="A7" s="37">
        <v>3</v>
      </c>
      <c r="B7" s="38">
        <v>6.4050000000000011</v>
      </c>
      <c r="C7" s="2">
        <v>-20.094999999999999</v>
      </c>
      <c r="D7" s="5">
        <f t="shared" si="0"/>
        <v>-9.0297499999999999</v>
      </c>
      <c r="E7" s="36">
        <f t="shared" ref="E7" si="12">AVERAGE(D7:D8)</f>
        <v>-8.5577500000000004</v>
      </c>
      <c r="F7" s="42">
        <f t="shared" ref="F7" si="13">_xlfn.STDEV.S(D7:D8)/SQRT(2)</f>
        <v>0.47199999999999948</v>
      </c>
      <c r="G7" s="42">
        <f t="shared" ref="G7" si="14">E7/1000</f>
        <v>-8.5577500000000011E-3</v>
      </c>
      <c r="H7" s="36">
        <f t="shared" ref="H7" si="15">(-G7*2*0.205)/(21000*0.6*0.01*10^-3)</f>
        <v>2.7846646825396826E-2</v>
      </c>
      <c r="I7" s="36">
        <f>H7/B7</f>
        <v>4.3476419711782699E-3</v>
      </c>
      <c r="J7" s="33">
        <f t="shared" ref="J7" si="16">I7*1000</f>
        <v>4.3476419711782697</v>
      </c>
      <c r="K7" s="33"/>
      <c r="L7" s="34"/>
      <c r="M7" s="36">
        <v>10.319999999999999</v>
      </c>
      <c r="N7" s="2">
        <v>-19.204000000000001</v>
      </c>
      <c r="O7" s="5">
        <f t="shared" si="1"/>
        <v>-8.1387500000000017</v>
      </c>
      <c r="P7" s="36">
        <f t="shared" ref="P7" si="17">AVERAGE(O7:O8)</f>
        <v>-8.5637500000000006</v>
      </c>
      <c r="Q7" s="42">
        <f t="shared" ref="Q7" si="18">_xlfn.STDEV.S(O7:O8)/SQRT(2)</f>
        <v>0.42499999999999888</v>
      </c>
      <c r="R7" s="42">
        <f t="shared" ref="R7" si="19">P7/1000</f>
        <v>-8.5637500000000002E-3</v>
      </c>
      <c r="S7" s="36">
        <f t="shared" ref="S7" si="20">(-R7*1*0.205)/(21000*0.6*0.01*10^-3)</f>
        <v>1.3933085317460316E-2</v>
      </c>
      <c r="T7" s="36">
        <f>S7/M7</f>
        <v>1.3501051664205734E-3</v>
      </c>
      <c r="U7" s="33">
        <f t="shared" ref="U7" si="21">T7*1000</f>
        <v>1.3501051664205734</v>
      </c>
      <c r="V7" s="33"/>
      <c r="W7" s="34"/>
      <c r="Z7" t="s">
        <v>19</v>
      </c>
      <c r="AA7" t="s">
        <v>20</v>
      </c>
    </row>
    <row r="8" spans="1:27" x14ac:dyDescent="0.35">
      <c r="A8" s="37"/>
      <c r="B8" s="38"/>
      <c r="C8" s="2">
        <v>-19.151</v>
      </c>
      <c r="D8" s="5">
        <f t="shared" si="0"/>
        <v>-8.0857500000000009</v>
      </c>
      <c r="E8" s="36"/>
      <c r="F8" s="42"/>
      <c r="G8" s="42"/>
      <c r="H8" s="36"/>
      <c r="I8" s="36"/>
      <c r="J8" s="33"/>
      <c r="K8" s="33"/>
      <c r="L8" s="34"/>
      <c r="M8" s="36"/>
      <c r="N8" s="2">
        <v>-20.053999999999998</v>
      </c>
      <c r="O8" s="5">
        <f t="shared" si="1"/>
        <v>-8.9887499999999996</v>
      </c>
      <c r="P8" s="36"/>
      <c r="Q8" s="42"/>
      <c r="R8" s="42"/>
      <c r="S8" s="36"/>
      <c r="T8" s="36"/>
      <c r="U8" s="33"/>
      <c r="V8" s="33"/>
      <c r="W8" s="34"/>
      <c r="Y8" s="8" t="s">
        <v>13</v>
      </c>
      <c r="Z8">
        <v>2</v>
      </c>
      <c r="AA8">
        <v>1</v>
      </c>
    </row>
    <row r="9" spans="1:27" x14ac:dyDescent="0.35">
      <c r="A9" s="37">
        <v>4</v>
      </c>
      <c r="B9" s="38">
        <v>5.625</v>
      </c>
      <c r="C9" s="2">
        <v>-21.65</v>
      </c>
      <c r="D9" s="5">
        <f t="shared" si="0"/>
        <v>-10.58475</v>
      </c>
      <c r="E9" s="36">
        <f t="shared" ref="E9" si="22">AVERAGE(D9:D10)</f>
        <v>-9.401250000000001</v>
      </c>
      <c r="F9" s="42">
        <f t="shared" ref="F9" si="23">_xlfn.STDEV.S(D9:D10)/SQRT(2)</f>
        <v>1.1835000000000058</v>
      </c>
      <c r="G9" s="42">
        <f t="shared" ref="G9" si="24">E9/1000</f>
        <v>-9.4012500000000016E-3</v>
      </c>
      <c r="H9" s="36">
        <f t="shared" ref="H9" si="25">(-G9*2*0.205)/(21000*0.6*0.01*10^-3)</f>
        <v>3.0591369047619051E-2</v>
      </c>
      <c r="I9" s="36">
        <f>H9/B9</f>
        <v>5.4384656084656095E-3</v>
      </c>
      <c r="J9" s="33">
        <f t="shared" ref="J9" si="26">I9*1000</f>
        <v>5.4384656084656093</v>
      </c>
      <c r="K9" s="33"/>
      <c r="L9" s="34"/>
      <c r="M9" s="36">
        <v>8.7000000000000011</v>
      </c>
      <c r="N9" s="2">
        <v>-22.954999999999998</v>
      </c>
      <c r="O9" s="5">
        <f t="shared" si="1"/>
        <v>-11.889749999999999</v>
      </c>
      <c r="P9" s="36">
        <f t="shared" ref="P9" si="27">AVERAGE(O9:O10)</f>
        <v>-11.534750000000001</v>
      </c>
      <c r="Q9" s="42">
        <f t="shared" ref="Q9" si="28">_xlfn.STDEV.S(O9:O10)/SQRT(2)</f>
        <v>0.35499999999999871</v>
      </c>
      <c r="R9" s="42">
        <f t="shared" ref="R9" si="29">P9/1000</f>
        <v>-1.153475E-2</v>
      </c>
      <c r="S9" s="36">
        <f t="shared" ref="S9" si="30">(-R9*1*0.205)/(21000*0.6*0.01*10^-3)</f>
        <v>1.8766855158730156E-2</v>
      </c>
      <c r="T9" s="36">
        <f>S9/M9</f>
        <v>2.157109788359788E-3</v>
      </c>
      <c r="U9" s="33">
        <f t="shared" ref="U9" si="31">T9*1000</f>
        <v>2.1571097883597878</v>
      </c>
      <c r="V9" s="33"/>
      <c r="W9" s="34"/>
      <c r="Y9" s="8" t="s">
        <v>16</v>
      </c>
      <c r="Z9">
        <v>0.20499999999999999</v>
      </c>
      <c r="AA9">
        <v>0.20499999999999999</v>
      </c>
    </row>
    <row r="10" spans="1:27" x14ac:dyDescent="0.35">
      <c r="A10" s="37"/>
      <c r="B10" s="38"/>
      <c r="C10" s="2">
        <v>-19.283000000000001</v>
      </c>
      <c r="D10" s="5">
        <f t="shared" si="0"/>
        <v>-8.2177500000000023</v>
      </c>
      <c r="E10" s="36"/>
      <c r="F10" s="42"/>
      <c r="G10" s="42"/>
      <c r="H10" s="36"/>
      <c r="I10" s="36"/>
      <c r="J10" s="33"/>
      <c r="K10" s="33"/>
      <c r="L10" s="34"/>
      <c r="M10" s="36"/>
      <c r="N10" s="2">
        <v>-22.245000000000001</v>
      </c>
      <c r="O10" s="5">
        <f t="shared" si="1"/>
        <v>-11.179750000000002</v>
      </c>
      <c r="P10" s="36"/>
      <c r="Q10" s="42"/>
      <c r="R10" s="42"/>
      <c r="S10" s="36"/>
      <c r="T10" s="36"/>
      <c r="U10" s="33"/>
      <c r="V10" s="33"/>
      <c r="W10" s="34"/>
      <c r="Y10" s="8" t="s">
        <v>15</v>
      </c>
      <c r="Z10">
        <v>21000</v>
      </c>
      <c r="AA10">
        <v>21000</v>
      </c>
    </row>
    <row r="11" spans="1:27" x14ac:dyDescent="0.35">
      <c r="A11" s="37">
        <v>5</v>
      </c>
      <c r="B11" s="38">
        <v>4.1550000000000002</v>
      </c>
      <c r="C11" s="2">
        <v>-16.373999999999999</v>
      </c>
      <c r="D11" s="5">
        <f t="shared" si="0"/>
        <v>-5.3087499999999999</v>
      </c>
      <c r="E11" s="36">
        <f t="shared" ref="E11" si="32">AVERAGE(D11:D12)</f>
        <v>-3.5577500000000004</v>
      </c>
      <c r="F11" s="42">
        <f t="shared" ref="F11" si="33">_xlfn.STDEV.S(D11:D12)/SQRT(2)</f>
        <v>1.7509999999999992</v>
      </c>
      <c r="G11" s="42">
        <f t="shared" ref="G11" si="34">E11/1000</f>
        <v>-3.5577500000000006E-3</v>
      </c>
      <c r="H11" s="36">
        <f t="shared" ref="H11" si="35">(-G11*2*0.205)/(21000*0.6*0.01*10^-3)</f>
        <v>1.1576805555555557E-2</v>
      </c>
      <c r="I11" s="36">
        <f>H11/B11</f>
        <v>2.7862347907474262E-3</v>
      </c>
      <c r="J11" s="33">
        <f t="shared" ref="J11" si="36">I11*1000</f>
        <v>2.7862347907474261</v>
      </c>
      <c r="K11" s="33"/>
      <c r="L11" s="34"/>
      <c r="M11" s="36">
        <v>8.9699999999999989</v>
      </c>
      <c r="N11" s="2">
        <v>-20.145</v>
      </c>
      <c r="O11" s="5">
        <f t="shared" si="1"/>
        <v>-9.0797500000000007</v>
      </c>
      <c r="P11" s="36">
        <f t="shared" ref="P11" si="37">AVERAGE(O11:O12)</f>
        <v>-9.0647500000000001</v>
      </c>
      <c r="Q11" s="42">
        <f t="shared" ref="Q11" si="38">_xlfn.STDEV.S(O11:O12)/SQRT(2)</f>
        <v>1.5000000000000567E-2</v>
      </c>
      <c r="R11" s="42">
        <f t="shared" ref="R11" si="39">P11/1000</f>
        <v>-9.0647499999999999E-3</v>
      </c>
      <c r="S11" s="36">
        <f t="shared" ref="S11" si="40">(-R11*1*0.205)/(21000*0.6*0.01*10^-3)</f>
        <v>1.4748204365079365E-2</v>
      </c>
      <c r="T11" s="36">
        <f>S11/M11</f>
        <v>1.6441699403655927E-3</v>
      </c>
      <c r="U11" s="33">
        <f t="shared" ref="U11" si="41">T11*1000</f>
        <v>1.6441699403655927</v>
      </c>
      <c r="V11" s="33"/>
      <c r="W11" s="34"/>
      <c r="Y11" s="8" t="s">
        <v>14</v>
      </c>
      <c r="Z11">
        <v>0.01</v>
      </c>
      <c r="AA11">
        <v>0.01</v>
      </c>
    </row>
    <row r="12" spans="1:27" x14ac:dyDescent="0.35">
      <c r="A12" s="37"/>
      <c r="B12" s="38"/>
      <c r="C12" s="2">
        <v>-12.872</v>
      </c>
      <c r="D12" s="5">
        <f t="shared" si="0"/>
        <v>-1.806750000000001</v>
      </c>
      <c r="E12" s="36"/>
      <c r="F12" s="42"/>
      <c r="G12" s="42"/>
      <c r="H12" s="36"/>
      <c r="I12" s="36"/>
      <c r="J12" s="33"/>
      <c r="K12" s="33"/>
      <c r="L12" s="34"/>
      <c r="M12" s="36"/>
      <c r="N12" s="2">
        <v>-20.114999999999998</v>
      </c>
      <c r="O12" s="5">
        <f t="shared" si="1"/>
        <v>-9.0497499999999995</v>
      </c>
      <c r="P12" s="36"/>
      <c r="Q12" s="42"/>
      <c r="R12" s="42"/>
      <c r="S12" s="36"/>
      <c r="T12" s="36"/>
      <c r="U12" s="33"/>
      <c r="V12" s="33"/>
      <c r="W12" s="34"/>
    </row>
    <row r="13" spans="1:27" x14ac:dyDescent="0.35">
      <c r="A13" s="37">
        <v>6</v>
      </c>
      <c r="B13" s="38">
        <v>5.61</v>
      </c>
      <c r="C13" s="2">
        <v>-17.783999999999999</v>
      </c>
      <c r="D13" s="5">
        <f t="shared" si="0"/>
        <v>-6.71875</v>
      </c>
      <c r="E13" s="36">
        <f t="shared" ref="E13" si="42">AVERAGE(D13:D14)</f>
        <v>-4.9652500000000002</v>
      </c>
      <c r="F13" s="42">
        <f t="shared" ref="F13" si="43">_xlfn.STDEV.S(D13:D14)/SQRT(2)</f>
        <v>1.7534999999999996</v>
      </c>
      <c r="G13" s="42">
        <f t="shared" ref="G13" si="44">E13/1000</f>
        <v>-4.96525E-3</v>
      </c>
      <c r="H13" s="36">
        <f t="shared" ref="H13" si="45">(-G13*2*0.205)/(21000*0.6*0.01*10^-3)</f>
        <v>1.6156765873015871E-2</v>
      </c>
      <c r="I13" s="36">
        <f>H13/B13</f>
        <v>2.8799939167586221E-3</v>
      </c>
      <c r="J13" s="33">
        <f t="shared" ref="J13" si="46">I13*1000</f>
        <v>2.8799939167586222</v>
      </c>
      <c r="K13" s="33">
        <f t="shared" ref="K13" si="47">AVERAGE(J13:J22)</f>
        <v>5.0446669743294432</v>
      </c>
      <c r="L13" s="34">
        <f t="shared" ref="L13" si="48">(_xlfn.STDEV.S(J13:J22)/SQRT(5))/K13</f>
        <v>0.20155615586375908</v>
      </c>
      <c r="M13" s="36">
        <v>9.4350000000000005</v>
      </c>
      <c r="N13" s="2">
        <v>-23.922999999999998</v>
      </c>
      <c r="O13" s="5">
        <f t="shared" si="1"/>
        <v>-12.857749999999999</v>
      </c>
      <c r="P13" s="36">
        <f t="shared" ref="P13" si="49">AVERAGE(O13:O14)</f>
        <v>-13.00775</v>
      </c>
      <c r="Q13" s="42">
        <f t="shared" ref="Q13" si="50">_xlfn.STDEV.S(O13:O14)/SQRT(2)</f>
        <v>0.15000000000000036</v>
      </c>
      <c r="R13" s="42">
        <f t="shared" ref="R13" si="51">P13/1000</f>
        <v>-1.300775E-2</v>
      </c>
      <c r="S13" s="36">
        <f t="shared" ref="S13" si="52">(-R13*1*0.205)/(21000*0.6*0.01*10^-3)</f>
        <v>2.1163402777777774E-2</v>
      </c>
      <c r="T13" s="36">
        <f>S13/M13</f>
        <v>2.24307395630925E-3</v>
      </c>
      <c r="U13" s="33">
        <f t="shared" ref="U13" si="53">T13*1000</f>
        <v>2.2430739563092499</v>
      </c>
      <c r="V13" s="33">
        <f t="shared" ref="V13" si="54">AVERAGE(U13:U22)</f>
        <v>1.9751559043685298</v>
      </c>
      <c r="W13" s="34">
        <f t="shared" ref="W13" si="55">(_xlfn.STDEV.S(U13:U22)/SQRT(5))/V13</f>
        <v>0.11446318016940375</v>
      </c>
      <c r="Y13" s="8" t="s">
        <v>22</v>
      </c>
      <c r="Z13">
        <v>-11.065249999999999</v>
      </c>
    </row>
    <row r="14" spans="1:27" x14ac:dyDescent="0.35">
      <c r="A14" s="37"/>
      <c r="B14" s="38"/>
      <c r="C14" s="2">
        <v>-14.276999999999999</v>
      </c>
      <c r="D14" s="5">
        <f t="shared" si="0"/>
        <v>-3.2117500000000003</v>
      </c>
      <c r="E14" s="36"/>
      <c r="F14" s="42"/>
      <c r="G14" s="42"/>
      <c r="H14" s="36"/>
      <c r="I14" s="36"/>
      <c r="J14" s="33"/>
      <c r="K14" s="33"/>
      <c r="L14" s="34"/>
      <c r="M14" s="36"/>
      <c r="N14" s="2">
        <v>-24.222999999999999</v>
      </c>
      <c r="O14" s="5">
        <f t="shared" si="1"/>
        <v>-13.15775</v>
      </c>
      <c r="P14" s="36"/>
      <c r="Q14" s="42"/>
      <c r="R14" s="42"/>
      <c r="S14" s="36"/>
      <c r="T14" s="36"/>
      <c r="U14" s="33"/>
      <c r="V14" s="33"/>
      <c r="W14" s="34"/>
    </row>
    <row r="15" spans="1:27" x14ac:dyDescent="0.35">
      <c r="A15" s="37">
        <v>7</v>
      </c>
      <c r="B15" s="38">
        <v>6.51</v>
      </c>
      <c r="C15" s="2">
        <v>-19.931999999999999</v>
      </c>
      <c r="D15" s="5">
        <f t="shared" si="0"/>
        <v>-8.8667499999999997</v>
      </c>
      <c r="E15" s="36">
        <f t="shared" ref="E15" si="56">AVERAGE(D15:D16)</f>
        <v>-8.2887500000000003</v>
      </c>
      <c r="F15" s="42">
        <f t="shared" ref="F15" si="57">_xlfn.STDEV.S(D15:D16)/SQRT(2)</f>
        <v>0.5779999999999994</v>
      </c>
      <c r="G15" s="42">
        <f t="shared" ref="G15" si="58">E15/1000</f>
        <v>-8.288750000000001E-3</v>
      </c>
      <c r="H15" s="36">
        <f t="shared" ref="H15" si="59">(-G15*2*0.205)/(21000*0.6*0.01*10^-3)</f>
        <v>2.6971329365079368E-2</v>
      </c>
      <c r="I15" s="36">
        <f>H15/B15</f>
        <v>4.1430613464023608E-3</v>
      </c>
      <c r="J15" s="33">
        <f t="shared" ref="J15" si="60">I15*1000</f>
        <v>4.1430613464023605</v>
      </c>
      <c r="K15" s="33"/>
      <c r="L15" s="34"/>
      <c r="M15" s="36">
        <v>8.4449999999999985</v>
      </c>
      <c r="N15" s="2">
        <v>-24.558</v>
      </c>
      <c r="O15" s="5">
        <f t="shared" si="1"/>
        <v>-13.492750000000001</v>
      </c>
      <c r="P15" s="36">
        <f t="shared" ref="P15" si="61">AVERAGE(O15:O16)</f>
        <v>-13.988250000000001</v>
      </c>
      <c r="Q15" s="42">
        <f t="shared" ref="Q15" si="62">_xlfn.STDEV.S(O15:O16)/SQRT(2)</f>
        <v>0.49549999999999977</v>
      </c>
      <c r="R15" s="42">
        <f t="shared" ref="R15" si="63">P15/1000</f>
        <v>-1.3988250000000001E-2</v>
      </c>
      <c r="S15" s="36">
        <f t="shared" ref="S15" si="64">(-R15*1*0.205)/(21000*0.6*0.01*10^-3)</f>
        <v>2.2758660714285714E-2</v>
      </c>
      <c r="T15" s="36">
        <f>S15/M15</f>
        <v>2.6949272604245966E-3</v>
      </c>
      <c r="U15" s="33">
        <f t="shared" ref="U15" si="65">T15*1000</f>
        <v>2.6949272604245964</v>
      </c>
      <c r="V15" s="33"/>
      <c r="W15" s="34"/>
    </row>
    <row r="16" spans="1:27" x14ac:dyDescent="0.35">
      <c r="A16" s="37"/>
      <c r="B16" s="38"/>
      <c r="C16" s="2">
        <v>-18.776</v>
      </c>
      <c r="D16" s="5">
        <f t="shared" si="0"/>
        <v>-7.7107500000000009</v>
      </c>
      <c r="E16" s="36"/>
      <c r="F16" s="42"/>
      <c r="G16" s="42"/>
      <c r="H16" s="36"/>
      <c r="I16" s="36"/>
      <c r="J16" s="33"/>
      <c r="K16" s="33"/>
      <c r="L16" s="34"/>
      <c r="M16" s="36"/>
      <c r="N16" s="2">
        <v>-25.548999999999999</v>
      </c>
      <c r="O16" s="5">
        <f t="shared" si="1"/>
        <v>-14.483750000000001</v>
      </c>
      <c r="P16" s="36"/>
      <c r="Q16" s="42"/>
      <c r="R16" s="42"/>
      <c r="S16" s="36"/>
      <c r="T16" s="36"/>
      <c r="U16" s="33"/>
      <c r="V16" s="33"/>
      <c r="W16" s="34"/>
    </row>
    <row r="17" spans="1:23" x14ac:dyDescent="0.35">
      <c r="A17" s="37">
        <v>8</v>
      </c>
      <c r="B17" s="38">
        <v>7.6950000000000003</v>
      </c>
      <c r="C17" s="2">
        <v>-27.805</v>
      </c>
      <c r="D17" s="5">
        <f t="shared" si="0"/>
        <v>-16.739750000000001</v>
      </c>
      <c r="E17" s="36">
        <f t="shared" ref="E17" si="66">AVERAGE(D17:D18)</f>
        <v>-14.74075</v>
      </c>
      <c r="F17" s="42">
        <f t="shared" ref="F17" si="67">_xlfn.STDEV.S(D17:D18)/SQRT(2)</f>
        <v>1.9990000000000014</v>
      </c>
      <c r="G17" s="42">
        <f t="shared" ref="G17" si="68">E17/1000</f>
        <v>-1.474075E-2</v>
      </c>
      <c r="H17" s="36">
        <f t="shared" ref="H17" si="69">(-G17*2*0.205)/(21000*0.6*0.01*10^-3)</f>
        <v>4.7965932539682538E-2</v>
      </c>
      <c r="I17" s="36">
        <f>H17/B17</f>
        <v>6.2333895438183929E-3</v>
      </c>
      <c r="J17" s="33">
        <f t="shared" ref="J17" si="70">I17*1000</f>
        <v>6.2333895438183928</v>
      </c>
      <c r="K17" s="33"/>
      <c r="L17" s="34"/>
      <c r="M17" s="36">
        <v>9.7800000000000011</v>
      </c>
      <c r="N17" s="2">
        <v>-20.885999999999999</v>
      </c>
      <c r="O17" s="5">
        <f t="shared" si="1"/>
        <v>-9.8207500000000003</v>
      </c>
      <c r="P17" s="36">
        <f t="shared" ref="P17" si="71">AVERAGE(O17:O18)</f>
        <v>-10.033750000000001</v>
      </c>
      <c r="Q17" s="42">
        <f t="shared" ref="Q17" si="72">_xlfn.STDEV.S(O17:O18)/SQRT(2)</f>
        <v>0.21300000000000097</v>
      </c>
      <c r="R17" s="42">
        <f t="shared" ref="R17" si="73">P17/1000</f>
        <v>-1.0033750000000001E-2</v>
      </c>
      <c r="S17" s="36">
        <f t="shared" ref="S17" si="74">(-R17*1*0.205)/(21000*0.6*0.01*10^-3)</f>
        <v>1.6324751984126983E-2</v>
      </c>
      <c r="T17" s="36">
        <f>S17/M17</f>
        <v>1.6691975443892618E-3</v>
      </c>
      <c r="U17" s="33">
        <f t="shared" ref="U17" si="75">T17*1000</f>
        <v>1.6691975443892619</v>
      </c>
      <c r="V17" s="33"/>
      <c r="W17" s="34"/>
    </row>
    <row r="18" spans="1:23" x14ac:dyDescent="0.35">
      <c r="A18" s="37"/>
      <c r="B18" s="38"/>
      <c r="C18" s="2">
        <v>-23.806999999999999</v>
      </c>
      <c r="D18" s="5">
        <f t="shared" si="0"/>
        <v>-12.74175</v>
      </c>
      <c r="E18" s="36"/>
      <c r="F18" s="42"/>
      <c r="G18" s="42"/>
      <c r="H18" s="36"/>
      <c r="I18" s="36"/>
      <c r="J18" s="33"/>
      <c r="K18" s="33"/>
      <c r="L18" s="34"/>
      <c r="M18" s="36"/>
      <c r="N18" s="2">
        <v>-21.312000000000001</v>
      </c>
      <c r="O18" s="5">
        <f t="shared" si="1"/>
        <v>-10.246750000000002</v>
      </c>
      <c r="P18" s="36"/>
      <c r="Q18" s="42"/>
      <c r="R18" s="42"/>
      <c r="S18" s="36"/>
      <c r="T18" s="36"/>
      <c r="U18" s="33"/>
      <c r="V18" s="33"/>
      <c r="W18" s="34"/>
    </row>
    <row r="19" spans="1:23" x14ac:dyDescent="0.35">
      <c r="A19" s="37">
        <v>9</v>
      </c>
      <c r="B19" s="38">
        <v>3.57</v>
      </c>
      <c r="C19" s="2">
        <v>-19.606999999999999</v>
      </c>
      <c r="D19" s="5">
        <f t="shared" si="0"/>
        <v>-8.5417500000000004</v>
      </c>
      <c r="E19" s="36">
        <f t="shared" ref="E19" si="76">AVERAGE(D19:D20)</f>
        <v>-9.2522500000000001</v>
      </c>
      <c r="F19" s="42">
        <f t="shared" ref="F19" si="77">_xlfn.STDEV.S(D19:D20)/SQRT(2)</f>
        <v>0.71049999999999958</v>
      </c>
      <c r="G19" s="42">
        <f t="shared" ref="G19" si="78">E19/1000</f>
        <v>-9.2522500000000001E-3</v>
      </c>
      <c r="H19" s="36">
        <f t="shared" ref="H19" si="79">(-G19*2*0.205)/(21000*0.6*0.01*10^-3)</f>
        <v>3.0106527777777774E-2</v>
      </c>
      <c r="I19" s="36">
        <f>H19/B19</f>
        <v>8.4332010582010581E-3</v>
      </c>
      <c r="J19" s="33">
        <f t="shared" ref="J19" si="80">I19*1000</f>
        <v>8.4332010582010586</v>
      </c>
      <c r="K19" s="33"/>
      <c r="L19" s="34"/>
      <c r="M19" s="36">
        <v>10.29</v>
      </c>
      <c r="N19" s="2">
        <v>-20.135000000000002</v>
      </c>
      <c r="O19" s="5">
        <f t="shared" si="1"/>
        <v>-9.0697500000000026</v>
      </c>
      <c r="P19" s="36">
        <f t="shared" ref="P19" si="81">AVERAGE(O19:O20)</f>
        <v>-8.8772500000000019</v>
      </c>
      <c r="Q19" s="42">
        <f t="shared" ref="Q19" si="82">_xlfn.STDEV.S(O19:O20)/SQRT(2)</f>
        <v>0.19250000000000078</v>
      </c>
      <c r="R19" s="42">
        <f t="shared" ref="R19" si="83">P19/1000</f>
        <v>-8.8772500000000015E-3</v>
      </c>
      <c r="S19" s="36">
        <f t="shared" ref="S19" si="84">(-R19*1*0.205)/(21000*0.6*0.01*10^-3)</f>
        <v>1.4443144841269842E-2</v>
      </c>
      <c r="T19" s="36">
        <f>S19/M19</f>
        <v>1.4036097999290422E-3</v>
      </c>
      <c r="U19" s="33">
        <f t="shared" ref="U19" si="85">T19*1000</f>
        <v>1.4036097999290422</v>
      </c>
      <c r="V19" s="33"/>
      <c r="W19" s="34"/>
    </row>
    <row r="20" spans="1:23" x14ac:dyDescent="0.35">
      <c r="A20" s="37"/>
      <c r="B20" s="38"/>
      <c r="C20" s="2">
        <v>-21.027999999999999</v>
      </c>
      <c r="D20" s="5">
        <f t="shared" si="0"/>
        <v>-9.9627499999999998</v>
      </c>
      <c r="E20" s="36"/>
      <c r="F20" s="42"/>
      <c r="G20" s="42"/>
      <c r="H20" s="36"/>
      <c r="I20" s="36"/>
      <c r="J20" s="33"/>
      <c r="K20" s="33"/>
      <c r="L20" s="34"/>
      <c r="M20" s="36"/>
      <c r="N20" s="2">
        <v>-19.75</v>
      </c>
      <c r="O20" s="5">
        <f t="shared" si="1"/>
        <v>-8.6847500000000011</v>
      </c>
      <c r="P20" s="36"/>
      <c r="Q20" s="42"/>
      <c r="R20" s="42"/>
      <c r="S20" s="36"/>
      <c r="T20" s="36"/>
      <c r="U20" s="33"/>
      <c r="V20" s="33"/>
      <c r="W20" s="34"/>
    </row>
    <row r="21" spans="1:23" x14ac:dyDescent="0.35">
      <c r="A21" s="37">
        <v>10</v>
      </c>
      <c r="B21" s="38">
        <v>6.7499999999999991</v>
      </c>
      <c r="C21" s="2">
        <v>-18.207999999999998</v>
      </c>
      <c r="D21" s="5">
        <f t="shared" si="0"/>
        <v>-7.1427499999999995</v>
      </c>
      <c r="E21" s="36">
        <f t="shared" ref="E21" si="86">AVERAGE(D21:D22)</f>
        <v>-7.3302499999999995</v>
      </c>
      <c r="F21" s="42">
        <f t="shared" ref="F21" si="87">_xlfn.STDEV.S(D21:D22)/SQRT(2)</f>
        <v>0.18749999999999997</v>
      </c>
      <c r="G21" s="42">
        <f t="shared" ref="G21" si="88">E21/1000</f>
        <v>-7.3302499999999991E-3</v>
      </c>
      <c r="H21" s="36">
        <f t="shared" ref="H21" si="89">(-G21*2*0.205)/(21000*0.6*0.01*10^-3)</f>
        <v>2.385240079365079E-2</v>
      </c>
      <c r="I21" s="36">
        <f>H21/B21</f>
        <v>3.5336890064667842E-3</v>
      </c>
      <c r="J21" s="33">
        <f t="shared" ref="J21" si="90">I21*1000</f>
        <v>3.5336890064667843</v>
      </c>
      <c r="K21" s="33"/>
      <c r="L21" s="34"/>
      <c r="M21" s="36">
        <v>9.06</v>
      </c>
      <c r="N21" s="2">
        <v>-21.146999999999998</v>
      </c>
      <c r="O21" s="5">
        <f t="shared" si="1"/>
        <v>-10.08175</v>
      </c>
      <c r="P21" s="36">
        <f t="shared" ref="P21" si="91">AVERAGE(O21:O22)</f>
        <v>-10.385250000000001</v>
      </c>
      <c r="Q21" s="42">
        <f t="shared" ref="Q21" si="92">_xlfn.STDEV.S(O21:O22)/SQRT(2)</f>
        <v>0.30350000000000138</v>
      </c>
      <c r="R21" s="42">
        <f t="shared" ref="R21" si="93">P21/1000</f>
        <v>-1.038525E-2</v>
      </c>
      <c r="S21" s="36">
        <f t="shared" ref="S21" si="94">(-R21*1*0.205)/(21000*0.6*0.01*10^-3)</f>
        <v>1.6896636904761904E-2</v>
      </c>
      <c r="T21" s="36">
        <f>S21/M21</f>
        <v>1.8649709607904969E-3</v>
      </c>
      <c r="U21" s="33">
        <f t="shared" ref="U21" si="95">T21*1000</f>
        <v>1.864970960790497</v>
      </c>
      <c r="V21" s="33"/>
      <c r="W21" s="34"/>
    </row>
    <row r="22" spans="1:23" x14ac:dyDescent="0.35">
      <c r="A22" s="37"/>
      <c r="B22" s="38"/>
      <c r="C22" s="2">
        <v>-18.582999999999998</v>
      </c>
      <c r="D22" s="5">
        <f t="shared" si="0"/>
        <v>-7.5177499999999995</v>
      </c>
      <c r="E22" s="36"/>
      <c r="F22" s="42"/>
      <c r="G22" s="42"/>
      <c r="H22" s="36"/>
      <c r="I22" s="36"/>
      <c r="J22" s="33"/>
      <c r="K22" s="33"/>
      <c r="L22" s="34"/>
      <c r="M22" s="36"/>
      <c r="N22" s="2">
        <v>-21.754000000000001</v>
      </c>
      <c r="O22" s="5">
        <f t="shared" si="1"/>
        <v>-10.688750000000002</v>
      </c>
      <c r="P22" s="36"/>
      <c r="Q22" s="42"/>
      <c r="R22" s="42"/>
      <c r="S22" s="36"/>
      <c r="T22" s="36"/>
      <c r="U22" s="33"/>
      <c r="V22" s="33"/>
      <c r="W22" s="34"/>
    </row>
    <row r="23" spans="1:23" x14ac:dyDescent="0.35">
      <c r="A23" s="37">
        <v>11</v>
      </c>
      <c r="B23" s="38">
        <v>4.6349999999999998</v>
      </c>
      <c r="C23" s="2">
        <v>-22.407</v>
      </c>
      <c r="D23" s="5">
        <f t="shared" si="0"/>
        <v>-11.341750000000001</v>
      </c>
      <c r="E23" s="36">
        <f t="shared" ref="E23" si="96">AVERAGE(D23:D24)</f>
        <v>-12.244750000000002</v>
      </c>
      <c r="F23" s="42">
        <f t="shared" ref="F23" si="97">_xlfn.STDEV.S(D23:D24)/SQRT(2)</f>
        <v>0.90300000000000047</v>
      </c>
      <c r="G23" s="42">
        <f t="shared" ref="G23" si="98">E23/1000</f>
        <v>-1.2244750000000002E-2</v>
      </c>
      <c r="H23" s="36">
        <f t="shared" ref="H23" si="99">(-G23*2*0.205)/(21000*0.6*0.01*10^-3)</f>
        <v>3.9844027777777777E-2</v>
      </c>
      <c r="I23" s="36">
        <f>H23/B23</f>
        <v>8.5963382476327461E-3</v>
      </c>
      <c r="J23" s="33">
        <f t="shared" ref="J23" si="100">I23*1000</f>
        <v>8.5963382476327457</v>
      </c>
      <c r="K23" s="33">
        <f t="shared" ref="K23" si="101">AVERAGE(J23:J32)</f>
        <v>6.2737249825990498</v>
      </c>
      <c r="L23" s="34">
        <f t="shared" ref="L23" si="102">(_xlfn.STDEV.S(J23:J32)/SQRT(5))/K23</f>
        <v>0.11768864105137343</v>
      </c>
      <c r="M23" s="36">
        <v>8.7600000000000016</v>
      </c>
      <c r="N23" s="2">
        <v>-22.882999999999999</v>
      </c>
      <c r="O23" s="5">
        <f t="shared" si="1"/>
        <v>-11.81775</v>
      </c>
      <c r="P23" s="36">
        <f t="shared" ref="P23" si="103">AVERAGE(O23:O24)</f>
        <v>-12.523250000000001</v>
      </c>
      <c r="Q23" s="42">
        <f t="shared" ref="Q23" si="104">_xlfn.STDEV.S(O23:O24)/SQRT(2)</f>
        <v>0.70550000000000068</v>
      </c>
      <c r="R23" s="42">
        <f t="shared" ref="R23" si="105">P23/1000</f>
        <v>-1.2523250000000001E-2</v>
      </c>
      <c r="S23" s="36">
        <f t="shared" ref="S23" si="106">(-R23*1*0.205)/(21000*0.6*0.01*10^-3)</f>
        <v>2.0375128968253969E-2</v>
      </c>
      <c r="T23" s="36">
        <f>S23/M23</f>
        <v>2.3259279644125531E-3</v>
      </c>
      <c r="U23" s="33">
        <f t="shared" ref="U23" si="107">T23*1000</f>
        <v>2.325927964412553</v>
      </c>
      <c r="V23" s="33">
        <f t="shared" ref="V23" si="108">AVERAGE(U23:U32)</f>
        <v>2.2650641055792406</v>
      </c>
      <c r="W23" s="34">
        <f t="shared" ref="W23" si="109">(_xlfn.STDEV.S(U23:U32)/SQRT(5))/V23</f>
        <v>4.9745459248544281E-2</v>
      </c>
    </row>
    <row r="24" spans="1:23" x14ac:dyDescent="0.35">
      <c r="A24" s="37"/>
      <c r="B24" s="38"/>
      <c r="C24" s="2">
        <v>-24.213000000000001</v>
      </c>
      <c r="D24" s="5">
        <f t="shared" si="0"/>
        <v>-13.147750000000002</v>
      </c>
      <c r="E24" s="36"/>
      <c r="F24" s="42"/>
      <c r="G24" s="42"/>
      <c r="H24" s="36"/>
      <c r="I24" s="36"/>
      <c r="J24" s="33"/>
      <c r="K24" s="33"/>
      <c r="L24" s="34"/>
      <c r="M24" s="36"/>
      <c r="N24" s="2">
        <v>-24.294</v>
      </c>
      <c r="O24" s="5">
        <f t="shared" si="1"/>
        <v>-13.228750000000002</v>
      </c>
      <c r="P24" s="36"/>
      <c r="Q24" s="42"/>
      <c r="R24" s="42"/>
      <c r="S24" s="36"/>
      <c r="T24" s="36"/>
      <c r="U24" s="33"/>
      <c r="V24" s="33"/>
      <c r="W24" s="34"/>
    </row>
    <row r="25" spans="1:23" x14ac:dyDescent="0.35">
      <c r="A25" s="37">
        <v>12</v>
      </c>
      <c r="B25" s="38">
        <v>3.9750000000000001</v>
      </c>
      <c r="C25" s="2">
        <v>-19.872</v>
      </c>
      <c r="D25" s="5">
        <f t="shared" si="0"/>
        <v>-8.806750000000001</v>
      </c>
      <c r="E25" s="36">
        <f t="shared" ref="E25" si="110">AVERAGE(D25:D26)</f>
        <v>-9.0247500000000009</v>
      </c>
      <c r="F25" s="42">
        <f t="shared" ref="F25" si="111">_xlfn.STDEV.S(D25:D26)/SQRT(2)</f>
        <v>0.21799999999999997</v>
      </c>
      <c r="G25" s="42">
        <f t="shared" ref="G25" si="112">E25/1000</f>
        <v>-9.0247500000000015E-3</v>
      </c>
      <c r="H25" s="36">
        <f t="shared" ref="H25" si="113">(-G25*2*0.205)/(21000*0.6*0.01*10^-3)</f>
        <v>2.9366250000000003E-2</v>
      </c>
      <c r="I25" s="36">
        <f>H25/B25</f>
        <v>7.3877358490566048E-3</v>
      </c>
      <c r="J25" s="33">
        <f t="shared" ref="J25" si="114">I25*1000</f>
        <v>7.3877358490566047</v>
      </c>
      <c r="K25" s="33"/>
      <c r="L25" s="34"/>
      <c r="M25" s="36">
        <v>11.295</v>
      </c>
      <c r="N25" s="2">
        <v>-25.417000000000002</v>
      </c>
      <c r="O25" s="5">
        <f t="shared" si="1"/>
        <v>-14.351750000000003</v>
      </c>
      <c r="P25" s="36">
        <f t="shared" ref="P25" si="115">AVERAGE(O25:O26)</f>
        <v>-14.890750000000002</v>
      </c>
      <c r="Q25" s="42">
        <f t="shared" ref="Q25" si="116">_xlfn.STDEV.S(O25:O26)/SQRT(2)</f>
        <v>0.5389999999999997</v>
      </c>
      <c r="R25" s="42">
        <f t="shared" ref="R25" si="117">P25/1000</f>
        <v>-1.4890750000000003E-2</v>
      </c>
      <c r="S25" s="36">
        <f t="shared" ref="S25" si="118">(-R25*1*0.205)/(21000*0.6*0.01*10^-3)</f>
        <v>2.4227013888888892E-2</v>
      </c>
      <c r="T25" s="36">
        <f>S25/M25</f>
        <v>2.1449326152181399E-3</v>
      </c>
      <c r="U25" s="33">
        <f t="shared" ref="U25" si="119">T25*1000</f>
        <v>2.1449326152181398</v>
      </c>
      <c r="V25" s="33"/>
      <c r="W25" s="34"/>
    </row>
    <row r="26" spans="1:23" x14ac:dyDescent="0.35">
      <c r="A26" s="37"/>
      <c r="B26" s="38"/>
      <c r="C26" s="2">
        <v>-20.308</v>
      </c>
      <c r="D26" s="5">
        <f t="shared" si="0"/>
        <v>-9.2427500000000009</v>
      </c>
      <c r="E26" s="36"/>
      <c r="F26" s="42"/>
      <c r="G26" s="42"/>
      <c r="H26" s="36"/>
      <c r="I26" s="36"/>
      <c r="J26" s="33"/>
      <c r="K26" s="33"/>
      <c r="L26" s="34"/>
      <c r="M26" s="36"/>
      <c r="N26" s="2">
        <v>-26.495000000000001</v>
      </c>
      <c r="O26" s="5">
        <f t="shared" si="1"/>
        <v>-15.429750000000002</v>
      </c>
      <c r="P26" s="36"/>
      <c r="Q26" s="42"/>
      <c r="R26" s="42"/>
      <c r="S26" s="36"/>
      <c r="T26" s="36"/>
      <c r="U26" s="33"/>
      <c r="V26" s="33"/>
      <c r="W26" s="34"/>
    </row>
    <row r="27" spans="1:23" x14ac:dyDescent="0.35">
      <c r="A27" s="37">
        <v>13</v>
      </c>
      <c r="B27" s="38">
        <v>5.3849999999999998</v>
      </c>
      <c r="C27" s="2">
        <v>-20.855</v>
      </c>
      <c r="D27" s="5">
        <f t="shared" si="0"/>
        <v>-9.7897500000000015</v>
      </c>
      <c r="E27" s="36">
        <f t="shared" ref="E27" si="120">AVERAGE(D27:D28)</f>
        <v>-9.0697500000000009</v>
      </c>
      <c r="F27" s="42">
        <f t="shared" ref="F27" si="121">_xlfn.STDEV.S(D27:D28)/SQRT(2)</f>
        <v>0.72000000000000075</v>
      </c>
      <c r="G27" s="42">
        <f t="shared" ref="G27" si="122">E27/1000</f>
        <v>-9.0697500000000014E-3</v>
      </c>
      <c r="H27" s="36">
        <f t="shared" ref="H27" si="123">(-G27*2*0.205)/(21000*0.6*0.01*10^-3)</f>
        <v>2.9512678571428575E-2</v>
      </c>
      <c r="I27" s="36">
        <f>H27/B27</f>
        <v>5.480534553654332E-3</v>
      </c>
      <c r="J27" s="33">
        <f t="shared" ref="J27" si="124">I27*1000</f>
        <v>5.4805345536543317</v>
      </c>
      <c r="K27" s="33"/>
      <c r="L27" s="34"/>
      <c r="M27" s="36">
        <v>10.545000000000002</v>
      </c>
      <c r="N27" s="2">
        <v>-23.370999999999999</v>
      </c>
      <c r="O27" s="5">
        <f t="shared" si="1"/>
        <v>-12.30575</v>
      </c>
      <c r="P27" s="36">
        <f t="shared" ref="P27" si="125">AVERAGE(O27:O28)</f>
        <v>-14.09125</v>
      </c>
      <c r="Q27" s="42">
        <f t="shared" ref="Q27" si="126">_xlfn.STDEV.S(O27:O28)/SQRT(2)</f>
        <v>1.7855000000000054</v>
      </c>
      <c r="R27" s="42">
        <f t="shared" ref="R27" si="127">P27/1000</f>
        <v>-1.4091250000000001E-2</v>
      </c>
      <c r="S27" s="36">
        <f t="shared" ref="S27" si="128">(-R27*1*0.205)/(21000*0.6*0.01*10^-3)</f>
        <v>2.2926240079365081E-2</v>
      </c>
      <c r="T27" s="36">
        <f>S27/M27</f>
        <v>2.1741337201863515E-3</v>
      </c>
      <c r="U27" s="33">
        <f t="shared" ref="U27" si="129">T27*1000</f>
        <v>2.1741337201863513</v>
      </c>
      <c r="V27" s="33"/>
      <c r="W27" s="34"/>
    </row>
    <row r="28" spans="1:23" x14ac:dyDescent="0.35">
      <c r="A28" s="37"/>
      <c r="B28" s="38"/>
      <c r="C28" s="2">
        <v>-19.414999999999999</v>
      </c>
      <c r="D28" s="5">
        <f t="shared" si="0"/>
        <v>-8.3497500000000002</v>
      </c>
      <c r="E28" s="36"/>
      <c r="F28" s="42"/>
      <c r="G28" s="42"/>
      <c r="H28" s="36"/>
      <c r="I28" s="36"/>
      <c r="J28" s="33"/>
      <c r="K28" s="33"/>
      <c r="L28" s="34"/>
      <c r="M28" s="36"/>
      <c r="N28" s="2">
        <v>-26.942</v>
      </c>
      <c r="O28" s="5">
        <f t="shared" si="1"/>
        <v>-15.876750000000001</v>
      </c>
      <c r="P28" s="36"/>
      <c r="Q28" s="42"/>
      <c r="R28" s="42"/>
      <c r="S28" s="36"/>
      <c r="T28" s="36"/>
      <c r="U28" s="33"/>
      <c r="V28" s="33"/>
      <c r="W28" s="34"/>
    </row>
    <row r="29" spans="1:23" x14ac:dyDescent="0.35">
      <c r="A29" s="37">
        <v>14</v>
      </c>
      <c r="B29" s="38">
        <v>3.54</v>
      </c>
      <c r="C29" s="2">
        <v>-17.335999999999999</v>
      </c>
      <c r="D29" s="5">
        <f t="shared" si="0"/>
        <v>-6.2707499999999996</v>
      </c>
      <c r="E29" s="36">
        <f t="shared" ref="E29" si="130">AVERAGE(D29:D30)</f>
        <v>-5.6797500000000003</v>
      </c>
      <c r="F29" s="42">
        <f t="shared" ref="F29" si="131">_xlfn.STDEV.S(D29:D30)/SQRT(2)</f>
        <v>0.59100000000000408</v>
      </c>
      <c r="G29" s="42">
        <f t="shared" ref="G29" si="132">E29/1000</f>
        <v>-5.6797499999999999E-3</v>
      </c>
      <c r="H29" s="36">
        <f t="shared" ref="H29" si="133">(-G29*2*0.205)/(21000*0.6*0.01*10^-3)</f>
        <v>1.8481726190476191E-2</v>
      </c>
      <c r="I29" s="36">
        <f>H29/B29</f>
        <v>5.2208266074791499E-3</v>
      </c>
      <c r="J29" s="33">
        <f t="shared" ref="J29" si="134">I29*1000</f>
        <v>5.2208266074791503</v>
      </c>
      <c r="K29" s="33"/>
      <c r="L29" s="34"/>
      <c r="M29" s="36">
        <v>9.7050000000000001</v>
      </c>
      <c r="N29" s="2">
        <v>-23.029</v>
      </c>
      <c r="O29" s="5">
        <f t="shared" si="1"/>
        <v>-11.963750000000001</v>
      </c>
      <c r="P29" s="36">
        <f t="shared" ref="P29" si="135">AVERAGE(O29:O30)</f>
        <v>-11.997750000000002</v>
      </c>
      <c r="Q29" s="42">
        <f t="shared" ref="Q29" si="136">_xlfn.STDEV.S(O29:O30)/SQRT(2)</f>
        <v>3.4000000000000696E-2</v>
      </c>
      <c r="R29" s="42">
        <f t="shared" ref="R29" si="137">P29/1000</f>
        <v>-1.1997750000000001E-2</v>
      </c>
      <c r="S29" s="36">
        <f t="shared" ref="S29" si="138">(-R29*1*0.205)/(21000*0.6*0.01*10^-3)</f>
        <v>1.952014880952381E-2</v>
      </c>
      <c r="T29" s="36">
        <f>S29/M29</f>
        <v>2.011349697014303E-3</v>
      </c>
      <c r="U29" s="33">
        <f t="shared" ref="U29" si="139">T29*1000</f>
        <v>2.0113496970143032</v>
      </c>
      <c r="V29" s="33"/>
      <c r="W29" s="34"/>
    </row>
    <row r="30" spans="1:23" x14ac:dyDescent="0.35">
      <c r="A30" s="37"/>
      <c r="B30" s="38"/>
      <c r="C30" s="2">
        <v>-16.154</v>
      </c>
      <c r="D30" s="5">
        <f t="shared" si="0"/>
        <v>-5.088750000000001</v>
      </c>
      <c r="E30" s="36"/>
      <c r="F30" s="42"/>
      <c r="G30" s="42"/>
      <c r="H30" s="36"/>
      <c r="I30" s="36"/>
      <c r="J30" s="33"/>
      <c r="K30" s="33"/>
      <c r="L30" s="34"/>
      <c r="M30" s="36"/>
      <c r="N30" s="2">
        <v>-23.097000000000001</v>
      </c>
      <c r="O30" s="5">
        <f t="shared" si="1"/>
        <v>-12.031750000000002</v>
      </c>
      <c r="P30" s="36"/>
      <c r="Q30" s="42"/>
      <c r="R30" s="42"/>
      <c r="S30" s="36"/>
      <c r="T30" s="36"/>
      <c r="U30" s="33"/>
      <c r="V30" s="33"/>
      <c r="W30" s="34"/>
    </row>
    <row r="31" spans="1:23" x14ac:dyDescent="0.35">
      <c r="A31" s="37">
        <v>15</v>
      </c>
      <c r="B31" s="38">
        <v>5.22</v>
      </c>
      <c r="C31" s="2">
        <v>-18.238</v>
      </c>
      <c r="D31" s="5">
        <f t="shared" si="0"/>
        <v>-7.1727500000000006</v>
      </c>
      <c r="E31" s="36">
        <f t="shared" ref="E31" si="140">AVERAGE(D31:D32)</f>
        <v>-7.5127500000000005</v>
      </c>
      <c r="F31" s="42">
        <f t="shared" ref="F31" si="141">_xlfn.STDEV.S(D31:D32)/SQRT(2)</f>
        <v>0.33999999999999986</v>
      </c>
      <c r="G31" s="42">
        <f t="shared" ref="G31" si="142">E31/1000</f>
        <v>-7.5127500000000003E-3</v>
      </c>
      <c r="H31" s="36">
        <f t="shared" ref="H31" si="143">(-G31*2*0.205)/(21000*0.6*0.01*10^-3)</f>
        <v>2.4446249999999999E-2</v>
      </c>
      <c r="I31" s="36">
        <f>H31/B31</f>
        <v>4.6831896551724136E-3</v>
      </c>
      <c r="J31" s="33">
        <f t="shared" ref="J31" si="144">I31*1000</f>
        <v>4.6831896551724137</v>
      </c>
      <c r="K31" s="33"/>
      <c r="L31" s="34"/>
      <c r="M31" s="36">
        <v>10.020000000000001</v>
      </c>
      <c r="N31" s="2">
        <v>-27.145</v>
      </c>
      <c r="O31" s="5">
        <f t="shared" si="1"/>
        <v>-16.079750000000001</v>
      </c>
      <c r="P31" s="36">
        <f t="shared" ref="P31" si="145">AVERAGE(O31:O32)</f>
        <v>-16.437249999999999</v>
      </c>
      <c r="Q31" s="42">
        <f t="shared" ref="Q31" si="146">_xlfn.STDEV.S(O31:O32)/SQRT(2)</f>
        <v>0.35749999999999993</v>
      </c>
      <c r="R31" s="42">
        <f t="shared" ref="R31" si="147">P31/1000</f>
        <v>-1.643725E-2</v>
      </c>
      <c r="S31" s="36">
        <f t="shared" ref="S31" si="148">(-R31*1*0.205)/(21000*0.6*0.01*10^-3)</f>
        <v>2.6743144841269842E-2</v>
      </c>
      <c r="T31" s="36">
        <f>S31/M31</f>
        <v>2.668976531064854E-3</v>
      </c>
      <c r="U31" s="33">
        <f t="shared" ref="U31" si="149">T31*1000</f>
        <v>2.6689765310648541</v>
      </c>
      <c r="V31" s="33"/>
      <c r="W31" s="34"/>
    </row>
    <row r="32" spans="1:23" x14ac:dyDescent="0.35">
      <c r="A32" s="37"/>
      <c r="B32" s="38"/>
      <c r="C32" s="2">
        <v>-18.917999999999999</v>
      </c>
      <c r="D32" s="5">
        <f t="shared" si="0"/>
        <v>-7.8527500000000003</v>
      </c>
      <c r="E32" s="36"/>
      <c r="F32" s="42"/>
      <c r="G32" s="42"/>
      <c r="H32" s="36"/>
      <c r="I32" s="36"/>
      <c r="J32" s="33"/>
      <c r="K32" s="33"/>
      <c r="L32" s="34"/>
      <c r="M32" s="36"/>
      <c r="N32" s="2">
        <v>-27.86</v>
      </c>
      <c r="O32" s="5">
        <f t="shared" si="1"/>
        <v>-16.794750000000001</v>
      </c>
      <c r="P32" s="36"/>
      <c r="Q32" s="42"/>
      <c r="R32" s="42"/>
      <c r="S32" s="36"/>
      <c r="T32" s="36"/>
      <c r="U32" s="33"/>
      <c r="V32" s="33"/>
      <c r="W32" s="34"/>
    </row>
    <row r="33" spans="1:23" x14ac:dyDescent="0.35">
      <c r="A33" s="37">
        <v>16</v>
      </c>
      <c r="B33" s="38">
        <v>6.9149999999999991</v>
      </c>
      <c r="C33" s="2">
        <v>-20.614999999999998</v>
      </c>
      <c r="D33" s="5">
        <f t="shared" si="0"/>
        <v>-9.5497499999999995</v>
      </c>
      <c r="E33" s="36">
        <f t="shared" ref="E33" si="150">AVERAGE(D33:D34)</f>
        <v>-7.9402500000000007</v>
      </c>
      <c r="F33" s="42">
        <f t="shared" ref="F33" si="151">_xlfn.STDEV.S(D33:D34)/SQRT(2)</f>
        <v>1.6094999999999959</v>
      </c>
      <c r="G33" s="42">
        <f t="shared" ref="G33" si="152">E33/1000</f>
        <v>-7.9402500000000011E-3</v>
      </c>
      <c r="H33" s="36">
        <f t="shared" ref="H33" si="153">(-G33*2*0.205)/(21000*0.6*0.01*10^-3)</f>
        <v>2.5837321428571428E-2</v>
      </c>
      <c r="I33" s="36">
        <f>H33/B33</f>
        <v>3.7364166924904454E-3</v>
      </c>
      <c r="J33" s="33">
        <f t="shared" ref="J33" si="154">I33*1000</f>
        <v>3.7364166924904456</v>
      </c>
      <c r="K33" s="33">
        <f>AVERAGE(J33:J38)</f>
        <v>5.0353018942957251</v>
      </c>
      <c r="L33" s="34">
        <f>(_xlfn.STDEV.S(J33:J38)/SQRT(3))/K33</f>
        <v>0.12934043228915118</v>
      </c>
      <c r="M33" s="36">
        <v>12.6</v>
      </c>
      <c r="N33" s="2">
        <v>-23.507999999999999</v>
      </c>
      <c r="O33" s="5">
        <f t="shared" si="1"/>
        <v>-12.44275</v>
      </c>
      <c r="P33" s="36">
        <f t="shared" ref="P33" si="155">AVERAGE(O33:O34)</f>
        <v>-12.68375</v>
      </c>
      <c r="Q33" s="42">
        <f t="shared" ref="Q33" si="156">_xlfn.STDEV.S(O33:O34)/SQRT(2)</f>
        <v>0.24099999999999963</v>
      </c>
      <c r="R33" s="42">
        <f t="shared" ref="R33" si="157">P33/1000</f>
        <v>-1.2683750000000001E-2</v>
      </c>
      <c r="S33" s="36">
        <f t="shared" ref="S33" si="158">(-R33*1*0.205)/(21000*0.6*0.01*10^-3)</f>
        <v>2.063625992063492E-2</v>
      </c>
      <c r="T33" s="36">
        <f>S33/M33</f>
        <v>1.6377984063995969E-3</v>
      </c>
      <c r="U33" s="33">
        <f t="shared" ref="U33" si="159">T33*1000</f>
        <v>1.637798406399597</v>
      </c>
      <c r="V33" s="33">
        <f>AVERAGE(U33:U38)</f>
        <v>2.2609573653297592</v>
      </c>
      <c r="W33" s="34">
        <f>(_xlfn.STDEV.S(U33:U38)/SQRT(3))/V33</f>
        <v>0.23669728575491389</v>
      </c>
    </row>
    <row r="34" spans="1:23" x14ac:dyDescent="0.35">
      <c r="A34" s="37"/>
      <c r="B34" s="38"/>
      <c r="C34" s="2">
        <v>-17.396000000000001</v>
      </c>
      <c r="D34" s="5">
        <f t="shared" si="0"/>
        <v>-6.3307500000000019</v>
      </c>
      <c r="E34" s="36"/>
      <c r="F34" s="42"/>
      <c r="G34" s="42"/>
      <c r="H34" s="36"/>
      <c r="I34" s="36"/>
      <c r="J34" s="33"/>
      <c r="K34" s="33"/>
      <c r="L34" s="34"/>
      <c r="M34" s="36"/>
      <c r="N34" s="2">
        <v>-23.99</v>
      </c>
      <c r="O34" s="5">
        <f t="shared" si="1"/>
        <v>-12.92475</v>
      </c>
      <c r="P34" s="36"/>
      <c r="Q34" s="42"/>
      <c r="R34" s="42"/>
      <c r="S34" s="36"/>
      <c r="T34" s="36"/>
      <c r="U34" s="33"/>
      <c r="V34" s="33"/>
      <c r="W34" s="34"/>
    </row>
    <row r="35" spans="1:23" x14ac:dyDescent="0.35">
      <c r="A35" s="37">
        <v>17</v>
      </c>
      <c r="B35" s="38">
        <v>6.2399999999999993</v>
      </c>
      <c r="C35" s="2">
        <v>-22.437999999999999</v>
      </c>
      <c r="D35" s="5">
        <f t="shared" ref="D35:D66" si="160">C35-$Z$13</f>
        <v>-11.37275</v>
      </c>
      <c r="E35" s="36">
        <f t="shared" ref="E35" si="161">AVERAGE(D35:D36)</f>
        <v>-11.06325</v>
      </c>
      <c r="F35" s="42">
        <f t="shared" ref="F35" si="162">_xlfn.STDEV.S(D35:D36)/SQRT(2)</f>
        <v>0.30949999999999983</v>
      </c>
      <c r="G35" s="42">
        <f t="shared" ref="G35" si="163">E35/1000</f>
        <v>-1.106325E-2</v>
      </c>
      <c r="H35" s="36">
        <f t="shared" ref="H35" si="164">(-G35*2*0.205)/(21000*0.6*0.01*10^-3)</f>
        <v>3.5999464285714287E-2</v>
      </c>
      <c r="I35" s="36">
        <f>H35/B35</f>
        <v>5.7691449175824184E-3</v>
      </c>
      <c r="J35" s="33">
        <f t="shared" ref="J35" si="165">I35*1000</f>
        <v>5.7691449175824188</v>
      </c>
      <c r="K35" s="33"/>
      <c r="L35" s="34"/>
      <c r="M35" s="36">
        <v>10.485000000000001</v>
      </c>
      <c r="N35" s="2">
        <v>-31.943000000000001</v>
      </c>
      <c r="O35" s="5">
        <f t="shared" ref="O35:O66" si="166">N35-$Z$13</f>
        <v>-20.877750000000002</v>
      </c>
      <c r="P35" s="36">
        <f t="shared" ref="P35" si="167">AVERAGE(O35:O36)</f>
        <v>-21.435250000000003</v>
      </c>
      <c r="Q35" s="42">
        <f t="shared" ref="Q35" si="168">_xlfn.STDEV.S(O35:O36)/SQRT(2)</f>
        <v>0.55749999999999922</v>
      </c>
      <c r="R35" s="42">
        <f t="shared" ref="R35" si="169">P35/1000</f>
        <v>-2.1435250000000003E-2</v>
      </c>
      <c r="S35" s="36">
        <f t="shared" ref="S35" si="170">(-R35*1*0.205)/(21000*0.6*0.01*10^-3)</f>
        <v>3.4874811507936511E-2</v>
      </c>
      <c r="T35" s="36">
        <f>S35/M35</f>
        <v>3.3261622802037679E-3</v>
      </c>
      <c r="U35" s="33">
        <f t="shared" ref="U35" si="171">T35*1000</f>
        <v>3.3261622802037678</v>
      </c>
      <c r="V35" s="33"/>
      <c r="W35" s="34"/>
    </row>
    <row r="36" spans="1:23" x14ac:dyDescent="0.35">
      <c r="A36" s="37"/>
      <c r="B36" s="38"/>
      <c r="C36" s="2">
        <v>-21.818999999999999</v>
      </c>
      <c r="D36" s="5">
        <f t="shared" si="160"/>
        <v>-10.75375</v>
      </c>
      <c r="E36" s="36"/>
      <c r="F36" s="42"/>
      <c r="G36" s="42"/>
      <c r="H36" s="36"/>
      <c r="I36" s="36"/>
      <c r="J36" s="33"/>
      <c r="K36" s="33"/>
      <c r="L36" s="34"/>
      <c r="M36" s="36"/>
      <c r="N36" s="2">
        <v>-33.058</v>
      </c>
      <c r="O36" s="5">
        <f t="shared" si="166"/>
        <v>-21.992750000000001</v>
      </c>
      <c r="P36" s="36"/>
      <c r="Q36" s="42"/>
      <c r="R36" s="42"/>
      <c r="S36" s="36"/>
      <c r="T36" s="36"/>
      <c r="U36" s="33"/>
      <c r="V36" s="33"/>
      <c r="W36" s="34"/>
    </row>
    <row r="37" spans="1:23" x14ac:dyDescent="0.35">
      <c r="A37" s="37">
        <v>18</v>
      </c>
      <c r="B37" s="38">
        <v>5.04</v>
      </c>
      <c r="C37" s="2">
        <v>-20.49</v>
      </c>
      <c r="D37" s="5">
        <f t="shared" si="160"/>
        <v>-9.4247499999999995</v>
      </c>
      <c r="E37" s="36">
        <f t="shared" ref="E37" si="172">AVERAGE(D37:D38)</f>
        <v>-8.6742500000000007</v>
      </c>
      <c r="F37" s="42">
        <f t="shared" ref="F37" si="173">_xlfn.STDEV.S(D37:D38)/SQRT(2)</f>
        <v>0.75049999999999883</v>
      </c>
      <c r="G37" s="42">
        <f t="shared" ref="G37" si="174">E37/1000</f>
        <v>-8.6742500000000014E-3</v>
      </c>
      <c r="H37" s="36">
        <f t="shared" ref="H37" si="175">(-G37*2*0.205)/(21000*0.6*0.01*10^-3)</f>
        <v>2.822573412698413E-2</v>
      </c>
      <c r="I37" s="36">
        <f>H37/B37</f>
        <v>5.6003440728143112E-3</v>
      </c>
      <c r="J37" s="33">
        <f t="shared" ref="J37" si="176">I37*1000</f>
        <v>5.6003440728143108</v>
      </c>
      <c r="K37" s="33"/>
      <c r="L37" s="34"/>
      <c r="M37" s="36">
        <v>10.59</v>
      </c>
      <c r="N37" s="2">
        <v>-21.809000000000001</v>
      </c>
      <c r="O37" s="5">
        <f t="shared" si="166"/>
        <v>-10.743750000000002</v>
      </c>
      <c r="P37" s="36">
        <f t="shared" ref="P37" si="177">AVERAGE(O37:O38)</f>
        <v>-11.839250000000002</v>
      </c>
      <c r="Q37" s="42">
        <f t="shared" ref="Q37" si="178">_xlfn.STDEV.S(O37:O38)/SQRT(2)</f>
        <v>1.0954999999999993</v>
      </c>
      <c r="R37" s="42">
        <f t="shared" ref="R37" si="179">P37/1000</f>
        <v>-1.1839250000000001E-2</v>
      </c>
      <c r="S37" s="36">
        <f t="shared" ref="S37" si="180">(-R37*1*0.205)/(21000*0.6*0.01*10^-3)</f>
        <v>1.9262271825396825E-2</v>
      </c>
      <c r="T37" s="36">
        <f>S37/M37</f>
        <v>1.8189114093859135E-3</v>
      </c>
      <c r="U37" s="33">
        <f t="shared" ref="U37" si="181">T37*1000</f>
        <v>1.8189114093859136</v>
      </c>
      <c r="V37" s="33"/>
      <c r="W37" s="34"/>
    </row>
    <row r="38" spans="1:23" x14ac:dyDescent="0.35">
      <c r="A38" s="37"/>
      <c r="B38" s="38"/>
      <c r="C38" s="2">
        <v>-18.989000000000001</v>
      </c>
      <c r="D38" s="5">
        <f t="shared" si="160"/>
        <v>-7.9237500000000018</v>
      </c>
      <c r="E38" s="36"/>
      <c r="F38" s="42"/>
      <c r="G38" s="42"/>
      <c r="H38" s="36"/>
      <c r="I38" s="36"/>
      <c r="J38" s="33"/>
      <c r="K38" s="33"/>
      <c r="L38" s="34"/>
      <c r="M38" s="36"/>
      <c r="N38" s="2">
        <v>-24</v>
      </c>
      <c r="O38" s="5">
        <f t="shared" si="166"/>
        <v>-12.934750000000001</v>
      </c>
      <c r="P38" s="36"/>
      <c r="Q38" s="42"/>
      <c r="R38" s="42"/>
      <c r="S38" s="36"/>
      <c r="T38" s="36"/>
      <c r="U38" s="33"/>
      <c r="V38" s="33"/>
      <c r="W38" s="34"/>
    </row>
    <row r="39" spans="1:23" x14ac:dyDescent="0.35">
      <c r="A39" s="37">
        <v>19</v>
      </c>
      <c r="B39" s="38">
        <v>7.5449999999999999</v>
      </c>
      <c r="C39" s="2">
        <v>-20.440000000000001</v>
      </c>
      <c r="D39" s="5">
        <f t="shared" si="160"/>
        <v>-9.3747500000000024</v>
      </c>
      <c r="E39" s="36">
        <f t="shared" ref="E39" si="182">AVERAGE(D39:D40)</f>
        <v>-8.9787500000000016</v>
      </c>
      <c r="F39" s="42">
        <f t="shared" ref="F39" si="183">_xlfn.STDEV.S(D39:D40)/SQRT(2)</f>
        <v>0.3960000000000008</v>
      </c>
      <c r="G39" s="42">
        <f t="shared" ref="G39" si="184">E39/1000</f>
        <v>-8.9787500000000024E-3</v>
      </c>
      <c r="H39" s="36">
        <f t="shared" ref="H39" si="185">(-G39*2*0.205)/(21000*0.6*0.01*10^-3)</f>
        <v>2.9216567460317467E-2</v>
      </c>
      <c r="I39" s="36">
        <f>H39/B39</f>
        <v>3.8723084771792537E-3</v>
      </c>
      <c r="J39" s="33">
        <f t="shared" ref="J39" si="186">I39*1000</f>
        <v>3.8723084771792537</v>
      </c>
      <c r="K39" s="33">
        <f t="shared" ref="K39" si="187">AVERAGE(J39:J44)</f>
        <v>4.7733109071958424</v>
      </c>
      <c r="L39" s="34">
        <f t="shared" ref="L39" si="188">(_xlfn.STDEV.S(J39:J44)/SQRT(3))/K39</f>
        <v>0.13627082055178316</v>
      </c>
      <c r="M39" s="36">
        <v>10.74</v>
      </c>
      <c r="N39" s="2">
        <v>-24.629000000000001</v>
      </c>
      <c r="O39" s="5">
        <f t="shared" si="166"/>
        <v>-13.563750000000002</v>
      </c>
      <c r="P39" s="36">
        <f t="shared" ref="P39" si="189">AVERAGE(O39:O40)</f>
        <v>-15.146250000000002</v>
      </c>
      <c r="Q39" s="42">
        <f t="shared" ref="Q39" si="190">_xlfn.STDEV.S(O39:O40)/SQRT(2)</f>
        <v>1.582500000000004</v>
      </c>
      <c r="R39" s="42">
        <f t="shared" ref="R39" si="191">P39/1000</f>
        <v>-1.5146250000000002E-2</v>
      </c>
      <c r="S39" s="36">
        <f t="shared" ref="S39" si="192">(-R39*1*0.205)/(21000*0.6*0.01*10^-3)</f>
        <v>2.4642708333333332E-2</v>
      </c>
      <c r="T39" s="36">
        <f>S39/M39</f>
        <v>2.2944793606455615E-3</v>
      </c>
      <c r="U39" s="33">
        <f t="shared" ref="U39" si="193">T39*1000</f>
        <v>2.2944793606455613</v>
      </c>
      <c r="V39" s="33">
        <f t="shared" ref="V39" si="194">AVERAGE(U39:U44)</f>
        <v>2.3924564565217548</v>
      </c>
      <c r="W39" s="34">
        <f t="shared" ref="W39" si="195">(_xlfn.STDEV.S(U39:U44)/SQRT(3))/V39</f>
        <v>3.3622565342147206E-2</v>
      </c>
    </row>
    <row r="40" spans="1:23" x14ac:dyDescent="0.35">
      <c r="A40" s="37"/>
      <c r="B40" s="38"/>
      <c r="C40" s="2">
        <v>-19.648</v>
      </c>
      <c r="D40" s="5">
        <f t="shared" si="160"/>
        <v>-8.5827500000000008</v>
      </c>
      <c r="E40" s="36"/>
      <c r="F40" s="42"/>
      <c r="G40" s="42"/>
      <c r="H40" s="36"/>
      <c r="I40" s="36"/>
      <c r="J40" s="33"/>
      <c r="K40" s="33"/>
      <c r="L40" s="34"/>
      <c r="M40" s="36"/>
      <c r="N40" s="2">
        <v>-27.794</v>
      </c>
      <c r="O40" s="5">
        <f t="shared" si="166"/>
        <v>-16.728750000000002</v>
      </c>
      <c r="P40" s="36"/>
      <c r="Q40" s="42"/>
      <c r="R40" s="42"/>
      <c r="S40" s="36"/>
      <c r="T40" s="36"/>
      <c r="U40" s="33"/>
      <c r="V40" s="33"/>
      <c r="W40" s="34"/>
    </row>
    <row r="41" spans="1:23" x14ac:dyDescent="0.35">
      <c r="A41" s="37">
        <v>20</v>
      </c>
      <c r="B41" s="38">
        <v>5.52</v>
      </c>
      <c r="C41" s="2">
        <v>-18.335000000000001</v>
      </c>
      <c r="D41" s="5">
        <f t="shared" si="160"/>
        <v>-7.2697500000000019</v>
      </c>
      <c r="E41" s="36">
        <f t="shared" ref="E41" si="196">AVERAGE(D41:D42)</f>
        <v>-10.240250000000001</v>
      </c>
      <c r="F41" s="42">
        <f t="shared" ref="F41" si="197">_xlfn.STDEV.S(D41:D42)/SQRT(2)</f>
        <v>2.9704999999999999</v>
      </c>
      <c r="G41" s="42">
        <f t="shared" ref="G41" si="198">E41/1000</f>
        <v>-1.0240250000000001E-2</v>
      </c>
      <c r="H41" s="36">
        <f t="shared" ref="H41" si="199">(-G41*2*0.205)/(21000*0.6*0.01*10^-3)</f>
        <v>3.3321448412698414E-2</v>
      </c>
      <c r="I41" s="36">
        <f>H41/B41</f>
        <v>6.0364942776627564E-3</v>
      </c>
      <c r="J41" s="33">
        <f t="shared" ref="J41" si="200">I41*1000</f>
        <v>6.0364942776627561</v>
      </c>
      <c r="K41" s="33"/>
      <c r="L41" s="34"/>
      <c r="M41" s="36">
        <v>8.6999999999999993</v>
      </c>
      <c r="N41" s="2">
        <v>-24.03</v>
      </c>
      <c r="O41" s="5">
        <f t="shared" si="166"/>
        <v>-12.964750000000002</v>
      </c>
      <c r="P41" s="36">
        <f t="shared" ref="P41" si="201">AVERAGE(O41:O42)</f>
        <v>-12.464250000000002</v>
      </c>
      <c r="Q41" s="42">
        <f t="shared" ref="Q41" si="202">_xlfn.STDEV.S(O41:O42)/SQRT(2)</f>
        <v>0.50050000000000061</v>
      </c>
      <c r="R41" s="42">
        <f t="shared" ref="R41" si="203">P41/1000</f>
        <v>-1.2464250000000001E-2</v>
      </c>
      <c r="S41" s="36">
        <f t="shared" ref="S41" si="204">(-R41*1*0.205)/(21000*0.6*0.01*10^-3)</f>
        <v>2.0279136904761904E-2</v>
      </c>
      <c r="T41" s="36">
        <f>S41/M41</f>
        <v>2.3309352764094146E-3</v>
      </c>
      <c r="U41" s="33">
        <f t="shared" ref="U41" si="205">T41*1000</f>
        <v>2.3309352764094147</v>
      </c>
      <c r="V41" s="33"/>
      <c r="W41" s="34"/>
    </row>
    <row r="42" spans="1:23" x14ac:dyDescent="0.35">
      <c r="A42" s="37"/>
      <c r="B42" s="38"/>
      <c r="C42" s="2">
        <v>-24.276</v>
      </c>
      <c r="D42" s="5">
        <f t="shared" si="160"/>
        <v>-13.210750000000001</v>
      </c>
      <c r="E42" s="36"/>
      <c r="F42" s="42"/>
      <c r="G42" s="42"/>
      <c r="H42" s="36"/>
      <c r="I42" s="36"/>
      <c r="J42" s="33"/>
      <c r="K42" s="33"/>
      <c r="L42" s="34"/>
      <c r="M42" s="36"/>
      <c r="N42" s="2">
        <v>-23.029</v>
      </c>
      <c r="O42" s="5">
        <f t="shared" si="166"/>
        <v>-11.963750000000001</v>
      </c>
      <c r="P42" s="36"/>
      <c r="Q42" s="42"/>
      <c r="R42" s="42"/>
      <c r="S42" s="36"/>
      <c r="T42" s="36"/>
      <c r="U42" s="33"/>
      <c r="V42" s="33"/>
      <c r="W42" s="34"/>
    </row>
    <row r="43" spans="1:23" x14ac:dyDescent="0.35">
      <c r="A43" s="37">
        <v>21</v>
      </c>
      <c r="B43" s="38">
        <v>6.9449999999999994</v>
      </c>
      <c r="C43" s="2">
        <v>-21.443999999999999</v>
      </c>
      <c r="D43" s="5">
        <f t="shared" si="160"/>
        <v>-10.37875</v>
      </c>
      <c r="E43" s="36">
        <f t="shared" ref="E43" si="206">AVERAGE(D43:D44)</f>
        <v>-9.4147499999999997</v>
      </c>
      <c r="F43" s="42">
        <f t="shared" ref="F43" si="207">_xlfn.STDEV.S(D43:D44)/SQRT(2)</f>
        <v>0.96399999999999664</v>
      </c>
      <c r="G43" s="42">
        <f t="shared" ref="G43" si="208">E43/1000</f>
        <v>-9.4147499999999995E-3</v>
      </c>
      <c r="H43" s="36">
        <f t="shared" ref="H43" si="209">(-G43*2*0.205)/(21000*0.6*0.01*10^-3)</f>
        <v>3.0635297619047614E-2</v>
      </c>
      <c r="I43" s="36">
        <f>H43/B43</f>
        <v>4.4111299667455176E-3</v>
      </c>
      <c r="J43" s="33">
        <f t="shared" ref="J43" si="210">I43*1000</f>
        <v>4.4111299667455173</v>
      </c>
      <c r="K43" s="33"/>
      <c r="L43" s="34"/>
      <c r="M43" s="36">
        <v>8.2349999999999994</v>
      </c>
      <c r="N43" s="2">
        <v>-23.036000000000001</v>
      </c>
      <c r="O43" s="5">
        <f t="shared" si="166"/>
        <v>-11.970750000000002</v>
      </c>
      <c r="P43" s="36">
        <f t="shared" ref="P43" si="211">AVERAGE(O43:O44)</f>
        <v>-12.916750000000002</v>
      </c>
      <c r="Q43" s="42">
        <f t="shared" ref="Q43" si="212">_xlfn.STDEV.S(O43:O44)/SQRT(2)</f>
        <v>0.94599999999999962</v>
      </c>
      <c r="R43" s="42">
        <f t="shared" ref="R43" si="213">P43/1000</f>
        <v>-1.2916750000000003E-2</v>
      </c>
      <c r="S43" s="36">
        <f t="shared" ref="S43" si="214">(-R43*1*0.205)/(21000*0.6*0.01*10^-3)</f>
        <v>2.1015347222222223E-2</v>
      </c>
      <c r="T43" s="36">
        <f>S43/M43</f>
        <v>2.5519547325102885E-3</v>
      </c>
      <c r="U43" s="33">
        <f t="shared" ref="U43" si="215">T43*1000</f>
        <v>2.5519547325102883</v>
      </c>
      <c r="V43" s="33"/>
      <c r="W43" s="34"/>
    </row>
    <row r="44" spans="1:23" x14ac:dyDescent="0.35">
      <c r="A44" s="37"/>
      <c r="B44" s="38"/>
      <c r="C44" s="2">
        <v>-19.515999999999998</v>
      </c>
      <c r="D44" s="5">
        <f t="shared" si="160"/>
        <v>-8.4507499999999993</v>
      </c>
      <c r="E44" s="36"/>
      <c r="F44" s="42"/>
      <c r="G44" s="42"/>
      <c r="H44" s="36"/>
      <c r="I44" s="36"/>
      <c r="J44" s="33"/>
      <c r="K44" s="33"/>
      <c r="L44" s="34"/>
      <c r="M44" s="36"/>
      <c r="N44" s="2">
        <v>-24.928000000000001</v>
      </c>
      <c r="O44" s="5">
        <f t="shared" si="166"/>
        <v>-13.862750000000002</v>
      </c>
      <c r="P44" s="36"/>
      <c r="Q44" s="42"/>
      <c r="R44" s="42"/>
      <c r="S44" s="36"/>
      <c r="T44" s="36"/>
      <c r="U44" s="33"/>
      <c r="V44" s="33"/>
      <c r="W44" s="34"/>
    </row>
    <row r="45" spans="1:23" x14ac:dyDescent="0.35">
      <c r="A45" s="37">
        <v>22</v>
      </c>
      <c r="B45" s="38">
        <v>3.9750000000000001</v>
      </c>
      <c r="C45" s="2">
        <v>-17.183</v>
      </c>
      <c r="D45" s="5">
        <f t="shared" si="160"/>
        <v>-6.1177500000000009</v>
      </c>
      <c r="E45" s="36">
        <f t="shared" ref="E45" si="216">AVERAGE(D45:D46)</f>
        <v>-7.0462500000000006</v>
      </c>
      <c r="F45" s="42">
        <f t="shared" ref="F45" si="217">_xlfn.STDEV.S(D45:D46)/SQRT(2)</f>
        <v>0.92850000000000132</v>
      </c>
      <c r="G45" s="42">
        <f t="shared" ref="G45" si="218">E45/1000</f>
        <v>-7.0462500000000004E-3</v>
      </c>
      <c r="H45" s="36">
        <f t="shared" ref="H45" si="219">(-G45*2*0.205)/(21000*0.6*0.01*10^-3)</f>
        <v>2.2928273809523808E-2</v>
      </c>
      <c r="I45" s="36">
        <f>H45/B45</f>
        <v>5.7681191973644802E-3</v>
      </c>
      <c r="J45" s="33">
        <f t="shared" ref="J45" si="220">I45*1000</f>
        <v>5.7681191973644799</v>
      </c>
      <c r="K45" s="33">
        <f t="shared" ref="K45" si="221">AVERAGE(J45:J50)</f>
        <v>4.835194226960521</v>
      </c>
      <c r="L45" s="34">
        <f t="shared" ref="L45" si="222">(_xlfn.STDEV.S(J45:J50)/SQRT(3))/K45</f>
        <v>0.21368051979229707</v>
      </c>
      <c r="M45" s="36">
        <v>10.86</v>
      </c>
      <c r="N45" s="2">
        <v>-34.619999999999997</v>
      </c>
      <c r="O45" s="5">
        <f t="shared" si="166"/>
        <v>-23.554749999999999</v>
      </c>
      <c r="P45" s="36">
        <f t="shared" ref="P45" si="223">AVERAGE(O45:O46)</f>
        <v>-24.74175</v>
      </c>
      <c r="Q45" s="42">
        <f t="shared" ref="Q45" si="224">_xlfn.STDEV.S(O45:O46)/SQRT(2)</f>
        <v>1.1870000000000012</v>
      </c>
      <c r="R45" s="42">
        <f t="shared" ref="R45" si="225">P45/1000</f>
        <v>-2.474175E-2</v>
      </c>
      <c r="S45" s="36">
        <f t="shared" ref="S45" si="226">(-R45*1*0.205)/(21000*0.6*0.01*10^-3)</f>
        <v>4.0254434523809522E-2</v>
      </c>
      <c r="T45" s="36">
        <f>S45/M45</f>
        <v>3.7066698456546523E-3</v>
      </c>
      <c r="U45" s="33">
        <f t="shared" ref="U45" si="227">T45*1000</f>
        <v>3.7066698456546523</v>
      </c>
      <c r="V45" s="33">
        <f t="shared" ref="V45" si="228">AVERAGE(U45:U50)</f>
        <v>2.7101409280219859</v>
      </c>
      <c r="W45" s="34">
        <f t="shared" ref="W45" si="229">(_xlfn.STDEV.S(U45:U50)/SQRT(3))/V45</f>
        <v>0.20852907567468265</v>
      </c>
    </row>
    <row r="46" spans="1:23" x14ac:dyDescent="0.35">
      <c r="A46" s="37"/>
      <c r="B46" s="38"/>
      <c r="C46" s="2">
        <v>-19.04</v>
      </c>
      <c r="D46" s="5">
        <f t="shared" si="160"/>
        <v>-7.9747500000000002</v>
      </c>
      <c r="E46" s="36"/>
      <c r="F46" s="42"/>
      <c r="G46" s="42"/>
      <c r="H46" s="36"/>
      <c r="I46" s="36"/>
      <c r="J46" s="33"/>
      <c r="K46" s="33"/>
      <c r="L46" s="34"/>
      <c r="M46" s="36"/>
      <c r="N46" s="2">
        <v>-36.994</v>
      </c>
      <c r="O46" s="5">
        <f t="shared" si="166"/>
        <v>-25.928750000000001</v>
      </c>
      <c r="P46" s="36"/>
      <c r="Q46" s="42"/>
      <c r="R46" s="42"/>
      <c r="S46" s="36"/>
      <c r="T46" s="36"/>
      <c r="U46" s="33"/>
      <c r="V46" s="33"/>
      <c r="W46" s="34"/>
    </row>
    <row r="47" spans="1:23" x14ac:dyDescent="0.35">
      <c r="A47" s="37">
        <v>23</v>
      </c>
      <c r="B47" s="38">
        <v>6.81</v>
      </c>
      <c r="C47" s="2">
        <v>-15.444000000000001</v>
      </c>
      <c r="D47" s="5">
        <f t="shared" si="160"/>
        <v>-4.3787500000000019</v>
      </c>
      <c r="E47" s="36">
        <f t="shared" ref="E47" si="230">AVERAGE(D47:D48)</f>
        <v>-5.8012500000000022</v>
      </c>
      <c r="F47" s="42">
        <f t="shared" ref="F47" si="231">_xlfn.STDEV.S(D47:D48)/SQRT(2)</f>
        <v>1.4225000000000012</v>
      </c>
      <c r="G47" s="42">
        <f t="shared" ref="G47" si="232">E47/1000</f>
        <v>-5.8012500000000026E-3</v>
      </c>
      <c r="H47" s="36">
        <f t="shared" ref="H47" si="233">(-G47*2*0.205)/(21000*0.6*0.01*10^-3)</f>
        <v>1.8877083333333339E-2</v>
      </c>
      <c r="I47" s="36">
        <f>H47/B47</f>
        <v>2.7719652471855124E-3</v>
      </c>
      <c r="J47" s="33">
        <f t="shared" ref="J47" si="234">I47*1000</f>
        <v>2.7719652471855123</v>
      </c>
      <c r="K47" s="33"/>
      <c r="L47" s="34"/>
      <c r="M47" s="36">
        <v>12.690000000000001</v>
      </c>
      <c r="N47" s="2">
        <v>-23.876999999999999</v>
      </c>
      <c r="O47" s="5">
        <f t="shared" si="166"/>
        <v>-12.81175</v>
      </c>
      <c r="P47" s="36">
        <f t="shared" ref="P47" si="235">AVERAGE(O47:O48)</f>
        <v>-13.64925</v>
      </c>
      <c r="Q47" s="42">
        <f t="shared" ref="Q47" si="236">_xlfn.STDEV.S(O47:O48)/SQRT(2)</f>
        <v>0.83750000000000036</v>
      </c>
      <c r="R47" s="42">
        <f t="shared" ref="R47" si="237">P47/1000</f>
        <v>-1.364925E-2</v>
      </c>
      <c r="S47" s="36">
        <f t="shared" ref="S47" si="238">(-R47*1*0.205)/(21000*0.6*0.01*10^-3)</f>
        <v>2.2207113095238092E-2</v>
      </c>
      <c r="T47" s="36">
        <f>S47/M47</f>
        <v>1.7499695110510709E-3</v>
      </c>
      <c r="U47" s="33">
        <f t="shared" ref="U47" si="239">T47*1000</f>
        <v>1.7499695110510709</v>
      </c>
      <c r="V47" s="33"/>
      <c r="W47" s="34"/>
    </row>
    <row r="48" spans="1:23" x14ac:dyDescent="0.35">
      <c r="A48" s="37"/>
      <c r="B48" s="38"/>
      <c r="C48" s="2">
        <v>-18.289000000000001</v>
      </c>
      <c r="D48" s="5">
        <f t="shared" si="160"/>
        <v>-7.2237500000000026</v>
      </c>
      <c r="E48" s="36"/>
      <c r="F48" s="42"/>
      <c r="G48" s="42"/>
      <c r="H48" s="36"/>
      <c r="I48" s="36"/>
      <c r="J48" s="33"/>
      <c r="K48" s="33"/>
      <c r="L48" s="34"/>
      <c r="M48" s="36"/>
      <c r="N48" s="2">
        <v>-25.552</v>
      </c>
      <c r="O48" s="5">
        <f t="shared" si="166"/>
        <v>-14.486750000000001</v>
      </c>
      <c r="P48" s="36"/>
      <c r="Q48" s="42"/>
      <c r="R48" s="42"/>
      <c r="S48" s="36"/>
      <c r="T48" s="36"/>
      <c r="U48" s="33"/>
      <c r="V48" s="33"/>
      <c r="W48" s="34"/>
    </row>
    <row r="49" spans="1:23" x14ac:dyDescent="0.35">
      <c r="A49" s="37">
        <v>24</v>
      </c>
      <c r="B49" s="38">
        <v>7.38</v>
      </c>
      <c r="C49" s="2">
        <v>-25.93</v>
      </c>
      <c r="D49" s="5">
        <f t="shared" si="160"/>
        <v>-14.864750000000001</v>
      </c>
      <c r="E49" s="36">
        <f t="shared" ref="E49" si="240">AVERAGE(D49:D50)</f>
        <v>-13.529750000000002</v>
      </c>
      <c r="F49" s="42">
        <f t="shared" ref="F49" si="241">_xlfn.STDEV.S(D49:D50)/SQRT(2)</f>
        <v>1.3349999999999989</v>
      </c>
      <c r="G49" s="42">
        <f t="shared" ref="G49" si="242">E49/1000</f>
        <v>-1.3529750000000002E-2</v>
      </c>
      <c r="H49" s="36">
        <f t="shared" ref="H49" si="243">(-G49*2*0.205)/(21000*0.6*0.01*10^-3)</f>
        <v>4.4025376984126993E-2</v>
      </c>
      <c r="I49" s="36">
        <f>H49/B49</f>
        <v>5.9654982363315711E-3</v>
      </c>
      <c r="J49" s="33">
        <f t="shared" ref="J49" si="244">I49*1000</f>
        <v>5.9654982363315714</v>
      </c>
      <c r="K49" s="33"/>
      <c r="L49" s="34"/>
      <c r="M49" s="36">
        <v>9.9599999999999991</v>
      </c>
      <c r="N49" s="2">
        <v>-26.678000000000001</v>
      </c>
      <c r="O49" s="5">
        <f t="shared" si="166"/>
        <v>-15.612750000000002</v>
      </c>
      <c r="P49" s="36">
        <f t="shared" ref="P49" si="245">AVERAGE(O49:O50)</f>
        <v>-16.368250000000003</v>
      </c>
      <c r="Q49" s="42">
        <f t="shared" ref="Q49" si="246">_xlfn.STDEV.S(O49:O50)/SQRT(2)</f>
        <v>0.75549999999999962</v>
      </c>
      <c r="R49" s="42">
        <f t="shared" ref="R49" si="247">P49/1000</f>
        <v>-1.6368250000000004E-2</v>
      </c>
      <c r="S49" s="36">
        <f t="shared" ref="S49" si="248">(-R49*1*0.205)/(21000*0.6*0.01*10^-3)</f>
        <v>2.6630882936507942E-2</v>
      </c>
      <c r="T49" s="36">
        <f>S49/M49</f>
        <v>2.6737834273602352E-3</v>
      </c>
      <c r="U49" s="33">
        <f t="shared" ref="U49" si="249">T49*1000</f>
        <v>2.673783427360235</v>
      </c>
      <c r="V49" s="33"/>
      <c r="W49" s="34"/>
    </row>
    <row r="50" spans="1:23" x14ac:dyDescent="0.35">
      <c r="A50" s="37"/>
      <c r="B50" s="38"/>
      <c r="C50" s="2">
        <v>-23.26</v>
      </c>
      <c r="D50" s="5">
        <f t="shared" si="160"/>
        <v>-12.194750000000003</v>
      </c>
      <c r="E50" s="36"/>
      <c r="F50" s="42"/>
      <c r="G50" s="42"/>
      <c r="H50" s="36"/>
      <c r="I50" s="36"/>
      <c r="J50" s="33"/>
      <c r="K50" s="33"/>
      <c r="L50" s="34"/>
      <c r="M50" s="36"/>
      <c r="N50" s="2">
        <v>-28.189</v>
      </c>
      <c r="O50" s="5">
        <f t="shared" si="166"/>
        <v>-17.123750000000001</v>
      </c>
      <c r="P50" s="36"/>
      <c r="Q50" s="42"/>
      <c r="R50" s="42"/>
      <c r="S50" s="36"/>
      <c r="T50" s="36"/>
      <c r="U50" s="33"/>
      <c r="V50" s="33"/>
      <c r="W50" s="34"/>
    </row>
    <row r="51" spans="1:23" x14ac:dyDescent="0.35">
      <c r="A51" s="37">
        <v>25</v>
      </c>
      <c r="B51" s="38">
        <v>6.54</v>
      </c>
      <c r="C51" s="2">
        <v>-13.846</v>
      </c>
      <c r="D51" s="5">
        <f t="shared" si="160"/>
        <v>-2.7807500000000012</v>
      </c>
      <c r="E51" s="36">
        <f t="shared" ref="E51" si="250">AVERAGE(D51:D52)</f>
        <v>-3.9067500000000006</v>
      </c>
      <c r="F51" s="42">
        <f t="shared" ref="F51" si="251">_xlfn.STDEV.S(D51:D52)/SQRT(2)</f>
        <v>1.1259999999999997</v>
      </c>
      <c r="G51" s="42">
        <f t="shared" ref="G51" si="252">E51/1000</f>
        <v>-3.9067500000000005E-3</v>
      </c>
      <c r="H51" s="36">
        <f t="shared" ref="H51" si="253">(-G51*2*0.205)/(21000*0.6*0.01*10^-3)</f>
        <v>1.2712440476190478E-2</v>
      </c>
      <c r="I51" s="36">
        <f>H51/B51</f>
        <v>1.9437982379496143E-3</v>
      </c>
      <c r="J51" s="33">
        <f t="shared" ref="J51" si="254">I51*1000</f>
        <v>1.9437982379496144</v>
      </c>
      <c r="K51" s="33">
        <f>AVERAGE(J51:J54)</f>
        <v>2.2965555984820325</v>
      </c>
      <c r="L51" s="34">
        <f>(_xlfn.STDEV.S(J51:J54)/SQRT(2))/K51</f>
        <v>0.15360279575446947</v>
      </c>
      <c r="M51" s="36">
        <v>12</v>
      </c>
      <c r="N51" s="2">
        <v>-24.922999999999998</v>
      </c>
      <c r="O51" s="5">
        <f t="shared" si="166"/>
        <v>-13.857749999999999</v>
      </c>
      <c r="P51" s="36">
        <f t="shared" ref="P51" si="255">AVERAGE(O51:O52)</f>
        <v>-13.360749999999999</v>
      </c>
      <c r="Q51" s="42">
        <f t="shared" ref="Q51" si="256">_xlfn.STDEV.S(O51:O52)/SQRT(2)</f>
        <v>0.49699999999999989</v>
      </c>
      <c r="R51" s="42">
        <f t="shared" ref="R51" si="257">P51/1000</f>
        <v>-1.3360749999999999E-2</v>
      </c>
      <c r="S51" s="36">
        <f t="shared" ref="S51" si="258">(-R51*1*0.205)/(21000*0.6*0.01*10^-3)</f>
        <v>2.1737728174603173E-2</v>
      </c>
      <c r="T51" s="36">
        <f>S51/M51</f>
        <v>1.8114773478835977E-3</v>
      </c>
      <c r="U51" s="33">
        <f t="shared" ref="U51" si="259">T51*1000</f>
        <v>1.8114773478835977</v>
      </c>
      <c r="V51" s="33">
        <f t="shared" ref="V51" si="260">AVERAGE(U51:U56)</f>
        <v>1.3544990081407497</v>
      </c>
      <c r="W51" s="34">
        <f t="shared" ref="W51" si="261">(_xlfn.STDEV.S(U51:U56)/SQRT(3))/V51</f>
        <v>0.17891405228726295</v>
      </c>
    </row>
    <row r="52" spans="1:23" x14ac:dyDescent="0.35">
      <c r="A52" s="37"/>
      <c r="B52" s="38"/>
      <c r="C52" s="2">
        <v>-16.097999999999999</v>
      </c>
      <c r="D52" s="5">
        <f t="shared" si="160"/>
        <v>-5.0327500000000001</v>
      </c>
      <c r="E52" s="36"/>
      <c r="F52" s="42"/>
      <c r="G52" s="42"/>
      <c r="H52" s="36"/>
      <c r="I52" s="36"/>
      <c r="J52" s="33"/>
      <c r="K52" s="33"/>
      <c r="L52" s="34"/>
      <c r="M52" s="36"/>
      <c r="N52" s="2">
        <v>-23.928999999999998</v>
      </c>
      <c r="O52" s="5">
        <f t="shared" si="166"/>
        <v>-12.86375</v>
      </c>
      <c r="P52" s="36"/>
      <c r="Q52" s="42"/>
      <c r="R52" s="42"/>
      <c r="S52" s="36"/>
      <c r="T52" s="36"/>
      <c r="U52" s="33"/>
      <c r="V52" s="33"/>
      <c r="W52" s="34"/>
    </row>
    <row r="53" spans="1:23" x14ac:dyDescent="0.35">
      <c r="A53" s="37">
        <v>26</v>
      </c>
      <c r="B53" s="38">
        <v>7.0349999999999993</v>
      </c>
      <c r="C53" s="2">
        <v>-16.777999999999999</v>
      </c>
      <c r="D53" s="5">
        <f t="shared" si="160"/>
        <v>-5.7127499999999998</v>
      </c>
      <c r="E53" s="36">
        <f t="shared" ref="E53" si="262">AVERAGE(D53:D54)</f>
        <v>-5.7277500000000003</v>
      </c>
      <c r="F53" s="42">
        <f t="shared" ref="F53" si="263">_xlfn.STDEV.S(D53:D54)/SQRT(2)</f>
        <v>1.5000000000000567E-2</v>
      </c>
      <c r="G53" s="42">
        <f t="shared" ref="G53" si="264">E53/1000</f>
        <v>-5.7277500000000002E-3</v>
      </c>
      <c r="H53" s="36">
        <f t="shared" ref="H53" si="265">(-G53*2*0.205)/(21000*0.6*0.01*10^-3)</f>
        <v>1.8637916666666664E-2</v>
      </c>
      <c r="I53" s="36">
        <f>H53/B53</f>
        <v>2.6493129590144512E-3</v>
      </c>
      <c r="J53" s="33">
        <f t="shared" ref="J53" si="266">I53*1000</f>
        <v>2.6493129590144511</v>
      </c>
      <c r="K53" s="33"/>
      <c r="L53" s="34"/>
      <c r="M53" s="36">
        <v>10.079999999999998</v>
      </c>
      <c r="N53" s="2">
        <v>-19.263000000000002</v>
      </c>
      <c r="O53" s="5">
        <f t="shared" si="166"/>
        <v>-8.1977500000000028</v>
      </c>
      <c r="P53" s="36">
        <f t="shared" ref="P53" si="267">AVERAGE(O53:O54)</f>
        <v>-7.8427500000000023</v>
      </c>
      <c r="Q53" s="42">
        <f t="shared" ref="Q53" si="268">_xlfn.STDEV.S(O53:O54)/SQRT(2)</f>
        <v>0.35500000000000043</v>
      </c>
      <c r="R53" s="42">
        <f t="shared" ref="R53" si="269">P53/1000</f>
        <v>-7.8427500000000025E-3</v>
      </c>
      <c r="S53" s="36">
        <f t="shared" ref="S53" si="270">(-R53*1*0.205)/(21000*0.6*0.01*10^-3)</f>
        <v>1.2760029761904764E-2</v>
      </c>
      <c r="T53" s="36">
        <f>S53/M53</f>
        <v>1.2658759684429331E-3</v>
      </c>
      <c r="U53" s="33">
        <f t="shared" ref="U53" si="271">T53*1000</f>
        <v>1.265875968442933</v>
      </c>
      <c r="V53" s="33"/>
      <c r="W53" s="34"/>
    </row>
    <row r="54" spans="1:23" x14ac:dyDescent="0.35">
      <c r="A54" s="37"/>
      <c r="B54" s="38"/>
      <c r="C54" s="2">
        <v>-16.808</v>
      </c>
      <c r="D54" s="5">
        <f t="shared" si="160"/>
        <v>-5.7427500000000009</v>
      </c>
      <c r="E54" s="36"/>
      <c r="F54" s="42"/>
      <c r="G54" s="42"/>
      <c r="H54" s="36"/>
      <c r="I54" s="36"/>
      <c r="J54" s="33"/>
      <c r="K54" s="33"/>
      <c r="L54" s="34"/>
      <c r="M54" s="36"/>
      <c r="N54" s="2">
        <v>-18.553000000000001</v>
      </c>
      <c r="O54" s="5">
        <f t="shared" si="166"/>
        <v>-7.4877500000000019</v>
      </c>
      <c r="P54" s="36"/>
      <c r="Q54" s="42"/>
      <c r="R54" s="42"/>
      <c r="S54" s="36"/>
      <c r="T54" s="36"/>
      <c r="U54" s="33"/>
      <c r="V54" s="33"/>
      <c r="W54" s="34"/>
    </row>
    <row r="55" spans="1:23" x14ac:dyDescent="0.35">
      <c r="A55" s="37">
        <v>27</v>
      </c>
      <c r="B55" s="38">
        <v>5.79</v>
      </c>
      <c r="C55" s="2">
        <v>-30.501999999999999</v>
      </c>
      <c r="D55" s="5">
        <f t="shared" si="160"/>
        <v>-19.43675</v>
      </c>
      <c r="E55" s="36">
        <f t="shared" ref="E55" si="272">AVERAGE(D55:D56)</f>
        <v>-19.720750000000002</v>
      </c>
      <c r="F55" s="42">
        <f t="shared" ref="F55" si="273">_xlfn.STDEV.S(D55:D56)/SQRT(2)</f>
        <v>0.28400000000000064</v>
      </c>
      <c r="G55" s="42">
        <f t="shared" ref="G55" si="274">E55/1000</f>
        <v>-1.9720750000000002E-2</v>
      </c>
      <c r="H55" s="36">
        <f t="shared" ref="H55" si="275">(-G55*2*0.205)/(21000*0.6*0.01*10^-3)</f>
        <v>6.417069444444444E-2</v>
      </c>
      <c r="I55" s="36">
        <f>H55/B55</f>
        <v>1.1083021492995586E-2</v>
      </c>
      <c r="J55" s="43">
        <f t="shared" ref="J55" si="276">I55*1000</f>
        <v>11.083021492995586</v>
      </c>
      <c r="K55" s="33"/>
      <c r="L55" s="34"/>
      <c r="M55" s="36">
        <v>11.565</v>
      </c>
      <c r="N55" s="2">
        <v>-18.489999999999998</v>
      </c>
      <c r="O55" s="5">
        <f t="shared" si="166"/>
        <v>-7.4247499999999995</v>
      </c>
      <c r="P55" s="36">
        <f t="shared" ref="P55" si="277">AVERAGE(O55:O56)</f>
        <v>-7.0097500000000004</v>
      </c>
      <c r="Q55" s="42">
        <f t="shared" ref="Q55" si="278">_xlfn.STDEV.S(O55:O56)/SQRT(2)</f>
        <v>0.41499999999999909</v>
      </c>
      <c r="R55" s="42">
        <f t="shared" ref="R55" si="279">P55/1000</f>
        <v>-7.0097500000000004E-3</v>
      </c>
      <c r="S55" s="36">
        <f t="shared" ref="S55" si="280">(-R55*1*0.205)/(21000*0.6*0.01*10^-3)</f>
        <v>1.1404751984126984E-2</v>
      </c>
      <c r="T55" s="36">
        <f>S55/M55</f>
        <v>9.8614370809571843E-4</v>
      </c>
      <c r="U55" s="33">
        <f t="shared" ref="U55" si="281">T55*1000</f>
        <v>0.98614370809571839</v>
      </c>
      <c r="V55" s="33"/>
      <c r="W55" s="34"/>
    </row>
    <row r="56" spans="1:23" x14ac:dyDescent="0.35">
      <c r="A56" s="37"/>
      <c r="B56" s="38"/>
      <c r="C56" s="2">
        <v>-31.07</v>
      </c>
      <c r="D56" s="5">
        <f t="shared" si="160"/>
        <v>-20.004750000000001</v>
      </c>
      <c r="E56" s="36"/>
      <c r="F56" s="42"/>
      <c r="G56" s="42"/>
      <c r="H56" s="36"/>
      <c r="I56" s="36"/>
      <c r="J56" s="43"/>
      <c r="K56" s="33"/>
      <c r="L56" s="34"/>
      <c r="M56" s="36"/>
      <c r="N56" s="2">
        <v>-17.66</v>
      </c>
      <c r="O56" s="5">
        <f t="shared" si="166"/>
        <v>-6.5947500000000012</v>
      </c>
      <c r="P56" s="36"/>
      <c r="Q56" s="42"/>
      <c r="R56" s="42"/>
      <c r="S56" s="36"/>
      <c r="T56" s="36"/>
      <c r="U56" s="33"/>
      <c r="V56" s="33"/>
      <c r="W56" s="34"/>
    </row>
    <row r="57" spans="1:23" x14ac:dyDescent="0.35">
      <c r="A57" s="37">
        <v>28</v>
      </c>
      <c r="B57" s="38">
        <v>6.3750000000000009</v>
      </c>
      <c r="C57" s="2">
        <v>-14.739000000000001</v>
      </c>
      <c r="D57" s="5">
        <f t="shared" si="160"/>
        <v>-3.6737500000000018</v>
      </c>
      <c r="E57" s="36">
        <f t="shared" ref="E57" si="282">AVERAGE(D57:D58)</f>
        <v>-3.6837500000000016</v>
      </c>
      <c r="F57" s="42">
        <f t="shared" ref="F57" si="283">_xlfn.STDEV.S(D57:D58)/SQRT(2)</f>
        <v>9.9999999999997868E-3</v>
      </c>
      <c r="G57" s="42">
        <f t="shared" ref="G57" si="284">E57/1000</f>
        <v>-3.6837500000000017E-3</v>
      </c>
      <c r="H57" s="36">
        <f t="shared" ref="H57" si="285">(-G57*2*0.205)/(21000*0.6*0.01*10^-3)</f>
        <v>1.1986805555555561E-2</v>
      </c>
      <c r="I57" s="36">
        <f>H57/B57</f>
        <v>1.8802832244008722E-3</v>
      </c>
      <c r="J57" s="33">
        <f t="shared" ref="J57" si="286">I57*1000</f>
        <v>1.8802832244008723</v>
      </c>
      <c r="K57" s="33">
        <f t="shared" ref="K57" si="287">AVERAGE(J57:J62)</f>
        <v>2.270340009460575</v>
      </c>
      <c r="L57" s="34">
        <f t="shared" ref="L57" si="288">(_xlfn.STDEV.S(J57:J62)/SQRT(3))/K57</f>
        <v>0.11538446422171007</v>
      </c>
      <c r="M57" s="36">
        <v>11.58</v>
      </c>
      <c r="N57" s="2">
        <v>-20.216000000000001</v>
      </c>
      <c r="O57" s="5">
        <f t="shared" si="166"/>
        <v>-9.1507500000000022</v>
      </c>
      <c r="P57" s="36">
        <f t="shared" ref="P57" si="289">AVERAGE(O57:O58)</f>
        <v>-8.790750000000001</v>
      </c>
      <c r="Q57" s="42">
        <f t="shared" ref="Q57" si="290">_xlfn.STDEV.S(O57:O58)/SQRT(2)</f>
        <v>0.36000000000000121</v>
      </c>
      <c r="R57" s="42">
        <f t="shared" ref="R57" si="291">P57/1000</f>
        <v>-8.7907500000000017E-3</v>
      </c>
      <c r="S57" s="36">
        <f t="shared" ref="S57" si="292">(-R57*1*0.205)/(21000*0.6*0.01*10^-3)</f>
        <v>1.4302410714285715E-2</v>
      </c>
      <c r="T57" s="36">
        <f>S57/M57</f>
        <v>1.235095916604984E-3</v>
      </c>
      <c r="U57" s="33">
        <f t="shared" ref="U57" si="293">T57*1000</f>
        <v>1.235095916604984</v>
      </c>
      <c r="V57" s="33">
        <f t="shared" ref="V57" si="294">AVERAGE(U57:U62)</f>
        <v>1.4848820313999147</v>
      </c>
      <c r="W57" s="34">
        <f t="shared" ref="W57" si="295">(_xlfn.STDEV.S(U57:U62)/SQRT(3))/V57</f>
        <v>0.11407287154895283</v>
      </c>
    </row>
    <row r="58" spans="1:23" x14ac:dyDescent="0.35">
      <c r="A58" s="37"/>
      <c r="B58" s="38"/>
      <c r="C58" s="2">
        <v>-14.759</v>
      </c>
      <c r="D58" s="5">
        <f t="shared" si="160"/>
        <v>-3.6937500000000014</v>
      </c>
      <c r="E58" s="36"/>
      <c r="F58" s="42"/>
      <c r="G58" s="42"/>
      <c r="H58" s="36"/>
      <c r="I58" s="36"/>
      <c r="J58" s="33"/>
      <c r="K58" s="33"/>
      <c r="L58" s="34"/>
      <c r="M58" s="36"/>
      <c r="N58" s="2">
        <v>-19.495999999999999</v>
      </c>
      <c r="O58" s="5">
        <f t="shared" si="166"/>
        <v>-8.4307499999999997</v>
      </c>
      <c r="P58" s="36"/>
      <c r="Q58" s="42"/>
      <c r="R58" s="42"/>
      <c r="S58" s="36"/>
      <c r="T58" s="36"/>
      <c r="U58" s="33"/>
      <c r="V58" s="33"/>
      <c r="W58" s="34"/>
    </row>
    <row r="59" spans="1:23" x14ac:dyDescent="0.35">
      <c r="A59" s="37">
        <v>29</v>
      </c>
      <c r="B59" s="38">
        <v>6.75</v>
      </c>
      <c r="C59" s="2">
        <v>-16.077999999999999</v>
      </c>
      <c r="D59" s="5">
        <f t="shared" si="160"/>
        <v>-5.0127500000000005</v>
      </c>
      <c r="E59" s="36">
        <f t="shared" ref="E59" si="296">AVERAGE(D59:D60)</f>
        <v>-4.4857500000000003</v>
      </c>
      <c r="F59" s="42">
        <f t="shared" ref="F59" si="297">_xlfn.STDEV.S(D59:D60)/SQRT(2)</f>
        <v>0.52700000000000069</v>
      </c>
      <c r="G59" s="42">
        <f t="shared" ref="G59" si="298">E59/1000</f>
        <v>-4.4857500000000002E-3</v>
      </c>
      <c r="H59" s="36">
        <f t="shared" ref="H59" si="299">(-G59*2*0.205)/(21000*0.6*0.01*10^-3)</f>
        <v>1.4596488095238095E-2</v>
      </c>
      <c r="I59" s="36">
        <f>H59/B59</f>
        <v>2.1624426807760142E-3</v>
      </c>
      <c r="J59" s="33">
        <f t="shared" ref="J59" si="300">I59*1000</f>
        <v>2.1624426807760142</v>
      </c>
      <c r="K59" s="33"/>
      <c r="L59" s="34"/>
      <c r="M59" s="36">
        <v>10.875</v>
      </c>
      <c r="N59" s="2">
        <v>-20.114999999999998</v>
      </c>
      <c r="O59" s="5">
        <f t="shared" si="166"/>
        <v>-9.0497499999999995</v>
      </c>
      <c r="P59" s="36">
        <f t="shared" ref="P59" si="301">AVERAGE(O59:O60)</f>
        <v>-9.4352499999999999</v>
      </c>
      <c r="Q59" s="42">
        <f t="shared" ref="Q59" si="302">_xlfn.STDEV.S(O59:O60)/SQRT(2)</f>
        <v>0.3855000000000004</v>
      </c>
      <c r="R59" s="42">
        <f t="shared" ref="R59" si="303">P59/1000</f>
        <v>-9.4352499999999992E-3</v>
      </c>
      <c r="S59" s="36">
        <f t="shared" ref="S59" si="304">(-R59*1*0.205)/(21000*0.6*0.01*10^-3)</f>
        <v>1.5351001984126981E-2</v>
      </c>
      <c r="T59" s="36">
        <f>S59/M59</f>
        <v>1.4115863893450098E-3</v>
      </c>
      <c r="U59" s="33">
        <f t="shared" ref="U59" si="305">T59*1000</f>
        <v>1.4115863893450098</v>
      </c>
      <c r="V59" s="33"/>
      <c r="W59" s="34"/>
    </row>
    <row r="60" spans="1:23" x14ac:dyDescent="0.35">
      <c r="A60" s="37"/>
      <c r="B60" s="38"/>
      <c r="C60" s="2">
        <v>-15.023999999999999</v>
      </c>
      <c r="D60" s="5">
        <f t="shared" si="160"/>
        <v>-3.9587500000000002</v>
      </c>
      <c r="E60" s="36"/>
      <c r="F60" s="42"/>
      <c r="G60" s="42"/>
      <c r="H60" s="36"/>
      <c r="I60" s="36"/>
      <c r="J60" s="33"/>
      <c r="K60" s="33"/>
      <c r="L60" s="34"/>
      <c r="M60" s="36"/>
      <c r="N60" s="2">
        <v>-20.885999999999999</v>
      </c>
      <c r="O60" s="5">
        <f t="shared" si="166"/>
        <v>-9.8207500000000003</v>
      </c>
      <c r="P60" s="36"/>
      <c r="Q60" s="42"/>
      <c r="R60" s="42"/>
      <c r="S60" s="36"/>
      <c r="T60" s="36"/>
      <c r="U60" s="33"/>
      <c r="V60" s="33"/>
      <c r="W60" s="34"/>
    </row>
    <row r="61" spans="1:23" x14ac:dyDescent="0.35">
      <c r="A61" s="37">
        <v>30</v>
      </c>
      <c r="B61" s="38">
        <v>5.0399999999999991</v>
      </c>
      <c r="C61" s="2">
        <v>-14.048999999999999</v>
      </c>
      <c r="D61" s="5">
        <f t="shared" si="160"/>
        <v>-2.9837500000000006</v>
      </c>
      <c r="E61" s="36">
        <f t="shared" ref="E61" si="306">AVERAGE(D61:D62)</f>
        <v>-4.2877500000000008</v>
      </c>
      <c r="F61" s="42">
        <f t="shared" ref="F61" si="307">_xlfn.STDEV.S(D61:D62)/SQRT(2)</f>
        <v>1.304</v>
      </c>
      <c r="G61" s="42">
        <f t="shared" ref="G61" si="308">E61/1000</f>
        <v>-4.2877500000000008E-3</v>
      </c>
      <c r="H61" s="36">
        <f t="shared" ref="H61" si="309">(-G61*2*0.205)/(21000*0.6*0.01*10^-3)</f>
        <v>1.3952202380952383E-2</v>
      </c>
      <c r="I61" s="36">
        <f>H61/B61</f>
        <v>2.7682941232048384E-3</v>
      </c>
      <c r="J61" s="33">
        <f t="shared" ref="J61" si="310">I61*1000</f>
        <v>2.7682941232048384</v>
      </c>
      <c r="K61" s="33"/>
      <c r="L61" s="34"/>
      <c r="M61" s="36">
        <v>8.6549999999999994</v>
      </c>
      <c r="N61" s="2">
        <v>-20.550999999999998</v>
      </c>
      <c r="O61" s="5">
        <f t="shared" si="166"/>
        <v>-9.4857499999999995</v>
      </c>
      <c r="P61" s="36">
        <f t="shared" ref="P61" si="311">AVERAGE(O61:O62)</f>
        <v>-9.6177500000000009</v>
      </c>
      <c r="Q61" s="42">
        <f t="shared" ref="Q61" si="312">_xlfn.STDEV.S(O61:O62)/SQRT(2)</f>
        <v>0.13200000000000145</v>
      </c>
      <c r="R61" s="42">
        <f t="shared" ref="R61" si="313">P61/1000</f>
        <v>-9.6177500000000013E-3</v>
      </c>
      <c r="S61" s="36">
        <f t="shared" ref="S61" si="314">(-R61*1*0.205)/(21000*0.6*0.01*10^-3)</f>
        <v>1.5647926587301589E-2</v>
      </c>
      <c r="T61" s="36">
        <f>S61/M61</f>
        <v>1.8079637882497505E-3</v>
      </c>
      <c r="U61" s="33">
        <f t="shared" ref="U61" si="315">T61*1000</f>
        <v>1.8079637882497506</v>
      </c>
      <c r="V61" s="33"/>
      <c r="W61" s="34"/>
    </row>
    <row r="62" spans="1:23" x14ac:dyDescent="0.35">
      <c r="A62" s="37"/>
      <c r="B62" s="38"/>
      <c r="C62" s="2">
        <v>-16.657</v>
      </c>
      <c r="D62" s="5">
        <f t="shared" si="160"/>
        <v>-5.5917500000000011</v>
      </c>
      <c r="E62" s="36"/>
      <c r="F62" s="42"/>
      <c r="G62" s="42"/>
      <c r="H62" s="36"/>
      <c r="I62" s="36"/>
      <c r="J62" s="33"/>
      <c r="K62" s="33"/>
      <c r="L62" s="34"/>
      <c r="M62" s="36"/>
      <c r="N62" s="2">
        <v>-20.815000000000001</v>
      </c>
      <c r="O62" s="5">
        <f t="shared" si="166"/>
        <v>-9.7497500000000024</v>
      </c>
      <c r="P62" s="36"/>
      <c r="Q62" s="42"/>
      <c r="R62" s="42"/>
      <c r="S62" s="36"/>
      <c r="T62" s="36"/>
      <c r="U62" s="33"/>
      <c r="V62" s="33"/>
      <c r="W62" s="34"/>
    </row>
    <row r="63" spans="1:23" x14ac:dyDescent="0.35">
      <c r="A63" s="37">
        <v>31</v>
      </c>
      <c r="B63" s="38">
        <v>2.2950000000000004</v>
      </c>
      <c r="C63" s="2">
        <v>-12.811</v>
      </c>
      <c r="D63" s="5">
        <f t="shared" si="160"/>
        <v>-1.745750000000001</v>
      </c>
      <c r="E63" s="36">
        <f t="shared" ref="E63" si="316">AVERAGE(D63:D64)</f>
        <v>-1.893250000000001</v>
      </c>
      <c r="F63" s="42">
        <f t="shared" ref="F63" si="317">_xlfn.STDEV.S(D63:D64)/SQRT(2)</f>
        <v>0.14749999999999996</v>
      </c>
      <c r="G63" s="42">
        <f t="shared" ref="G63" si="318">E63/1000</f>
        <v>-1.8932500000000011E-3</v>
      </c>
      <c r="H63" s="36">
        <f t="shared" ref="H63" si="319">(-G63*2*0.205)/(21000*0.6*0.01*10^-3)</f>
        <v>6.1605753968253995E-3</v>
      </c>
      <c r="I63" s="36">
        <f>H63/B63</f>
        <v>2.6843465781374283E-3</v>
      </c>
      <c r="J63" s="33">
        <f t="shared" ref="J63" si="320">I63*1000</f>
        <v>2.6843465781374283</v>
      </c>
      <c r="K63" s="33">
        <f t="shared" ref="K63" si="321">AVERAGE(J63:J68)</f>
        <v>2.1619268746544571</v>
      </c>
      <c r="L63" s="34">
        <f t="shared" ref="L63" si="322">(_xlfn.STDEV.S(J63:J68)/SQRT(3))/K63</f>
        <v>0.12261671418434163</v>
      </c>
      <c r="M63" s="36">
        <v>7.5449999999999999</v>
      </c>
      <c r="N63" s="2">
        <v>-23.614999999999998</v>
      </c>
      <c r="O63" s="5">
        <f t="shared" si="166"/>
        <v>-12.54975</v>
      </c>
      <c r="P63" s="36">
        <f t="shared" ref="P63" si="323">AVERAGE(O63:O64)</f>
        <v>-12.75625</v>
      </c>
      <c r="Q63" s="42">
        <f t="shared" ref="Q63" si="324">_xlfn.STDEV.S(O63:O64)/SQRT(2)</f>
        <v>0.20650000000000013</v>
      </c>
      <c r="R63" s="42">
        <f t="shared" ref="R63" si="325">P63/1000</f>
        <v>-1.275625E-2</v>
      </c>
      <c r="S63" s="36">
        <f t="shared" ref="S63" si="326">(-R63*1*0.205)/(21000*0.6*0.01*10^-3)</f>
        <v>2.0754216269841266E-2</v>
      </c>
      <c r="T63" s="36">
        <f>S63/M63</f>
        <v>2.7507244890445683E-3</v>
      </c>
      <c r="U63" s="33">
        <f t="shared" ref="U63" si="327">T63*1000</f>
        <v>2.7507244890445683</v>
      </c>
      <c r="V63" s="33">
        <f t="shared" ref="V63" si="328">AVERAGE(U63:U68)</f>
        <v>2.6062073918122586</v>
      </c>
      <c r="W63" s="34">
        <f t="shared" ref="W63" si="329">(_xlfn.STDEV.S(U63:U68)/SQRT(3))/V63</f>
        <v>0.11974391236418909</v>
      </c>
    </row>
    <row r="64" spans="1:23" x14ac:dyDescent="0.35">
      <c r="A64" s="37"/>
      <c r="B64" s="38"/>
      <c r="C64" s="2">
        <v>-13.106</v>
      </c>
      <c r="D64" s="5">
        <f t="shared" si="160"/>
        <v>-2.040750000000001</v>
      </c>
      <c r="E64" s="36"/>
      <c r="F64" s="42"/>
      <c r="G64" s="42"/>
      <c r="H64" s="36"/>
      <c r="I64" s="36"/>
      <c r="J64" s="33"/>
      <c r="K64" s="33"/>
      <c r="L64" s="34"/>
      <c r="M64" s="36"/>
      <c r="N64" s="2">
        <v>-24.027999999999999</v>
      </c>
      <c r="O64" s="5">
        <f t="shared" si="166"/>
        <v>-12.96275</v>
      </c>
      <c r="P64" s="36"/>
      <c r="Q64" s="42"/>
      <c r="R64" s="42"/>
      <c r="S64" s="36"/>
      <c r="T64" s="36"/>
      <c r="U64" s="33"/>
      <c r="V64" s="33"/>
      <c r="W64" s="34"/>
    </row>
    <row r="65" spans="1:23" x14ac:dyDescent="0.35">
      <c r="A65" s="37">
        <v>32</v>
      </c>
      <c r="B65" s="38">
        <v>4.74</v>
      </c>
      <c r="C65" s="2">
        <v>-13.055</v>
      </c>
      <c r="D65" s="5">
        <f t="shared" si="160"/>
        <v>-1.9897500000000008</v>
      </c>
      <c r="E65" s="36">
        <f t="shared" ref="E65" si="330">AVERAGE(D65:D66)</f>
        <v>-2.6547500000000008</v>
      </c>
      <c r="F65" s="42">
        <f t="shared" ref="F65" si="331">_xlfn.STDEV.S(D65:D66)/SQRT(2)</f>
        <v>0.6649999999999997</v>
      </c>
      <c r="G65" s="42">
        <f t="shared" ref="G65" si="332">E65/1000</f>
        <v>-2.6547500000000009E-3</v>
      </c>
      <c r="H65" s="36">
        <f t="shared" ref="H65" si="333">(-G65*2*0.205)/(21000*0.6*0.01*10^-3)</f>
        <v>8.6384722222222245E-3</v>
      </c>
      <c r="I65" s="36">
        <f>H65/B65</f>
        <v>1.8224624941397098E-3</v>
      </c>
      <c r="J65" s="33">
        <f t="shared" ref="J65" si="334">I65*1000</f>
        <v>1.8224624941397098</v>
      </c>
      <c r="K65" s="33"/>
      <c r="L65" s="34"/>
      <c r="M65" s="36">
        <v>9.5549999999999997</v>
      </c>
      <c r="N65" s="2">
        <v>-22.832999999999998</v>
      </c>
      <c r="O65" s="5">
        <f t="shared" si="166"/>
        <v>-11.767749999999999</v>
      </c>
      <c r="P65" s="36">
        <f t="shared" ref="P65" si="335">AVERAGE(O65:O66)</f>
        <v>-11.79325</v>
      </c>
      <c r="Q65" s="42">
        <f t="shared" ref="Q65" si="336">_xlfn.STDEV.S(O65:O66)/SQRT(2)</f>
        <v>2.5500000000000966E-2</v>
      </c>
      <c r="R65" s="42">
        <f t="shared" ref="R65" si="337">P65/1000</f>
        <v>-1.179325E-2</v>
      </c>
      <c r="S65" s="36">
        <f t="shared" ref="S65" si="338">(-R65*1*0.205)/(21000*0.6*0.01*10^-3)</f>
        <v>1.9187430555555555E-2</v>
      </c>
      <c r="T65" s="36">
        <f>S65/M65</f>
        <v>2.0081036688179544E-3</v>
      </c>
      <c r="U65" s="33">
        <f t="shared" ref="U65" si="339">T65*1000</f>
        <v>2.0081036688179545</v>
      </c>
      <c r="V65" s="33"/>
      <c r="W65" s="34"/>
    </row>
    <row r="66" spans="1:23" x14ac:dyDescent="0.35">
      <c r="A66" s="37"/>
      <c r="B66" s="38"/>
      <c r="C66" s="2">
        <v>-14.385</v>
      </c>
      <c r="D66" s="5">
        <f t="shared" si="160"/>
        <v>-3.3197500000000009</v>
      </c>
      <c r="E66" s="36"/>
      <c r="F66" s="42"/>
      <c r="G66" s="42"/>
      <c r="H66" s="36"/>
      <c r="I66" s="36"/>
      <c r="J66" s="33"/>
      <c r="K66" s="33"/>
      <c r="L66" s="34"/>
      <c r="M66" s="36"/>
      <c r="N66" s="2">
        <v>-22.884</v>
      </c>
      <c r="O66" s="5">
        <f t="shared" si="166"/>
        <v>-11.818750000000001</v>
      </c>
      <c r="P66" s="36"/>
      <c r="Q66" s="42"/>
      <c r="R66" s="42"/>
      <c r="S66" s="36"/>
      <c r="T66" s="36"/>
      <c r="U66" s="33"/>
      <c r="V66" s="33"/>
      <c r="W66" s="34"/>
    </row>
    <row r="67" spans="1:23" x14ac:dyDescent="0.35">
      <c r="A67" s="37">
        <v>33</v>
      </c>
      <c r="B67" s="38">
        <v>5.415</v>
      </c>
      <c r="C67" s="2">
        <v>-14.871</v>
      </c>
      <c r="D67" s="5">
        <f t="shared" ref="D67:D98" si="340">C67-$Z$13</f>
        <v>-3.8057500000000015</v>
      </c>
      <c r="E67" s="36">
        <f t="shared" ref="E67" si="341">AVERAGE(D67:D68)</f>
        <v>-3.2932500000000013</v>
      </c>
      <c r="F67" s="42">
        <f t="shared" ref="F67" si="342">_xlfn.STDEV.S(D67:D68)/SQRT(2)</f>
        <v>0.51249999999999907</v>
      </c>
      <c r="G67" s="42">
        <f t="shared" ref="G67" si="343">E67/1000</f>
        <v>-3.2932500000000015E-3</v>
      </c>
      <c r="H67" s="36">
        <f t="shared" ref="H67" si="344">(-G67*2*0.205)/(21000*0.6*0.01*10^-3)</f>
        <v>1.0716130952380956E-2</v>
      </c>
      <c r="I67" s="36">
        <f>H67/B67</f>
        <v>1.978971551686234E-3</v>
      </c>
      <c r="J67" s="33">
        <f t="shared" ref="J67" si="345">I67*1000</f>
        <v>1.9789715516862341</v>
      </c>
      <c r="K67" s="33"/>
      <c r="L67" s="34"/>
      <c r="M67" s="36">
        <v>10.169999999999998</v>
      </c>
      <c r="N67" s="2">
        <v>-29.597000000000001</v>
      </c>
      <c r="O67" s="5">
        <f t="shared" ref="O67:O98" si="346">N67-$Z$13</f>
        <v>-18.531750000000002</v>
      </c>
      <c r="P67" s="36">
        <f t="shared" ref="P67" si="347">AVERAGE(O67:O68)</f>
        <v>-19.126250000000002</v>
      </c>
      <c r="Q67" s="42">
        <f t="shared" ref="Q67" si="348">_xlfn.STDEV.S(O67:O68)/SQRT(2)</f>
        <v>0.59450000000000003</v>
      </c>
      <c r="R67" s="42">
        <f t="shared" ref="R67" si="349">P67/1000</f>
        <v>-1.9126250000000001E-2</v>
      </c>
      <c r="S67" s="36">
        <f t="shared" ref="S67" si="350">(-R67*1*0.205)/(21000*0.6*0.01*10^-3)</f>
        <v>3.1118105158730158E-2</v>
      </c>
      <c r="T67" s="36">
        <f>S67/M67</f>
        <v>3.0597940175742539E-3</v>
      </c>
      <c r="U67" s="33">
        <f t="shared" ref="U67" si="351">T67*1000</f>
        <v>3.0597940175742537</v>
      </c>
      <c r="V67" s="33"/>
      <c r="W67" s="34"/>
    </row>
    <row r="68" spans="1:23" x14ac:dyDescent="0.35">
      <c r="A68" s="37"/>
      <c r="B68" s="38"/>
      <c r="C68" s="2">
        <v>-13.846</v>
      </c>
      <c r="D68" s="5">
        <f t="shared" si="340"/>
        <v>-2.7807500000000012</v>
      </c>
      <c r="E68" s="36"/>
      <c r="F68" s="42"/>
      <c r="G68" s="42"/>
      <c r="H68" s="36"/>
      <c r="I68" s="36"/>
      <c r="J68" s="33"/>
      <c r="K68" s="33"/>
      <c r="L68" s="34"/>
      <c r="M68" s="36"/>
      <c r="N68" s="2">
        <v>-30.786000000000001</v>
      </c>
      <c r="O68" s="5">
        <f t="shared" si="346"/>
        <v>-19.720750000000002</v>
      </c>
      <c r="P68" s="36"/>
      <c r="Q68" s="42"/>
      <c r="R68" s="42"/>
      <c r="S68" s="36"/>
      <c r="T68" s="36"/>
      <c r="U68" s="33"/>
      <c r="V68" s="33"/>
      <c r="W68" s="34"/>
    </row>
    <row r="69" spans="1:23" x14ac:dyDescent="0.35">
      <c r="A69" s="37">
        <v>34</v>
      </c>
      <c r="B69" s="38">
        <v>5.64</v>
      </c>
      <c r="C69" s="2">
        <v>-12.923</v>
      </c>
      <c r="D69" s="5">
        <f t="shared" si="340"/>
        <v>-1.8577500000000011</v>
      </c>
      <c r="E69" s="36">
        <f t="shared" ref="E69" si="352">AVERAGE(D69:D70)</f>
        <v>-1.6417500000000009</v>
      </c>
      <c r="F69" s="42">
        <f t="shared" ref="F69" si="353">_xlfn.STDEV.S(D69:D70)/SQRT(2)</f>
        <v>0.21600000000000005</v>
      </c>
      <c r="G69" s="42">
        <f t="shared" ref="G69" si="354">E69/1000</f>
        <v>-1.6417500000000008E-3</v>
      </c>
      <c r="H69" s="36">
        <f t="shared" ref="H69" si="355">(-G69*2*0.205)/(21000*0.6*0.01*10^-3)</f>
        <v>5.3422023809523832E-3</v>
      </c>
      <c r="I69" s="36">
        <f>H69/B69</f>
        <v>9.4719900371496163E-4</v>
      </c>
      <c r="J69" s="33">
        <f t="shared" ref="J69" si="356">I69*1000</f>
        <v>0.94719900371496157</v>
      </c>
      <c r="K69" s="33">
        <f>AVERAGE(J69:J72)</f>
        <v>0.7864973606537774</v>
      </c>
      <c r="L69" s="34">
        <f>(_xlfn.STDEV.S(J69:J72)/SQRT(2))/K69</f>
        <v>0.20432572453593553</v>
      </c>
      <c r="M69" s="36">
        <v>8.5200000000000014</v>
      </c>
      <c r="N69" s="2">
        <v>-20.266999999999999</v>
      </c>
      <c r="O69" s="5">
        <f t="shared" si="346"/>
        <v>-9.2017500000000005</v>
      </c>
      <c r="P69" s="36">
        <f t="shared" ref="P69" si="357">AVERAGE(O69:O70)</f>
        <v>-9.6052500000000016</v>
      </c>
      <c r="Q69" s="42">
        <f t="shared" ref="Q69" si="358">_xlfn.STDEV.S(O69:O70)/SQRT(2)</f>
        <v>0.40350000000000102</v>
      </c>
      <c r="R69" s="42">
        <f t="shared" ref="R69" si="359">P69/1000</f>
        <v>-9.6052500000000009E-3</v>
      </c>
      <c r="S69" s="36">
        <f t="shared" ref="S69" si="360">(-R69*1*0.205)/(21000*0.6*0.01*10^-3)</f>
        <v>1.5627589285714286E-2</v>
      </c>
      <c r="T69" s="36">
        <f>S69/M69</f>
        <v>1.8342240945674042E-3</v>
      </c>
      <c r="U69" s="33">
        <f t="shared" ref="U69" si="361">T69*1000</f>
        <v>1.8342240945674042</v>
      </c>
      <c r="V69" s="33">
        <f t="shared" ref="V69" si="362">AVERAGE(U69:U74)</f>
        <v>1.6535134028377054</v>
      </c>
      <c r="W69" s="34">
        <f t="shared" ref="W69" si="363">(_xlfn.STDEV.S(U69:U74)/SQRT(3))/V69</f>
        <v>0.23428405422688359</v>
      </c>
    </row>
    <row r="70" spans="1:23" x14ac:dyDescent="0.35">
      <c r="A70" s="37"/>
      <c r="B70" s="38"/>
      <c r="C70" s="2">
        <v>-12.491</v>
      </c>
      <c r="D70" s="5">
        <f t="shared" si="340"/>
        <v>-1.4257500000000007</v>
      </c>
      <c r="E70" s="36"/>
      <c r="F70" s="42"/>
      <c r="G70" s="42"/>
      <c r="H70" s="36"/>
      <c r="I70" s="36"/>
      <c r="J70" s="33"/>
      <c r="K70" s="33"/>
      <c r="L70" s="34"/>
      <c r="M70" s="36"/>
      <c r="N70" s="2">
        <v>-21.074000000000002</v>
      </c>
      <c r="O70" s="5">
        <f t="shared" si="346"/>
        <v>-10.008750000000003</v>
      </c>
      <c r="P70" s="36"/>
      <c r="Q70" s="42"/>
      <c r="R70" s="42"/>
      <c r="S70" s="36"/>
      <c r="T70" s="36"/>
      <c r="U70" s="33"/>
      <c r="V70" s="33"/>
      <c r="W70" s="34"/>
    </row>
    <row r="71" spans="1:23" x14ac:dyDescent="0.35">
      <c r="A71" s="37">
        <v>35</v>
      </c>
      <c r="B71" s="38">
        <v>5.76</v>
      </c>
      <c r="C71" s="2">
        <v>-12.436</v>
      </c>
      <c r="D71" s="5">
        <f t="shared" si="340"/>
        <v>-1.370750000000001</v>
      </c>
      <c r="E71" s="36">
        <f t="shared" ref="E71" si="364">AVERAGE(D71:D72)</f>
        <v>-1.1077500000000011</v>
      </c>
      <c r="F71" s="42">
        <f t="shared" ref="F71" si="365">_xlfn.STDEV.S(D71:D72)/SQRT(2)</f>
        <v>0.26300000000000001</v>
      </c>
      <c r="G71" s="42">
        <f t="shared" ref="G71" si="366">E71/1000</f>
        <v>-1.1077500000000011E-3</v>
      </c>
      <c r="H71" s="36">
        <f t="shared" ref="H71" si="367">(-G71*2*0.205)/(21000*0.6*0.01*10^-3)</f>
        <v>3.6045833333333368E-3</v>
      </c>
      <c r="I71" s="36">
        <f>H71/B71</f>
        <v>6.2579571759259326E-4</v>
      </c>
      <c r="J71" s="33">
        <f t="shared" ref="J71" si="368">I71*1000</f>
        <v>0.62579571759259323</v>
      </c>
      <c r="K71" s="33"/>
      <c r="L71" s="34"/>
      <c r="M71" s="36">
        <v>8.91</v>
      </c>
      <c r="N71" s="2">
        <v>-15.571</v>
      </c>
      <c r="O71" s="5">
        <f t="shared" si="346"/>
        <v>-4.5057500000000008</v>
      </c>
      <c r="P71" s="36">
        <f t="shared" ref="P71" si="369">AVERAGE(O71:O72)</f>
        <v>-4.9872500000000004</v>
      </c>
      <c r="Q71" s="42">
        <f t="shared" ref="Q71" si="370">_xlfn.STDEV.S(O71:O72)/SQRT(2)</f>
        <v>0.48149999999999959</v>
      </c>
      <c r="R71" s="42">
        <f t="shared" ref="R71" si="371">P71/1000</f>
        <v>-4.9872500000000004E-3</v>
      </c>
      <c r="S71" s="36">
        <f t="shared" ref="S71" si="372">(-R71*1*0.205)/(21000*0.6*0.01*10^-3)</f>
        <v>8.1141765873015866E-3</v>
      </c>
      <c r="T71" s="36">
        <f>S71/M71</f>
        <v>9.1068199633014435E-4</v>
      </c>
      <c r="U71" s="33">
        <f t="shared" ref="U71" si="373">T71*1000</f>
        <v>0.91068199633014435</v>
      </c>
      <c r="V71" s="33"/>
      <c r="W71" s="34"/>
    </row>
    <row r="72" spans="1:23" x14ac:dyDescent="0.35">
      <c r="A72" s="37"/>
      <c r="B72" s="38"/>
      <c r="C72" s="2">
        <v>-11.91</v>
      </c>
      <c r="D72" s="5">
        <f t="shared" si="340"/>
        <v>-0.84475000000000122</v>
      </c>
      <c r="E72" s="36"/>
      <c r="F72" s="42"/>
      <c r="G72" s="42"/>
      <c r="H72" s="36"/>
      <c r="I72" s="36"/>
      <c r="J72" s="33"/>
      <c r="K72" s="33"/>
      <c r="L72" s="34"/>
      <c r="M72" s="36"/>
      <c r="N72" s="2">
        <v>-16.533999999999999</v>
      </c>
      <c r="O72" s="5">
        <f t="shared" si="346"/>
        <v>-5.46875</v>
      </c>
      <c r="P72" s="36"/>
      <c r="Q72" s="42"/>
      <c r="R72" s="42"/>
      <c r="S72" s="36"/>
      <c r="T72" s="36"/>
      <c r="U72" s="33"/>
      <c r="V72" s="33"/>
      <c r="W72" s="34"/>
    </row>
    <row r="73" spans="1:23" x14ac:dyDescent="0.35">
      <c r="A73" s="37">
        <v>36</v>
      </c>
      <c r="B73" s="38">
        <v>4.4550000000000001</v>
      </c>
      <c r="C73" s="2">
        <v>-14.8</v>
      </c>
      <c r="D73" s="5">
        <f t="shared" si="340"/>
        <v>-3.7347500000000018</v>
      </c>
      <c r="E73" s="36">
        <f t="shared" ref="E73" si="374">AVERAGE(D73:D74)</f>
        <v>-3.2677500000000013</v>
      </c>
      <c r="F73" s="42">
        <f t="shared" ref="F73" si="375">_xlfn.STDEV.S(D73:D74)/SQRT(2)</f>
        <v>0.46700000000000086</v>
      </c>
      <c r="G73" s="42">
        <f t="shared" ref="G73" si="376">E73/1000</f>
        <v>-3.2677500000000011E-3</v>
      </c>
      <c r="H73" s="36">
        <f t="shared" ref="H73" si="377">(-G73*2*0.205)/(21000*0.6*0.01*10^-3)</f>
        <v>1.0633154761904764E-2</v>
      </c>
      <c r="I73" s="36">
        <f>H73/B73</f>
        <v>2.3867911923467484E-3</v>
      </c>
      <c r="J73" s="43">
        <f t="shared" ref="J73" si="378">I73*1000</f>
        <v>2.3867911923467484</v>
      </c>
      <c r="K73" s="33"/>
      <c r="L73" s="34"/>
      <c r="M73" s="36">
        <v>8.8949999999999996</v>
      </c>
      <c r="N73" s="2">
        <v>-22.509</v>
      </c>
      <c r="O73" s="5">
        <f t="shared" si="346"/>
        <v>-11.443750000000001</v>
      </c>
      <c r="P73" s="36">
        <f t="shared" ref="P73" si="379">AVERAGE(O73:O74)</f>
        <v>-12.113250000000001</v>
      </c>
      <c r="Q73" s="42">
        <f t="shared" ref="Q73" si="380">_xlfn.STDEV.S(O73:O74)/SQRT(2)</f>
        <v>0.66949999999999932</v>
      </c>
      <c r="R73" s="42">
        <f t="shared" ref="R73" si="381">P73/1000</f>
        <v>-1.2113250000000001E-2</v>
      </c>
      <c r="S73" s="36">
        <f t="shared" ref="S73" si="382">(-R73*1*0.205)/(21000*0.6*0.01*10^-3)</f>
        <v>1.9708065476190476E-2</v>
      </c>
      <c r="T73" s="36">
        <f>S73/M73</f>
        <v>2.2156341176155681E-3</v>
      </c>
      <c r="U73" s="33">
        <f t="shared" ref="U73" si="383">T73*1000</f>
        <v>2.2156341176155681</v>
      </c>
      <c r="V73" s="33"/>
      <c r="W73" s="34"/>
    </row>
    <row r="74" spans="1:23" x14ac:dyDescent="0.35">
      <c r="A74" s="37"/>
      <c r="B74" s="38"/>
      <c r="C74" s="2">
        <v>-13.866</v>
      </c>
      <c r="D74" s="5">
        <f t="shared" si="340"/>
        <v>-2.8007500000000007</v>
      </c>
      <c r="E74" s="36"/>
      <c r="F74" s="42"/>
      <c r="G74" s="42"/>
      <c r="H74" s="36"/>
      <c r="I74" s="36"/>
      <c r="J74" s="43"/>
      <c r="K74" s="33"/>
      <c r="L74" s="34"/>
      <c r="M74" s="36"/>
      <c r="N74" s="2">
        <v>-23.847999999999999</v>
      </c>
      <c r="O74" s="5">
        <f t="shared" si="346"/>
        <v>-12.78275</v>
      </c>
      <c r="P74" s="36"/>
      <c r="Q74" s="42"/>
      <c r="R74" s="42"/>
      <c r="S74" s="36"/>
      <c r="T74" s="36"/>
      <c r="U74" s="33"/>
      <c r="V74" s="33"/>
      <c r="W74" s="34"/>
    </row>
    <row r="75" spans="1:23" x14ac:dyDescent="0.35">
      <c r="A75" s="37">
        <v>37</v>
      </c>
      <c r="B75" s="38">
        <v>6.7650000000000006</v>
      </c>
      <c r="C75" s="2">
        <v>-19.07</v>
      </c>
      <c r="D75" s="5">
        <f t="shared" si="340"/>
        <v>-8.0047500000000014</v>
      </c>
      <c r="E75" s="36">
        <f t="shared" ref="E75" si="384">AVERAGE(D75:D76)</f>
        <v>-6.4327500000000013</v>
      </c>
      <c r="F75" s="42">
        <f t="shared" ref="F75" si="385">_xlfn.STDEV.S(D75:D76)/SQRT(2)</f>
        <v>1.5720000000000001</v>
      </c>
      <c r="G75" s="42">
        <f t="shared" ref="G75" si="386">E75/1000</f>
        <v>-6.432750000000001E-3</v>
      </c>
      <c r="H75" s="36">
        <f t="shared" ref="H75" si="387">(-G75*2*0.205)/(21000*0.6*0.01*10^-3)</f>
        <v>2.0931964285714286E-2</v>
      </c>
      <c r="I75" s="36">
        <f>H75/B75</f>
        <v>3.0941558441558441E-3</v>
      </c>
      <c r="J75" s="33">
        <f t="shared" ref="J75" si="388">I75*1000</f>
        <v>3.0941558441558441</v>
      </c>
      <c r="K75" s="33">
        <f t="shared" ref="K75" si="389">AVERAGE(J75:J80)</f>
        <v>3.6297850244841654</v>
      </c>
      <c r="L75" s="34">
        <f t="shared" ref="L75" si="390">(_xlfn.STDEV.S(J75:J80)/SQRT(3))/K75</f>
        <v>0.12613248785407016</v>
      </c>
      <c r="M75" s="36">
        <v>10.5</v>
      </c>
      <c r="N75" s="2">
        <v>-18.786000000000001</v>
      </c>
      <c r="O75" s="5">
        <f t="shared" si="346"/>
        <v>-7.7207500000000024</v>
      </c>
      <c r="P75" s="36">
        <f t="shared" ref="P75" si="391">AVERAGE(O75:O76)</f>
        <v>-8.1267500000000013</v>
      </c>
      <c r="Q75" s="42">
        <f t="shared" ref="Q75" si="392">_xlfn.STDEV.S(O75:O76)/SQRT(2)</f>
        <v>0.40599999999999875</v>
      </c>
      <c r="R75" s="42">
        <f t="shared" ref="R75" si="393">P75/1000</f>
        <v>-8.126750000000002E-3</v>
      </c>
      <c r="S75" s="36">
        <f t="shared" ref="S75" si="394">(-R75*1*0.205)/(21000*0.6*0.01*10^-3)</f>
        <v>1.3222093253968255E-2</v>
      </c>
      <c r="T75" s="36">
        <f>S75/M75</f>
        <v>1.2592469765684052E-3</v>
      </c>
      <c r="U75" s="33">
        <f t="shared" ref="U75" si="395">T75*1000</f>
        <v>1.2592469765684053</v>
      </c>
      <c r="V75" s="33">
        <f t="shared" ref="V75" si="396">AVERAGE(U75:U80)</f>
        <v>2.0406251895332876</v>
      </c>
      <c r="W75" s="34">
        <f t="shared" ref="W75" si="397">(_xlfn.STDEV.S(U75:U80)/SQRT(3))/V75</f>
        <v>0.21200757080989863</v>
      </c>
    </row>
    <row r="76" spans="1:23" x14ac:dyDescent="0.35">
      <c r="A76" s="37"/>
      <c r="B76" s="38"/>
      <c r="C76" s="2">
        <v>-15.926</v>
      </c>
      <c r="D76" s="5">
        <f t="shared" si="340"/>
        <v>-4.8607500000000012</v>
      </c>
      <c r="E76" s="36"/>
      <c r="F76" s="42"/>
      <c r="G76" s="42"/>
      <c r="H76" s="36"/>
      <c r="I76" s="36"/>
      <c r="J76" s="33"/>
      <c r="K76" s="33"/>
      <c r="L76" s="34"/>
      <c r="M76" s="36"/>
      <c r="N76" s="2">
        <v>-19.597999999999999</v>
      </c>
      <c r="O76" s="5">
        <f t="shared" si="346"/>
        <v>-8.5327500000000001</v>
      </c>
      <c r="P76" s="36"/>
      <c r="Q76" s="42"/>
      <c r="R76" s="42"/>
      <c r="S76" s="36"/>
      <c r="T76" s="36"/>
      <c r="U76" s="33"/>
      <c r="V76" s="33"/>
      <c r="W76" s="34"/>
    </row>
    <row r="77" spans="1:23" x14ac:dyDescent="0.35">
      <c r="A77" s="37">
        <v>38</v>
      </c>
      <c r="B77" s="38">
        <v>5.1150000000000002</v>
      </c>
      <c r="C77" s="2">
        <v>-18.178000000000001</v>
      </c>
      <c r="D77" s="5">
        <f t="shared" si="340"/>
        <v>-7.1127500000000019</v>
      </c>
      <c r="E77" s="36">
        <f t="shared" ref="E77" si="398">AVERAGE(D77:D78)</f>
        <v>-7.1377500000000023</v>
      </c>
      <c r="F77" s="42">
        <f t="shared" ref="F77" si="399">_xlfn.STDEV.S(D77:D78)/SQRT(2)</f>
        <v>2.5000000000000355E-2</v>
      </c>
      <c r="G77" s="42">
        <f t="shared" ref="G77" si="400">E77/1000</f>
        <v>-7.1377500000000026E-3</v>
      </c>
      <c r="H77" s="36">
        <f t="shared" ref="H77" si="401">(-G77*2*0.205)/(21000*0.6*0.01*10^-3)</f>
        <v>2.3226011904761912E-2</v>
      </c>
      <c r="I77" s="36">
        <f>H77/B77</f>
        <v>4.5407647907647923E-3</v>
      </c>
      <c r="J77" s="33">
        <f t="shared" ref="J77" si="402">I77*1000</f>
        <v>4.5407647907647926</v>
      </c>
      <c r="K77" s="33"/>
      <c r="L77" s="34"/>
      <c r="M77" s="36">
        <v>8.8650000000000002</v>
      </c>
      <c r="N77" s="2">
        <v>-25.43</v>
      </c>
      <c r="O77" s="5">
        <f t="shared" si="346"/>
        <v>-14.364750000000001</v>
      </c>
      <c r="P77" s="36">
        <f t="shared" ref="P77" si="403">AVERAGE(O77:O78)</f>
        <v>-15.001250000000001</v>
      </c>
      <c r="Q77" s="42">
        <f t="shared" ref="Q77" si="404">_xlfn.STDEV.S(O77:O78)/SQRT(2)</f>
        <v>0.63649999999999984</v>
      </c>
      <c r="R77" s="42">
        <f t="shared" ref="R77" si="405">P77/1000</f>
        <v>-1.5001250000000001E-2</v>
      </c>
      <c r="S77" s="36">
        <f t="shared" ref="S77" si="406">(-R77*1*0.205)/(21000*0.6*0.01*10^-3)</f>
        <v>2.4406795634920635E-2</v>
      </c>
      <c r="T77" s="36">
        <f>S77/M77</f>
        <v>2.7531636362008614E-3</v>
      </c>
      <c r="U77" s="33">
        <f t="shared" ref="U77" si="407">T77*1000</f>
        <v>2.7531636362008616</v>
      </c>
      <c r="V77" s="33"/>
      <c r="W77" s="34"/>
    </row>
    <row r="78" spans="1:23" x14ac:dyDescent="0.35">
      <c r="A78" s="37"/>
      <c r="B78" s="38"/>
      <c r="C78" s="2">
        <v>-18.228000000000002</v>
      </c>
      <c r="D78" s="5">
        <f t="shared" si="340"/>
        <v>-7.1627500000000026</v>
      </c>
      <c r="E78" s="36"/>
      <c r="F78" s="42"/>
      <c r="G78" s="42"/>
      <c r="H78" s="36"/>
      <c r="I78" s="36"/>
      <c r="J78" s="33"/>
      <c r="K78" s="33"/>
      <c r="L78" s="34"/>
      <c r="M78" s="36"/>
      <c r="N78" s="2">
        <v>-26.702999999999999</v>
      </c>
      <c r="O78" s="5">
        <f t="shared" si="346"/>
        <v>-15.63775</v>
      </c>
      <c r="P78" s="36"/>
      <c r="Q78" s="42"/>
      <c r="R78" s="42"/>
      <c r="S78" s="36"/>
      <c r="T78" s="36"/>
      <c r="U78" s="33"/>
      <c r="V78" s="33"/>
      <c r="W78" s="34"/>
    </row>
    <row r="79" spans="1:23" x14ac:dyDescent="0.35">
      <c r="A79" s="37">
        <v>39</v>
      </c>
      <c r="B79" s="38">
        <v>5.2350000000000003</v>
      </c>
      <c r="C79" s="2">
        <v>-17.102</v>
      </c>
      <c r="D79" s="5">
        <f t="shared" si="340"/>
        <v>-6.0367500000000014</v>
      </c>
      <c r="E79" s="36">
        <f t="shared" ref="E79" si="408">AVERAGE(D79:D80)</f>
        <v>-5.2357500000000012</v>
      </c>
      <c r="F79" s="42">
        <f t="shared" ref="F79" si="409">_xlfn.STDEV.S(D79:D80)/SQRT(2)</f>
        <v>0.80100000000000071</v>
      </c>
      <c r="G79" s="42">
        <f t="shared" ref="G79" si="410">E79/1000</f>
        <v>-5.2357500000000008E-3</v>
      </c>
      <c r="H79" s="36">
        <f t="shared" ref="H79" si="411">(-G79*2*0.205)/(21000*0.6*0.01*10^-3)</f>
        <v>1.7036964285714287E-2</v>
      </c>
      <c r="I79" s="36">
        <f>H79/B79</f>
        <v>3.2544344385318598E-3</v>
      </c>
      <c r="J79" s="33">
        <f t="shared" ref="J79" si="412">I79*1000</f>
        <v>3.2544344385318595</v>
      </c>
      <c r="K79" s="33"/>
      <c r="L79" s="34"/>
      <c r="M79" s="36">
        <v>10.215</v>
      </c>
      <c r="N79" s="2">
        <v>-23.614999999999998</v>
      </c>
      <c r="O79" s="5">
        <f t="shared" si="346"/>
        <v>-12.54975</v>
      </c>
      <c r="P79" s="36">
        <f t="shared" ref="P79" si="413">AVERAGE(O79:O80)</f>
        <v>-13.244250000000001</v>
      </c>
      <c r="Q79" s="42">
        <f t="shared" ref="Q79" si="414">_xlfn.STDEV.S(O79:O80)/SQRT(2)</f>
        <v>0.69450000000000145</v>
      </c>
      <c r="R79" s="42">
        <f t="shared" ref="R79" si="415">P79/1000</f>
        <v>-1.3244250000000001E-2</v>
      </c>
      <c r="S79" s="36">
        <f t="shared" ref="S79" si="416">(-R79*1*0.205)/(21000*0.6*0.01*10^-3)</f>
        <v>2.1548184523809525E-2</v>
      </c>
      <c r="T79" s="36">
        <f>S79/M79</f>
        <v>2.1094649558305949E-3</v>
      </c>
      <c r="U79" s="33">
        <f t="shared" ref="U79" si="417">T79*1000</f>
        <v>2.1094649558305951</v>
      </c>
      <c r="V79" s="33"/>
      <c r="W79" s="34"/>
    </row>
    <row r="80" spans="1:23" x14ac:dyDescent="0.35">
      <c r="A80" s="37"/>
      <c r="B80" s="38"/>
      <c r="C80" s="2">
        <v>-15.5</v>
      </c>
      <c r="D80" s="5">
        <f t="shared" si="340"/>
        <v>-4.4347500000000011</v>
      </c>
      <c r="E80" s="36"/>
      <c r="F80" s="42"/>
      <c r="G80" s="42"/>
      <c r="H80" s="36"/>
      <c r="I80" s="36"/>
      <c r="J80" s="33"/>
      <c r="K80" s="33"/>
      <c r="L80" s="34"/>
      <c r="M80" s="36"/>
      <c r="N80" s="2">
        <v>-25.004000000000001</v>
      </c>
      <c r="O80" s="5">
        <f t="shared" si="346"/>
        <v>-13.938750000000002</v>
      </c>
      <c r="P80" s="36"/>
      <c r="Q80" s="42"/>
      <c r="R80" s="42"/>
      <c r="S80" s="36"/>
      <c r="T80" s="36"/>
      <c r="U80" s="33"/>
      <c r="V80" s="33"/>
      <c r="W80" s="34"/>
    </row>
    <row r="81" spans="1:23" x14ac:dyDescent="0.35">
      <c r="A81" s="37">
        <v>40</v>
      </c>
      <c r="B81" s="38">
        <v>6.15</v>
      </c>
      <c r="C81" s="5">
        <v>-14.516999999999999</v>
      </c>
      <c r="D81" s="5">
        <f t="shared" si="340"/>
        <v>-3.4517500000000005</v>
      </c>
      <c r="E81" s="36">
        <f t="shared" ref="E81" si="418">AVERAGE(D81:D82)</f>
        <v>-3.3052500000000009</v>
      </c>
      <c r="F81" s="42">
        <f t="shared" ref="F81" si="419">_xlfn.STDEV.S(D81:D82)/SQRT(2)</f>
        <v>0.14649999999999963</v>
      </c>
      <c r="G81" s="42">
        <f t="shared" ref="G81" si="420">E81/1000</f>
        <v>-3.3052500000000009E-3</v>
      </c>
      <c r="H81" s="36">
        <f t="shared" ref="H81" si="421">(-G81*2*0.205)/(21000*0.6*0.01*10^-3)</f>
        <v>1.0755178571428574E-2</v>
      </c>
      <c r="I81" s="36">
        <f>H81/B81</f>
        <v>1.748809523809524E-3</v>
      </c>
      <c r="J81" s="33">
        <f t="shared" ref="J81" si="422">I81*1000</f>
        <v>1.748809523809524</v>
      </c>
      <c r="K81" s="33">
        <f t="shared" ref="K81" si="423">AVERAGE(J81:J86)</f>
        <v>1.69304792419336</v>
      </c>
      <c r="L81" s="34">
        <f t="shared" ref="L81" si="424">(_xlfn.STDEV.S(J81:J86)/SQRT(3))/K81</f>
        <v>3.4406407469392754E-2</v>
      </c>
      <c r="M81" s="36">
        <v>9.09</v>
      </c>
      <c r="N81" s="2">
        <v>-23.655000000000001</v>
      </c>
      <c r="O81" s="5">
        <f t="shared" si="346"/>
        <v>-12.589750000000002</v>
      </c>
      <c r="P81" s="36">
        <f t="shared" ref="P81" si="425">AVERAGE(O81:O82)</f>
        <v>-13.365750000000002</v>
      </c>
      <c r="Q81" s="42">
        <f t="shared" ref="Q81" si="426">_xlfn.STDEV.S(O81:O82)/SQRT(2)</f>
        <v>0.77599999999999969</v>
      </c>
      <c r="R81" s="42">
        <f t="shared" ref="R81" si="427">P81/1000</f>
        <v>-1.3365750000000003E-2</v>
      </c>
      <c r="S81" s="36">
        <f t="shared" ref="S81" si="428">(-R81*1*0.205)/(21000*0.6*0.01*10^-3)</f>
        <v>2.1745863095238099E-2</v>
      </c>
      <c r="T81" s="36">
        <f>S81/M81</f>
        <v>2.3922841688930802E-3</v>
      </c>
      <c r="U81" s="33">
        <f t="shared" ref="U81" si="429">T81*1000</f>
        <v>2.39228416889308</v>
      </c>
      <c r="V81" s="33">
        <f>AVERAGE(U81,U85)</f>
        <v>2.2019497894729954</v>
      </c>
      <c r="W81" s="34">
        <f>(_xlfn.STDEV.S(U81,U85)/SQRT(3))/V81</f>
        <v>7.0577163372419219E-2</v>
      </c>
    </row>
    <row r="82" spans="1:23" x14ac:dyDescent="0.35">
      <c r="A82" s="37"/>
      <c r="B82" s="38"/>
      <c r="C82" s="5">
        <v>-14.224</v>
      </c>
      <c r="D82" s="5">
        <f t="shared" si="340"/>
        <v>-3.1587500000000013</v>
      </c>
      <c r="E82" s="36"/>
      <c r="F82" s="42"/>
      <c r="G82" s="42"/>
      <c r="H82" s="36"/>
      <c r="I82" s="36"/>
      <c r="J82" s="33"/>
      <c r="K82" s="33"/>
      <c r="L82" s="34"/>
      <c r="M82" s="36"/>
      <c r="N82" s="2">
        <v>-25.207000000000001</v>
      </c>
      <c r="O82" s="5">
        <f t="shared" si="346"/>
        <v>-14.141750000000002</v>
      </c>
      <c r="P82" s="36"/>
      <c r="Q82" s="42"/>
      <c r="R82" s="42"/>
      <c r="S82" s="36"/>
      <c r="T82" s="36"/>
      <c r="U82" s="33"/>
      <c r="V82" s="33"/>
      <c r="W82" s="34"/>
    </row>
    <row r="83" spans="1:23" x14ac:dyDescent="0.35">
      <c r="A83" s="37">
        <v>41</v>
      </c>
      <c r="B83" s="38">
        <v>7.1549999999999994</v>
      </c>
      <c r="C83" s="5">
        <v>-15.145</v>
      </c>
      <c r="D83" s="5">
        <f t="shared" si="340"/>
        <v>-4.0797500000000007</v>
      </c>
      <c r="E83" s="36">
        <f t="shared" ref="E83" si="430">AVERAGE(D83:D84)</f>
        <v>-3.8562500000000011</v>
      </c>
      <c r="F83" s="42">
        <f t="shared" ref="F83" si="431">_xlfn.STDEV.S(D83:D84)/SQRT(2)</f>
        <v>0.22349999999999956</v>
      </c>
      <c r="G83" s="42">
        <f t="shared" ref="G83" si="432">E83/1000</f>
        <v>-3.8562500000000012E-3</v>
      </c>
      <c r="H83" s="36">
        <f t="shared" ref="H83" si="433">(-G83*2*0.205)/(21000*0.6*0.01*10^-3)</f>
        <v>1.2548115079365083E-2</v>
      </c>
      <c r="I83" s="36">
        <f>H83/B83</f>
        <v>1.7537547280733869E-3</v>
      </c>
      <c r="J83" s="33">
        <f t="shared" ref="J83" si="434">I83*1000</f>
        <v>1.7537547280733869</v>
      </c>
      <c r="K83" s="33"/>
      <c r="L83" s="34"/>
      <c r="M83" s="36">
        <v>9.5400000000000009</v>
      </c>
      <c r="N83" s="2">
        <v>-15.997</v>
      </c>
      <c r="O83" s="5">
        <f t="shared" si="346"/>
        <v>-4.931750000000001</v>
      </c>
      <c r="P83" s="36">
        <f t="shared" ref="P83" si="435">AVERAGE(O83:O84)</f>
        <v>-5.4387500000000006</v>
      </c>
      <c r="Q83" s="42">
        <f t="shared" ref="Q83" si="436">_xlfn.STDEV.S(O83:O84)/SQRT(2)</f>
        <v>0.50699999999999967</v>
      </c>
      <c r="R83" s="42">
        <f t="shared" ref="R83" si="437">P83/1000</f>
        <v>-5.4387500000000009E-3</v>
      </c>
      <c r="S83" s="36">
        <f t="shared" ref="S83" si="438">(-R83*1*0.205)/(21000*0.6*0.01*10^-3)</f>
        <v>8.8487599206349202E-3</v>
      </c>
      <c r="T83" s="36">
        <f>S83/M83</f>
        <v>9.2754296862001249E-4</v>
      </c>
      <c r="U83" s="43">
        <f t="shared" ref="U83" si="439">T83*1000</f>
        <v>0.92754296862001251</v>
      </c>
      <c r="V83" s="33"/>
      <c r="W83" s="34"/>
    </row>
    <row r="84" spans="1:23" x14ac:dyDescent="0.35">
      <c r="A84" s="37"/>
      <c r="B84" s="38"/>
      <c r="C84" s="5">
        <v>-14.698</v>
      </c>
      <c r="D84" s="5">
        <f t="shared" si="340"/>
        <v>-3.6327500000000015</v>
      </c>
      <c r="E84" s="36"/>
      <c r="F84" s="42"/>
      <c r="G84" s="42"/>
      <c r="H84" s="36"/>
      <c r="I84" s="36"/>
      <c r="J84" s="33"/>
      <c r="K84" s="33"/>
      <c r="L84" s="34"/>
      <c r="M84" s="36"/>
      <c r="N84" s="2">
        <v>-17.010999999999999</v>
      </c>
      <c r="O84" s="5">
        <f t="shared" si="346"/>
        <v>-5.9457500000000003</v>
      </c>
      <c r="P84" s="36"/>
      <c r="Q84" s="42"/>
      <c r="R84" s="42"/>
      <c r="S84" s="36"/>
      <c r="T84" s="36"/>
      <c r="U84" s="43"/>
      <c r="V84" s="33"/>
      <c r="W84" s="34"/>
    </row>
    <row r="85" spans="1:23" x14ac:dyDescent="0.35">
      <c r="A85" s="37">
        <v>42</v>
      </c>
      <c r="B85" s="38">
        <v>3.8250000000000002</v>
      </c>
      <c r="C85" s="5">
        <v>-12.651999999999999</v>
      </c>
      <c r="D85" s="5">
        <f t="shared" si="340"/>
        <v>-1.5867500000000003</v>
      </c>
      <c r="E85" s="36">
        <f t="shared" ref="E85" si="440">AVERAGE(D85:D86)</f>
        <v>-1.853250000000001</v>
      </c>
      <c r="F85" s="42">
        <f t="shared" ref="F85" si="441">_xlfn.STDEV.S(D85:D86)/SQRT(2)</f>
        <v>0.26650000000000074</v>
      </c>
      <c r="G85" s="42">
        <f t="shared" ref="G85" si="442">E85/1000</f>
        <v>-1.8532500000000009E-3</v>
      </c>
      <c r="H85" s="36">
        <f t="shared" ref="H85" si="443">(-G85*2*0.205)/(21000*0.6*0.01*10^-3)</f>
        <v>6.03041666666667E-3</v>
      </c>
      <c r="I85" s="36">
        <f>H85/B85</f>
        <v>1.5765795206971686E-3</v>
      </c>
      <c r="J85" s="33">
        <f t="shared" ref="J85" si="444">I85*1000</f>
        <v>1.5765795206971687</v>
      </c>
      <c r="K85" s="33"/>
      <c r="L85" s="34"/>
      <c r="M85" s="36">
        <v>9.8399999999999981</v>
      </c>
      <c r="N85" s="2">
        <v>-22.189</v>
      </c>
      <c r="O85" s="5">
        <f t="shared" si="346"/>
        <v>-11.123750000000001</v>
      </c>
      <c r="P85" s="36">
        <f t="shared" ref="P85" si="445">AVERAGE(O85:O86)</f>
        <v>-12.166250000000002</v>
      </c>
      <c r="Q85" s="42">
        <f t="shared" ref="Q85" si="446">_xlfn.STDEV.S(O85:O86)/SQRT(2)</f>
        <v>1.0425000000000004</v>
      </c>
      <c r="R85" s="42">
        <f t="shared" ref="R85" si="447">P85/1000</f>
        <v>-1.2166250000000002E-2</v>
      </c>
      <c r="S85" s="36">
        <f t="shared" ref="S85" si="448">(-R85*1*0.205)/(21000*0.6*0.01*10^-3)</f>
        <v>1.9794295634920637E-2</v>
      </c>
      <c r="T85" s="36">
        <f>S85/M85</f>
        <v>2.0116154100529105E-3</v>
      </c>
      <c r="U85" s="33">
        <f t="shared" ref="U85" si="449">T85*1000</f>
        <v>2.0116154100529107</v>
      </c>
      <c r="V85" s="33"/>
      <c r="W85" s="34"/>
    </row>
    <row r="86" spans="1:23" x14ac:dyDescent="0.35">
      <c r="A86" s="37"/>
      <c r="B86" s="38"/>
      <c r="C86" s="5">
        <v>-13.185</v>
      </c>
      <c r="D86" s="5">
        <f t="shared" si="340"/>
        <v>-2.1197500000000016</v>
      </c>
      <c r="E86" s="36"/>
      <c r="F86" s="42"/>
      <c r="G86" s="42"/>
      <c r="H86" s="36"/>
      <c r="I86" s="36"/>
      <c r="J86" s="33"/>
      <c r="K86" s="33"/>
      <c r="L86" s="34"/>
      <c r="M86" s="36"/>
      <c r="N86" s="2">
        <v>-24.274000000000001</v>
      </c>
      <c r="O86" s="5">
        <f t="shared" si="346"/>
        <v>-13.208750000000002</v>
      </c>
      <c r="P86" s="36"/>
      <c r="Q86" s="42"/>
      <c r="R86" s="42"/>
      <c r="S86" s="36"/>
      <c r="T86" s="36"/>
      <c r="U86" s="33"/>
      <c r="V86" s="33"/>
      <c r="W86" s="34"/>
    </row>
    <row r="87" spans="1:23" x14ac:dyDescent="0.35">
      <c r="A87" s="37">
        <v>43</v>
      </c>
      <c r="B87" s="38">
        <v>8.3249999999999993</v>
      </c>
      <c r="C87" s="5">
        <v>-20.166</v>
      </c>
      <c r="D87" s="5">
        <f t="shared" si="340"/>
        <v>-9.1007500000000014</v>
      </c>
      <c r="E87" s="36">
        <f t="shared" ref="E87" si="450">AVERAGE(D87:D88)</f>
        <v>-9.0247500000000009</v>
      </c>
      <c r="F87" s="42">
        <f t="shared" ref="F87" si="451">_xlfn.STDEV.S(D87:D88)/SQRT(2)</f>
        <v>7.6000000000000512E-2</v>
      </c>
      <c r="G87" s="42">
        <f t="shared" ref="G87" si="452">E87/1000</f>
        <v>-9.0247500000000015E-3</v>
      </c>
      <c r="H87" s="36">
        <f t="shared" ref="H87" si="453">(-G87*2*0.205)/(21000*0.6*0.01*10^-3)</f>
        <v>2.9366250000000003E-2</v>
      </c>
      <c r="I87" s="36">
        <f>H87/B87</f>
        <v>3.5274774774774783E-3</v>
      </c>
      <c r="J87" s="33">
        <f t="shared" ref="J87" si="454">I87*1000</f>
        <v>3.5274774774774782</v>
      </c>
      <c r="K87" s="33">
        <f t="shared" ref="K87" si="455">AVERAGE(J87:J92)</f>
        <v>2.4525296877438953</v>
      </c>
      <c r="L87" s="34">
        <f t="shared" ref="L87" si="456">(_xlfn.STDEV.S(J87:J92)/SQRT(3))/K87</f>
        <v>0.22046418162094839</v>
      </c>
      <c r="M87" s="36">
        <v>12.375</v>
      </c>
      <c r="N87" s="2">
        <v>-33.677</v>
      </c>
      <c r="O87" s="5">
        <f t="shared" si="346"/>
        <v>-22.611750000000001</v>
      </c>
      <c r="P87" s="36">
        <f t="shared" ref="P87" si="457">AVERAGE(O87:O88)</f>
        <v>-23.296250000000001</v>
      </c>
      <c r="Q87" s="42">
        <f t="shared" ref="Q87" si="458">_xlfn.STDEV.S(O87:O88)/SQRT(2)</f>
        <v>0.68449999999999978</v>
      </c>
      <c r="R87" s="42">
        <f t="shared" ref="R87" si="459">P87/1000</f>
        <v>-2.3296250000000001E-2</v>
      </c>
      <c r="S87" s="36">
        <f t="shared" ref="S87" si="460">(-R87*1*0.205)/(21000*0.6*0.01*10^-3)</f>
        <v>3.7902628968253971E-2</v>
      </c>
      <c r="T87" s="36">
        <f>S87/M87</f>
        <v>3.0628387045053712E-3</v>
      </c>
      <c r="U87" s="33">
        <f t="shared" ref="U87" si="461">T87*1000</f>
        <v>3.0628387045053711</v>
      </c>
      <c r="V87" s="33">
        <f t="shared" ref="V87" si="462">AVERAGE(U87:U92)</f>
        <v>2.9682638535758099</v>
      </c>
      <c r="W87" s="34">
        <f t="shared" ref="W87" si="463">(_xlfn.STDEV.S(U87:U92)/SQRT(3))/V87</f>
        <v>0.23175789782369771</v>
      </c>
    </row>
    <row r="88" spans="1:23" x14ac:dyDescent="0.35">
      <c r="A88" s="37"/>
      <c r="B88" s="38"/>
      <c r="C88" s="5">
        <v>-20.013999999999999</v>
      </c>
      <c r="D88" s="5">
        <f t="shared" si="340"/>
        <v>-8.9487500000000004</v>
      </c>
      <c r="E88" s="36"/>
      <c r="F88" s="42"/>
      <c r="G88" s="42"/>
      <c r="H88" s="36"/>
      <c r="I88" s="36"/>
      <c r="J88" s="33"/>
      <c r="K88" s="33"/>
      <c r="L88" s="34"/>
      <c r="M88" s="36"/>
      <c r="N88" s="2">
        <v>-35.045999999999999</v>
      </c>
      <c r="O88" s="5">
        <f t="shared" si="346"/>
        <v>-23.98075</v>
      </c>
      <c r="P88" s="36"/>
      <c r="Q88" s="42"/>
      <c r="R88" s="42"/>
      <c r="S88" s="36"/>
      <c r="T88" s="36"/>
      <c r="U88" s="33"/>
      <c r="V88" s="33"/>
      <c r="W88" s="34"/>
    </row>
    <row r="89" spans="1:23" x14ac:dyDescent="0.35">
      <c r="A89" s="37">
        <v>44</v>
      </c>
      <c r="B89" s="38">
        <v>5.8650000000000002</v>
      </c>
      <c r="C89" s="5">
        <v>-14.465</v>
      </c>
      <c r="D89" s="5">
        <f t="shared" si="340"/>
        <v>-3.3997500000000009</v>
      </c>
      <c r="E89" s="36">
        <f t="shared" ref="E89" si="464">AVERAGE(D89:D90)</f>
        <v>-3.2677500000000013</v>
      </c>
      <c r="F89" s="42">
        <f t="shared" ref="F89" si="465">_xlfn.STDEV.S(D89:D90)/SQRT(2)</f>
        <v>0.13199999999999967</v>
      </c>
      <c r="G89" s="42">
        <f t="shared" ref="G89" si="466">E89/1000</f>
        <v>-3.2677500000000011E-3</v>
      </c>
      <c r="H89" s="36">
        <f t="shared" ref="H89" si="467">(-G89*2*0.205)/(21000*0.6*0.01*10^-3)</f>
        <v>1.0633154761904764E-2</v>
      </c>
      <c r="I89" s="36">
        <f>H89/B89</f>
        <v>1.8129846141355095E-3</v>
      </c>
      <c r="J89" s="33">
        <f t="shared" ref="J89" si="468">I89*1000</f>
        <v>1.8129846141355095</v>
      </c>
      <c r="K89" s="33"/>
      <c r="L89" s="34"/>
      <c r="M89" s="36">
        <v>8.49</v>
      </c>
      <c r="N89" s="2">
        <v>-31.292999999999999</v>
      </c>
      <c r="O89" s="5">
        <f t="shared" si="346"/>
        <v>-20.22775</v>
      </c>
      <c r="P89" s="36">
        <f t="shared" ref="P89" si="469">AVERAGE(O89:O90)</f>
        <v>-21.445250000000001</v>
      </c>
      <c r="Q89" s="42">
        <f t="shared" ref="Q89" si="470">_xlfn.STDEV.S(O89:O90)/SQRT(2)</f>
        <v>1.2175000000000009</v>
      </c>
      <c r="R89" s="42">
        <f t="shared" ref="R89" si="471">P89/1000</f>
        <v>-2.1445250000000003E-2</v>
      </c>
      <c r="S89" s="36">
        <f t="shared" ref="S89" si="472">(-R89*1*0.205)/(21000*0.6*0.01*10^-3)</f>
        <v>3.4891081349206349E-2</v>
      </c>
      <c r="T89" s="36">
        <f>S89/M89</f>
        <v>4.109668003440088E-3</v>
      </c>
      <c r="U89" s="33">
        <f t="shared" ref="U89" si="473">T89*1000</f>
        <v>4.1096680034400883</v>
      </c>
      <c r="V89" s="33"/>
      <c r="W89" s="34"/>
    </row>
    <row r="90" spans="1:23" x14ac:dyDescent="0.35">
      <c r="A90" s="37"/>
      <c r="B90" s="38"/>
      <c r="C90" s="5">
        <v>-14.201000000000001</v>
      </c>
      <c r="D90" s="5">
        <f t="shared" si="340"/>
        <v>-3.1357500000000016</v>
      </c>
      <c r="E90" s="36"/>
      <c r="F90" s="42"/>
      <c r="G90" s="42"/>
      <c r="H90" s="36"/>
      <c r="I90" s="36"/>
      <c r="J90" s="33"/>
      <c r="K90" s="33"/>
      <c r="L90" s="34"/>
      <c r="M90" s="36"/>
      <c r="N90" s="2">
        <v>-33.728000000000002</v>
      </c>
      <c r="O90" s="5">
        <f t="shared" si="346"/>
        <v>-22.662750000000003</v>
      </c>
      <c r="P90" s="36"/>
      <c r="Q90" s="42"/>
      <c r="R90" s="42"/>
      <c r="S90" s="36"/>
      <c r="T90" s="36"/>
      <c r="U90" s="33"/>
      <c r="V90" s="33"/>
      <c r="W90" s="34"/>
    </row>
    <row r="91" spans="1:23" x14ac:dyDescent="0.35">
      <c r="A91" s="37">
        <v>45</v>
      </c>
      <c r="B91" s="38">
        <v>6.3450000000000006</v>
      </c>
      <c r="C91" s="5">
        <v>-15.256</v>
      </c>
      <c r="D91" s="5">
        <f t="shared" si="340"/>
        <v>-4.1907500000000013</v>
      </c>
      <c r="E91" s="36">
        <f t="shared" ref="E91" si="474">AVERAGE(D91:D92)</f>
        <v>-3.933250000000001</v>
      </c>
      <c r="F91" s="42">
        <f t="shared" ref="F91" si="475">_xlfn.STDEV.S(D91:D92)/SQRT(2)</f>
        <v>0.25750000000000028</v>
      </c>
      <c r="G91" s="42">
        <f t="shared" ref="G91" si="476">E91/1000</f>
        <v>-3.933250000000001E-3</v>
      </c>
      <c r="H91" s="36">
        <f t="shared" ref="H91" si="477">(-G91*2*0.205)/(21000*0.6*0.01*10^-3)</f>
        <v>1.2798670634920637E-2</v>
      </c>
      <c r="I91" s="36">
        <f>H91/B91</f>
        <v>2.0171269716186976E-3</v>
      </c>
      <c r="J91" s="33">
        <f t="shared" ref="J91" si="478">I91*1000</f>
        <v>2.0171269716186977</v>
      </c>
      <c r="K91" s="33"/>
      <c r="L91" s="34"/>
      <c r="M91" s="36">
        <v>10.41</v>
      </c>
      <c r="N91" s="2">
        <v>-21.931000000000001</v>
      </c>
      <c r="O91" s="5">
        <f t="shared" si="346"/>
        <v>-10.865750000000002</v>
      </c>
      <c r="P91" s="36">
        <f t="shared" ref="P91" si="479">AVERAGE(O91:O92)</f>
        <v>-11.083750000000002</v>
      </c>
      <c r="Q91" s="42">
        <f t="shared" ref="Q91" si="480">_xlfn.STDEV.S(O91:O92)/SQRT(2)</f>
        <v>0.21799999999999997</v>
      </c>
      <c r="R91" s="42">
        <f t="shared" ref="R91" si="481">P91/1000</f>
        <v>-1.1083750000000002E-2</v>
      </c>
      <c r="S91" s="36">
        <f t="shared" ref="S91" si="482">(-R91*1*0.205)/(21000*0.6*0.01*10^-3)</f>
        <v>1.8033085317460319E-2</v>
      </c>
      <c r="T91" s="36">
        <f>S91/M91</f>
        <v>1.7322848527819711E-3</v>
      </c>
      <c r="U91" s="33">
        <f t="shared" ref="U91" si="483">T91*1000</f>
        <v>1.732284852781971</v>
      </c>
      <c r="V91" s="33"/>
      <c r="W91" s="34"/>
    </row>
    <row r="92" spans="1:23" x14ac:dyDescent="0.35">
      <c r="A92" s="37"/>
      <c r="B92" s="38"/>
      <c r="C92" s="5">
        <v>-14.741</v>
      </c>
      <c r="D92" s="5">
        <f t="shared" si="340"/>
        <v>-3.6757500000000007</v>
      </c>
      <c r="E92" s="36"/>
      <c r="F92" s="42"/>
      <c r="G92" s="42"/>
      <c r="H92" s="36"/>
      <c r="I92" s="36"/>
      <c r="J92" s="33"/>
      <c r="K92" s="33"/>
      <c r="L92" s="34"/>
      <c r="M92" s="36"/>
      <c r="N92" s="2">
        <v>-22.367000000000001</v>
      </c>
      <c r="O92" s="5">
        <f t="shared" si="346"/>
        <v>-11.301750000000002</v>
      </c>
      <c r="P92" s="36"/>
      <c r="Q92" s="42"/>
      <c r="R92" s="42"/>
      <c r="S92" s="36"/>
      <c r="T92" s="36"/>
      <c r="U92" s="33"/>
      <c r="V92" s="33"/>
      <c r="W92" s="34"/>
    </row>
    <row r="93" spans="1:23" x14ac:dyDescent="0.35">
      <c r="A93" s="37">
        <v>46</v>
      </c>
      <c r="B93" s="38">
        <v>7.9949999999999992</v>
      </c>
      <c r="C93" s="5">
        <v>-16.138999999999999</v>
      </c>
      <c r="D93" s="5">
        <f t="shared" si="340"/>
        <v>-5.0737500000000004</v>
      </c>
      <c r="E93" s="36">
        <f t="shared" ref="E93" si="484">AVERAGE(D93:D94)</f>
        <v>-4.5057500000000008</v>
      </c>
      <c r="F93" s="42">
        <f t="shared" ref="F93" si="485">_xlfn.STDEV.S(D93:D94)/SQRT(2)</f>
        <v>0.56799999999999784</v>
      </c>
      <c r="G93" s="42">
        <f t="shared" ref="G93" si="486">E93/1000</f>
        <v>-4.5057500000000011E-3</v>
      </c>
      <c r="H93" s="36">
        <f t="shared" ref="H93" si="487">(-G93*2*0.205)/(21000*0.6*0.01*10^-3)</f>
        <v>1.4661567460317463E-2</v>
      </c>
      <c r="I93" s="36">
        <f>H93/B93</f>
        <v>1.8338420838420843E-3</v>
      </c>
      <c r="J93" s="33">
        <f t="shared" ref="J93" si="488">I93*1000</f>
        <v>1.8338420838420844</v>
      </c>
      <c r="K93" s="33">
        <f t="shared" ref="K93" si="489">AVERAGE(J93:J98)</f>
        <v>2.502975046507546</v>
      </c>
      <c r="L93" s="34">
        <f t="shared" ref="L93" si="490">(_xlfn.STDEV.S(J93:J98)/SQRT(3))/K93</f>
        <v>0.19703595402469423</v>
      </c>
      <c r="M93" s="36">
        <v>9.0150000000000006</v>
      </c>
      <c r="N93" s="2">
        <v>-19.018999999999998</v>
      </c>
      <c r="O93" s="5">
        <f t="shared" si="346"/>
        <v>-7.9537499999999994</v>
      </c>
      <c r="P93" s="36">
        <f t="shared" ref="P93" si="491">AVERAGE(O93:O94)</f>
        <v>-8.5522500000000008</v>
      </c>
      <c r="Q93" s="42">
        <f t="shared" ref="Q93" si="492">_xlfn.STDEV.S(O93:O94)/SQRT(2)</f>
        <v>0.59850000000000136</v>
      </c>
      <c r="R93" s="42">
        <f t="shared" ref="R93" si="493">P93/1000</f>
        <v>-8.5522500000000008E-3</v>
      </c>
      <c r="S93" s="36">
        <f t="shared" ref="S93" si="494">(-R93*1*0.205)/(21000*0.6*0.01*10^-3)</f>
        <v>1.3914375E-2</v>
      </c>
      <c r="T93" s="36">
        <f>S93/M93</f>
        <v>1.5434692179700498E-3</v>
      </c>
      <c r="U93" s="33">
        <f t="shared" ref="U93" si="495">T93*1000</f>
        <v>1.5434692179700498</v>
      </c>
      <c r="V93" s="33">
        <f t="shared" ref="V93" si="496">AVERAGE(U93:U98)</f>
        <v>2.5963558693586717</v>
      </c>
      <c r="W93" s="34">
        <f t="shared" ref="W93" si="497">(_xlfn.STDEV.S(U93:U98)/SQRT(3))/V93</f>
        <v>0.2083806624946874</v>
      </c>
    </row>
    <row r="94" spans="1:23" x14ac:dyDescent="0.35">
      <c r="A94" s="37"/>
      <c r="B94" s="38"/>
      <c r="C94" s="5">
        <v>-15.003</v>
      </c>
      <c r="D94" s="5">
        <f t="shared" si="340"/>
        <v>-3.9377500000000012</v>
      </c>
      <c r="E94" s="36"/>
      <c r="F94" s="42"/>
      <c r="G94" s="42"/>
      <c r="H94" s="36"/>
      <c r="I94" s="36"/>
      <c r="J94" s="33"/>
      <c r="K94" s="33"/>
      <c r="L94" s="34"/>
      <c r="M94" s="36"/>
      <c r="N94" s="2">
        <v>-20.216000000000001</v>
      </c>
      <c r="O94" s="5">
        <f t="shared" si="346"/>
        <v>-9.1507500000000022</v>
      </c>
      <c r="P94" s="36"/>
      <c r="Q94" s="42"/>
      <c r="R94" s="42"/>
      <c r="S94" s="36"/>
      <c r="T94" s="36"/>
      <c r="U94" s="33"/>
      <c r="V94" s="33"/>
      <c r="W94" s="34"/>
    </row>
    <row r="95" spans="1:23" x14ac:dyDescent="0.35">
      <c r="A95" s="37">
        <v>47</v>
      </c>
      <c r="B95" s="38">
        <v>6.0600000000000005</v>
      </c>
      <c r="C95" s="5">
        <v>-17.63</v>
      </c>
      <c r="D95" s="5">
        <f t="shared" si="340"/>
        <v>-6.5647500000000001</v>
      </c>
      <c r="E95" s="36">
        <f t="shared" ref="E95" si="498">AVERAGE(D95:D96)</f>
        <v>-6.4532500000000006</v>
      </c>
      <c r="F95" s="42">
        <f t="shared" ref="F95" si="499">_xlfn.STDEV.S(D95:D96)/SQRT(2)</f>
        <v>0.11149999999999947</v>
      </c>
      <c r="G95" s="42">
        <f t="shared" ref="G95" si="500">E95/1000</f>
        <v>-6.4532500000000007E-3</v>
      </c>
      <c r="H95" s="36">
        <f t="shared" ref="H95" si="501">(-G95*2*0.205)/(21000*0.6*0.01*10^-3)</f>
        <v>2.0998670634920634E-2</v>
      </c>
      <c r="I95" s="36">
        <f>H95/B95</f>
        <v>3.4651271674786522E-3</v>
      </c>
      <c r="J95" s="33">
        <f t="shared" ref="J95" si="502">I95*1000</f>
        <v>3.4651271674786521</v>
      </c>
      <c r="K95" s="33"/>
      <c r="L95" s="34"/>
      <c r="M95" s="36">
        <v>7.26</v>
      </c>
      <c r="N95" s="2">
        <v>-23.3</v>
      </c>
      <c r="O95" s="5">
        <f t="shared" si="346"/>
        <v>-12.234750000000002</v>
      </c>
      <c r="P95" s="36">
        <f t="shared" ref="P95" si="503">AVERAGE(O95:O96)</f>
        <v>-12.970250000000002</v>
      </c>
      <c r="Q95" s="42">
        <f t="shared" ref="Q95" si="504">_xlfn.STDEV.S(O95:O96)/SQRT(2)</f>
        <v>0.73550000000000004</v>
      </c>
      <c r="R95" s="42">
        <f t="shared" ref="R95" si="505">P95/1000</f>
        <v>-1.2970250000000003E-2</v>
      </c>
      <c r="S95" s="36">
        <f t="shared" ref="S95" si="506">(-R95*1*0.205)/(21000*0.6*0.01*10^-3)</f>
        <v>2.1102390873015874E-2</v>
      </c>
      <c r="T95" s="36">
        <f>S95/M95</f>
        <v>2.9066654095063187E-3</v>
      </c>
      <c r="U95" s="33">
        <f t="shared" ref="U95" si="507">T95*1000</f>
        <v>2.9066654095063189</v>
      </c>
      <c r="V95" s="33"/>
      <c r="W95" s="34"/>
    </row>
    <row r="96" spans="1:23" x14ac:dyDescent="0.35">
      <c r="A96" s="37"/>
      <c r="B96" s="38"/>
      <c r="C96" s="5">
        <v>-17.407</v>
      </c>
      <c r="D96" s="5">
        <f t="shared" si="340"/>
        <v>-6.3417500000000011</v>
      </c>
      <c r="E96" s="36"/>
      <c r="F96" s="42"/>
      <c r="G96" s="42"/>
      <c r="H96" s="36"/>
      <c r="I96" s="36"/>
      <c r="J96" s="33"/>
      <c r="K96" s="33"/>
      <c r="L96" s="34"/>
      <c r="M96" s="36"/>
      <c r="N96" s="2">
        <v>-24.771000000000001</v>
      </c>
      <c r="O96" s="5">
        <f t="shared" si="346"/>
        <v>-13.705750000000002</v>
      </c>
      <c r="P96" s="36"/>
      <c r="Q96" s="42"/>
      <c r="R96" s="42"/>
      <c r="S96" s="36"/>
      <c r="T96" s="36"/>
      <c r="U96" s="33"/>
      <c r="V96" s="33"/>
      <c r="W96" s="34"/>
    </row>
    <row r="97" spans="1:23" x14ac:dyDescent="0.35">
      <c r="A97" s="37">
        <v>48</v>
      </c>
      <c r="B97" s="38">
        <v>6.585</v>
      </c>
      <c r="C97" s="5">
        <v>-15.439</v>
      </c>
      <c r="D97" s="5">
        <f t="shared" si="340"/>
        <v>-4.3737500000000011</v>
      </c>
      <c r="E97" s="36">
        <f t="shared" ref="E97" si="508">AVERAGE(D97:D98)</f>
        <v>-4.4722500000000007</v>
      </c>
      <c r="F97" s="42">
        <f t="shared" ref="F97" si="509">_xlfn.STDEV.S(D97:D98)/SQRT(2)</f>
        <v>9.8499999999999588E-2</v>
      </c>
      <c r="G97" s="42">
        <f t="shared" ref="G97" si="510">E97/1000</f>
        <v>-4.4722500000000005E-3</v>
      </c>
      <c r="H97" s="36">
        <f t="shared" ref="H97" si="511">(-G97*2*0.205)/(21000*0.6*0.01*10^-3)</f>
        <v>1.4552559523809525E-2</v>
      </c>
      <c r="I97" s="36">
        <f>H97/B97</f>
        <v>2.2099558882019022E-3</v>
      </c>
      <c r="J97" s="33">
        <f t="shared" ref="J97" si="512">I97*1000</f>
        <v>2.2099558882019021</v>
      </c>
      <c r="K97" s="33"/>
      <c r="L97" s="34"/>
      <c r="M97" s="36">
        <v>6.9750000000000005</v>
      </c>
      <c r="N97" s="2">
        <v>-22.498999999999999</v>
      </c>
      <c r="O97" s="5">
        <f t="shared" si="346"/>
        <v>-11.43375</v>
      </c>
      <c r="P97" s="36">
        <f t="shared" ref="P97" si="513">AVERAGE(O97:O98)</f>
        <v>-14.314250000000001</v>
      </c>
      <c r="Q97" s="42">
        <f t="shared" ref="Q97" si="514">_xlfn.STDEV.S(O97:O98)/SQRT(2)</f>
        <v>2.8804999999999947</v>
      </c>
      <c r="R97" s="42">
        <f t="shared" ref="R97" si="515">P97/1000</f>
        <v>-1.4314250000000001E-2</v>
      </c>
      <c r="S97" s="36">
        <f t="shared" ref="S97" si="516">(-R97*1*0.205)/(21000*0.6*0.01*10^-3)</f>
        <v>2.328905753968254E-2</v>
      </c>
      <c r="T97" s="36">
        <f>S97/M97</f>
        <v>3.3389329805996472E-3</v>
      </c>
      <c r="U97" s="33">
        <f t="shared" ref="U97" si="517">T97*1000</f>
        <v>3.338932980599647</v>
      </c>
      <c r="V97" s="33"/>
      <c r="W97" s="34"/>
    </row>
    <row r="98" spans="1:23" x14ac:dyDescent="0.35">
      <c r="A98" s="37"/>
      <c r="B98" s="38"/>
      <c r="C98" s="5">
        <v>-15.635999999999999</v>
      </c>
      <c r="D98" s="5">
        <f t="shared" si="340"/>
        <v>-4.5707500000000003</v>
      </c>
      <c r="E98" s="36"/>
      <c r="F98" s="42"/>
      <c r="G98" s="42"/>
      <c r="H98" s="36"/>
      <c r="I98" s="36"/>
      <c r="J98" s="33"/>
      <c r="K98" s="33"/>
      <c r="L98" s="34"/>
      <c r="M98" s="36"/>
      <c r="N98" s="2">
        <v>-28.26</v>
      </c>
      <c r="O98" s="5">
        <f t="shared" si="346"/>
        <v>-17.194750000000003</v>
      </c>
      <c r="P98" s="36"/>
      <c r="Q98" s="42"/>
      <c r="R98" s="42"/>
      <c r="S98" s="36"/>
      <c r="T98" s="36"/>
      <c r="U98" s="33"/>
      <c r="V98" s="33"/>
      <c r="W98" s="34"/>
    </row>
    <row r="99" spans="1:23" x14ac:dyDescent="0.35">
      <c r="A99" s="37">
        <v>49</v>
      </c>
      <c r="B99" s="38">
        <v>7.1849999999999996</v>
      </c>
      <c r="C99" s="5">
        <v>-16.635999999999999</v>
      </c>
      <c r="D99" s="5">
        <f t="shared" ref="D99:D104" si="518">C99-$Z$13</f>
        <v>-5.5707500000000003</v>
      </c>
      <c r="E99" s="36">
        <f t="shared" ref="E99" si="519">AVERAGE(D99:D100)</f>
        <v>-4.3432500000000003</v>
      </c>
      <c r="F99" s="42">
        <f t="shared" ref="F99" si="520">_xlfn.STDEV.S(D99:D100)/SQRT(2)</f>
        <v>1.2274999999999994</v>
      </c>
      <c r="G99" s="42">
        <f t="shared" ref="G99" si="521">E99/1000</f>
        <v>-4.3432499999999999E-3</v>
      </c>
      <c r="H99" s="36">
        <f t="shared" ref="H99" si="522">(-G99*2*0.205)/(21000*0.6*0.01*10^-3)</f>
        <v>1.4132797619047618E-2</v>
      </c>
      <c r="I99" s="36">
        <f>H99/B99</f>
        <v>1.9669864466315403E-3</v>
      </c>
      <c r="J99" s="33">
        <f t="shared" ref="J99" si="523">I99*1000</f>
        <v>1.9669864466315403</v>
      </c>
      <c r="K99" s="33">
        <f t="shared" ref="K99" si="524">AVERAGE(J99:J104)</f>
        <v>3.1312623324469304</v>
      </c>
      <c r="L99" s="34">
        <f t="shared" ref="L99" si="525">(_xlfn.STDEV.S(J99:J104)/SQRT(3))/K99</f>
        <v>0.24521409120162935</v>
      </c>
      <c r="M99" s="36">
        <v>7.7925000000000013</v>
      </c>
      <c r="N99" s="2">
        <v>-24</v>
      </c>
      <c r="O99" s="5">
        <f t="shared" ref="O99:O104" si="526">N99-$Z$13</f>
        <v>-12.934750000000001</v>
      </c>
      <c r="P99" s="36">
        <f t="shared" ref="P99" si="527">AVERAGE(O99:O100)</f>
        <v>-13.005750000000001</v>
      </c>
      <c r="Q99" s="42">
        <f t="shared" ref="Q99" si="528">_xlfn.STDEV.S(O99:O100)/SQRT(2)</f>
        <v>7.099999999999973E-2</v>
      </c>
      <c r="R99" s="42">
        <f t="shared" ref="R99" si="529">P99/1000</f>
        <v>-1.300575E-2</v>
      </c>
      <c r="S99" s="36">
        <f t="shared" ref="S99" si="530">(-R99*1*0.205)/(21000*0.6*0.01*10^-3)</f>
        <v>2.1160148809523809E-2</v>
      </c>
      <c r="T99" s="36">
        <f>S99/M99</f>
        <v>2.7154506011580117E-3</v>
      </c>
      <c r="U99" s="33">
        <f t="shared" ref="U99" si="531">T99*1000</f>
        <v>2.7154506011580115</v>
      </c>
      <c r="V99" s="33">
        <f t="shared" ref="V99" si="532">AVERAGE(U99:U104)</f>
        <v>3.3271379934381984</v>
      </c>
      <c r="W99" s="34">
        <f t="shared" ref="W99" si="533">(_xlfn.STDEV.S(U99:U104)/SQRT(3))/V99</f>
        <v>0.10278638207057783</v>
      </c>
    </row>
    <row r="100" spans="1:23" x14ac:dyDescent="0.35">
      <c r="A100" s="37"/>
      <c r="B100" s="38"/>
      <c r="C100" s="5">
        <v>-14.180999999999999</v>
      </c>
      <c r="D100" s="5">
        <f t="shared" si="518"/>
        <v>-3.1157500000000002</v>
      </c>
      <c r="E100" s="36"/>
      <c r="F100" s="42"/>
      <c r="G100" s="42"/>
      <c r="H100" s="36"/>
      <c r="I100" s="36"/>
      <c r="J100" s="33"/>
      <c r="K100" s="33"/>
      <c r="L100" s="34"/>
      <c r="M100" s="36"/>
      <c r="N100" s="2">
        <v>-24.141999999999999</v>
      </c>
      <c r="O100" s="5">
        <f t="shared" si="526"/>
        <v>-13.076750000000001</v>
      </c>
      <c r="P100" s="36"/>
      <c r="Q100" s="42"/>
      <c r="R100" s="42"/>
      <c r="S100" s="36"/>
      <c r="T100" s="36"/>
      <c r="U100" s="33"/>
      <c r="V100" s="33"/>
      <c r="W100" s="34"/>
    </row>
    <row r="101" spans="1:23" x14ac:dyDescent="0.35">
      <c r="A101" s="37">
        <v>50</v>
      </c>
      <c r="B101" s="38">
        <v>4.9050000000000002</v>
      </c>
      <c r="C101" s="2">
        <v>-19.832000000000001</v>
      </c>
      <c r="D101" s="5">
        <f t="shared" si="518"/>
        <v>-8.7667500000000018</v>
      </c>
      <c r="E101" s="36">
        <f t="shared" ref="E101" si="534">AVERAGE(D101:D102)</f>
        <v>-6.9047500000000017</v>
      </c>
      <c r="F101" s="42">
        <f t="shared" ref="F101" si="535">_xlfn.STDEV.S(D101:D102)/SQRT(2)</f>
        <v>1.8620000000000001</v>
      </c>
      <c r="G101" s="42">
        <f t="shared" ref="G101" si="536">E101/1000</f>
        <v>-6.904750000000002E-3</v>
      </c>
      <c r="H101" s="36">
        <f t="shared" ref="H101" si="537">(-G101*2*0.205)/(21000*0.6*0.01*10^-3)</f>
        <v>2.2467837301587305E-2</v>
      </c>
      <c r="I101" s="36">
        <f>H101/B101</f>
        <v>4.5805988382440982E-3</v>
      </c>
      <c r="J101" s="33">
        <f t="shared" ref="J101" si="538">I101*1000</f>
        <v>4.5805988382440983</v>
      </c>
      <c r="K101" s="33"/>
      <c r="L101" s="34"/>
      <c r="M101" s="36">
        <v>7.8825000000000012</v>
      </c>
      <c r="N101" s="2">
        <v>-27.204999999999998</v>
      </c>
      <c r="O101" s="5">
        <f t="shared" si="526"/>
        <v>-16.139749999999999</v>
      </c>
      <c r="P101" s="36">
        <f t="shared" ref="P101" si="539">AVERAGE(O101:O102)</f>
        <v>-16.317250000000001</v>
      </c>
      <c r="Q101" s="42">
        <f t="shared" ref="Q101" si="540">_xlfn.STDEV.S(O101:O102)/SQRT(2)</f>
        <v>0.17750000000000021</v>
      </c>
      <c r="R101" s="42">
        <f t="shared" ref="R101" si="541">P101/1000</f>
        <v>-1.6317250000000002E-2</v>
      </c>
      <c r="S101" s="36">
        <f t="shared" ref="S101" si="542">(-R101*1*0.205)/(21000*0.6*0.01*10^-3)</f>
        <v>2.654790674603175E-2</v>
      </c>
      <c r="T101" s="36">
        <f>S101/M101</f>
        <v>3.3679551850341574E-3</v>
      </c>
      <c r="U101" s="33">
        <f t="shared" ref="U101" si="543">T101*1000</f>
        <v>3.3679551850341576</v>
      </c>
      <c r="V101" s="33"/>
      <c r="W101" s="34"/>
    </row>
    <row r="102" spans="1:23" x14ac:dyDescent="0.35">
      <c r="A102" s="37"/>
      <c r="B102" s="38"/>
      <c r="C102" s="2">
        <v>-16.108000000000001</v>
      </c>
      <c r="D102" s="5">
        <f t="shared" si="518"/>
        <v>-5.0427500000000016</v>
      </c>
      <c r="E102" s="36"/>
      <c r="F102" s="42"/>
      <c r="G102" s="42"/>
      <c r="H102" s="36"/>
      <c r="I102" s="36"/>
      <c r="J102" s="33"/>
      <c r="K102" s="33"/>
      <c r="L102" s="34"/>
      <c r="M102" s="36"/>
      <c r="N102" s="2">
        <v>-27.56</v>
      </c>
      <c r="O102" s="5">
        <f t="shared" si="526"/>
        <v>-16.49475</v>
      </c>
      <c r="P102" s="36"/>
      <c r="Q102" s="42"/>
      <c r="R102" s="42"/>
      <c r="S102" s="36"/>
      <c r="T102" s="36"/>
      <c r="U102" s="33"/>
      <c r="V102" s="33"/>
      <c r="W102" s="34"/>
    </row>
    <row r="103" spans="1:23" x14ac:dyDescent="0.35">
      <c r="A103" s="37">
        <v>51</v>
      </c>
      <c r="B103" s="38">
        <v>5.58</v>
      </c>
      <c r="C103" s="2">
        <v>-17.559000000000001</v>
      </c>
      <c r="D103" s="5">
        <f t="shared" si="518"/>
        <v>-6.4937500000000021</v>
      </c>
      <c r="E103" s="36">
        <f t="shared" ref="E103" si="544">AVERAGE(D103:D104)</f>
        <v>-4.8807500000000017</v>
      </c>
      <c r="F103" s="42">
        <f t="shared" ref="F103" si="545">_xlfn.STDEV.S(D103:D104)/SQRT(2)</f>
        <v>1.613</v>
      </c>
      <c r="G103" s="42">
        <f t="shared" ref="G103" si="546">E103/1000</f>
        <v>-4.8807500000000014E-3</v>
      </c>
      <c r="H103" s="36">
        <f t="shared" ref="H103" si="547">(-G103*2*0.205)/(21000*0.6*0.01*10^-3)</f>
        <v>1.5881805555555559E-2</v>
      </c>
      <c r="I103" s="36">
        <f>H103/B103</f>
        <v>2.8462017124651537E-3</v>
      </c>
      <c r="J103" s="33">
        <f t="shared" ref="J103" si="548">I103*1000</f>
        <v>2.8462017124651537</v>
      </c>
      <c r="K103" s="33"/>
      <c r="L103" s="34"/>
      <c r="M103" s="38">
        <v>8.01</v>
      </c>
      <c r="N103" s="2">
        <v>-29.902999999999999</v>
      </c>
      <c r="O103" s="5">
        <f t="shared" si="526"/>
        <v>-18.83775</v>
      </c>
      <c r="P103" s="36">
        <f t="shared" ref="P103" si="549">AVERAGE(O103:O104)</f>
        <v>-19.190750000000001</v>
      </c>
      <c r="Q103" s="42">
        <f t="shared" ref="Q103" si="550">_xlfn.STDEV.S(O103:O104)/SQRT(2)</f>
        <v>0.35300000000000153</v>
      </c>
      <c r="R103" s="42">
        <f t="shared" ref="R103" si="551">P103/1000</f>
        <v>-1.9190750000000003E-2</v>
      </c>
      <c r="S103" s="36">
        <f t="shared" ref="S103" si="552">(-R103*1*0.205)/(21000*0.6*0.01*10^-3)</f>
        <v>3.1223045634920635E-2</v>
      </c>
      <c r="T103" s="36">
        <f>S103/M103</f>
        <v>3.8980081941224266E-3</v>
      </c>
      <c r="U103" s="33">
        <f t="shared" ref="U103" si="553">T103*1000</f>
        <v>3.8980081941224265</v>
      </c>
      <c r="V103" s="33"/>
      <c r="W103" s="34"/>
    </row>
    <row r="104" spans="1:23" x14ac:dyDescent="0.35">
      <c r="A104" s="37"/>
      <c r="B104" s="38"/>
      <c r="C104" s="2">
        <v>-14.333</v>
      </c>
      <c r="D104" s="5">
        <f t="shared" si="518"/>
        <v>-3.2677500000000013</v>
      </c>
      <c r="E104" s="36"/>
      <c r="F104" s="42"/>
      <c r="G104" s="42"/>
      <c r="H104" s="36"/>
      <c r="I104" s="36"/>
      <c r="J104" s="33"/>
      <c r="K104" s="33"/>
      <c r="L104" s="34"/>
      <c r="M104" s="38"/>
      <c r="N104" s="2">
        <v>-30.609000000000002</v>
      </c>
      <c r="O104" s="5">
        <f t="shared" si="526"/>
        <v>-19.543750000000003</v>
      </c>
      <c r="P104" s="36"/>
      <c r="Q104" s="42"/>
      <c r="R104" s="42"/>
      <c r="S104" s="36"/>
      <c r="T104" s="36"/>
      <c r="U104" s="33"/>
      <c r="V104" s="33"/>
      <c r="W104" s="34"/>
    </row>
  </sheetData>
  <mergeCells count="827">
    <mergeCell ref="J3:J4"/>
    <mergeCell ref="M3:M4"/>
    <mergeCell ref="P3:P4"/>
    <mergeCell ref="Q3:Q4"/>
    <mergeCell ref="S3:S4"/>
    <mergeCell ref="T3:T4"/>
    <mergeCell ref="R3:R4"/>
    <mergeCell ref="A3:A4"/>
    <mergeCell ref="B3:B4"/>
    <mergeCell ref="E3:E4"/>
    <mergeCell ref="F3:F4"/>
    <mergeCell ref="H3:H4"/>
    <mergeCell ref="I3:I4"/>
    <mergeCell ref="G3:G4"/>
    <mergeCell ref="K3:K12"/>
    <mergeCell ref="L3:L12"/>
    <mergeCell ref="T7:T8"/>
    <mergeCell ref="Q5:Q6"/>
    <mergeCell ref="S5:S6"/>
    <mergeCell ref="T5:T6"/>
    <mergeCell ref="A7:A8"/>
    <mergeCell ref="B7:B8"/>
    <mergeCell ref="E7:E8"/>
    <mergeCell ref="F7:F8"/>
    <mergeCell ref="H7:H8"/>
    <mergeCell ref="I7:I8"/>
    <mergeCell ref="A5:A6"/>
    <mergeCell ref="B5:B6"/>
    <mergeCell ref="E5:E6"/>
    <mergeCell ref="F5:F6"/>
    <mergeCell ref="H5:H6"/>
    <mergeCell ref="I5:I6"/>
    <mergeCell ref="J5:J6"/>
    <mergeCell ref="G5:G6"/>
    <mergeCell ref="G7:G8"/>
    <mergeCell ref="M5:M6"/>
    <mergeCell ref="P5:P6"/>
    <mergeCell ref="S7:S8"/>
    <mergeCell ref="J7:J8"/>
    <mergeCell ref="M7:M8"/>
    <mergeCell ref="P7:P8"/>
    <mergeCell ref="Q7:Q8"/>
    <mergeCell ref="T11:T12"/>
    <mergeCell ref="Q9:Q10"/>
    <mergeCell ref="S9:S10"/>
    <mergeCell ref="T9:T10"/>
    <mergeCell ref="R5:R6"/>
    <mergeCell ref="R7:R8"/>
    <mergeCell ref="R9:R10"/>
    <mergeCell ref="A11:A12"/>
    <mergeCell ref="B11:B12"/>
    <mergeCell ref="E11:E12"/>
    <mergeCell ref="F11:F12"/>
    <mergeCell ref="H11:H12"/>
    <mergeCell ref="I11:I12"/>
    <mergeCell ref="S11:S12"/>
    <mergeCell ref="J11:J12"/>
    <mergeCell ref="M11:M12"/>
    <mergeCell ref="P11:P12"/>
    <mergeCell ref="Q11:Q12"/>
    <mergeCell ref="G11:G12"/>
    <mergeCell ref="R11:R12"/>
    <mergeCell ref="A9:A10"/>
    <mergeCell ref="B9:B10"/>
    <mergeCell ref="E9:E10"/>
    <mergeCell ref="F9:F10"/>
    <mergeCell ref="H9:H10"/>
    <mergeCell ref="I9:I10"/>
    <mergeCell ref="J9:J10"/>
    <mergeCell ref="M9:M10"/>
    <mergeCell ref="P9:P10"/>
    <mergeCell ref="G9:G10"/>
    <mergeCell ref="A13:A14"/>
    <mergeCell ref="B13:B14"/>
    <mergeCell ref="E13:E14"/>
    <mergeCell ref="F13:F14"/>
    <mergeCell ref="H13:H14"/>
    <mergeCell ref="I13:I14"/>
    <mergeCell ref="J13:J14"/>
    <mergeCell ref="M13:M14"/>
    <mergeCell ref="P13:P14"/>
    <mergeCell ref="A15:A16"/>
    <mergeCell ref="B15:B16"/>
    <mergeCell ref="E15:E16"/>
    <mergeCell ref="F15:F16"/>
    <mergeCell ref="H15:H16"/>
    <mergeCell ref="I15:I16"/>
    <mergeCell ref="S15:S16"/>
    <mergeCell ref="J15:J16"/>
    <mergeCell ref="M15:M16"/>
    <mergeCell ref="P15:P16"/>
    <mergeCell ref="Q15:Q16"/>
    <mergeCell ref="R15:R16"/>
    <mergeCell ref="A17:A18"/>
    <mergeCell ref="B17:B18"/>
    <mergeCell ref="E17:E18"/>
    <mergeCell ref="F17:F18"/>
    <mergeCell ref="H17:H18"/>
    <mergeCell ref="I17:I18"/>
    <mergeCell ref="J17:J18"/>
    <mergeCell ref="M17:M18"/>
    <mergeCell ref="P17:P18"/>
    <mergeCell ref="A19:A20"/>
    <mergeCell ref="B19:B20"/>
    <mergeCell ref="E19:E20"/>
    <mergeCell ref="F19:F20"/>
    <mergeCell ref="H19:H20"/>
    <mergeCell ref="I19:I20"/>
    <mergeCell ref="S19:S20"/>
    <mergeCell ref="J19:J20"/>
    <mergeCell ref="M19:M20"/>
    <mergeCell ref="P19:P20"/>
    <mergeCell ref="Q19:Q20"/>
    <mergeCell ref="F21:F22"/>
    <mergeCell ref="H21:H22"/>
    <mergeCell ref="I21:I22"/>
    <mergeCell ref="J21:J22"/>
    <mergeCell ref="M21:M22"/>
    <mergeCell ref="P21:P22"/>
    <mergeCell ref="T19:T20"/>
    <mergeCell ref="Q17:Q18"/>
    <mergeCell ref="S17:S18"/>
    <mergeCell ref="T17:T18"/>
    <mergeCell ref="K13:K22"/>
    <mergeCell ref="L13:L22"/>
    <mergeCell ref="T15:T16"/>
    <mergeCell ref="Q13:Q14"/>
    <mergeCell ref="S13:S14"/>
    <mergeCell ref="T13:T14"/>
    <mergeCell ref="G13:G14"/>
    <mergeCell ref="G15:G16"/>
    <mergeCell ref="G17:G18"/>
    <mergeCell ref="G19:G20"/>
    <mergeCell ref="R17:R18"/>
    <mergeCell ref="R19:R20"/>
    <mergeCell ref="R21:R22"/>
    <mergeCell ref="R13:R14"/>
    <mergeCell ref="I25:I26"/>
    <mergeCell ref="J25:J26"/>
    <mergeCell ref="M25:M26"/>
    <mergeCell ref="P25:P26"/>
    <mergeCell ref="T23:T24"/>
    <mergeCell ref="Q21:Q22"/>
    <mergeCell ref="S21:S22"/>
    <mergeCell ref="T21:T22"/>
    <mergeCell ref="A23:A24"/>
    <mergeCell ref="B23:B24"/>
    <mergeCell ref="E23:E24"/>
    <mergeCell ref="F23:F24"/>
    <mergeCell ref="H23:H24"/>
    <mergeCell ref="I23:I24"/>
    <mergeCell ref="S23:S24"/>
    <mergeCell ref="J23:J24"/>
    <mergeCell ref="M23:M24"/>
    <mergeCell ref="P23:P24"/>
    <mergeCell ref="Q23:Q24"/>
    <mergeCell ref="G21:G22"/>
    <mergeCell ref="G23:G24"/>
    <mergeCell ref="A21:A22"/>
    <mergeCell ref="B21:B22"/>
    <mergeCell ref="E21:E22"/>
    <mergeCell ref="M29:M30"/>
    <mergeCell ref="P29:P30"/>
    <mergeCell ref="T27:T28"/>
    <mergeCell ref="Q25:Q26"/>
    <mergeCell ref="S25:S26"/>
    <mergeCell ref="T25:T26"/>
    <mergeCell ref="A27:A28"/>
    <mergeCell ref="B27:B28"/>
    <mergeCell ref="E27:E28"/>
    <mergeCell ref="F27:F28"/>
    <mergeCell ref="H27:H28"/>
    <mergeCell ref="I27:I28"/>
    <mergeCell ref="S27:S28"/>
    <mergeCell ref="J27:J28"/>
    <mergeCell ref="M27:M28"/>
    <mergeCell ref="P27:P28"/>
    <mergeCell ref="Q27:Q28"/>
    <mergeCell ref="G25:G26"/>
    <mergeCell ref="G27:G28"/>
    <mergeCell ref="A25:A26"/>
    <mergeCell ref="B25:B26"/>
    <mergeCell ref="E25:E26"/>
    <mergeCell ref="F25:F26"/>
    <mergeCell ref="H25:H26"/>
    <mergeCell ref="T31:T32"/>
    <mergeCell ref="Q29:Q30"/>
    <mergeCell ref="S29:S30"/>
    <mergeCell ref="T29:T30"/>
    <mergeCell ref="A31:A32"/>
    <mergeCell ref="B31:B32"/>
    <mergeCell ref="E31:E32"/>
    <mergeCell ref="F31:F32"/>
    <mergeCell ref="H31:H32"/>
    <mergeCell ref="I31:I32"/>
    <mergeCell ref="S31:S32"/>
    <mergeCell ref="J31:J32"/>
    <mergeCell ref="M31:M32"/>
    <mergeCell ref="P31:P32"/>
    <mergeCell ref="Q31:Q32"/>
    <mergeCell ref="G29:G30"/>
    <mergeCell ref="G31:G32"/>
    <mergeCell ref="A29:A30"/>
    <mergeCell ref="B29:B30"/>
    <mergeCell ref="E29:E30"/>
    <mergeCell ref="F29:F30"/>
    <mergeCell ref="H29:H30"/>
    <mergeCell ref="I29:I30"/>
    <mergeCell ref="J29:J30"/>
    <mergeCell ref="T35:T36"/>
    <mergeCell ref="Q33:Q34"/>
    <mergeCell ref="S33:S34"/>
    <mergeCell ref="T33:T34"/>
    <mergeCell ref="A35:A36"/>
    <mergeCell ref="B35:B36"/>
    <mergeCell ref="E35:E36"/>
    <mergeCell ref="F35:F36"/>
    <mergeCell ref="H35:H36"/>
    <mergeCell ref="I35:I36"/>
    <mergeCell ref="S35:S36"/>
    <mergeCell ref="J35:J36"/>
    <mergeCell ref="M35:M36"/>
    <mergeCell ref="P35:P36"/>
    <mergeCell ref="Q35:Q36"/>
    <mergeCell ref="A33:A34"/>
    <mergeCell ref="B33:B34"/>
    <mergeCell ref="E33:E34"/>
    <mergeCell ref="F33:F34"/>
    <mergeCell ref="H33:H34"/>
    <mergeCell ref="I33:I34"/>
    <mergeCell ref="J33:J34"/>
    <mergeCell ref="M33:M34"/>
    <mergeCell ref="P33:P34"/>
    <mergeCell ref="T39:T40"/>
    <mergeCell ref="Q37:Q38"/>
    <mergeCell ref="S37:S38"/>
    <mergeCell ref="T37:T38"/>
    <mergeCell ref="A39:A40"/>
    <mergeCell ref="B39:B40"/>
    <mergeCell ref="E39:E40"/>
    <mergeCell ref="F39:F40"/>
    <mergeCell ref="H39:H40"/>
    <mergeCell ref="I39:I40"/>
    <mergeCell ref="S39:S40"/>
    <mergeCell ref="J39:J40"/>
    <mergeCell ref="M39:M40"/>
    <mergeCell ref="P39:P40"/>
    <mergeCell ref="Q39:Q40"/>
    <mergeCell ref="A37:A38"/>
    <mergeCell ref="B37:B38"/>
    <mergeCell ref="E37:E38"/>
    <mergeCell ref="F37:F38"/>
    <mergeCell ref="H37:H38"/>
    <mergeCell ref="I37:I38"/>
    <mergeCell ref="J37:J38"/>
    <mergeCell ref="M37:M38"/>
    <mergeCell ref="P37:P38"/>
    <mergeCell ref="T43:T44"/>
    <mergeCell ref="Q41:Q42"/>
    <mergeCell ref="S41:S42"/>
    <mergeCell ref="T41:T42"/>
    <mergeCell ref="A43:A44"/>
    <mergeCell ref="B43:B44"/>
    <mergeCell ref="E43:E44"/>
    <mergeCell ref="F43:F44"/>
    <mergeCell ref="H43:H44"/>
    <mergeCell ref="I43:I44"/>
    <mergeCell ref="S43:S44"/>
    <mergeCell ref="J43:J44"/>
    <mergeCell ref="M43:M44"/>
    <mergeCell ref="P43:P44"/>
    <mergeCell ref="Q43:Q44"/>
    <mergeCell ref="A41:A42"/>
    <mergeCell ref="B41:B42"/>
    <mergeCell ref="E41:E42"/>
    <mergeCell ref="F41:F42"/>
    <mergeCell ref="H41:H42"/>
    <mergeCell ref="I41:I42"/>
    <mergeCell ref="J41:J42"/>
    <mergeCell ref="M41:M42"/>
    <mergeCell ref="P41:P42"/>
    <mergeCell ref="T47:T48"/>
    <mergeCell ref="Q45:Q46"/>
    <mergeCell ref="S45:S46"/>
    <mergeCell ref="T45:T46"/>
    <mergeCell ref="A47:A48"/>
    <mergeCell ref="B47:B48"/>
    <mergeCell ref="E47:E48"/>
    <mergeCell ref="F47:F48"/>
    <mergeCell ref="H47:H48"/>
    <mergeCell ref="I47:I48"/>
    <mergeCell ref="S47:S48"/>
    <mergeCell ref="J47:J48"/>
    <mergeCell ref="M47:M48"/>
    <mergeCell ref="P47:P48"/>
    <mergeCell ref="Q47:Q48"/>
    <mergeCell ref="A45:A46"/>
    <mergeCell ref="B45:B46"/>
    <mergeCell ref="E45:E46"/>
    <mergeCell ref="F45:F46"/>
    <mergeCell ref="H45:H46"/>
    <mergeCell ref="I45:I46"/>
    <mergeCell ref="J45:J46"/>
    <mergeCell ref="M45:M46"/>
    <mergeCell ref="P45:P46"/>
    <mergeCell ref="T51:T52"/>
    <mergeCell ref="Q49:Q50"/>
    <mergeCell ref="S49:S50"/>
    <mergeCell ref="T49:T50"/>
    <mergeCell ref="A51:A52"/>
    <mergeCell ref="B51:B52"/>
    <mergeCell ref="E51:E52"/>
    <mergeCell ref="F51:F52"/>
    <mergeCell ref="H51:H52"/>
    <mergeCell ref="I51:I52"/>
    <mergeCell ref="S51:S52"/>
    <mergeCell ref="J51:J52"/>
    <mergeCell ref="M51:M52"/>
    <mergeCell ref="P51:P52"/>
    <mergeCell ref="Q51:Q52"/>
    <mergeCell ref="A49:A50"/>
    <mergeCell ref="B49:B50"/>
    <mergeCell ref="E49:E50"/>
    <mergeCell ref="F49:F50"/>
    <mergeCell ref="H49:H50"/>
    <mergeCell ref="I49:I50"/>
    <mergeCell ref="J49:J50"/>
    <mergeCell ref="M49:M50"/>
    <mergeCell ref="P49:P50"/>
    <mergeCell ref="T55:T56"/>
    <mergeCell ref="Q53:Q54"/>
    <mergeCell ref="S53:S54"/>
    <mergeCell ref="T53:T54"/>
    <mergeCell ref="A55:A56"/>
    <mergeCell ref="B55:B56"/>
    <mergeCell ref="E55:E56"/>
    <mergeCell ref="F55:F56"/>
    <mergeCell ref="H55:H56"/>
    <mergeCell ref="I55:I56"/>
    <mergeCell ref="S55:S56"/>
    <mergeCell ref="J55:J56"/>
    <mergeCell ref="M55:M56"/>
    <mergeCell ref="P55:P56"/>
    <mergeCell ref="Q55:Q56"/>
    <mergeCell ref="A53:A54"/>
    <mergeCell ref="B53:B54"/>
    <mergeCell ref="E53:E54"/>
    <mergeCell ref="F53:F54"/>
    <mergeCell ref="H53:H54"/>
    <mergeCell ref="I53:I54"/>
    <mergeCell ref="J53:J54"/>
    <mergeCell ref="M53:M54"/>
    <mergeCell ref="P53:P54"/>
    <mergeCell ref="A57:A58"/>
    <mergeCell ref="B57:B58"/>
    <mergeCell ref="E57:E58"/>
    <mergeCell ref="F57:F58"/>
    <mergeCell ref="H57:H58"/>
    <mergeCell ref="I57:I58"/>
    <mergeCell ref="J57:J58"/>
    <mergeCell ref="M57:M58"/>
    <mergeCell ref="P57:P58"/>
    <mergeCell ref="A59:A60"/>
    <mergeCell ref="B59:B60"/>
    <mergeCell ref="E59:E60"/>
    <mergeCell ref="F59:F60"/>
    <mergeCell ref="H59:H60"/>
    <mergeCell ref="I59:I60"/>
    <mergeCell ref="S59:S60"/>
    <mergeCell ref="J59:J60"/>
    <mergeCell ref="M59:M60"/>
    <mergeCell ref="P59:P60"/>
    <mergeCell ref="Q59:Q60"/>
    <mergeCell ref="G59:G60"/>
    <mergeCell ref="F61:F62"/>
    <mergeCell ref="H61:H62"/>
    <mergeCell ref="I61:I62"/>
    <mergeCell ref="J61:J62"/>
    <mergeCell ref="M61:M62"/>
    <mergeCell ref="P61:P62"/>
    <mergeCell ref="T59:T60"/>
    <mergeCell ref="Q57:Q58"/>
    <mergeCell ref="S57:S58"/>
    <mergeCell ref="T57:T58"/>
    <mergeCell ref="G57:G58"/>
    <mergeCell ref="K57:K62"/>
    <mergeCell ref="L57:L62"/>
    <mergeCell ref="M65:M66"/>
    <mergeCell ref="P65:P66"/>
    <mergeCell ref="T63:T64"/>
    <mergeCell ref="Q61:Q62"/>
    <mergeCell ref="S61:S62"/>
    <mergeCell ref="T61:T62"/>
    <mergeCell ref="A63:A64"/>
    <mergeCell ref="B63:B64"/>
    <mergeCell ref="E63:E64"/>
    <mergeCell ref="F63:F64"/>
    <mergeCell ref="H63:H64"/>
    <mergeCell ref="I63:I64"/>
    <mergeCell ref="S63:S64"/>
    <mergeCell ref="J63:J64"/>
    <mergeCell ref="M63:M64"/>
    <mergeCell ref="P63:P64"/>
    <mergeCell ref="Q63:Q64"/>
    <mergeCell ref="G61:G62"/>
    <mergeCell ref="G63:G64"/>
    <mergeCell ref="R61:R62"/>
    <mergeCell ref="R63:R64"/>
    <mergeCell ref="A61:A62"/>
    <mergeCell ref="B61:B62"/>
    <mergeCell ref="E61:E62"/>
    <mergeCell ref="T67:T68"/>
    <mergeCell ref="Q65:Q66"/>
    <mergeCell ref="S65:S66"/>
    <mergeCell ref="T65:T66"/>
    <mergeCell ref="A67:A68"/>
    <mergeCell ref="B67:B68"/>
    <mergeCell ref="E67:E68"/>
    <mergeCell ref="F67:F68"/>
    <mergeCell ref="H67:H68"/>
    <mergeCell ref="I67:I68"/>
    <mergeCell ref="S67:S68"/>
    <mergeCell ref="J67:J68"/>
    <mergeCell ref="M67:M68"/>
    <mergeCell ref="P67:P68"/>
    <mergeCell ref="Q67:Q68"/>
    <mergeCell ref="G65:G66"/>
    <mergeCell ref="G67:G68"/>
    <mergeCell ref="A65:A66"/>
    <mergeCell ref="B65:B66"/>
    <mergeCell ref="E65:E66"/>
    <mergeCell ref="F65:F66"/>
    <mergeCell ref="H65:H66"/>
    <mergeCell ref="I65:I66"/>
    <mergeCell ref="J65:J66"/>
    <mergeCell ref="T71:T72"/>
    <mergeCell ref="Q69:Q70"/>
    <mergeCell ref="S69:S70"/>
    <mergeCell ref="T69:T70"/>
    <mergeCell ref="A71:A72"/>
    <mergeCell ref="B71:B72"/>
    <mergeCell ref="E71:E72"/>
    <mergeCell ref="F71:F72"/>
    <mergeCell ref="H71:H72"/>
    <mergeCell ref="I71:I72"/>
    <mergeCell ref="S71:S72"/>
    <mergeCell ref="J71:J72"/>
    <mergeCell ref="M71:M72"/>
    <mergeCell ref="P71:P72"/>
    <mergeCell ref="Q71:Q72"/>
    <mergeCell ref="A69:A70"/>
    <mergeCell ref="B69:B70"/>
    <mergeCell ref="E69:E70"/>
    <mergeCell ref="F69:F70"/>
    <mergeCell ref="H69:H70"/>
    <mergeCell ref="I69:I70"/>
    <mergeCell ref="J69:J70"/>
    <mergeCell ref="M69:M70"/>
    <mergeCell ref="P69:P70"/>
    <mergeCell ref="G73:G74"/>
    <mergeCell ref="G75:G76"/>
    <mergeCell ref="A73:A74"/>
    <mergeCell ref="B73:B74"/>
    <mergeCell ref="E73:E74"/>
    <mergeCell ref="F73:F74"/>
    <mergeCell ref="H73:H74"/>
    <mergeCell ref="I73:I74"/>
    <mergeCell ref="J73:J74"/>
    <mergeCell ref="A75:A76"/>
    <mergeCell ref="B75:B76"/>
    <mergeCell ref="E75:E76"/>
    <mergeCell ref="F75:F76"/>
    <mergeCell ref="H75:H76"/>
    <mergeCell ref="I75:I76"/>
    <mergeCell ref="S79:S80"/>
    <mergeCell ref="J79:J80"/>
    <mergeCell ref="M79:M80"/>
    <mergeCell ref="P79:P80"/>
    <mergeCell ref="Q79:Q80"/>
    <mergeCell ref="T75:T76"/>
    <mergeCell ref="Q73:Q74"/>
    <mergeCell ref="S73:S74"/>
    <mergeCell ref="T73:T74"/>
    <mergeCell ref="M73:M74"/>
    <mergeCell ref="P73:P74"/>
    <mergeCell ref="T79:T80"/>
    <mergeCell ref="Q77:Q78"/>
    <mergeCell ref="S77:S78"/>
    <mergeCell ref="T77:T78"/>
    <mergeCell ref="S75:S76"/>
    <mergeCell ref="J75:J76"/>
    <mergeCell ref="M75:M76"/>
    <mergeCell ref="P75:P76"/>
    <mergeCell ref="Q75:Q76"/>
    <mergeCell ref="J77:J78"/>
    <mergeCell ref="M77:M78"/>
    <mergeCell ref="P77:P78"/>
    <mergeCell ref="R75:R76"/>
    <mergeCell ref="G77:G78"/>
    <mergeCell ref="G79:G80"/>
    <mergeCell ref="A77:A78"/>
    <mergeCell ref="B77:B78"/>
    <mergeCell ref="E77:E78"/>
    <mergeCell ref="F77:F78"/>
    <mergeCell ref="J85:J86"/>
    <mergeCell ref="M85:M86"/>
    <mergeCell ref="P85:P86"/>
    <mergeCell ref="A79:A80"/>
    <mergeCell ref="B79:B80"/>
    <mergeCell ref="E79:E80"/>
    <mergeCell ref="F79:F80"/>
    <mergeCell ref="H79:H80"/>
    <mergeCell ref="I79:I80"/>
    <mergeCell ref="J81:J82"/>
    <mergeCell ref="M81:M82"/>
    <mergeCell ref="P81:P82"/>
    <mergeCell ref="H77:H78"/>
    <mergeCell ref="I77:I78"/>
    <mergeCell ref="T83:T84"/>
    <mergeCell ref="Q81:Q82"/>
    <mergeCell ref="S81:S82"/>
    <mergeCell ref="T81:T82"/>
    <mergeCell ref="A83:A84"/>
    <mergeCell ref="B83:B84"/>
    <mergeCell ref="E83:E84"/>
    <mergeCell ref="F83:F84"/>
    <mergeCell ref="H83:H84"/>
    <mergeCell ref="I83:I84"/>
    <mergeCell ref="S83:S84"/>
    <mergeCell ref="J83:J84"/>
    <mergeCell ref="M83:M84"/>
    <mergeCell ref="P83:P84"/>
    <mergeCell ref="Q83:Q84"/>
    <mergeCell ref="A81:A82"/>
    <mergeCell ref="B81:B82"/>
    <mergeCell ref="E81:E82"/>
    <mergeCell ref="F81:F82"/>
    <mergeCell ref="H81:H82"/>
    <mergeCell ref="I81:I82"/>
    <mergeCell ref="M89:M90"/>
    <mergeCell ref="P89:P90"/>
    <mergeCell ref="T87:T88"/>
    <mergeCell ref="Q85:Q86"/>
    <mergeCell ref="S85:S86"/>
    <mergeCell ref="T85:T86"/>
    <mergeCell ref="A87:A88"/>
    <mergeCell ref="B87:B88"/>
    <mergeCell ref="E87:E88"/>
    <mergeCell ref="F87:F88"/>
    <mergeCell ref="H87:H88"/>
    <mergeCell ref="I87:I88"/>
    <mergeCell ref="S87:S88"/>
    <mergeCell ref="J87:J88"/>
    <mergeCell ref="M87:M88"/>
    <mergeCell ref="P87:P88"/>
    <mergeCell ref="Q87:Q88"/>
    <mergeCell ref="A85:A86"/>
    <mergeCell ref="B85:B86"/>
    <mergeCell ref="E85:E86"/>
    <mergeCell ref="F85:F86"/>
    <mergeCell ref="H85:H86"/>
    <mergeCell ref="I85:I86"/>
    <mergeCell ref="M93:M94"/>
    <mergeCell ref="P93:P94"/>
    <mergeCell ref="T91:T92"/>
    <mergeCell ref="Q89:Q90"/>
    <mergeCell ref="S89:S90"/>
    <mergeCell ref="T89:T90"/>
    <mergeCell ref="A91:A92"/>
    <mergeCell ref="B91:B92"/>
    <mergeCell ref="E91:E92"/>
    <mergeCell ref="F91:F92"/>
    <mergeCell ref="H91:H92"/>
    <mergeCell ref="I91:I92"/>
    <mergeCell ref="S91:S92"/>
    <mergeCell ref="J91:J92"/>
    <mergeCell ref="M91:M92"/>
    <mergeCell ref="P91:P92"/>
    <mergeCell ref="Q91:Q92"/>
    <mergeCell ref="A89:A90"/>
    <mergeCell ref="B89:B90"/>
    <mergeCell ref="E89:E90"/>
    <mergeCell ref="F89:F90"/>
    <mergeCell ref="H89:H90"/>
    <mergeCell ref="I89:I90"/>
    <mergeCell ref="J89:J90"/>
    <mergeCell ref="P97:P98"/>
    <mergeCell ref="T95:T96"/>
    <mergeCell ref="Q93:Q94"/>
    <mergeCell ref="S93:S94"/>
    <mergeCell ref="T93:T94"/>
    <mergeCell ref="A95:A96"/>
    <mergeCell ref="B95:B96"/>
    <mergeCell ref="E95:E96"/>
    <mergeCell ref="F95:F96"/>
    <mergeCell ref="H95:H96"/>
    <mergeCell ref="I95:I96"/>
    <mergeCell ref="S95:S96"/>
    <mergeCell ref="J95:J96"/>
    <mergeCell ref="M95:M96"/>
    <mergeCell ref="P95:P96"/>
    <mergeCell ref="Q95:Q96"/>
    <mergeCell ref="G93:G94"/>
    <mergeCell ref="G95:G96"/>
    <mergeCell ref="A93:A94"/>
    <mergeCell ref="B93:B94"/>
    <mergeCell ref="E93:E94"/>
    <mergeCell ref="F93:F94"/>
    <mergeCell ref="H93:H94"/>
    <mergeCell ref="I93:I94"/>
    <mergeCell ref="Q99:Q100"/>
    <mergeCell ref="T99:T100"/>
    <mergeCell ref="Q97:Q98"/>
    <mergeCell ref="S97:S98"/>
    <mergeCell ref="T97:T98"/>
    <mergeCell ref="A99:A100"/>
    <mergeCell ref="B99:B100"/>
    <mergeCell ref="E99:E100"/>
    <mergeCell ref="F99:F100"/>
    <mergeCell ref="H99:H100"/>
    <mergeCell ref="I99:I100"/>
    <mergeCell ref="S99:S100"/>
    <mergeCell ref="M99:M100"/>
    <mergeCell ref="P99:P100"/>
    <mergeCell ref="G97:G98"/>
    <mergeCell ref="G99:G100"/>
    <mergeCell ref="A97:A98"/>
    <mergeCell ref="B97:B98"/>
    <mergeCell ref="E97:E98"/>
    <mergeCell ref="F97:F98"/>
    <mergeCell ref="H97:H98"/>
    <mergeCell ref="I97:I98"/>
    <mergeCell ref="J97:J98"/>
    <mergeCell ref="M97:M98"/>
    <mergeCell ref="T103:T104"/>
    <mergeCell ref="Q101:Q102"/>
    <mergeCell ref="S101:S102"/>
    <mergeCell ref="T101:T102"/>
    <mergeCell ref="A103:A104"/>
    <mergeCell ref="B103:B104"/>
    <mergeCell ref="E103:E104"/>
    <mergeCell ref="F103:F104"/>
    <mergeCell ref="H103:H104"/>
    <mergeCell ref="I103:I104"/>
    <mergeCell ref="A101:A102"/>
    <mergeCell ref="B101:B102"/>
    <mergeCell ref="E101:E102"/>
    <mergeCell ref="F101:F102"/>
    <mergeCell ref="H101:H102"/>
    <mergeCell ref="I101:I102"/>
    <mergeCell ref="J101:J102"/>
    <mergeCell ref="M101:M102"/>
    <mergeCell ref="P101:P102"/>
    <mergeCell ref="S103:S104"/>
    <mergeCell ref="M103:M104"/>
    <mergeCell ref="P103:P104"/>
    <mergeCell ref="Q103:Q104"/>
    <mergeCell ref="G101:G102"/>
    <mergeCell ref="J103:J104"/>
    <mergeCell ref="J99:J100"/>
    <mergeCell ref="G45:G46"/>
    <mergeCell ref="G47:G48"/>
    <mergeCell ref="G49:G50"/>
    <mergeCell ref="G51:G52"/>
    <mergeCell ref="G53:G54"/>
    <mergeCell ref="G55:G56"/>
    <mergeCell ref="G33:G34"/>
    <mergeCell ref="G35:G36"/>
    <mergeCell ref="G37:G38"/>
    <mergeCell ref="G39:G40"/>
    <mergeCell ref="G41:G42"/>
    <mergeCell ref="G43:G44"/>
    <mergeCell ref="G69:G70"/>
    <mergeCell ref="G71:G72"/>
    <mergeCell ref="G103:G104"/>
    <mergeCell ref="G81:G82"/>
    <mergeCell ref="G83:G84"/>
    <mergeCell ref="G85:G86"/>
    <mergeCell ref="G87:G88"/>
    <mergeCell ref="G89:G90"/>
    <mergeCell ref="G91:G92"/>
    <mergeCell ref="J93:J94"/>
    <mergeCell ref="R23:R24"/>
    <mergeCell ref="R25:R26"/>
    <mergeCell ref="R27:R28"/>
    <mergeCell ref="R47:R48"/>
    <mergeCell ref="R49:R50"/>
    <mergeCell ref="R51:R52"/>
    <mergeCell ref="R69:R70"/>
    <mergeCell ref="R71:R72"/>
    <mergeCell ref="R73:R74"/>
    <mergeCell ref="R53:R54"/>
    <mergeCell ref="R55:R56"/>
    <mergeCell ref="R57:R58"/>
    <mergeCell ref="R59:R60"/>
    <mergeCell ref="R41:R42"/>
    <mergeCell ref="R43:R44"/>
    <mergeCell ref="R45:R46"/>
    <mergeCell ref="R29:R30"/>
    <mergeCell ref="R31:R32"/>
    <mergeCell ref="R33:R34"/>
    <mergeCell ref="R35:R36"/>
    <mergeCell ref="R37:R38"/>
    <mergeCell ref="R39:R40"/>
    <mergeCell ref="R101:R102"/>
    <mergeCell ref="R103:R104"/>
    <mergeCell ref="U3:U4"/>
    <mergeCell ref="U5:U6"/>
    <mergeCell ref="U7:U8"/>
    <mergeCell ref="U9:U10"/>
    <mergeCell ref="U11:U12"/>
    <mergeCell ref="U13:U14"/>
    <mergeCell ref="U15:U16"/>
    <mergeCell ref="U17:U18"/>
    <mergeCell ref="R89:R90"/>
    <mergeCell ref="R91:R92"/>
    <mergeCell ref="R93:R94"/>
    <mergeCell ref="R95:R96"/>
    <mergeCell ref="R97:R98"/>
    <mergeCell ref="R99:R100"/>
    <mergeCell ref="R77:R78"/>
    <mergeCell ref="R79:R80"/>
    <mergeCell ref="R81:R82"/>
    <mergeCell ref="R83:R84"/>
    <mergeCell ref="R85:R86"/>
    <mergeCell ref="R87:R88"/>
    <mergeCell ref="R65:R66"/>
    <mergeCell ref="R67:R68"/>
    <mergeCell ref="U31:U32"/>
    <mergeCell ref="U33:U34"/>
    <mergeCell ref="U35:U36"/>
    <mergeCell ref="U37:U38"/>
    <mergeCell ref="U39:U40"/>
    <mergeCell ref="U41:U42"/>
    <mergeCell ref="U19:U20"/>
    <mergeCell ref="U21:U22"/>
    <mergeCell ref="U23:U24"/>
    <mergeCell ref="U25:U26"/>
    <mergeCell ref="U27:U28"/>
    <mergeCell ref="U29:U30"/>
    <mergeCell ref="U61:U62"/>
    <mergeCell ref="U63:U64"/>
    <mergeCell ref="U65:U66"/>
    <mergeCell ref="U43:U44"/>
    <mergeCell ref="U45:U46"/>
    <mergeCell ref="U47:U48"/>
    <mergeCell ref="U49:U50"/>
    <mergeCell ref="U51:U52"/>
    <mergeCell ref="U53:U54"/>
    <mergeCell ref="U103:U104"/>
    <mergeCell ref="B1:J1"/>
    <mergeCell ref="M1:U1"/>
    <mergeCell ref="U91:U92"/>
    <mergeCell ref="U93:U94"/>
    <mergeCell ref="U95:U96"/>
    <mergeCell ref="U97:U98"/>
    <mergeCell ref="U99:U100"/>
    <mergeCell ref="U101:U102"/>
    <mergeCell ref="U79:U80"/>
    <mergeCell ref="U81:U82"/>
    <mergeCell ref="U83:U84"/>
    <mergeCell ref="U85:U86"/>
    <mergeCell ref="U87:U88"/>
    <mergeCell ref="U89:U90"/>
    <mergeCell ref="U67:U68"/>
    <mergeCell ref="U69:U70"/>
    <mergeCell ref="U71:U72"/>
    <mergeCell ref="U73:U74"/>
    <mergeCell ref="U75:U76"/>
    <mergeCell ref="U77:U78"/>
    <mergeCell ref="U55:U56"/>
    <mergeCell ref="U57:U58"/>
    <mergeCell ref="U59:U60"/>
    <mergeCell ref="K23:K32"/>
    <mergeCell ref="L23:L32"/>
    <mergeCell ref="K33:K38"/>
    <mergeCell ref="L33:L38"/>
    <mergeCell ref="K39:K44"/>
    <mergeCell ref="L39:L44"/>
    <mergeCell ref="K45:K50"/>
    <mergeCell ref="L45:L50"/>
    <mergeCell ref="K51:K56"/>
    <mergeCell ref="L51:L56"/>
    <mergeCell ref="K63:K68"/>
    <mergeCell ref="L63:L68"/>
    <mergeCell ref="K69:K74"/>
    <mergeCell ref="L69:L74"/>
    <mergeCell ref="K75:K80"/>
    <mergeCell ref="L75:L80"/>
    <mergeCell ref="K81:K86"/>
    <mergeCell ref="L81:L86"/>
    <mergeCell ref="K87:K92"/>
    <mergeCell ref="L87:L92"/>
    <mergeCell ref="K93:K98"/>
    <mergeCell ref="L93:L98"/>
    <mergeCell ref="K99:K104"/>
    <mergeCell ref="L99:L104"/>
    <mergeCell ref="V3:V12"/>
    <mergeCell ref="W3:W12"/>
    <mergeCell ref="V13:V22"/>
    <mergeCell ref="W13:W22"/>
    <mergeCell ref="V23:V32"/>
    <mergeCell ref="W23:W32"/>
    <mergeCell ref="V33:V38"/>
    <mergeCell ref="W33:W38"/>
    <mergeCell ref="V39:V44"/>
    <mergeCell ref="W39:W44"/>
    <mergeCell ref="V45:V50"/>
    <mergeCell ref="W45:W50"/>
    <mergeCell ref="V51:V56"/>
    <mergeCell ref="W51:W56"/>
    <mergeCell ref="V57:V62"/>
    <mergeCell ref="W57:W62"/>
    <mergeCell ref="V63:V68"/>
    <mergeCell ref="W63:W68"/>
    <mergeCell ref="V69:V74"/>
    <mergeCell ref="W69:W74"/>
    <mergeCell ref="V75:V80"/>
    <mergeCell ref="W75:W80"/>
    <mergeCell ref="V81:V86"/>
    <mergeCell ref="W81:W86"/>
    <mergeCell ref="V87:V92"/>
    <mergeCell ref="W87:W92"/>
    <mergeCell ref="V93:V98"/>
    <mergeCell ref="W93:W98"/>
    <mergeCell ref="V99:V104"/>
    <mergeCell ref="W99:W104"/>
  </mergeCells>
  <conditionalFormatting sqref="F1:F1048576 Q1:Q1048576">
    <cfRule type="iconSet" priority="3">
      <iconSet reverse="1">
        <cfvo type="percent" val="0"/>
        <cfvo type="num" val="1"/>
        <cfvo type="num" val="5"/>
      </iconSet>
    </cfRule>
  </conditionalFormatting>
  <conditionalFormatting sqref="L3:L104">
    <cfRule type="iconSet" priority="2">
      <iconSet reverse="1">
        <cfvo type="percent" val="0"/>
        <cfvo type="num" val="0.1"/>
        <cfvo type="num" val="0.15"/>
      </iconSet>
    </cfRule>
  </conditionalFormatting>
  <conditionalFormatting sqref="W3:W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BAD8-481A-4507-9B65-96CACBE33E67}">
  <dimension ref="A1:W104"/>
  <sheetViews>
    <sheetView zoomScale="70" zoomScaleNormal="70" workbookViewId="0">
      <selection activeCell="J3" sqref="J3:J12"/>
    </sheetView>
  </sheetViews>
  <sheetFormatPr baseColWidth="10" defaultRowHeight="14.5" x14ac:dyDescent="0.35"/>
  <cols>
    <col min="2" max="2" width="13.81640625" bestFit="1" customWidth="1"/>
    <col min="7" max="7" width="14" bestFit="1" customWidth="1"/>
    <col min="8" max="8" width="15.1796875" bestFit="1" customWidth="1"/>
    <col min="9" max="10" width="15.1796875" customWidth="1"/>
    <col min="11" max="11" width="13.81640625" bestFit="1" customWidth="1"/>
    <col min="16" max="16" width="14" bestFit="1" customWidth="1"/>
    <col min="17" max="17" width="15.1796875" bestFit="1" customWidth="1"/>
    <col min="18" max="19" width="15.1796875" customWidth="1"/>
  </cols>
  <sheetData>
    <row r="1" spans="1:23" x14ac:dyDescent="0.35">
      <c r="B1" s="31" t="s">
        <v>3</v>
      </c>
      <c r="C1" s="31"/>
      <c r="D1" s="31"/>
      <c r="E1" s="31"/>
      <c r="F1" s="31"/>
      <c r="G1" s="31"/>
      <c r="H1" s="31"/>
      <c r="I1" s="11"/>
      <c r="J1" s="11"/>
      <c r="K1" s="32" t="s">
        <v>4</v>
      </c>
      <c r="L1" s="32"/>
      <c r="M1" s="32"/>
      <c r="N1" s="32"/>
      <c r="O1" s="32"/>
      <c r="P1" s="32"/>
      <c r="Q1" s="32"/>
      <c r="R1" s="12"/>
      <c r="S1" s="12"/>
    </row>
    <row r="2" spans="1:23" x14ac:dyDescent="0.35">
      <c r="A2" s="1" t="s">
        <v>0</v>
      </c>
      <c r="B2" s="4" t="s">
        <v>8</v>
      </c>
      <c r="C2" s="3" t="s">
        <v>6</v>
      </c>
      <c r="D2" s="3" t="s">
        <v>2</v>
      </c>
      <c r="E2" s="3" t="s">
        <v>5</v>
      </c>
      <c r="F2" s="3" t="s">
        <v>9</v>
      </c>
      <c r="G2" s="3" t="s">
        <v>10</v>
      </c>
      <c r="H2" s="6" t="s">
        <v>21</v>
      </c>
      <c r="I2" s="6" t="s">
        <v>36</v>
      </c>
      <c r="J2" s="6" t="s">
        <v>37</v>
      </c>
      <c r="K2" s="3" t="s">
        <v>8</v>
      </c>
      <c r="L2" s="3" t="s">
        <v>6</v>
      </c>
      <c r="M2" s="3" t="s">
        <v>2</v>
      </c>
      <c r="N2" s="3" t="s">
        <v>5</v>
      </c>
      <c r="O2" s="3" t="s">
        <v>9</v>
      </c>
      <c r="P2" s="3" t="s">
        <v>10</v>
      </c>
      <c r="Q2" s="6" t="s">
        <v>21</v>
      </c>
      <c r="R2" s="6" t="s">
        <v>36</v>
      </c>
      <c r="S2" s="6" t="s">
        <v>37</v>
      </c>
    </row>
    <row r="3" spans="1:23" x14ac:dyDescent="0.35">
      <c r="A3" s="37">
        <v>1</v>
      </c>
      <c r="B3" s="38">
        <v>8.2649999999999988</v>
      </c>
      <c r="C3" s="2">
        <v>3.6090000000000002E-3</v>
      </c>
      <c r="D3" s="36">
        <f>AVERAGE(C3:C4)</f>
        <v>3.6090000000000002E-3</v>
      </c>
      <c r="E3" s="36" t="e">
        <f>_xlfn.STDEV.S(C3:C4)/SQRT(2)</f>
        <v>#DIV/0!</v>
      </c>
      <c r="F3" s="36">
        <f>(D3*1*0.2)/(6220*0.6*0.01*10^-3)</f>
        <v>1.934083601286174E-2</v>
      </c>
      <c r="G3" s="36">
        <f>F3/B3</f>
        <v>2.340089051767906E-3</v>
      </c>
      <c r="H3" s="33">
        <f>G3*1000</f>
        <v>2.3400890517679058</v>
      </c>
      <c r="I3" s="33">
        <f>AVERAGE(H3:H12)</f>
        <v>2.9387068022907994</v>
      </c>
      <c r="J3" s="34">
        <f>(_xlfn.STDEV.S(H3:H12)/SQRT(5))/I3</f>
        <v>0.27433960218637038</v>
      </c>
      <c r="K3" s="36">
        <v>6.0449999999999999</v>
      </c>
      <c r="L3" s="10">
        <v>4.1740000000000006E-3</v>
      </c>
      <c r="M3" s="36">
        <f>AVERAGE(L3:L4)</f>
        <v>4.1950000000000008E-3</v>
      </c>
      <c r="N3" s="36">
        <f>_xlfn.STDEV.S(L3:L4)/SQRT(2)</f>
        <v>2.0999999999999752E-5</v>
      </c>
      <c r="O3" s="36">
        <f>(M3*1*0.2)/(6220*0.6*0.01*10^-3)</f>
        <v>2.2481243301179E-2</v>
      </c>
      <c r="P3" s="36">
        <f>O3/K3</f>
        <v>3.7189815221139785E-3</v>
      </c>
      <c r="Q3" s="33">
        <f>P3*1000</f>
        <v>3.7189815221139786</v>
      </c>
      <c r="R3" s="33">
        <f>AVERAGE(Q3:Q12)</f>
        <v>16.616652407314469</v>
      </c>
      <c r="S3" s="34">
        <f>(_xlfn.STDEV.S(Q3:Q12)/SQRT(5))/R3</f>
        <v>0.30931241857963238</v>
      </c>
    </row>
    <row r="4" spans="1:23" x14ac:dyDescent="0.35">
      <c r="A4" s="37"/>
      <c r="B4" s="38"/>
      <c r="C4" s="10" t="s">
        <v>1</v>
      </c>
      <c r="D4" s="36"/>
      <c r="E4" s="36"/>
      <c r="F4" s="36"/>
      <c r="G4" s="36"/>
      <c r="H4" s="33"/>
      <c r="I4" s="33"/>
      <c r="J4" s="34"/>
      <c r="K4" s="36"/>
      <c r="L4" s="10">
        <v>4.2160000000000001E-3</v>
      </c>
      <c r="M4" s="36"/>
      <c r="N4" s="36"/>
      <c r="O4" s="36"/>
      <c r="P4" s="36"/>
      <c r="Q4" s="33"/>
      <c r="R4" s="33"/>
      <c r="S4" s="34"/>
    </row>
    <row r="5" spans="1:23" x14ac:dyDescent="0.35">
      <c r="A5" s="37">
        <v>2</v>
      </c>
      <c r="B5" s="38">
        <v>5.7149999999999999</v>
      </c>
      <c r="C5" s="10">
        <v>5.8650000000000004E-3</v>
      </c>
      <c r="D5" s="36">
        <f>AVERAGE(C5:C6)</f>
        <v>5.8650000000000004E-3</v>
      </c>
      <c r="E5" s="36" t="e">
        <f>_xlfn.STDEV.S(C5:C6)/SQRT(2)</f>
        <v>#DIV/0!</v>
      </c>
      <c r="F5" s="36">
        <f t="shared" ref="F5" si="0">(D5*1*0.2)/(6220*0.6*0.01*10^-3)</f>
        <v>3.1430868167202579E-2</v>
      </c>
      <c r="G5" s="36">
        <f>F5/B5</f>
        <v>5.499714464952332E-3</v>
      </c>
      <c r="H5" s="33">
        <f t="shared" ref="H5" si="1">G5*1000</f>
        <v>5.4997144649523317</v>
      </c>
      <c r="I5" s="33"/>
      <c r="J5" s="34"/>
      <c r="K5" s="36">
        <v>10.425000000000001</v>
      </c>
      <c r="L5" s="10">
        <v>5.3370000000000001E-2</v>
      </c>
      <c r="M5" s="36">
        <f t="shared" ref="M5" si="2">AVERAGE(L5:L6)</f>
        <v>4.8979999999999996E-2</v>
      </c>
      <c r="N5" s="36">
        <f t="shared" ref="N5" si="3">_xlfn.STDEV.S(L5:L6)/SQRT(2)</f>
        <v>4.3900000000000015E-3</v>
      </c>
      <c r="O5" s="36">
        <f t="shared" ref="O5" si="4">(M5*1*0.2)/(6220*0.6*0.01*10^-3)</f>
        <v>0.26248660235798499</v>
      </c>
      <c r="P5" s="36">
        <f t="shared" ref="P5" si="5">O5/K5</f>
        <v>2.5178570969590884E-2</v>
      </c>
      <c r="Q5" s="33">
        <f t="shared" ref="Q5" si="6">P5*1000</f>
        <v>25.178570969590883</v>
      </c>
      <c r="R5" s="33"/>
      <c r="S5" s="34"/>
    </row>
    <row r="6" spans="1:23" x14ac:dyDescent="0.35">
      <c r="A6" s="37"/>
      <c r="B6" s="38"/>
      <c r="C6" s="10" t="s">
        <v>1</v>
      </c>
      <c r="D6" s="36"/>
      <c r="E6" s="36"/>
      <c r="F6" s="36"/>
      <c r="G6" s="36"/>
      <c r="H6" s="33"/>
      <c r="I6" s="33"/>
      <c r="J6" s="34"/>
      <c r="K6" s="36"/>
      <c r="L6" s="10">
        <v>4.4589999999999998E-2</v>
      </c>
      <c r="M6" s="36"/>
      <c r="N6" s="36"/>
      <c r="O6" s="36"/>
      <c r="P6" s="36"/>
      <c r="Q6" s="33"/>
      <c r="R6" s="33"/>
      <c r="S6" s="34"/>
    </row>
    <row r="7" spans="1:23" x14ac:dyDescent="0.35">
      <c r="A7" s="37">
        <v>3</v>
      </c>
      <c r="B7" s="38">
        <v>6.4050000000000011</v>
      </c>
      <c r="C7" s="10">
        <v>1.6539999999999999E-3</v>
      </c>
      <c r="D7" s="36">
        <f t="shared" ref="D7" si="7">AVERAGE(C7:C8)</f>
        <v>1.6539999999999999E-3</v>
      </c>
      <c r="E7" s="36" t="e">
        <f t="shared" ref="E7" si="8">_xlfn.STDEV.S(C7:C8)/SQRT(2)</f>
        <v>#DIV/0!</v>
      </c>
      <c r="F7" s="36">
        <f t="shared" ref="F7" si="9">(D7*1*0.2)/(6220*0.6*0.01*10^-3)</f>
        <v>8.8638799571275455E-3</v>
      </c>
      <c r="G7" s="36">
        <f>F7/B7</f>
        <v>1.3839000713704206E-3</v>
      </c>
      <c r="H7" s="33">
        <f t="shared" ref="H7" si="10">G7*1000</f>
        <v>1.3839000713704206</v>
      </c>
      <c r="I7" s="33"/>
      <c r="J7" s="34"/>
      <c r="K7" s="36">
        <v>10.319999999999999</v>
      </c>
      <c r="L7" s="10">
        <v>4.1590000000000002E-2</v>
      </c>
      <c r="M7" s="36">
        <f t="shared" ref="M7" si="11">AVERAGE(L7:L8)</f>
        <v>2.5193500000000001E-2</v>
      </c>
      <c r="N7" s="36">
        <f t="shared" ref="N7" si="12">_xlfn.STDEV.S(L7:L8)/SQRT(2)</f>
        <v>1.6396499999999998E-2</v>
      </c>
      <c r="O7" s="36">
        <f t="shared" ref="O7" si="13">(M7*1*0.2)/(6220*0.6*0.01*10^-3)</f>
        <v>0.135013397642015</v>
      </c>
      <c r="P7" s="36">
        <f t="shared" ref="P7" si="14">O7/K7</f>
        <v>1.3082693569962696E-2</v>
      </c>
      <c r="Q7" s="33">
        <f t="shared" ref="Q7" si="15">P7*1000</f>
        <v>13.082693569962697</v>
      </c>
      <c r="R7" s="33"/>
      <c r="S7" s="34"/>
      <c r="V7" t="s">
        <v>19</v>
      </c>
      <c r="W7" t="s">
        <v>20</v>
      </c>
    </row>
    <row r="8" spans="1:23" x14ac:dyDescent="0.35">
      <c r="A8" s="37"/>
      <c r="B8" s="38"/>
      <c r="C8" s="10" t="s">
        <v>1</v>
      </c>
      <c r="D8" s="36"/>
      <c r="E8" s="36"/>
      <c r="F8" s="36"/>
      <c r="G8" s="36"/>
      <c r="H8" s="33"/>
      <c r="I8" s="33"/>
      <c r="J8" s="34"/>
      <c r="K8" s="36"/>
      <c r="L8" s="10">
        <v>8.797000000000001E-3</v>
      </c>
      <c r="M8" s="36"/>
      <c r="N8" s="36"/>
      <c r="O8" s="36"/>
      <c r="P8" s="36"/>
      <c r="Q8" s="33"/>
      <c r="R8" s="33"/>
      <c r="S8" s="34"/>
      <c r="U8" s="8" t="s">
        <v>13</v>
      </c>
      <c r="V8">
        <v>1</v>
      </c>
      <c r="W8">
        <v>1</v>
      </c>
    </row>
    <row r="9" spans="1:23" x14ac:dyDescent="0.35">
      <c r="A9" s="37">
        <v>4</v>
      </c>
      <c r="B9" s="38">
        <v>5.625</v>
      </c>
      <c r="C9" s="10">
        <v>1.4660000000000001E-3</v>
      </c>
      <c r="D9" s="36">
        <f t="shared" ref="D9" si="16">AVERAGE(C9:C10)</f>
        <v>1.4660000000000001E-3</v>
      </c>
      <c r="E9" s="36" t="e">
        <f t="shared" ref="E9" si="17">_xlfn.STDEV.S(C9:C10)/SQRT(2)</f>
        <v>#DIV/0!</v>
      </c>
      <c r="F9" s="36">
        <f t="shared" ref="F9" si="18">(D9*1*0.2)/(6220*0.6*0.01*10^-3)</f>
        <v>7.8563772775991428E-3</v>
      </c>
      <c r="G9" s="36">
        <f>F9/B9</f>
        <v>1.3966892937954032E-3</v>
      </c>
      <c r="H9" s="33">
        <f t="shared" ref="H9" si="19">G9*1000</f>
        <v>1.3966892937954032</v>
      </c>
      <c r="I9" s="33"/>
      <c r="J9" s="34"/>
      <c r="K9" s="36">
        <v>8.7000000000000011</v>
      </c>
      <c r="L9" s="10">
        <v>5.1339999999999997E-2</v>
      </c>
      <c r="M9" s="36">
        <f>AVERAGE(L9:L9)</f>
        <v>5.1339999999999997E-2</v>
      </c>
      <c r="N9" s="36" t="e">
        <f>_xlfn.STDEV.S(L9:L9)/SQRT(2)</f>
        <v>#DIV/0!</v>
      </c>
      <c r="O9" s="36">
        <f t="shared" ref="O9" si="20">(M9*1*0.2)/(6220*0.6*0.01*10^-3)</f>
        <v>0.27513397642015003</v>
      </c>
      <c r="P9" s="36">
        <f t="shared" ref="P9" si="21">O9/K9</f>
        <v>3.162459499082184E-2</v>
      </c>
      <c r="Q9" s="33">
        <f t="shared" ref="Q9" si="22">P9*1000</f>
        <v>31.624594990821841</v>
      </c>
      <c r="R9" s="33"/>
      <c r="S9" s="34"/>
      <c r="U9" s="8" t="s">
        <v>16</v>
      </c>
      <c r="V9">
        <v>0.2</v>
      </c>
      <c r="W9">
        <v>0.2</v>
      </c>
    </row>
    <row r="10" spans="1:23" x14ac:dyDescent="0.35">
      <c r="A10" s="37"/>
      <c r="B10" s="38"/>
      <c r="C10" s="10" t="s">
        <v>1</v>
      </c>
      <c r="D10" s="36"/>
      <c r="E10" s="36"/>
      <c r="F10" s="36"/>
      <c r="G10" s="36"/>
      <c r="H10" s="33"/>
      <c r="I10" s="33"/>
      <c r="J10" s="34"/>
      <c r="K10" s="36"/>
      <c r="L10" s="13">
        <v>0.11070000000000001</v>
      </c>
      <c r="M10" s="36"/>
      <c r="N10" s="36"/>
      <c r="O10" s="36"/>
      <c r="P10" s="36"/>
      <c r="Q10" s="33"/>
      <c r="R10" s="33"/>
      <c r="S10" s="34"/>
      <c r="U10" s="8" t="s">
        <v>15</v>
      </c>
      <c r="V10">
        <v>6220</v>
      </c>
      <c r="W10">
        <v>6220</v>
      </c>
    </row>
    <row r="11" spans="1:23" x14ac:dyDescent="0.35">
      <c r="A11" s="37">
        <v>5</v>
      </c>
      <c r="B11" s="38">
        <v>4.1550000000000002</v>
      </c>
      <c r="C11" s="10">
        <v>3.1579999999999998E-3</v>
      </c>
      <c r="D11" s="36">
        <f t="shared" ref="D11" si="23">AVERAGE(C11:C12)</f>
        <v>3.1579999999999998E-3</v>
      </c>
      <c r="E11" s="36" t="e">
        <f t="shared" ref="E11" si="24">_xlfn.STDEV.S(C11:C12)/SQRT(2)</f>
        <v>#DIV/0!</v>
      </c>
      <c r="F11" s="36">
        <f t="shared" ref="F11" si="25">(D11*1*0.2)/(6220*0.6*0.01*10^-3)</f>
        <v>1.6923901393354771E-2</v>
      </c>
      <c r="G11" s="36">
        <f>F11/B11</f>
        <v>4.0731411295679351E-3</v>
      </c>
      <c r="H11" s="33">
        <f t="shared" ref="H11" si="26">G11*1000</f>
        <v>4.0731411295679347</v>
      </c>
      <c r="I11" s="33"/>
      <c r="J11" s="34"/>
      <c r="K11" s="36">
        <v>8.9699999999999989</v>
      </c>
      <c r="L11" s="10">
        <v>1.9099999999999999E-2</v>
      </c>
      <c r="M11" s="36">
        <f t="shared" ref="M11" si="27">AVERAGE(L11:L12)</f>
        <v>1.5865000000000001E-2</v>
      </c>
      <c r="N11" s="36">
        <f t="shared" ref="N11" si="28">_xlfn.STDEV.S(L11:L12)/SQRT(2)</f>
        <v>3.2349999999999914E-3</v>
      </c>
      <c r="O11" s="36">
        <f t="shared" ref="O11" si="29">(M11*1*0.2)/(6220*0.6*0.01*10^-3)</f>
        <v>8.5021436227224023E-2</v>
      </c>
      <c r="P11" s="36">
        <f t="shared" ref="P11" si="30">O11/K11</f>
        <v>9.4784209840829466E-3</v>
      </c>
      <c r="Q11" s="33">
        <f t="shared" ref="Q11" si="31">P11*1000</f>
        <v>9.4784209840829465</v>
      </c>
      <c r="R11" s="33"/>
      <c r="S11" s="34"/>
      <c r="U11" s="8" t="s">
        <v>14</v>
      </c>
      <c r="V11">
        <v>0.01</v>
      </c>
      <c r="W11">
        <v>0.01</v>
      </c>
    </row>
    <row r="12" spans="1:23" x14ac:dyDescent="0.35">
      <c r="A12" s="37"/>
      <c r="B12" s="38"/>
      <c r="C12" s="10" t="s">
        <v>1</v>
      </c>
      <c r="D12" s="36"/>
      <c r="E12" s="36"/>
      <c r="F12" s="36"/>
      <c r="G12" s="36"/>
      <c r="H12" s="33"/>
      <c r="I12" s="33"/>
      <c r="J12" s="34"/>
      <c r="K12" s="36"/>
      <c r="L12" s="10">
        <v>1.2630000000000001E-2</v>
      </c>
      <c r="M12" s="36"/>
      <c r="N12" s="36"/>
      <c r="O12" s="36"/>
      <c r="P12" s="36"/>
      <c r="Q12" s="33"/>
      <c r="R12" s="33"/>
      <c r="S12" s="34"/>
    </row>
    <row r="13" spans="1:23" x14ac:dyDescent="0.35">
      <c r="A13" s="37">
        <v>6</v>
      </c>
      <c r="B13" s="38">
        <v>5.61</v>
      </c>
      <c r="C13" s="10">
        <v>1.6240000000000002E-3</v>
      </c>
      <c r="D13" s="36">
        <f t="shared" ref="D13" si="32">AVERAGE(C13:C14)</f>
        <v>1.6240000000000002E-3</v>
      </c>
      <c r="E13" s="36" t="e">
        <f t="shared" ref="E13" si="33">_xlfn.STDEV.S(C13:C14)/SQRT(2)</f>
        <v>#DIV/0!</v>
      </c>
      <c r="F13" s="36">
        <f t="shared" ref="F13" si="34">(D13*1*0.2)/(6220*0.6*0.01*10^-3)</f>
        <v>8.7031082529474835E-3</v>
      </c>
      <c r="G13" s="36">
        <f>F13/B13</f>
        <v>1.5513561948212982E-3</v>
      </c>
      <c r="H13" s="33">
        <f t="shared" ref="H13" si="35">G13*1000</f>
        <v>1.5513561948212982</v>
      </c>
      <c r="I13" s="33">
        <f t="shared" ref="I13" si="36">AVERAGE(H13:H22)</f>
        <v>4.7263286218696363</v>
      </c>
      <c r="J13" s="34">
        <f t="shared" ref="J13" si="37">(_xlfn.STDEV.S(H13:H22)/SQRT(5))/I13</f>
        <v>0.50952279263876821</v>
      </c>
      <c r="K13" s="36">
        <v>9.4350000000000005</v>
      </c>
      <c r="L13" s="10">
        <v>7.3260000000000006E-2</v>
      </c>
      <c r="M13" s="36">
        <f t="shared" ref="M13" si="38">AVERAGE(L13:L14)</f>
        <v>6.9790000000000005E-2</v>
      </c>
      <c r="N13" s="36">
        <f t="shared" ref="N13" si="39">_xlfn.STDEV.S(L13:L14)/SQRT(2)</f>
        <v>3.4700000000000009E-3</v>
      </c>
      <c r="O13" s="36">
        <f t="shared" ref="O13" si="40">(M13*1*0.2)/(6220*0.6*0.01*10^-3)</f>
        <v>0.37400857449088964</v>
      </c>
      <c r="P13" s="36">
        <f t="shared" ref="P13" si="41">O13/K13</f>
        <v>3.9640548435706371E-2</v>
      </c>
      <c r="Q13" s="33">
        <f t="shared" ref="Q13" si="42">P13*1000</f>
        <v>39.640548435706371</v>
      </c>
      <c r="R13" s="33">
        <f t="shared" ref="R13" si="43">AVERAGE(Q13:Q22)</f>
        <v>23.962617513968517</v>
      </c>
      <c r="S13" s="34">
        <f t="shared" ref="S13" si="44">(_xlfn.STDEV.S(Q13:Q22)/SQRT(5))/R13</f>
        <v>0.25443372429883565</v>
      </c>
      <c r="U13" s="8"/>
    </row>
    <row r="14" spans="1:23" x14ac:dyDescent="0.35">
      <c r="A14" s="37"/>
      <c r="B14" s="38"/>
      <c r="C14" s="10" t="s">
        <v>1</v>
      </c>
      <c r="D14" s="36"/>
      <c r="E14" s="36"/>
      <c r="F14" s="36"/>
      <c r="G14" s="36"/>
      <c r="H14" s="33"/>
      <c r="I14" s="33"/>
      <c r="J14" s="34"/>
      <c r="K14" s="36"/>
      <c r="L14" s="10">
        <v>6.6320000000000004E-2</v>
      </c>
      <c r="M14" s="36"/>
      <c r="N14" s="36"/>
      <c r="O14" s="36"/>
      <c r="P14" s="36"/>
      <c r="Q14" s="33"/>
      <c r="R14" s="33"/>
      <c r="S14" s="34"/>
    </row>
    <row r="15" spans="1:23" x14ac:dyDescent="0.35">
      <c r="A15" s="37">
        <v>7</v>
      </c>
      <c r="B15" s="38">
        <v>6.51</v>
      </c>
      <c r="C15" s="10">
        <v>3.1580000000000003E-4</v>
      </c>
      <c r="D15" s="36">
        <f t="shared" ref="D15" si="45">AVERAGE(C15:C16)</f>
        <v>3.1580000000000003E-4</v>
      </c>
      <c r="E15" s="36" t="e">
        <f t="shared" ref="E15" si="46">_xlfn.STDEV.S(C15:C16)/SQRT(2)</f>
        <v>#DIV/0!</v>
      </c>
      <c r="F15" s="36">
        <f t="shared" ref="F15" si="47">(D15*1*0.2)/(6220*0.6*0.01*10^-3)</f>
        <v>1.6923901393354774E-3</v>
      </c>
      <c r="G15" s="36">
        <f>F15/B15</f>
        <v>2.5996776333878302E-4</v>
      </c>
      <c r="H15" s="33">
        <f t="shared" ref="H15" si="48">G15*1000</f>
        <v>0.25996776333878302</v>
      </c>
      <c r="I15" s="33"/>
      <c r="J15" s="34"/>
      <c r="K15" s="36">
        <v>8.4449999999999985</v>
      </c>
      <c r="L15" s="10">
        <v>9.3160000000000007E-2</v>
      </c>
      <c r="M15" s="36">
        <f t="shared" ref="M15" si="49">AVERAGE(L15:L16)</f>
        <v>5.2875000000000005E-2</v>
      </c>
      <c r="N15" s="36">
        <f t="shared" ref="N15" si="50">_xlfn.STDEV.S(L15:L16)/SQRT(2)</f>
        <v>4.0284999999999994E-2</v>
      </c>
      <c r="O15" s="36">
        <f t="shared" ref="O15" si="51">(M15*1*0.2)/(6220*0.6*0.01*10^-3)</f>
        <v>0.28336012861736337</v>
      </c>
      <c r="P15" s="36">
        <f t="shared" ref="P15" si="52">O15/K15</f>
        <v>3.3553597231185721E-2</v>
      </c>
      <c r="Q15" s="33">
        <f t="shared" ref="Q15" si="53">P15*1000</f>
        <v>33.553597231185719</v>
      </c>
      <c r="R15" s="33"/>
      <c r="S15" s="34"/>
    </row>
    <row r="16" spans="1:23" x14ac:dyDescent="0.35">
      <c r="A16" s="37"/>
      <c r="B16" s="38"/>
      <c r="C16" s="10" t="s">
        <v>1</v>
      </c>
      <c r="D16" s="36"/>
      <c r="E16" s="36"/>
      <c r="F16" s="36"/>
      <c r="G16" s="36"/>
      <c r="H16" s="33"/>
      <c r="I16" s="33"/>
      <c r="J16" s="34"/>
      <c r="K16" s="36"/>
      <c r="L16" s="10">
        <v>1.259E-2</v>
      </c>
      <c r="M16" s="36"/>
      <c r="N16" s="36"/>
      <c r="O16" s="36"/>
      <c r="P16" s="36"/>
      <c r="Q16" s="33"/>
      <c r="R16" s="33"/>
      <c r="S16" s="34"/>
    </row>
    <row r="17" spans="1:19" x14ac:dyDescent="0.35">
      <c r="A17" s="37">
        <v>8</v>
      </c>
      <c r="B17" s="38">
        <v>7.6950000000000003</v>
      </c>
      <c r="C17" s="10">
        <v>9.1090000000000008E-4</v>
      </c>
      <c r="D17" s="36">
        <f t="shared" ref="D17" si="54">AVERAGE(C17:C18)</f>
        <v>9.1090000000000008E-4</v>
      </c>
      <c r="E17" s="36" t="e">
        <f t="shared" ref="E17" si="55">_xlfn.STDEV.S(C17:C18)/SQRT(2)</f>
        <v>#DIV/0!</v>
      </c>
      <c r="F17" s="36">
        <f t="shared" ref="F17" si="56">(D17*1*0.2)/(6220*0.6*0.01*10^-3)</f>
        <v>4.8815648445873537E-3</v>
      </c>
      <c r="G17" s="36">
        <f>F17/B17</f>
        <v>6.3438139630764832E-4</v>
      </c>
      <c r="H17" s="33">
        <f t="shared" ref="H17" si="57">G17*1000</f>
        <v>0.63438139630764834</v>
      </c>
      <c r="I17" s="33"/>
      <c r="J17" s="34"/>
      <c r="K17" s="36">
        <v>9.7800000000000011</v>
      </c>
      <c r="L17" s="10">
        <v>5.7049999999999997E-2</v>
      </c>
      <c r="M17" s="36">
        <f t="shared" ref="M17" si="58">AVERAGE(L17:L18)</f>
        <v>4.9049999999999996E-2</v>
      </c>
      <c r="N17" s="36">
        <f t="shared" ref="N17" si="59">_xlfn.STDEV.S(L17:L18)/SQRT(2)</f>
        <v>8.0000000000000418E-3</v>
      </c>
      <c r="O17" s="36">
        <f t="shared" ref="O17" si="60">(M17*1*0.2)/(6220*0.6*0.01*10^-3)</f>
        <v>0.26286173633440513</v>
      </c>
      <c r="P17" s="36">
        <f t="shared" ref="P17" si="61">O17/K17</f>
        <v>2.6877478152802156E-2</v>
      </c>
      <c r="Q17" s="33">
        <f t="shared" ref="Q17" si="62">P17*1000</f>
        <v>26.877478152802155</v>
      </c>
      <c r="R17" s="33"/>
      <c r="S17" s="34"/>
    </row>
    <row r="18" spans="1:19" x14ac:dyDescent="0.35">
      <c r="A18" s="37"/>
      <c r="B18" s="38"/>
      <c r="C18" s="10" t="s">
        <v>1</v>
      </c>
      <c r="D18" s="36"/>
      <c r="E18" s="36"/>
      <c r="F18" s="36"/>
      <c r="G18" s="36"/>
      <c r="H18" s="33"/>
      <c r="I18" s="33"/>
      <c r="J18" s="34"/>
      <c r="K18" s="36"/>
      <c r="L18" s="10">
        <v>4.1050000000000003E-2</v>
      </c>
      <c r="M18" s="36"/>
      <c r="N18" s="36"/>
      <c r="O18" s="36"/>
      <c r="P18" s="36"/>
      <c r="Q18" s="33"/>
      <c r="R18" s="33"/>
      <c r="S18" s="34"/>
    </row>
    <row r="19" spans="1:19" x14ac:dyDescent="0.35">
      <c r="A19" s="37">
        <v>9</v>
      </c>
      <c r="B19" s="38">
        <v>3.57</v>
      </c>
      <c r="C19" s="10">
        <v>6.7670000000000004E-3</v>
      </c>
      <c r="D19" s="36">
        <f t="shared" ref="D19" si="63">AVERAGE(C19:C20)</f>
        <v>6.7670000000000004E-3</v>
      </c>
      <c r="E19" s="36" t="e">
        <f t="shared" ref="E19" si="64">_xlfn.STDEV.S(C19:C20)/SQRT(2)</f>
        <v>#DIV/0!</v>
      </c>
      <c r="F19" s="36">
        <f t="shared" ref="F19" si="65">(D19*1*0.2)/(6220*0.6*0.01*10^-3)</f>
        <v>3.6264737406216517E-2</v>
      </c>
      <c r="G19" s="36">
        <f>F19/B19</f>
        <v>1.0158189749640481E-2</v>
      </c>
      <c r="H19" s="33">
        <f t="shared" ref="H19" si="66">G19*1000</f>
        <v>10.158189749640481</v>
      </c>
      <c r="I19" s="33"/>
      <c r="J19" s="34"/>
      <c r="K19" s="36">
        <v>10.29</v>
      </c>
      <c r="L19" s="10">
        <v>1.8950000000000002E-2</v>
      </c>
      <c r="M19" s="36">
        <f t="shared" ref="M19" si="67">AVERAGE(L19:L20)</f>
        <v>1.8950000000000002E-2</v>
      </c>
      <c r="N19" s="36" t="e">
        <f t="shared" ref="N19" si="68">_xlfn.STDEV.S(L19:L20)/SQRT(2)</f>
        <v>#DIV/0!</v>
      </c>
      <c r="O19" s="36">
        <f t="shared" ref="O19" si="69">(M19*1*0.2)/(6220*0.6*0.01*10^-3)</f>
        <v>0.10155412647374064</v>
      </c>
      <c r="P19" s="36">
        <f t="shared" ref="P19" si="70">O19/K19</f>
        <v>9.8692056825792664E-3</v>
      </c>
      <c r="Q19" s="33">
        <f t="shared" ref="Q19" si="71">P19*1000</f>
        <v>9.8692056825792669</v>
      </c>
      <c r="R19" s="33"/>
      <c r="S19" s="34"/>
    </row>
    <row r="20" spans="1:19" x14ac:dyDescent="0.35">
      <c r="A20" s="37"/>
      <c r="B20" s="38"/>
      <c r="C20" s="10" t="s">
        <v>1</v>
      </c>
      <c r="D20" s="36"/>
      <c r="E20" s="36"/>
      <c r="F20" s="36"/>
      <c r="G20" s="36"/>
      <c r="H20" s="33"/>
      <c r="I20" s="33"/>
      <c r="J20" s="34"/>
      <c r="K20" s="36"/>
      <c r="L20" s="10" t="s">
        <v>1</v>
      </c>
      <c r="M20" s="36"/>
      <c r="N20" s="36"/>
      <c r="O20" s="36"/>
      <c r="P20" s="36"/>
      <c r="Q20" s="33"/>
      <c r="R20" s="33"/>
      <c r="S20" s="34"/>
    </row>
    <row r="21" spans="1:19" x14ac:dyDescent="0.35">
      <c r="A21" s="37">
        <v>10</v>
      </c>
      <c r="B21" s="38">
        <v>6.7499999999999991</v>
      </c>
      <c r="C21" s="10">
        <v>1.389E-2</v>
      </c>
      <c r="D21" s="36">
        <f t="shared" ref="D21" si="72">AVERAGE(C21:C22)</f>
        <v>1.389E-2</v>
      </c>
      <c r="E21" s="36" t="e">
        <f t="shared" ref="E21" si="73">_xlfn.STDEV.S(C21:C22)/SQRT(2)</f>
        <v>#DIV/0!</v>
      </c>
      <c r="F21" s="36">
        <f t="shared" ref="F21" si="74">(D21*1*0.2)/(6220*0.6*0.01*10^-3)</f>
        <v>7.4437299035369775E-2</v>
      </c>
      <c r="G21" s="36">
        <f>F21/B21</f>
        <v>1.1027748005239969E-2</v>
      </c>
      <c r="H21" s="33">
        <f t="shared" ref="H21" si="75">G21*1000</f>
        <v>11.027748005239969</v>
      </c>
      <c r="I21" s="33"/>
      <c r="J21" s="34"/>
      <c r="K21" s="36">
        <v>9.06</v>
      </c>
      <c r="L21" s="10">
        <v>1.669E-2</v>
      </c>
      <c r="M21" s="36">
        <f t="shared" ref="M21" si="76">AVERAGE(L21:L22)</f>
        <v>1.669E-2</v>
      </c>
      <c r="N21" s="36" t="e">
        <f t="shared" ref="N21" si="77">_xlfn.STDEV.S(L21:L22)/SQRT(2)</f>
        <v>#DIV/0!</v>
      </c>
      <c r="O21" s="36">
        <f t="shared" ref="O21" si="78">(M21*1*0.2)/(6220*0.6*0.01*10^-3)</f>
        <v>8.9442658092175789E-2</v>
      </c>
      <c r="P21" s="36">
        <f t="shared" ref="P21" si="79">O21/K21</f>
        <v>9.8722580675690719E-3</v>
      </c>
      <c r="Q21" s="33">
        <f t="shared" ref="Q21" si="80">P21*1000</f>
        <v>9.8722580675690725</v>
      </c>
      <c r="R21" s="33"/>
      <c r="S21" s="34"/>
    </row>
    <row r="22" spans="1:19" x14ac:dyDescent="0.35">
      <c r="A22" s="37"/>
      <c r="B22" s="38"/>
      <c r="C22" s="10" t="s">
        <v>1</v>
      </c>
      <c r="D22" s="36"/>
      <c r="E22" s="36"/>
      <c r="F22" s="36"/>
      <c r="G22" s="36"/>
      <c r="H22" s="33"/>
      <c r="I22" s="33"/>
      <c r="J22" s="34"/>
      <c r="K22" s="36"/>
      <c r="L22" s="10" t="s">
        <v>1</v>
      </c>
      <c r="M22" s="36"/>
      <c r="N22" s="36"/>
      <c r="O22" s="36"/>
      <c r="P22" s="36"/>
      <c r="Q22" s="33"/>
      <c r="R22" s="33"/>
      <c r="S22" s="34"/>
    </row>
    <row r="23" spans="1:19" x14ac:dyDescent="0.35">
      <c r="A23" s="37">
        <v>11</v>
      </c>
      <c r="B23" s="38">
        <v>4.6349999999999998</v>
      </c>
      <c r="C23" s="10">
        <v>7.4740000000000006E-3</v>
      </c>
      <c r="D23" s="36">
        <f t="shared" ref="D23" si="81">AVERAGE(C23:C24)</f>
        <v>7.4740000000000006E-3</v>
      </c>
      <c r="E23" s="36" t="e">
        <f t="shared" ref="E23" si="82">_xlfn.STDEV.S(C23:C24)/SQRT(2)</f>
        <v>#DIV/0!</v>
      </c>
      <c r="F23" s="36">
        <f t="shared" ref="F23" si="83">(D23*1*0.2)/(6220*0.6*0.01*10^-3)</f>
        <v>4.0053590568060023E-2</v>
      </c>
      <c r="G23" s="36">
        <f>F23/B23</f>
        <v>8.6415513631197469E-3</v>
      </c>
      <c r="H23" s="33">
        <f t="shared" ref="H23" si="84">G23*1000</f>
        <v>8.6415513631197474</v>
      </c>
      <c r="I23" s="33">
        <f t="shared" ref="I23" si="85">AVERAGE(H23:H32)</f>
        <v>9.5078748633165784</v>
      </c>
      <c r="J23" s="34">
        <f t="shared" ref="J23" si="86">(_xlfn.STDEV.S(H23:H32)/SQRT(5))/I23</f>
        <v>0.39994878391394006</v>
      </c>
      <c r="K23" s="36">
        <v>8.7600000000000016</v>
      </c>
      <c r="L23" s="10">
        <v>1.5900000000000001E-2</v>
      </c>
      <c r="M23" s="36">
        <f t="shared" ref="M23" si="87">AVERAGE(L23:L24)</f>
        <v>1.5900000000000001E-2</v>
      </c>
      <c r="N23" s="36" t="e">
        <f t="shared" ref="N23" si="88">_xlfn.STDEV.S(L23:L24)/SQRT(2)</f>
        <v>#DIV/0!</v>
      </c>
      <c r="O23" s="36">
        <f t="shared" ref="O23" si="89">(M23*1*0.2)/(6220*0.6*0.01*10^-3)</f>
        <v>8.5209003215434106E-2</v>
      </c>
      <c r="P23" s="36">
        <f t="shared" ref="P23" si="90">O23/K23</f>
        <v>9.7270551615792344E-3</v>
      </c>
      <c r="Q23" s="33">
        <f t="shared" ref="Q23" si="91">P23*1000</f>
        <v>9.7270551615792336</v>
      </c>
      <c r="R23" s="33">
        <f t="shared" ref="R23" si="92">AVERAGE(Q23:Q32)</f>
        <v>5.9879296848314167</v>
      </c>
      <c r="S23" s="34">
        <f t="shared" ref="S23" si="93">(_xlfn.STDEV.S(Q23:Q32)/SQRT(5))/R23</f>
        <v>0.17451874500002285</v>
      </c>
    </row>
    <row r="24" spans="1:19" x14ac:dyDescent="0.35">
      <c r="A24" s="37"/>
      <c r="B24" s="38"/>
      <c r="C24" s="10" t="s">
        <v>1</v>
      </c>
      <c r="D24" s="36"/>
      <c r="E24" s="36"/>
      <c r="F24" s="36"/>
      <c r="G24" s="36"/>
      <c r="H24" s="33"/>
      <c r="I24" s="33"/>
      <c r="J24" s="34"/>
      <c r="K24" s="36"/>
      <c r="L24" s="10" t="s">
        <v>1</v>
      </c>
      <c r="M24" s="36"/>
      <c r="N24" s="36"/>
      <c r="O24" s="36"/>
      <c r="P24" s="36"/>
      <c r="Q24" s="33"/>
      <c r="R24" s="33"/>
      <c r="S24" s="34"/>
    </row>
    <row r="25" spans="1:19" x14ac:dyDescent="0.35">
      <c r="A25" s="37">
        <v>12</v>
      </c>
      <c r="B25" s="38">
        <v>3.9750000000000001</v>
      </c>
      <c r="C25" s="10">
        <v>1.7999999999999999E-2</v>
      </c>
      <c r="D25" s="36">
        <f t="shared" ref="D25" si="94">AVERAGE(C25:C26)</f>
        <v>1.7999999999999999E-2</v>
      </c>
      <c r="E25" s="36" t="e">
        <f t="shared" ref="E25" si="95">_xlfn.STDEV.S(C25:C26)/SQRT(2)</f>
        <v>#DIV/0!</v>
      </c>
      <c r="F25" s="36">
        <f t="shared" ref="F25" si="96">(D25*1*0.2)/(6220*0.6*0.01*10^-3)</f>
        <v>9.6463022508038579E-2</v>
      </c>
      <c r="G25" s="36">
        <f>F25/B25</f>
        <v>2.4267427046047441E-2</v>
      </c>
      <c r="H25" s="33">
        <f t="shared" ref="H25" si="97">G25*1000</f>
        <v>24.267427046047441</v>
      </c>
      <c r="I25" s="33"/>
      <c r="J25" s="34"/>
      <c r="K25" s="36">
        <v>11.295</v>
      </c>
      <c r="L25" s="10">
        <v>5.7279999999999996E-3</v>
      </c>
      <c r="M25" s="36">
        <f t="shared" ref="M25" si="98">AVERAGE(L25:L26)</f>
        <v>1.3054E-2</v>
      </c>
      <c r="N25" s="36">
        <f t="shared" ref="N25" si="99">_xlfn.STDEV.S(L25:L26)/SQRT(2)</f>
        <v>7.326E-3</v>
      </c>
      <c r="O25" s="36">
        <f t="shared" ref="O25" si="100">(M25*1*0.2)/(6220*0.6*0.01*10^-3)</f>
        <v>6.9957127545551986E-2</v>
      </c>
      <c r="P25" s="36">
        <f t="shared" ref="P25" si="101">O25/K25</f>
        <v>6.193636790221513E-3</v>
      </c>
      <c r="Q25" s="33">
        <f t="shared" ref="Q25" si="102">P25*1000</f>
        <v>6.1936367902215128</v>
      </c>
      <c r="R25" s="33"/>
      <c r="S25" s="34"/>
    </row>
    <row r="26" spans="1:19" x14ac:dyDescent="0.35">
      <c r="A26" s="37"/>
      <c r="B26" s="38"/>
      <c r="C26" s="10" t="s">
        <v>1</v>
      </c>
      <c r="D26" s="36"/>
      <c r="E26" s="36"/>
      <c r="F26" s="36"/>
      <c r="G26" s="36"/>
      <c r="H26" s="33"/>
      <c r="I26" s="33"/>
      <c r="J26" s="34"/>
      <c r="K26" s="36"/>
      <c r="L26" s="10">
        <v>2.0379999999999999E-2</v>
      </c>
      <c r="M26" s="36"/>
      <c r="N26" s="36"/>
      <c r="O26" s="36"/>
      <c r="P26" s="36"/>
      <c r="Q26" s="33"/>
      <c r="R26" s="33"/>
      <c r="S26" s="34"/>
    </row>
    <row r="27" spans="1:19" x14ac:dyDescent="0.35">
      <c r="A27" s="37">
        <v>13</v>
      </c>
      <c r="B27" s="38">
        <v>5.3849999999999998</v>
      </c>
      <c r="C27" s="10">
        <v>6.9470000000000001E-3</v>
      </c>
      <c r="D27" s="36">
        <f t="shared" ref="D27" si="103">AVERAGE(C27:C28)</f>
        <v>6.9470000000000001E-3</v>
      </c>
      <c r="E27" s="36" t="e">
        <f t="shared" ref="E27" si="104">_xlfn.STDEV.S(C27:C28)/SQRT(2)</f>
        <v>#DIV/0!</v>
      </c>
      <c r="F27" s="36">
        <f t="shared" ref="F27" si="105">(D27*1*0.2)/(6220*0.6*0.01*10^-3)</f>
        <v>3.7229367631296896E-2</v>
      </c>
      <c r="G27" s="36">
        <f>F27/B27</f>
        <v>6.9135315935555984E-3</v>
      </c>
      <c r="H27" s="33">
        <f t="shared" ref="H27" si="106">G27*1000</f>
        <v>6.9135315935555983</v>
      </c>
      <c r="I27" s="33"/>
      <c r="J27" s="34"/>
      <c r="K27" s="36">
        <v>10.545000000000002</v>
      </c>
      <c r="L27" s="10">
        <v>2.3140000000000001E-3</v>
      </c>
      <c r="M27" s="36">
        <f t="shared" ref="M27" si="107">AVERAGE(L27:L28)</f>
        <v>6.6270000000000001E-3</v>
      </c>
      <c r="N27" s="36">
        <f t="shared" ref="N27" si="108">_xlfn.STDEV.S(L27:L28)/SQRT(2)</f>
        <v>4.313E-3</v>
      </c>
      <c r="O27" s="36">
        <f t="shared" ref="O27" si="109">(M27*1*0.2)/(6220*0.6*0.01*10^-3)</f>
        <v>3.5514469453376205E-2</v>
      </c>
      <c r="P27" s="36">
        <f t="shared" ref="P27" si="110">O27/K27</f>
        <v>3.3678965816383308E-3</v>
      </c>
      <c r="Q27" s="33">
        <f t="shared" ref="Q27" si="111">P27*1000</f>
        <v>3.3678965816383308</v>
      </c>
      <c r="R27" s="33"/>
      <c r="S27" s="34"/>
    </row>
    <row r="28" spans="1:19" x14ac:dyDescent="0.35">
      <c r="A28" s="37"/>
      <c r="B28" s="38"/>
      <c r="C28" s="10" t="s">
        <v>1</v>
      </c>
      <c r="D28" s="36"/>
      <c r="E28" s="36"/>
      <c r="F28" s="36"/>
      <c r="G28" s="36"/>
      <c r="H28" s="33"/>
      <c r="I28" s="33"/>
      <c r="J28" s="34"/>
      <c r="K28" s="36"/>
      <c r="L28" s="10">
        <v>1.094E-2</v>
      </c>
      <c r="M28" s="36"/>
      <c r="N28" s="36"/>
      <c r="O28" s="36"/>
      <c r="P28" s="36"/>
      <c r="Q28" s="33"/>
      <c r="R28" s="33"/>
      <c r="S28" s="34"/>
    </row>
    <row r="29" spans="1:19" x14ac:dyDescent="0.35">
      <c r="A29" s="37">
        <v>14</v>
      </c>
      <c r="B29" s="38">
        <v>3.54</v>
      </c>
      <c r="C29" s="10">
        <v>2.65E-3</v>
      </c>
      <c r="D29" s="36">
        <f t="shared" ref="D29" si="112">AVERAGE(C29:C30)</f>
        <v>2.65E-3</v>
      </c>
      <c r="E29" s="36" t="e">
        <f t="shared" ref="E29" si="113">_xlfn.STDEV.S(C29:C30)/SQRT(2)</f>
        <v>#DIV/0!</v>
      </c>
      <c r="F29" s="36">
        <f t="shared" ref="F29" si="114">(D29*1*0.2)/(6220*0.6*0.01*10^-3)</f>
        <v>1.420150053590568E-2</v>
      </c>
      <c r="G29" s="36">
        <f>F29/B29</f>
        <v>4.0117233152275932E-3</v>
      </c>
      <c r="H29" s="33">
        <f t="shared" ref="H29" si="115">G29*1000</f>
        <v>4.0117233152275933</v>
      </c>
      <c r="I29" s="33"/>
      <c r="J29" s="34"/>
      <c r="K29" s="36">
        <v>9.7050000000000001</v>
      </c>
      <c r="L29" s="10">
        <v>9.2929999999999992E-3</v>
      </c>
      <c r="M29" s="36">
        <f t="shared" ref="M29" si="116">AVERAGE(L29:L30)</f>
        <v>9.2929999999999992E-3</v>
      </c>
      <c r="N29" s="36" t="e">
        <f t="shared" ref="N29" si="117">_xlfn.STDEV.S(L29:L30)/SQRT(2)</f>
        <v>#DIV/0!</v>
      </c>
      <c r="O29" s="36">
        <f t="shared" ref="O29" si="118">(M29*1*0.2)/(6220*0.6*0.01*10^-3)</f>
        <v>4.9801714898177918E-2</v>
      </c>
      <c r="P29" s="36">
        <f t="shared" ref="P29" si="119">O29/K29</f>
        <v>5.1315522821409497E-3</v>
      </c>
      <c r="Q29" s="33">
        <f t="shared" ref="Q29" si="120">P29*1000</f>
        <v>5.1315522821409498</v>
      </c>
      <c r="R29" s="33"/>
      <c r="S29" s="34"/>
    </row>
    <row r="30" spans="1:19" x14ac:dyDescent="0.35">
      <c r="A30" s="37"/>
      <c r="B30" s="38"/>
      <c r="C30" s="10" t="s">
        <v>1</v>
      </c>
      <c r="D30" s="36"/>
      <c r="E30" s="36"/>
      <c r="F30" s="36"/>
      <c r="G30" s="36"/>
      <c r="H30" s="33"/>
      <c r="I30" s="33"/>
      <c r="J30" s="34"/>
      <c r="K30" s="36"/>
      <c r="L30" s="10" t="s">
        <v>1</v>
      </c>
      <c r="M30" s="36"/>
      <c r="N30" s="36"/>
      <c r="O30" s="36"/>
      <c r="P30" s="36"/>
      <c r="Q30" s="33"/>
      <c r="R30" s="33"/>
      <c r="S30" s="34"/>
    </row>
    <row r="31" spans="1:19" x14ac:dyDescent="0.35">
      <c r="A31" s="37">
        <v>15</v>
      </c>
      <c r="B31" s="38">
        <v>5.22</v>
      </c>
      <c r="C31" s="10">
        <v>3.6090000000000002E-3</v>
      </c>
      <c r="D31" s="36">
        <f t="shared" ref="D31" si="121">AVERAGE(C31:C32)</f>
        <v>3.6090000000000002E-3</v>
      </c>
      <c r="E31" s="36" t="e">
        <f t="shared" ref="E31" si="122">_xlfn.STDEV.S(C31:C32)/SQRT(2)</f>
        <v>#DIV/0!</v>
      </c>
      <c r="F31" s="36">
        <f t="shared" ref="F31" si="123">(D31*1*0.2)/(6220*0.6*0.01*10^-3)</f>
        <v>1.934083601286174E-2</v>
      </c>
      <c r="G31" s="36">
        <f>F31/B31</f>
        <v>3.7051409986325174E-3</v>
      </c>
      <c r="H31" s="33">
        <f t="shared" ref="H31" si="124">G31*1000</f>
        <v>3.7051409986325172</v>
      </c>
      <c r="I31" s="33"/>
      <c r="J31" s="34"/>
      <c r="K31" s="36">
        <v>10.020000000000001</v>
      </c>
      <c r="L31" s="10">
        <v>1.0319999999999999E-2</v>
      </c>
      <c r="M31" s="36">
        <f t="shared" ref="M31" si="125">AVERAGE(L31:L32)</f>
        <v>1.0319999999999999E-2</v>
      </c>
      <c r="N31" s="36" t="e">
        <f t="shared" ref="N31" si="126">_xlfn.STDEV.S(L31:L32)/SQRT(2)</f>
        <v>#DIV/0!</v>
      </c>
      <c r="O31" s="36">
        <f t="shared" ref="O31" si="127">(M31*1*0.2)/(6220*0.6*0.01*10^-3)</f>
        <v>5.5305466237942122E-2</v>
      </c>
      <c r="P31" s="36">
        <f t="shared" ref="P31" si="128">O31/K31</f>
        <v>5.5195076085770576E-3</v>
      </c>
      <c r="Q31" s="33">
        <f t="shared" ref="Q31" si="129">P31*1000</f>
        <v>5.5195076085770571</v>
      </c>
      <c r="R31" s="33"/>
      <c r="S31" s="34"/>
    </row>
    <row r="32" spans="1:19" x14ac:dyDescent="0.35">
      <c r="A32" s="37"/>
      <c r="B32" s="38"/>
      <c r="C32" s="10" t="s">
        <v>1</v>
      </c>
      <c r="D32" s="36"/>
      <c r="E32" s="36"/>
      <c r="F32" s="36"/>
      <c r="G32" s="36"/>
      <c r="H32" s="33"/>
      <c r="I32" s="33"/>
      <c r="J32" s="34"/>
      <c r="K32" s="36"/>
      <c r="L32" s="10" t="s">
        <v>1</v>
      </c>
      <c r="M32" s="36"/>
      <c r="N32" s="36"/>
      <c r="O32" s="36"/>
      <c r="P32" s="36"/>
      <c r="Q32" s="33"/>
      <c r="R32" s="33"/>
      <c r="S32" s="34"/>
    </row>
    <row r="33" spans="1:19" x14ac:dyDescent="0.35">
      <c r="A33" s="37">
        <v>16</v>
      </c>
      <c r="B33" s="38">
        <v>6.9149999999999991</v>
      </c>
      <c r="C33" s="10">
        <v>5.3680000000000004E-3</v>
      </c>
      <c r="D33" s="36">
        <f t="shared" ref="D33" si="130">AVERAGE(C33:C34)</f>
        <v>5.3680000000000004E-3</v>
      </c>
      <c r="E33" s="36" t="e">
        <f t="shared" ref="E33" si="131">_xlfn.STDEV.S(C33:C34)/SQRT(2)</f>
        <v>#DIV/0!</v>
      </c>
      <c r="F33" s="36">
        <f t="shared" ref="F33" si="132">(D33*1*0.2)/(6220*0.6*0.01*10^-3)</f>
        <v>2.8767416934619511E-2</v>
      </c>
      <c r="G33" s="36">
        <f>F33/B33</f>
        <v>4.1601470621286359E-3</v>
      </c>
      <c r="H33" s="33">
        <f t="shared" ref="H33" si="133">G33*1000</f>
        <v>4.1601470621286358</v>
      </c>
      <c r="I33" s="33">
        <f>AVERAGE(H33:H38)</f>
        <v>6.3763558257301769</v>
      </c>
      <c r="J33" s="34">
        <f>(_xlfn.STDEV.S(H33:H38)/SQRT(3))/I33</f>
        <v>0.24303251961112576</v>
      </c>
      <c r="K33" s="36">
        <v>12.6</v>
      </c>
      <c r="L33" s="10">
        <v>1.414E-2</v>
      </c>
      <c r="M33" s="36">
        <f t="shared" ref="M33" si="134">AVERAGE(L33:L34)</f>
        <v>2.0639999999999999E-2</v>
      </c>
      <c r="N33" s="36">
        <f t="shared" ref="N33" si="135">_xlfn.STDEV.S(L33:L34)/SQRT(2)</f>
        <v>6.5000000000000014E-3</v>
      </c>
      <c r="O33" s="36">
        <f t="shared" ref="O33" si="136">(M33*1*0.2)/(6220*0.6*0.01*10^-3)</f>
        <v>0.11061093247588424</v>
      </c>
      <c r="P33" s="36">
        <f t="shared" ref="P33" si="137">O33/K33</f>
        <v>8.7786454345939874E-3</v>
      </c>
      <c r="Q33" s="33">
        <f t="shared" ref="Q33" si="138">P33*1000</f>
        <v>8.7786454345939866</v>
      </c>
      <c r="R33" s="33">
        <f>AVERAGE(Q33:Q38)</f>
        <v>6.9808943641034586</v>
      </c>
      <c r="S33" s="34">
        <f>(_xlfn.STDEV.S(Q33:Q38)/SQRT(3))/R33</f>
        <v>0.13324265334619143</v>
      </c>
    </row>
    <row r="34" spans="1:19" x14ac:dyDescent="0.35">
      <c r="A34" s="37"/>
      <c r="B34" s="38"/>
      <c r="C34" s="10" t="s">
        <v>1</v>
      </c>
      <c r="D34" s="36"/>
      <c r="E34" s="36"/>
      <c r="F34" s="36"/>
      <c r="G34" s="36"/>
      <c r="H34" s="33"/>
      <c r="I34" s="33"/>
      <c r="J34" s="34"/>
      <c r="K34" s="36"/>
      <c r="L34" s="10">
        <v>2.7140000000000001E-2</v>
      </c>
      <c r="M34" s="36"/>
      <c r="N34" s="36"/>
      <c r="O34" s="36"/>
      <c r="P34" s="36"/>
      <c r="Q34" s="33"/>
      <c r="R34" s="33"/>
      <c r="S34" s="34"/>
    </row>
    <row r="35" spans="1:19" x14ac:dyDescent="0.35">
      <c r="A35" s="37">
        <v>17</v>
      </c>
      <c r="B35" s="38">
        <v>6.2399999999999993</v>
      </c>
      <c r="C35" s="10">
        <v>7.2630000000000004E-3</v>
      </c>
      <c r="D35" s="36">
        <f t="shared" ref="D35" si="139">AVERAGE(C35:C36)</f>
        <v>6.5300000000000002E-3</v>
      </c>
      <c r="E35" s="36">
        <f t="shared" ref="E35" si="140">_xlfn.STDEV.S(C35:C36)/SQRT(2)</f>
        <v>7.3300000000000014E-4</v>
      </c>
      <c r="F35" s="36">
        <f t="shared" ref="F35" si="141">(D35*1*0.2)/(6220*0.6*0.01*10^-3)</f>
        <v>3.4994640943194003E-2</v>
      </c>
      <c r="G35" s="36">
        <f>F35/B35</f>
        <v>5.6081155357682703E-3</v>
      </c>
      <c r="H35" s="33">
        <f t="shared" ref="H35" si="142">G35*1000</f>
        <v>5.6081155357682704</v>
      </c>
      <c r="I35" s="33"/>
      <c r="J35" s="34"/>
      <c r="K35" s="36">
        <v>10.485000000000001</v>
      </c>
      <c r="L35" s="10">
        <v>1.2710000000000001E-2</v>
      </c>
      <c r="M35" s="36">
        <f t="shared" ref="M35" si="143">AVERAGE(L35:L36)</f>
        <v>1.2710000000000001E-2</v>
      </c>
      <c r="N35" s="36" t="e">
        <f t="shared" ref="N35" si="144">_xlfn.STDEV.S(L35:L36)/SQRT(2)</f>
        <v>#DIV/0!</v>
      </c>
      <c r="O35" s="36">
        <f t="shared" ref="O35" si="145">(M35*1*0.2)/(6220*0.6*0.01*10^-3)</f>
        <v>6.8113612004287255E-2</v>
      </c>
      <c r="P35" s="36">
        <f t="shared" ref="P35" si="146">O35/K35</f>
        <v>6.4962910829077011E-3</v>
      </c>
      <c r="Q35" s="33">
        <f t="shared" ref="Q35" si="147">P35*1000</f>
        <v>6.4962910829077014</v>
      </c>
      <c r="R35" s="33"/>
      <c r="S35" s="34"/>
    </row>
    <row r="36" spans="1:19" x14ac:dyDescent="0.35">
      <c r="A36" s="37"/>
      <c r="B36" s="38"/>
      <c r="C36" s="10">
        <v>5.7970000000000001E-3</v>
      </c>
      <c r="D36" s="36"/>
      <c r="E36" s="36"/>
      <c r="F36" s="36"/>
      <c r="G36" s="36"/>
      <c r="H36" s="33"/>
      <c r="I36" s="33"/>
      <c r="J36" s="34"/>
      <c r="K36" s="36"/>
      <c r="L36" s="10" t="s">
        <v>1</v>
      </c>
      <c r="M36" s="36"/>
      <c r="N36" s="36"/>
      <c r="O36" s="36"/>
      <c r="P36" s="36"/>
      <c r="Q36" s="33"/>
      <c r="R36" s="33"/>
      <c r="S36" s="34"/>
    </row>
    <row r="37" spans="1:19" x14ac:dyDescent="0.35">
      <c r="A37" s="37">
        <v>18</v>
      </c>
      <c r="B37" s="38">
        <v>5.04</v>
      </c>
      <c r="C37" s="10">
        <v>1.3669999999999999E-3</v>
      </c>
      <c r="D37" s="36">
        <f t="shared" ref="D37" si="148">AVERAGE(C37:C38)</f>
        <v>8.8035000000000006E-3</v>
      </c>
      <c r="E37" s="36">
        <f t="shared" ref="E37" si="149">_xlfn.STDEV.S(C37:C38)/SQRT(2)</f>
        <v>7.4364999999999995E-3</v>
      </c>
      <c r="F37" s="36">
        <f t="shared" ref="F37" si="150">(D37*1*0.2)/(6220*0.6*0.01*10^-3)</f>
        <v>4.7178456591639877E-2</v>
      </c>
      <c r="G37" s="36">
        <f>F37/B37</f>
        <v>9.3608048792936261E-3</v>
      </c>
      <c r="H37" s="33">
        <f t="shared" ref="H37" si="151">G37*1000</f>
        <v>9.3608048792936263</v>
      </c>
      <c r="I37" s="33"/>
      <c r="J37" s="34"/>
      <c r="K37" s="36">
        <v>10.59</v>
      </c>
      <c r="L37" s="10">
        <v>1.12E-2</v>
      </c>
      <c r="M37" s="36">
        <f t="shared" ref="M37" si="152">AVERAGE(L37:L38)</f>
        <v>1.12E-2</v>
      </c>
      <c r="N37" s="36" t="e">
        <f t="shared" ref="N37" si="153">_xlfn.STDEV.S(L37:L38)/SQRT(2)</f>
        <v>#DIV/0!</v>
      </c>
      <c r="O37" s="36">
        <f t="shared" ref="O37" si="154">(M37*1*0.2)/(6220*0.6*0.01*10^-3)</f>
        <v>6.0021436227224015E-2</v>
      </c>
      <c r="P37" s="36">
        <f t="shared" ref="P37" si="155">O37/K37</f>
        <v>5.6677465748086889E-3</v>
      </c>
      <c r="Q37" s="33">
        <f t="shared" ref="Q37" si="156">P37*1000</f>
        <v>5.6677465748086888</v>
      </c>
      <c r="R37" s="33"/>
      <c r="S37" s="34"/>
    </row>
    <row r="38" spans="1:19" x14ac:dyDescent="0.35">
      <c r="A38" s="37"/>
      <c r="B38" s="38"/>
      <c r="C38" s="10">
        <v>1.6240000000000001E-2</v>
      </c>
      <c r="D38" s="36"/>
      <c r="E38" s="36"/>
      <c r="F38" s="36"/>
      <c r="G38" s="36"/>
      <c r="H38" s="33"/>
      <c r="I38" s="33"/>
      <c r="J38" s="34"/>
      <c r="K38" s="36"/>
      <c r="L38" s="10" t="s">
        <v>1</v>
      </c>
      <c r="M38" s="36"/>
      <c r="N38" s="36"/>
      <c r="O38" s="36"/>
      <c r="P38" s="36"/>
      <c r="Q38" s="33"/>
      <c r="R38" s="33"/>
      <c r="S38" s="34"/>
    </row>
    <row r="39" spans="1:19" x14ac:dyDescent="0.35">
      <c r="A39" s="37">
        <v>19</v>
      </c>
      <c r="B39" s="38">
        <v>7.5449999999999999</v>
      </c>
      <c r="C39" s="10">
        <v>2.186E-3</v>
      </c>
      <c r="D39" s="36">
        <f t="shared" ref="D39" si="157">AVERAGE(C39:C40)</f>
        <v>2.8010000000000001E-3</v>
      </c>
      <c r="E39" s="36">
        <f t="shared" ref="E39" si="158">_xlfn.STDEV.S(C39:C40)/SQRT(2)</f>
        <v>6.1499999999999999E-4</v>
      </c>
      <c r="F39" s="36">
        <f t="shared" ref="F39" si="159">(D39*1*0.2)/(6220*0.6*0.01*10^-3)</f>
        <v>1.5010718113612006E-2</v>
      </c>
      <c r="G39" s="36">
        <f>F39/B39</f>
        <v>1.9894921290406898E-3</v>
      </c>
      <c r="H39" s="33">
        <f t="shared" ref="H39" si="160">G39*1000</f>
        <v>1.9894921290406899</v>
      </c>
      <c r="I39" s="33">
        <f>AVERAGE(H39,H43)</f>
        <v>2.0461089008310607</v>
      </c>
      <c r="J39" s="34">
        <f>(_xlfn.STDEV.S(H39,H43)/SQRT(2))/I39</f>
        <v>2.7670458677627137E-2</v>
      </c>
      <c r="K39" s="36">
        <v>10.74</v>
      </c>
      <c r="L39" s="10">
        <v>5.6270000000000001E-3</v>
      </c>
      <c r="M39" s="36">
        <f t="shared" ref="M39" si="161">AVERAGE(L39:L40)</f>
        <v>4.5975E-3</v>
      </c>
      <c r="N39" s="36">
        <f t="shared" ref="N39" si="162">_xlfn.STDEV.S(L39:L40)/SQRT(2)</f>
        <v>1.0295E-3</v>
      </c>
      <c r="O39" s="36">
        <f t="shared" ref="O39" si="163">(M39*1*0.2)/(6220*0.6*0.01*10^-3)</f>
        <v>2.4638263665594858E-2</v>
      </c>
      <c r="P39" s="36">
        <f t="shared" ref="P39" si="164">O39/K39</f>
        <v>2.2940655182118116E-3</v>
      </c>
      <c r="Q39" s="33">
        <f t="shared" ref="Q39" si="165">P39*1000</f>
        <v>2.2940655182118115</v>
      </c>
      <c r="R39" s="33">
        <f t="shared" ref="R39" si="166">AVERAGE(Q39:Q44)</f>
        <v>2.14615782271866</v>
      </c>
      <c r="S39" s="34">
        <f t="shared" ref="S39" si="167">(_xlfn.STDEV.S(Q39:Q44)/SQRT(3))/R39</f>
        <v>0.14163811064005577</v>
      </c>
    </row>
    <row r="40" spans="1:19" x14ac:dyDescent="0.35">
      <c r="A40" s="37"/>
      <c r="B40" s="38"/>
      <c r="C40" s="10">
        <v>3.4160000000000002E-3</v>
      </c>
      <c r="D40" s="36"/>
      <c r="E40" s="36"/>
      <c r="F40" s="36"/>
      <c r="G40" s="36"/>
      <c r="H40" s="33"/>
      <c r="I40" s="33"/>
      <c r="J40" s="34"/>
      <c r="K40" s="36"/>
      <c r="L40" s="10">
        <v>3.568E-3</v>
      </c>
      <c r="M40" s="36"/>
      <c r="N40" s="36"/>
      <c r="O40" s="36"/>
      <c r="P40" s="36"/>
      <c r="Q40" s="33"/>
      <c r="R40" s="33"/>
      <c r="S40" s="34"/>
    </row>
    <row r="41" spans="1:19" x14ac:dyDescent="0.35">
      <c r="A41" s="37">
        <v>20</v>
      </c>
      <c r="B41" s="38">
        <v>5.52</v>
      </c>
      <c r="C41" s="10">
        <v>2.7850000000000001E-3</v>
      </c>
      <c r="D41" s="36">
        <f t="shared" ref="D41" si="168">AVERAGE(C41:C42)</f>
        <v>8.6125000000000004E-3</v>
      </c>
      <c r="E41" s="36">
        <f t="shared" ref="E41" si="169">_xlfn.STDEV.S(C41:C42)/SQRT(2)</f>
        <v>5.8275000000000002E-3</v>
      </c>
      <c r="F41" s="36">
        <f t="shared" ref="F41" si="170">(D41*1*0.2)/(6220*0.6*0.01*10^-3)</f>
        <v>4.6154876741693468E-2</v>
      </c>
      <c r="G41" s="36">
        <f>F41/B41</f>
        <v>8.3613907140749049E-3</v>
      </c>
      <c r="H41" s="43">
        <f t="shared" ref="H41" si="171">G41*1000</f>
        <v>8.3613907140749042</v>
      </c>
      <c r="I41" s="33"/>
      <c r="J41" s="34"/>
      <c r="K41" s="36">
        <v>8.6999999999999993</v>
      </c>
      <c r="L41" s="10">
        <v>2.5350000000000004E-3</v>
      </c>
      <c r="M41" s="36">
        <f t="shared" ref="M41" si="172">AVERAGE(L41:L42)</f>
        <v>2.5350000000000004E-3</v>
      </c>
      <c r="N41" s="36" t="e">
        <f t="shared" ref="N41" si="173">_xlfn.STDEV.S(L41:L42)/SQRT(2)</f>
        <v>#DIV/0!</v>
      </c>
      <c r="O41" s="36">
        <f t="shared" ref="O41" si="174">(M41*1*0.2)/(6220*0.6*0.01*10^-3)</f>
        <v>1.3585209003215436E-2</v>
      </c>
      <c r="P41" s="36">
        <f t="shared" ref="P41" si="175">O41/K41</f>
        <v>1.5615182762316593E-3</v>
      </c>
      <c r="Q41" s="33">
        <f t="shared" ref="Q41" si="176">P41*1000</f>
        <v>1.5615182762316593</v>
      </c>
      <c r="R41" s="33"/>
      <c r="S41" s="34"/>
    </row>
    <row r="42" spans="1:19" x14ac:dyDescent="0.35">
      <c r="A42" s="37"/>
      <c r="B42" s="38"/>
      <c r="C42" s="10">
        <v>1.444E-2</v>
      </c>
      <c r="D42" s="36"/>
      <c r="E42" s="36"/>
      <c r="F42" s="36"/>
      <c r="G42" s="36"/>
      <c r="H42" s="43"/>
      <c r="I42" s="33"/>
      <c r="J42" s="34"/>
      <c r="K42" s="36"/>
      <c r="L42" s="10" t="s">
        <v>1</v>
      </c>
      <c r="M42" s="36"/>
      <c r="N42" s="36"/>
      <c r="O42" s="36"/>
      <c r="P42" s="36"/>
      <c r="Q42" s="33"/>
      <c r="R42" s="33"/>
      <c r="S42" s="34"/>
    </row>
    <row r="43" spans="1:19" x14ac:dyDescent="0.35">
      <c r="A43" s="37">
        <v>21</v>
      </c>
      <c r="B43" s="38">
        <v>6.9449999999999994</v>
      </c>
      <c r="C43" s="10">
        <v>1.6080000000000001E-3</v>
      </c>
      <c r="D43" s="36">
        <f t="shared" ref="D43" si="177">AVERAGE(C43:C44)</f>
        <v>2.725E-3</v>
      </c>
      <c r="E43" s="36">
        <f t="shared" ref="E43" si="178">_xlfn.STDEV.S(C43:C44)/SQRT(2)</f>
        <v>1.1170000000000002E-3</v>
      </c>
      <c r="F43" s="36">
        <f t="shared" ref="F43" si="179">(D43*1*0.2)/(6220*0.6*0.01*10^-3)</f>
        <v>1.4603429796355842E-2</v>
      </c>
      <c r="G43" s="36">
        <f>F43/B43</f>
        <v>2.1027256726214318E-3</v>
      </c>
      <c r="H43" s="33">
        <f t="shared" ref="H43" si="180">G43*1000</f>
        <v>2.1027256726214318</v>
      </c>
      <c r="I43" s="33"/>
      <c r="J43" s="34"/>
      <c r="K43" s="36">
        <v>8.2349999999999994</v>
      </c>
      <c r="L43" s="10">
        <v>3.1579999999999998E-3</v>
      </c>
      <c r="M43" s="36">
        <f t="shared" ref="M43" si="181">AVERAGE(L43:L44)</f>
        <v>3.9690000000000003E-3</v>
      </c>
      <c r="N43" s="36">
        <f t="shared" ref="N43" si="182">_xlfn.STDEV.S(L43:L44)/SQRT(2)</f>
        <v>8.110000000000002E-4</v>
      </c>
      <c r="O43" s="36">
        <f t="shared" ref="O43" si="183">(M43*1*0.2)/(6220*0.6*0.01*10^-3)</f>
        <v>2.1270096463022511E-2</v>
      </c>
      <c r="P43" s="36">
        <f t="shared" ref="P43" si="184">O43/K43</f>
        <v>2.5828896737125091E-3</v>
      </c>
      <c r="Q43" s="33">
        <f t="shared" ref="Q43" si="185">P43*1000</f>
        <v>2.5828896737125091</v>
      </c>
      <c r="R43" s="33"/>
      <c r="S43" s="34"/>
    </row>
    <row r="44" spans="1:19" x14ac:dyDescent="0.35">
      <c r="A44" s="37"/>
      <c r="B44" s="38"/>
      <c r="C44" s="10">
        <v>3.8420000000000004E-3</v>
      </c>
      <c r="D44" s="36"/>
      <c r="E44" s="36"/>
      <c r="F44" s="36"/>
      <c r="G44" s="36"/>
      <c r="H44" s="33"/>
      <c r="I44" s="33"/>
      <c r="J44" s="34"/>
      <c r="K44" s="36"/>
      <c r="L44" s="10">
        <v>4.7800000000000004E-3</v>
      </c>
      <c r="M44" s="36"/>
      <c r="N44" s="36"/>
      <c r="O44" s="36"/>
      <c r="P44" s="36"/>
      <c r="Q44" s="33"/>
      <c r="R44" s="33"/>
      <c r="S44" s="34"/>
    </row>
    <row r="45" spans="1:19" x14ac:dyDescent="0.35">
      <c r="A45" s="37">
        <v>22</v>
      </c>
      <c r="B45" s="38">
        <v>3.9750000000000001</v>
      </c>
      <c r="C45" s="10">
        <v>3.1579999999999998E-3</v>
      </c>
      <c r="D45" s="36">
        <f t="shared" ref="D45" si="186">AVERAGE(C45:C46)</f>
        <v>2.6284999999999998E-3</v>
      </c>
      <c r="E45" s="36">
        <f t="shared" ref="E45" si="187">_xlfn.STDEV.S(C45:C46)/SQRT(2)</f>
        <v>5.294999999999997E-4</v>
      </c>
      <c r="F45" s="36">
        <f t="shared" ref="F45" si="188">(D45*1*0.2)/(6220*0.6*0.01*10^-3)</f>
        <v>1.4086280814576633E-2</v>
      </c>
      <c r="G45" s="36">
        <f>F45/B45</f>
        <v>3.5437184439186496E-3</v>
      </c>
      <c r="H45" s="33">
        <f t="shared" ref="H45" si="189">G45*1000</f>
        <v>3.5437184439186495</v>
      </c>
      <c r="I45" s="33">
        <f t="shared" ref="I45" si="190">AVERAGE(H45:H50)</f>
        <v>7.8934320594600722</v>
      </c>
      <c r="J45" s="34">
        <f t="shared" ref="J45" si="191">(_xlfn.STDEV.S(H45:H50)/SQRT(3))/I45</f>
        <v>0.36614017374940905</v>
      </c>
      <c r="K45" s="36">
        <v>10.86</v>
      </c>
      <c r="L45" s="10">
        <v>1.068E-2</v>
      </c>
      <c r="M45" s="36">
        <f t="shared" ref="M45" si="192">AVERAGE(L45:L46)</f>
        <v>1.068E-2</v>
      </c>
      <c r="N45" s="36" t="e">
        <f t="shared" ref="N45" si="193">_xlfn.STDEV.S(L45:L46)/SQRT(2)</f>
        <v>#DIV/0!</v>
      </c>
      <c r="O45" s="36">
        <f t="shared" ref="O45" si="194">(M45*1*0.2)/(6220*0.6*0.01*10^-3)</f>
        <v>5.7234726688102901E-2</v>
      </c>
      <c r="P45" s="36">
        <f t="shared" ref="P45" si="195">O45/K45</f>
        <v>5.2702326600463081E-3</v>
      </c>
      <c r="Q45" s="33">
        <f t="shared" ref="Q45" si="196">P45*1000</f>
        <v>5.2702326600463083</v>
      </c>
      <c r="R45" s="33">
        <f>AVERAGE(Q45:Q48)</f>
        <v>4.0494174524267148</v>
      </c>
      <c r="S45" s="34">
        <f>(_xlfn.STDEV.S(Q45:Q48)/SQRT(2))/R45</f>
        <v>0.30147921817445356</v>
      </c>
    </row>
    <row r="46" spans="1:19" x14ac:dyDescent="0.35">
      <c r="A46" s="37"/>
      <c r="B46" s="38"/>
      <c r="C46" s="10">
        <v>2.0990000000000002E-3</v>
      </c>
      <c r="D46" s="36"/>
      <c r="E46" s="36"/>
      <c r="F46" s="36"/>
      <c r="G46" s="36"/>
      <c r="H46" s="33"/>
      <c r="I46" s="33"/>
      <c r="J46" s="34"/>
      <c r="K46" s="36"/>
      <c r="L46" s="10" t="s">
        <v>1</v>
      </c>
      <c r="M46" s="36"/>
      <c r="N46" s="36"/>
      <c r="O46" s="36"/>
      <c r="P46" s="36"/>
      <c r="Q46" s="33"/>
      <c r="R46" s="33"/>
      <c r="S46" s="34"/>
    </row>
    <row r="47" spans="1:19" x14ac:dyDescent="0.35">
      <c r="A47" s="37">
        <v>23</v>
      </c>
      <c r="B47" s="38">
        <v>6.81</v>
      </c>
      <c r="C47" s="10">
        <v>9.7889999999999991E-3</v>
      </c>
      <c r="D47" s="36">
        <f t="shared" ref="D47" si="197">AVERAGE(C47:C48)</f>
        <v>8.6049999999999998E-3</v>
      </c>
      <c r="E47" s="36">
        <f t="shared" ref="E47" si="198">_xlfn.STDEV.S(C47:C48)/SQRT(2)</f>
        <v>1.1839999999999991E-3</v>
      </c>
      <c r="F47" s="36">
        <f t="shared" ref="F47" si="199">(D47*1*0.2)/(6220*0.6*0.01*10^-3)</f>
        <v>4.6114683815648448E-2</v>
      </c>
      <c r="G47" s="36">
        <f>F47/B47</f>
        <v>6.7716128951025622E-3</v>
      </c>
      <c r="H47" s="33">
        <f t="shared" ref="H47" si="200">G47*1000</f>
        <v>6.771612895102562</v>
      </c>
      <c r="I47" s="33"/>
      <c r="J47" s="34"/>
      <c r="K47" s="36">
        <v>12.690000000000001</v>
      </c>
      <c r="L47" s="10">
        <v>6.6980000000000008E-3</v>
      </c>
      <c r="M47" s="36">
        <f t="shared" ref="M47" si="201">AVERAGE(L47:L48)</f>
        <v>6.6980000000000008E-3</v>
      </c>
      <c r="N47" s="36" t="e">
        <f t="shared" ref="N47" si="202">_xlfn.STDEV.S(L47:L48)/SQRT(2)</f>
        <v>#DIV/0!</v>
      </c>
      <c r="O47" s="36">
        <f t="shared" ref="O47" si="203">(M47*1*0.2)/(6220*0.6*0.01*10^-3)</f>
        <v>3.5894962486602365E-2</v>
      </c>
      <c r="P47" s="36">
        <f t="shared" ref="P47" si="204">O47/K47</f>
        <v>2.8286022448071207E-3</v>
      </c>
      <c r="Q47" s="33">
        <f t="shared" ref="Q47" si="205">P47*1000</f>
        <v>2.8286022448071209</v>
      </c>
      <c r="R47" s="33"/>
      <c r="S47" s="34"/>
    </row>
    <row r="48" spans="1:19" x14ac:dyDescent="0.35">
      <c r="A48" s="37"/>
      <c r="B48" s="38"/>
      <c r="C48" s="10">
        <v>7.4210000000000005E-3</v>
      </c>
      <c r="D48" s="36"/>
      <c r="E48" s="36"/>
      <c r="F48" s="36"/>
      <c r="G48" s="36"/>
      <c r="H48" s="33"/>
      <c r="I48" s="33"/>
      <c r="J48" s="34"/>
      <c r="K48" s="36"/>
      <c r="L48" s="10" t="s">
        <v>1</v>
      </c>
      <c r="M48" s="36"/>
      <c r="N48" s="36"/>
      <c r="O48" s="36"/>
      <c r="P48" s="36"/>
      <c r="Q48" s="33"/>
      <c r="R48" s="33"/>
      <c r="S48" s="34"/>
    </row>
    <row r="49" spans="1:19" x14ac:dyDescent="0.35">
      <c r="A49" s="37">
        <v>24</v>
      </c>
      <c r="B49" s="38">
        <v>7.38</v>
      </c>
      <c r="C49" s="10">
        <v>1.2630000000000001E-2</v>
      </c>
      <c r="D49" s="36">
        <f t="shared" ref="D49" si="206">AVERAGE(C49:C50)</f>
        <v>1.8405000000000001E-2</v>
      </c>
      <c r="E49" s="36">
        <f t="shared" ref="E49" si="207">_xlfn.STDEV.S(C49:C50)/SQRT(2)</f>
        <v>5.7749999999999971E-3</v>
      </c>
      <c r="F49" s="36">
        <f t="shared" ref="F49" si="208">(D49*1*0.2)/(6220*0.6*0.01*10^-3)</f>
        <v>9.8633440514469456E-2</v>
      </c>
      <c r="G49" s="36">
        <f>F49/B49</f>
        <v>1.3364964839359006E-2</v>
      </c>
      <c r="H49" s="33">
        <f t="shared" ref="H49" si="209">G49*1000</f>
        <v>13.364964839359006</v>
      </c>
      <c r="I49" s="33"/>
      <c r="J49" s="34"/>
      <c r="K49" s="36">
        <v>9.9599999999999991</v>
      </c>
      <c r="L49" s="10">
        <v>2.5260000000000001E-2</v>
      </c>
      <c r="M49" s="36">
        <f t="shared" ref="M49" si="210">AVERAGE(L49:L50)</f>
        <v>2.5260000000000001E-2</v>
      </c>
      <c r="N49" s="36" t="e">
        <f t="shared" ref="N49" si="211">_xlfn.STDEV.S(L49:L50)/SQRT(2)</f>
        <v>#DIV/0!</v>
      </c>
      <c r="O49" s="36">
        <f t="shared" ref="O49" si="212">(M49*1*0.2)/(6220*0.6*0.01*10^-3)</f>
        <v>0.13536977491961419</v>
      </c>
      <c r="P49" s="36">
        <f t="shared" ref="P49" si="213">O49/K49</f>
        <v>1.359134286341508E-2</v>
      </c>
      <c r="Q49" s="43">
        <f t="shared" ref="Q49" si="214">P49*1000</f>
        <v>13.591342863415081</v>
      </c>
      <c r="R49" s="33"/>
      <c r="S49" s="34"/>
    </row>
    <row r="50" spans="1:19" x14ac:dyDescent="0.35">
      <c r="A50" s="37"/>
      <c r="B50" s="38"/>
      <c r="C50" s="10">
        <v>2.418E-2</v>
      </c>
      <c r="D50" s="36"/>
      <c r="E50" s="36"/>
      <c r="F50" s="36"/>
      <c r="G50" s="36"/>
      <c r="H50" s="33"/>
      <c r="I50" s="33"/>
      <c r="J50" s="34"/>
      <c r="K50" s="36"/>
      <c r="L50" s="10" t="s">
        <v>1</v>
      </c>
      <c r="M50" s="36"/>
      <c r="N50" s="36"/>
      <c r="O50" s="36"/>
      <c r="P50" s="36"/>
      <c r="Q50" s="43"/>
      <c r="R50" s="33"/>
      <c r="S50" s="34"/>
    </row>
    <row r="51" spans="1:19" x14ac:dyDescent="0.35">
      <c r="A51" s="37">
        <v>25</v>
      </c>
      <c r="B51" s="38">
        <v>6.54</v>
      </c>
      <c r="C51" s="10">
        <v>1.6799999999999999E-2</v>
      </c>
      <c r="D51" s="36">
        <f t="shared" ref="D51" si="215">AVERAGE(C51:C52)</f>
        <v>1.6799999999999999E-2</v>
      </c>
      <c r="E51" s="36" t="e">
        <f t="shared" ref="E51" si="216">_xlfn.STDEV.S(C51:C52)/SQRT(2)</f>
        <v>#DIV/0!</v>
      </c>
      <c r="F51" s="36">
        <f t="shared" ref="F51" si="217">(D51*1*0.2)/(6220*0.6*0.01*10^-3)</f>
        <v>9.0032154340836015E-2</v>
      </c>
      <c r="G51" s="36">
        <f>F51/B51</f>
        <v>1.3766384455785324E-2</v>
      </c>
      <c r="H51" s="33">
        <f t="shared" ref="H51" si="218">G51*1000</f>
        <v>13.766384455785325</v>
      </c>
      <c r="I51" s="33">
        <f>AVERAGE(H51:H54)</f>
        <v>18.224053379187179</v>
      </c>
      <c r="J51" s="34">
        <f>(_xlfn.STDEV.S(H51:H54)/SQRT(2))/I51</f>
        <v>0.24460359233213966</v>
      </c>
      <c r="K51" s="36">
        <v>12</v>
      </c>
      <c r="L51" s="10">
        <v>2.6839999999999999E-2</v>
      </c>
      <c r="M51" s="36">
        <f t="shared" ref="M51" si="219">AVERAGE(L51:L52)</f>
        <v>2.664E-2</v>
      </c>
      <c r="N51" s="36">
        <f t="shared" ref="N51" si="220">_xlfn.STDEV.S(L51:L52)/SQRT(2)</f>
        <v>1.9999999999999876E-4</v>
      </c>
      <c r="O51" s="36">
        <f t="shared" ref="O51" si="221">(M51*1*0.2)/(6220*0.6*0.01*10^-3)</f>
        <v>0.14276527331189712</v>
      </c>
      <c r="P51" s="36">
        <f t="shared" ref="P51" si="222">O51/K51</f>
        <v>1.189710610932476E-2</v>
      </c>
      <c r="Q51" s="33">
        <f t="shared" ref="Q51" si="223">P51*1000</f>
        <v>11.89710610932476</v>
      </c>
      <c r="R51" s="33">
        <f t="shared" ref="R51" si="224">AVERAGE(Q51:Q56)</f>
        <v>8.9498342171093572</v>
      </c>
      <c r="S51" s="34">
        <f t="shared" ref="S51" si="225">(_xlfn.STDEV.S(Q51:Q56)/SQRT(3))/R51</f>
        <v>0.26914834158155776</v>
      </c>
    </row>
    <row r="52" spans="1:19" x14ac:dyDescent="0.35">
      <c r="A52" s="37"/>
      <c r="B52" s="38"/>
      <c r="C52" s="10" t="s">
        <v>1</v>
      </c>
      <c r="D52" s="36"/>
      <c r="E52" s="36"/>
      <c r="F52" s="36"/>
      <c r="G52" s="36"/>
      <c r="H52" s="33"/>
      <c r="I52" s="33"/>
      <c r="J52" s="34"/>
      <c r="K52" s="36"/>
      <c r="L52" s="10">
        <v>2.6440000000000002E-2</v>
      </c>
      <c r="M52" s="36"/>
      <c r="N52" s="36"/>
      <c r="O52" s="36"/>
      <c r="P52" s="36"/>
      <c r="Q52" s="33"/>
      <c r="R52" s="33"/>
      <c r="S52" s="34"/>
    </row>
    <row r="53" spans="1:19" x14ac:dyDescent="0.35">
      <c r="A53" s="37">
        <v>26</v>
      </c>
      <c r="B53" s="38">
        <v>7.0349999999999993</v>
      </c>
      <c r="C53" s="10">
        <v>2.0389999999999998E-2</v>
      </c>
      <c r="D53" s="36">
        <f t="shared" ref="D53" si="226">AVERAGE(C53:C54)</f>
        <v>2.9774999999999999E-2</v>
      </c>
      <c r="E53" s="36">
        <f t="shared" ref="E53" si="227">_xlfn.STDEV.S(C53:C54)/SQRT(2)</f>
        <v>9.3850000000000044E-3</v>
      </c>
      <c r="F53" s="36">
        <f t="shared" ref="F53" si="228">(D53*1*0.2)/(6220*0.6*0.01*10^-3)</f>
        <v>0.15956591639871384</v>
      </c>
      <c r="G53" s="36">
        <f>F53/B53</f>
        <v>2.2681722302589035E-2</v>
      </c>
      <c r="H53" s="33">
        <f t="shared" ref="H53" si="229">G53*1000</f>
        <v>22.681722302589034</v>
      </c>
      <c r="I53" s="33"/>
      <c r="J53" s="34"/>
      <c r="K53" s="36">
        <v>10.079999999999998</v>
      </c>
      <c r="L53" s="10">
        <v>1.8319999999999999E-2</v>
      </c>
      <c r="M53" s="36">
        <f t="shared" ref="M53" si="230">AVERAGE(L53:L54)</f>
        <v>2.027E-2</v>
      </c>
      <c r="N53" s="36">
        <f t="shared" ref="N53" si="231">_xlfn.STDEV.S(L53:L54)/SQRT(2)</f>
        <v>1.9500000000000001E-3</v>
      </c>
      <c r="O53" s="36">
        <f t="shared" ref="O53" si="232">(M53*1*0.2)/(6220*0.6*0.01*10^-3)</f>
        <v>0.10862808145766346</v>
      </c>
      <c r="P53" s="36">
        <f t="shared" ref="P53" si="233">O53/K53</f>
        <v>1.077659538270471E-2</v>
      </c>
      <c r="Q53" s="33">
        <f t="shared" ref="Q53" si="234">P53*1000</f>
        <v>10.776595382704709</v>
      </c>
      <c r="R53" s="33"/>
      <c r="S53" s="34"/>
    </row>
    <row r="54" spans="1:19" x14ac:dyDescent="0.35">
      <c r="A54" s="37"/>
      <c r="B54" s="38"/>
      <c r="C54" s="10">
        <v>3.916E-2</v>
      </c>
      <c r="D54" s="36"/>
      <c r="E54" s="36"/>
      <c r="F54" s="36"/>
      <c r="G54" s="36"/>
      <c r="H54" s="33"/>
      <c r="I54" s="33"/>
      <c r="J54" s="34"/>
      <c r="K54" s="36"/>
      <c r="L54" s="10">
        <v>2.222E-2</v>
      </c>
      <c r="M54" s="36"/>
      <c r="N54" s="36"/>
      <c r="O54" s="36"/>
      <c r="P54" s="36"/>
      <c r="Q54" s="33"/>
      <c r="R54" s="33"/>
      <c r="S54" s="34"/>
    </row>
    <row r="55" spans="1:19" x14ac:dyDescent="0.35">
      <c r="A55" s="37">
        <v>27</v>
      </c>
      <c r="B55" s="38">
        <v>5.79</v>
      </c>
      <c r="C55" s="10">
        <v>8.2509999999999994E-4</v>
      </c>
      <c r="D55" s="36">
        <f t="shared" ref="D55" si="235">AVERAGE(C55:C56)</f>
        <v>9.5904999999999992E-4</v>
      </c>
      <c r="E55" s="36">
        <f>_xlfn.STDEV.S(C55:C56)/SQRT(2)</f>
        <v>1.3395E-4</v>
      </c>
      <c r="F55" s="36">
        <f t="shared" ref="F55" si="236">(D55*1*0.2)/(6220*0.6*0.01*10^-3)</f>
        <v>5.139603429796356E-3</v>
      </c>
      <c r="G55" s="36">
        <f>F55/B55</f>
        <v>8.8766898614790258E-4</v>
      </c>
      <c r="H55" s="43">
        <f t="shared" ref="H55" si="237">G55*1000</f>
        <v>0.88766898614790257</v>
      </c>
      <c r="I55" s="33"/>
      <c r="J55" s="34"/>
      <c r="K55" s="36">
        <v>11.565</v>
      </c>
      <c r="L55" s="10">
        <v>7.9830000000000005E-3</v>
      </c>
      <c r="M55" s="36">
        <f t="shared" ref="M55" si="238">AVERAGE(L55:L56)</f>
        <v>9.0115000000000004E-3</v>
      </c>
      <c r="N55" s="36">
        <f t="shared" ref="N55" si="239">_xlfn.STDEV.S(L55:L56)/SQRT(2)</f>
        <v>1.0284999999999999E-3</v>
      </c>
      <c r="O55" s="36">
        <f t="shared" ref="O55" si="240">(M55*1*0.2)/(6220*0.6*0.01*10^-3)</f>
        <v>4.8293140407288326E-2</v>
      </c>
      <c r="P55" s="36">
        <f t="shared" ref="P55" si="241">O55/K55</f>
        <v>4.1758011592986019E-3</v>
      </c>
      <c r="Q55" s="33">
        <f t="shared" ref="Q55" si="242">P55*1000</f>
        <v>4.1758011592986017</v>
      </c>
      <c r="R55" s="33"/>
      <c r="S55" s="34"/>
    </row>
    <row r="56" spans="1:19" x14ac:dyDescent="0.35">
      <c r="A56" s="37"/>
      <c r="B56" s="38"/>
      <c r="C56" s="10">
        <v>1.093E-3</v>
      </c>
      <c r="D56" s="36"/>
      <c r="E56" s="36"/>
      <c r="F56" s="36"/>
      <c r="G56" s="36"/>
      <c r="H56" s="43"/>
      <c r="I56" s="33"/>
      <c r="J56" s="34"/>
      <c r="K56" s="36"/>
      <c r="L56" s="10">
        <v>1.004E-2</v>
      </c>
      <c r="M56" s="36"/>
      <c r="N56" s="36"/>
      <c r="O56" s="36"/>
      <c r="P56" s="36"/>
      <c r="Q56" s="33"/>
      <c r="R56" s="33"/>
      <c r="S56" s="34"/>
    </row>
    <row r="57" spans="1:19" x14ac:dyDescent="0.35">
      <c r="A57" s="37">
        <v>28</v>
      </c>
      <c r="B57" s="38">
        <v>6.3750000000000009</v>
      </c>
      <c r="C57" s="10">
        <v>1.3489999999999999E-3</v>
      </c>
      <c r="D57" s="36">
        <f t="shared" ref="D57" si="243">AVERAGE(C57:C58)</f>
        <v>7.2144999999999996E-3</v>
      </c>
      <c r="E57" s="36">
        <f t="shared" ref="E57" si="244">_xlfn.STDEV.S(C57:C58)/SQRT(2)</f>
        <v>5.8654999999999992E-3</v>
      </c>
      <c r="F57" s="36">
        <f t="shared" ref="F57" si="245">(D57*1*0.2)/(6220*0.6*0.01*10^-3)</f>
        <v>3.8662915326902469E-2</v>
      </c>
      <c r="G57" s="36">
        <f>F57/B57</f>
        <v>6.0647710316709749E-3</v>
      </c>
      <c r="H57" s="33">
        <f t="shared" ref="H57" si="246">G57*1000</f>
        <v>6.0647710316709746</v>
      </c>
      <c r="I57" s="33">
        <f t="shared" ref="I57" si="247">AVERAGE(H57:H62)</f>
        <v>13.235782959922886</v>
      </c>
      <c r="J57" s="34">
        <f t="shared" ref="J57" si="248">(_xlfn.STDEV.S(H57:H62)/SQRT(3))/I57</f>
        <v>0.32193384246859885</v>
      </c>
      <c r="K57" s="36">
        <v>11.58</v>
      </c>
      <c r="L57" s="10">
        <v>1.0829999999999999E-2</v>
      </c>
      <c r="M57" s="36">
        <f t="shared" ref="M57" si="249">AVERAGE(L57:L58)</f>
        <v>1.137E-2</v>
      </c>
      <c r="N57" s="36">
        <f t="shared" ref="N57" si="250">_xlfn.STDEV.S(L57:L58)/SQRT(2)</f>
        <v>5.4000000000000044E-4</v>
      </c>
      <c r="O57" s="36">
        <f t="shared" ref="O57" si="251">(M57*1*0.2)/(6220*0.6*0.01*10^-3)</f>
        <v>6.0932475884244372E-2</v>
      </c>
      <c r="P57" s="36">
        <f t="shared" ref="P57" si="252">O57/K57</f>
        <v>5.2618718380176488E-3</v>
      </c>
      <c r="Q57" s="33">
        <f t="shared" ref="Q57" si="253">P57*1000</f>
        <v>5.2618718380176484</v>
      </c>
      <c r="R57" s="33">
        <f t="shared" ref="R57" si="254">AVERAGE(Q57:Q62)</f>
        <v>4.3690184320571506</v>
      </c>
      <c r="S57" s="34">
        <f t="shared" ref="S57" si="255">(_xlfn.STDEV.S(Q57:Q62)/SQRT(3))/R57</f>
        <v>0.16324462485897562</v>
      </c>
    </row>
    <row r="58" spans="1:19" x14ac:dyDescent="0.35">
      <c r="A58" s="37"/>
      <c r="B58" s="38"/>
      <c r="C58" s="10">
        <v>1.308E-2</v>
      </c>
      <c r="D58" s="36"/>
      <c r="E58" s="36"/>
      <c r="F58" s="36"/>
      <c r="G58" s="36"/>
      <c r="H58" s="33"/>
      <c r="I58" s="33"/>
      <c r="J58" s="34"/>
      <c r="K58" s="36"/>
      <c r="L58" s="10">
        <v>1.191E-2</v>
      </c>
      <c r="M58" s="36"/>
      <c r="N58" s="36"/>
      <c r="O58" s="36"/>
      <c r="P58" s="36"/>
      <c r="Q58" s="33"/>
      <c r="R58" s="33"/>
      <c r="S58" s="34"/>
    </row>
    <row r="59" spans="1:19" x14ac:dyDescent="0.35">
      <c r="A59" s="37">
        <v>29</v>
      </c>
      <c r="B59" s="38">
        <v>6.75</v>
      </c>
      <c r="C59" s="10">
        <v>1.389E-2</v>
      </c>
      <c r="D59" s="36">
        <f t="shared" ref="D59" si="256">AVERAGE(C59:C60)</f>
        <v>2.6210000000000001E-2</v>
      </c>
      <c r="E59" s="36">
        <f t="shared" ref="E59" si="257">_xlfn.STDEV.S(C59:C60)/SQRT(2)</f>
        <v>1.2320000000000001E-2</v>
      </c>
      <c r="F59" s="36">
        <f t="shared" ref="F59" si="258">(D59*1*0.2)/(6220*0.6*0.01*10^-3)</f>
        <v>0.14046087888531619</v>
      </c>
      <c r="G59" s="36">
        <f>F59/B59</f>
        <v>2.0809019094120917E-2</v>
      </c>
      <c r="H59" s="33">
        <f t="shared" ref="H59" si="259">G59*1000</f>
        <v>20.809019094120917</v>
      </c>
      <c r="I59" s="33"/>
      <c r="J59" s="34"/>
      <c r="K59" s="36">
        <v>10.875</v>
      </c>
      <c r="L59" s="10">
        <v>6.0099999999999997E-3</v>
      </c>
      <c r="M59" s="36">
        <f t="shared" ref="M59" si="260">AVERAGE(L59:L60)</f>
        <v>6.0049999999999999E-3</v>
      </c>
      <c r="N59" s="36">
        <f t="shared" ref="N59" si="261">_xlfn.STDEV.S(L59:L60)/SQRT(2)</f>
        <v>4.9999999999997954E-6</v>
      </c>
      <c r="O59" s="36">
        <f t="shared" ref="O59" si="262">(M59*1*0.2)/(6220*0.6*0.01*10^-3)</f>
        <v>3.2181136120042877E-2</v>
      </c>
      <c r="P59" s="36">
        <f t="shared" ref="P59" si="263">O59/K59</f>
        <v>2.9591849305786555E-3</v>
      </c>
      <c r="Q59" s="33">
        <f t="shared" ref="Q59" si="264">P59*1000</f>
        <v>2.9591849305786555</v>
      </c>
      <c r="R59" s="33"/>
      <c r="S59" s="34"/>
    </row>
    <row r="60" spans="1:19" x14ac:dyDescent="0.35">
      <c r="A60" s="37"/>
      <c r="B60" s="38"/>
      <c r="C60" s="10">
        <v>3.8530000000000002E-2</v>
      </c>
      <c r="D60" s="36"/>
      <c r="E60" s="36"/>
      <c r="F60" s="36"/>
      <c r="G60" s="36"/>
      <c r="H60" s="33"/>
      <c r="I60" s="33"/>
      <c r="J60" s="34"/>
      <c r="K60" s="36"/>
      <c r="L60" s="10">
        <v>6.0000000000000001E-3</v>
      </c>
      <c r="M60" s="36"/>
      <c r="N60" s="36"/>
      <c r="O60" s="36"/>
      <c r="P60" s="36"/>
      <c r="Q60" s="33"/>
      <c r="R60" s="33"/>
      <c r="S60" s="34"/>
    </row>
    <row r="61" spans="1:19" x14ac:dyDescent="0.35">
      <c r="A61" s="37">
        <v>30</v>
      </c>
      <c r="B61" s="38">
        <v>5.0399999999999991</v>
      </c>
      <c r="C61" s="10">
        <v>9.6989999999999993E-3</v>
      </c>
      <c r="D61" s="36">
        <f t="shared" ref="D61" si="265">AVERAGE(C61:C62)</f>
        <v>1.20695E-2</v>
      </c>
      <c r="E61" s="36">
        <f t="shared" ref="E61" si="266">_xlfn.STDEV.S(C61:C62)/SQRT(2)</f>
        <v>2.3705000000000002E-3</v>
      </c>
      <c r="F61" s="36">
        <f t="shared" ref="F61" si="267">(D61*1*0.2)/(6220*0.6*0.01*10^-3)</f>
        <v>6.4681136120042879E-2</v>
      </c>
      <c r="G61" s="36">
        <f>F61/B61</f>
        <v>1.2833558753976763E-2</v>
      </c>
      <c r="H61" s="33">
        <f t="shared" ref="H61" si="268">G61*1000</f>
        <v>12.833558753976764</v>
      </c>
      <c r="I61" s="33"/>
      <c r="J61" s="34"/>
      <c r="K61" s="36">
        <v>8.6549999999999994</v>
      </c>
      <c r="L61" s="10">
        <v>5.947E-3</v>
      </c>
      <c r="M61" s="36">
        <f t="shared" ref="M61" si="269">AVERAGE(L61:L62)</f>
        <v>7.8910000000000004E-3</v>
      </c>
      <c r="N61" s="36">
        <f t="shared" ref="N61" si="270">_xlfn.STDEV.S(L61:L62)/SQRT(2)</f>
        <v>1.9440000000000006E-3</v>
      </c>
      <c r="O61" s="36">
        <f t="shared" ref="O61" si="271">(M61*1*0.2)/(6220*0.6*0.01*10^-3)</f>
        <v>4.2288317256162916E-2</v>
      </c>
      <c r="P61" s="36">
        <f t="shared" ref="P61" si="272">O61/K61</f>
        <v>4.8859985275751493E-3</v>
      </c>
      <c r="Q61" s="33">
        <f t="shared" ref="Q61" si="273">P61*1000</f>
        <v>4.8859985275751496</v>
      </c>
      <c r="R61" s="33"/>
      <c r="S61" s="34"/>
    </row>
    <row r="62" spans="1:19" x14ac:dyDescent="0.35">
      <c r="A62" s="37"/>
      <c r="B62" s="38"/>
      <c r="C62" s="10">
        <v>1.444E-2</v>
      </c>
      <c r="D62" s="36"/>
      <c r="E62" s="36"/>
      <c r="F62" s="36"/>
      <c r="G62" s="36"/>
      <c r="H62" s="33"/>
      <c r="I62" s="33"/>
      <c r="J62" s="34"/>
      <c r="K62" s="36"/>
      <c r="L62" s="10">
        <v>9.8350000000000017E-3</v>
      </c>
      <c r="M62" s="36"/>
      <c r="N62" s="36"/>
      <c r="O62" s="36"/>
      <c r="P62" s="36"/>
      <c r="Q62" s="33"/>
      <c r="R62" s="33"/>
      <c r="S62" s="34"/>
    </row>
    <row r="63" spans="1:19" x14ac:dyDescent="0.35">
      <c r="A63" s="37">
        <v>31</v>
      </c>
      <c r="B63" s="38">
        <v>2.2950000000000004</v>
      </c>
      <c r="C63" s="10">
        <v>1.5789999999999999E-3</v>
      </c>
      <c r="D63" s="36">
        <f t="shared" ref="D63" si="274">AVERAGE(C63:C64)</f>
        <v>3.8909999999999999E-3</v>
      </c>
      <c r="E63" s="36">
        <f t="shared" ref="E63" si="275">_xlfn.STDEV.S(C63:C64)/SQRT(2)</f>
        <v>2.3119999999999998E-3</v>
      </c>
      <c r="F63" s="36">
        <f t="shared" ref="F63" si="276">(D63*1*0.2)/(6220*0.6*0.01*10^-3)</f>
        <v>2.0852090032154342E-2</v>
      </c>
      <c r="G63" s="36">
        <f>F63/B63</f>
        <v>9.0858780096533063E-3</v>
      </c>
      <c r="H63" s="33">
        <f t="shared" ref="H63" si="277">G63*1000</f>
        <v>9.0858780096533067</v>
      </c>
      <c r="I63" s="33">
        <f>AVERAGE(H63,H67)</f>
        <v>5.9101665168288626</v>
      </c>
      <c r="J63" s="34">
        <f>(_xlfn.STDEV.S(H63,H67)/SQRT(2))/I63</f>
        <v>0.53733029074253436</v>
      </c>
      <c r="K63" s="36">
        <v>7.5449999999999999</v>
      </c>
      <c r="L63" s="10">
        <v>2.4399999999999999E-3</v>
      </c>
      <c r="M63" s="36">
        <f t="shared" ref="M63" si="278">AVERAGE(L63:L64)</f>
        <v>4.5069999999999997E-3</v>
      </c>
      <c r="N63" s="36">
        <f t="shared" ref="N63" si="279">_xlfn.STDEV.S(L63:L64)/SQRT(2)</f>
        <v>2.0669999999999998E-3</v>
      </c>
      <c r="O63" s="36">
        <f t="shared" ref="O63" si="280">(M63*1*0.2)/(6220*0.6*0.01*10^-3)</f>
        <v>2.4153269024651661E-2</v>
      </c>
      <c r="P63" s="36">
        <f t="shared" ref="P63" si="281">O63/K63</f>
        <v>3.2012284989597962E-3</v>
      </c>
      <c r="Q63" s="33">
        <f t="shared" ref="Q63" si="282">P63*1000</f>
        <v>3.2012284989597961</v>
      </c>
      <c r="R63" s="33">
        <f>AVERAGE(Q63:Q66)</f>
        <v>2.7205197102213718</v>
      </c>
      <c r="S63" s="34">
        <f>(_xlfn.STDEV.S(Q63:Q66)/SQRT(2))/R63</f>
        <v>0.17669741076763185</v>
      </c>
    </row>
    <row r="64" spans="1:19" x14ac:dyDescent="0.35">
      <c r="A64" s="37"/>
      <c r="B64" s="38"/>
      <c r="C64" s="10">
        <v>6.2030000000000002E-3</v>
      </c>
      <c r="D64" s="36"/>
      <c r="E64" s="36"/>
      <c r="F64" s="36"/>
      <c r="G64" s="36"/>
      <c r="H64" s="33"/>
      <c r="I64" s="33"/>
      <c r="J64" s="34"/>
      <c r="K64" s="36"/>
      <c r="L64" s="10">
        <v>6.574E-3</v>
      </c>
      <c r="M64" s="36"/>
      <c r="N64" s="36"/>
      <c r="O64" s="36"/>
      <c r="P64" s="36"/>
      <c r="Q64" s="33"/>
      <c r="R64" s="33"/>
      <c r="S64" s="34"/>
    </row>
    <row r="65" spans="1:19" x14ac:dyDescent="0.35">
      <c r="A65" s="37">
        <v>32</v>
      </c>
      <c r="B65" s="38">
        <v>4.74</v>
      </c>
      <c r="C65" s="10">
        <v>2.4369999999999999E-2</v>
      </c>
      <c r="D65" s="36">
        <f t="shared" ref="D65" si="283">AVERAGE(C65:C66)</f>
        <v>2.1054999999999997E-2</v>
      </c>
      <c r="E65" s="36">
        <f t="shared" ref="E65" si="284">_xlfn.STDEV.S(C65:C66)/SQRT(2)</f>
        <v>3.3150000000000093E-3</v>
      </c>
      <c r="F65" s="36">
        <f t="shared" ref="F65" si="285">(D65*1*0.2)/(6220*0.6*0.01*10^-3)</f>
        <v>0.11283494105037513</v>
      </c>
      <c r="G65" s="36">
        <f>F65/B65</f>
        <v>2.3804839884045383E-2</v>
      </c>
      <c r="H65" s="43">
        <f t="shared" ref="H65" si="286">G65*1000</f>
        <v>23.804839884045382</v>
      </c>
      <c r="I65" s="33"/>
      <c r="J65" s="34"/>
      <c r="K65" s="36">
        <v>9.5549999999999997</v>
      </c>
      <c r="L65" s="10">
        <v>2.117E-3</v>
      </c>
      <c r="M65" s="36">
        <f t="shared" ref="M65" si="287">AVERAGE(L65:L66)</f>
        <v>3.9935000000000005E-3</v>
      </c>
      <c r="N65" s="36">
        <f>_xlfn.STDEV.S(L65:L66)/SQRT(2)</f>
        <v>1.876499999999999E-3</v>
      </c>
      <c r="O65" s="36">
        <f t="shared" ref="O65" si="288">(M65*1*0.2)/(6220*0.6*0.01*10^-3)</f>
        <v>2.1401393354769566E-2</v>
      </c>
      <c r="P65" s="36">
        <f t="shared" ref="P65" si="289">O65/K65</f>
        <v>2.2398109214829477E-3</v>
      </c>
      <c r="Q65" s="33">
        <f t="shared" ref="Q65" si="290">P65*1000</f>
        <v>2.2398109214829476</v>
      </c>
      <c r="R65" s="33"/>
      <c r="S65" s="34"/>
    </row>
    <row r="66" spans="1:19" x14ac:dyDescent="0.35">
      <c r="A66" s="37"/>
      <c r="B66" s="38"/>
      <c r="C66" s="10">
        <v>1.7739999999999999E-2</v>
      </c>
      <c r="D66" s="36"/>
      <c r="E66" s="36"/>
      <c r="F66" s="36"/>
      <c r="G66" s="36"/>
      <c r="H66" s="43"/>
      <c r="I66" s="33"/>
      <c r="J66" s="34"/>
      <c r="K66" s="36"/>
      <c r="L66" s="10">
        <v>5.8700000000000002E-3</v>
      </c>
      <c r="M66" s="36"/>
      <c r="N66" s="36"/>
      <c r="O66" s="36"/>
      <c r="P66" s="36"/>
      <c r="Q66" s="33"/>
      <c r="R66" s="33"/>
      <c r="S66" s="34"/>
    </row>
    <row r="67" spans="1:19" x14ac:dyDescent="0.35">
      <c r="A67" s="37">
        <v>33</v>
      </c>
      <c r="B67" s="38">
        <v>5.415</v>
      </c>
      <c r="C67" s="10">
        <v>4.1050000000000001E-3</v>
      </c>
      <c r="D67" s="36">
        <f t="shared" ref="D67" si="291">AVERAGE(C67:C68)</f>
        <v>2.7630000000000003E-3</v>
      </c>
      <c r="E67" s="36">
        <f t="shared" ref="E67" si="292">_xlfn.STDEV.S(C67:C68)/SQRT(2)</f>
        <v>1.3419999999999999E-3</v>
      </c>
      <c r="F67" s="36">
        <f t="shared" ref="F67" si="293">(D67*1*0.2)/(6220*0.6*0.01*10^-3)</f>
        <v>1.4807073954983926E-2</v>
      </c>
      <c r="G67" s="36">
        <f>F67/B67</f>
        <v>2.7344550240044185E-3</v>
      </c>
      <c r="H67" s="33">
        <f t="shared" ref="H67" si="294">G67*1000</f>
        <v>2.7344550240044185</v>
      </c>
      <c r="I67" s="33"/>
      <c r="J67" s="34"/>
      <c r="K67" s="36">
        <v>10.169999999999998</v>
      </c>
      <c r="L67" s="10">
        <v>4.9580000000000006E-3</v>
      </c>
      <c r="M67" s="36">
        <f t="shared" ref="M67" si="295">AVERAGE(L67:L68)</f>
        <v>1.9059E-2</v>
      </c>
      <c r="N67" s="36">
        <f t="shared" ref="N67" si="296">_xlfn.STDEV.S(L67:L68)/SQRT(2)</f>
        <v>1.4101000000000004E-2</v>
      </c>
      <c r="O67" s="36">
        <f t="shared" ref="O67" si="297">(M67*1*0.2)/(6220*0.6*0.01*10^-3)</f>
        <v>0.10213826366559486</v>
      </c>
      <c r="P67" s="36">
        <f t="shared" ref="P67" si="298">O67/K67</f>
        <v>1.0043093772428209E-2</v>
      </c>
      <c r="Q67" s="43">
        <f t="shared" ref="Q67" si="299">P67*1000</f>
        <v>10.043093772428209</v>
      </c>
      <c r="R67" s="33"/>
      <c r="S67" s="34"/>
    </row>
    <row r="68" spans="1:19" x14ac:dyDescent="0.35">
      <c r="A68" s="37"/>
      <c r="B68" s="38"/>
      <c r="C68" s="10">
        <v>1.4210000000000002E-3</v>
      </c>
      <c r="D68" s="36"/>
      <c r="E68" s="36"/>
      <c r="F68" s="36"/>
      <c r="G68" s="36"/>
      <c r="H68" s="33"/>
      <c r="I68" s="33"/>
      <c r="J68" s="34"/>
      <c r="K68" s="36"/>
      <c r="L68" s="10">
        <v>3.3160000000000002E-2</v>
      </c>
      <c r="M68" s="36"/>
      <c r="N68" s="36"/>
      <c r="O68" s="36"/>
      <c r="P68" s="36"/>
      <c r="Q68" s="43"/>
      <c r="R68" s="33"/>
      <c r="S68" s="34"/>
    </row>
    <row r="69" spans="1:19" x14ac:dyDescent="0.35">
      <c r="A69" s="37">
        <v>34</v>
      </c>
      <c r="B69" s="38">
        <v>5.64</v>
      </c>
      <c r="C69" s="10">
        <v>6.2060000000000006E-3</v>
      </c>
      <c r="D69" s="36">
        <f t="shared" ref="D69" si="300">AVERAGE(C69:C70)</f>
        <v>1.2397999999999999E-2</v>
      </c>
      <c r="E69" s="36">
        <f t="shared" ref="E69" si="301">_xlfn.STDEV.S(C69:C70)/SQRT(2)</f>
        <v>6.1919999999999996E-3</v>
      </c>
      <c r="F69" s="36">
        <f t="shared" ref="F69" si="302">(D69*1*0.2)/(6220*0.6*0.01*10^-3)</f>
        <v>6.6441586280814591E-2</v>
      </c>
      <c r="G69" s="36">
        <f>F69/B69</f>
        <v>1.1780423099435212E-2</v>
      </c>
      <c r="H69" s="33">
        <f t="shared" ref="H69" si="303">G69*1000</f>
        <v>11.780423099435211</v>
      </c>
      <c r="I69" s="33">
        <f t="shared" ref="I69" si="304">AVERAGE(H69:H74)</f>
        <v>7.3894409344245489</v>
      </c>
      <c r="J69" s="34">
        <f t="shared" ref="J69" si="305">(_xlfn.STDEV.S(H69:H74)/SQRT(3))/I69</f>
        <v>0.29909940612162322</v>
      </c>
      <c r="K69" s="36">
        <v>8.5200000000000014</v>
      </c>
      <c r="L69" s="10">
        <v>9.9620000000000004E-3</v>
      </c>
      <c r="M69" s="36">
        <f t="shared" ref="M69" si="306">AVERAGE(L69:L70)</f>
        <v>1.4141000000000001E-2</v>
      </c>
      <c r="N69" s="36">
        <f t="shared" ref="N69" si="307">_xlfn.STDEV.S(L69:L70)/SQRT(2)</f>
        <v>4.1789999999999926E-3</v>
      </c>
      <c r="O69" s="36">
        <f t="shared" ref="O69" si="308">(M69*1*0.2)/(6220*0.6*0.01*10^-3)</f>
        <v>7.5782422293676321E-2</v>
      </c>
      <c r="P69" s="36">
        <f t="shared" ref="P69" si="309">O69/K69</f>
        <v>8.894650503952618E-3</v>
      </c>
      <c r="Q69" s="33">
        <f t="shared" ref="Q69" si="310">P69*1000</f>
        <v>8.8946505039526187</v>
      </c>
      <c r="R69" s="33">
        <f t="shared" ref="R69" si="311">AVERAGE(Q69:Q74)</f>
        <v>6.2620418243312779</v>
      </c>
      <c r="S69" s="34">
        <f t="shared" ref="S69" si="312">(_xlfn.STDEV.S(Q69:Q74)/SQRT(3))/R69</f>
        <v>0.22931701645511396</v>
      </c>
    </row>
    <row r="70" spans="1:19" x14ac:dyDescent="0.35">
      <c r="A70" s="37"/>
      <c r="B70" s="38"/>
      <c r="C70" s="10">
        <v>1.8589999999999999E-2</v>
      </c>
      <c r="D70" s="36"/>
      <c r="E70" s="36"/>
      <c r="F70" s="36"/>
      <c r="G70" s="36"/>
      <c r="H70" s="33"/>
      <c r="I70" s="33"/>
      <c r="J70" s="34"/>
      <c r="K70" s="36"/>
      <c r="L70" s="10">
        <v>1.8319999999999999E-2</v>
      </c>
      <c r="M70" s="36"/>
      <c r="N70" s="36"/>
      <c r="O70" s="36"/>
      <c r="P70" s="36"/>
      <c r="Q70" s="33"/>
      <c r="R70" s="33"/>
      <c r="S70" s="34"/>
    </row>
    <row r="71" spans="1:19" x14ac:dyDescent="0.35">
      <c r="A71" s="37">
        <v>35</v>
      </c>
      <c r="B71" s="38">
        <v>5.76</v>
      </c>
      <c r="C71" s="10">
        <v>5.3680000000000004E-3</v>
      </c>
      <c r="D71" s="36">
        <f t="shared" ref="D71" si="313">AVERAGE(C71:C72)</f>
        <v>5.1090000000000007E-3</v>
      </c>
      <c r="E71" s="36">
        <f t="shared" ref="E71" si="314">_xlfn.STDEV.S(C71:C72)/SQRT(2)</f>
        <v>2.5900000000000012E-4</v>
      </c>
      <c r="F71" s="36">
        <f t="shared" ref="F71" si="315">(D71*1*0.2)/(6220*0.6*0.01*10^-3)</f>
        <v>2.7379421221864958E-2</v>
      </c>
      <c r="G71" s="36">
        <f>F71/B71</f>
        <v>4.7533717399071106E-3</v>
      </c>
      <c r="H71" s="33">
        <f t="shared" ref="H71" si="316">G71*1000</f>
        <v>4.7533717399071103</v>
      </c>
      <c r="I71" s="33"/>
      <c r="J71" s="34"/>
      <c r="K71" s="36">
        <v>8.91</v>
      </c>
      <c r="L71" s="10">
        <v>5.6699999999999997E-3</v>
      </c>
      <c r="M71" s="36">
        <f t="shared" ref="M71" si="317">AVERAGE(L71:L72)</f>
        <v>6.5699999999999995E-3</v>
      </c>
      <c r="N71" s="36">
        <f t="shared" ref="N71" si="318">_xlfn.STDEV.S(L71:L72)/SQRT(2)</f>
        <v>9.0000000000000008E-4</v>
      </c>
      <c r="O71" s="36">
        <f t="shared" ref="O71" si="319">(M71*1*0.2)/(6220*0.6*0.01*10^-3)</f>
        <v>3.5209003215434083E-2</v>
      </c>
      <c r="P71" s="36">
        <f t="shared" ref="P71" si="320">O71/K71</f>
        <v>3.9516277458399645E-3</v>
      </c>
      <c r="Q71" s="33">
        <f t="shared" ref="Q71" si="321">P71*1000</f>
        <v>3.9516277458399647</v>
      </c>
      <c r="R71" s="33"/>
      <c r="S71" s="34"/>
    </row>
    <row r="72" spans="1:19" x14ac:dyDescent="0.35">
      <c r="A72" s="37"/>
      <c r="B72" s="38"/>
      <c r="C72" s="10">
        <v>4.8500000000000001E-3</v>
      </c>
      <c r="D72" s="36"/>
      <c r="E72" s="36"/>
      <c r="F72" s="36"/>
      <c r="G72" s="36"/>
      <c r="H72" s="33"/>
      <c r="I72" s="33"/>
      <c r="J72" s="34"/>
      <c r="K72" s="36"/>
      <c r="L72" s="10">
        <v>7.4700000000000001E-3</v>
      </c>
      <c r="M72" s="36"/>
      <c r="N72" s="36"/>
      <c r="O72" s="36"/>
      <c r="P72" s="36"/>
      <c r="Q72" s="33"/>
      <c r="R72" s="33"/>
      <c r="S72" s="34"/>
    </row>
    <row r="73" spans="1:19" x14ac:dyDescent="0.35">
      <c r="A73" s="37">
        <v>36</v>
      </c>
      <c r="B73" s="38">
        <v>4.4550000000000001</v>
      </c>
      <c r="C73" s="10">
        <v>4.1050000000000001E-3</v>
      </c>
      <c r="D73" s="36">
        <f t="shared" ref="D73" si="322">AVERAGE(C73:C74)</f>
        <v>4.6840000000000007E-3</v>
      </c>
      <c r="E73" s="36">
        <f t="shared" ref="E73" si="323">_xlfn.STDEV.S(C73:C74)/SQRT(2)</f>
        <v>5.7900000000000009E-4</v>
      </c>
      <c r="F73" s="36">
        <f t="shared" ref="F73" si="324">(D73*1*0.2)/(6220*0.6*0.01*10^-3)</f>
        <v>2.5101822079314048E-2</v>
      </c>
      <c r="G73" s="36">
        <f>F73/B73</f>
        <v>5.6345279639313239E-3</v>
      </c>
      <c r="H73" s="33">
        <f t="shared" ref="H73" si="325">G73*1000</f>
        <v>5.6345279639313244</v>
      </c>
      <c r="I73" s="33"/>
      <c r="J73" s="34"/>
      <c r="K73" s="36">
        <v>8.8949999999999996</v>
      </c>
      <c r="L73" s="10">
        <v>1.056E-2</v>
      </c>
      <c r="M73" s="36">
        <f t="shared" ref="M73" si="326">AVERAGE(L73:L74)</f>
        <v>9.8589999999999997E-3</v>
      </c>
      <c r="N73" s="36">
        <f t="shared" ref="N73" si="327">_xlfn.STDEV.S(L73:L74)/SQRT(2)</f>
        <v>7.0100000000000023E-4</v>
      </c>
      <c r="O73" s="36">
        <f t="shared" ref="O73" si="328">(M73*1*0.2)/(6220*0.6*0.01*10^-3)</f>
        <v>5.2834941050375138E-2</v>
      </c>
      <c r="P73" s="36">
        <f t="shared" ref="P73" si="329">O73/K73</f>
        <v>5.9398472232012525E-3</v>
      </c>
      <c r="Q73" s="33">
        <f t="shared" ref="Q73" si="330">P73*1000</f>
        <v>5.9398472232012525</v>
      </c>
      <c r="R73" s="33"/>
      <c r="S73" s="34"/>
    </row>
    <row r="74" spans="1:19" x14ac:dyDescent="0.35">
      <c r="A74" s="37"/>
      <c r="B74" s="38"/>
      <c r="C74" s="10">
        <v>5.2630000000000003E-3</v>
      </c>
      <c r="D74" s="36"/>
      <c r="E74" s="36"/>
      <c r="F74" s="36"/>
      <c r="G74" s="36"/>
      <c r="H74" s="33"/>
      <c r="I74" s="33"/>
      <c r="J74" s="34"/>
      <c r="K74" s="36"/>
      <c r="L74" s="10">
        <v>9.1579999999999995E-3</v>
      </c>
      <c r="M74" s="36"/>
      <c r="N74" s="36"/>
      <c r="O74" s="36"/>
      <c r="P74" s="36"/>
      <c r="Q74" s="33"/>
      <c r="R74" s="33"/>
      <c r="S74" s="34"/>
    </row>
    <row r="75" spans="1:19" x14ac:dyDescent="0.35">
      <c r="A75" s="37">
        <v>37</v>
      </c>
      <c r="B75" s="38">
        <v>6.7650000000000006</v>
      </c>
      <c r="C75" s="10">
        <v>1.353E-3</v>
      </c>
      <c r="D75" s="36">
        <f t="shared" ref="D75" si="331">AVERAGE(C75:C76)</f>
        <v>8.8815000000000005E-3</v>
      </c>
      <c r="E75" s="36">
        <f t="shared" ref="E75" si="332">_xlfn.STDEV.S(C75:C76)/SQRT(2)</f>
        <v>7.5284999999999996E-3</v>
      </c>
      <c r="F75" s="36">
        <f t="shared" ref="F75" si="333">(D75*1*0.2)/(6220*0.6*0.01*10^-3)</f>
        <v>4.7596463022508043E-2</v>
      </c>
      <c r="G75" s="36">
        <f>F75/B75</f>
        <v>7.0356929818932799E-3</v>
      </c>
      <c r="H75" s="33">
        <f t="shared" ref="H75" si="334">G75*1000</f>
        <v>7.0356929818932796</v>
      </c>
      <c r="I75" s="33">
        <f>AVERAGE(H75,H79)</f>
        <v>9.9072549063549271</v>
      </c>
      <c r="J75" s="34">
        <f>(_xlfn.STDEV.S(H75,H79)/SQRT(2))/I75</f>
        <v>0.28984435664612873</v>
      </c>
      <c r="K75" s="36">
        <v>10.5</v>
      </c>
      <c r="L75" s="10">
        <v>5.3679999999999999E-2</v>
      </c>
      <c r="M75" s="36">
        <f t="shared" ref="M75" si="335">AVERAGE(L75:L76)</f>
        <v>3.2524999999999998E-2</v>
      </c>
      <c r="N75" s="36">
        <f t="shared" ref="N75" si="336">_xlfn.STDEV.S(L75:L76)/SQRT(2)</f>
        <v>2.1155E-2</v>
      </c>
      <c r="O75" s="36">
        <f t="shared" ref="O75" si="337">(M75*1*0.2)/(6220*0.6*0.01*10^-3)</f>
        <v>0.17430332261521975</v>
      </c>
      <c r="P75" s="36">
        <f t="shared" ref="P75" si="338">O75/K75</f>
        <v>1.6600316439544738E-2</v>
      </c>
      <c r="Q75" s="33">
        <f t="shared" ref="Q75" si="339">P75*1000</f>
        <v>16.600316439544738</v>
      </c>
      <c r="R75" s="33">
        <f t="shared" ref="R75" si="340">AVERAGE(Q75:Q80)</f>
        <v>13.207113643686412</v>
      </c>
      <c r="S75" s="34">
        <f t="shared" ref="S75" si="341">(_xlfn.STDEV.S(Q75:Q80)/SQRT(3))/R75</f>
        <v>0.16769916881099103</v>
      </c>
    </row>
    <row r="76" spans="1:19" x14ac:dyDescent="0.35">
      <c r="A76" s="37"/>
      <c r="B76" s="38"/>
      <c r="C76" s="10">
        <v>1.6410000000000001E-2</v>
      </c>
      <c r="D76" s="36"/>
      <c r="E76" s="36"/>
      <c r="F76" s="36"/>
      <c r="G76" s="36"/>
      <c r="H76" s="33"/>
      <c r="I76" s="33"/>
      <c r="J76" s="34"/>
      <c r="K76" s="36"/>
      <c r="L76" s="10">
        <v>1.137E-2</v>
      </c>
      <c r="M76" s="36"/>
      <c r="N76" s="36"/>
      <c r="O76" s="36"/>
      <c r="P76" s="36"/>
      <c r="Q76" s="33"/>
      <c r="R76" s="33"/>
      <c r="S76" s="34"/>
    </row>
    <row r="77" spans="1:19" x14ac:dyDescent="0.35">
      <c r="A77" s="37">
        <v>38</v>
      </c>
      <c r="B77" s="38">
        <v>5.1150000000000002</v>
      </c>
      <c r="C77" s="10">
        <v>1.7680000000000001E-2</v>
      </c>
      <c r="D77" s="36">
        <f t="shared" ref="D77" si="342">AVERAGE(C77:C78)</f>
        <v>5.0680000000000003E-2</v>
      </c>
      <c r="E77" s="36">
        <f t="shared" ref="E77" si="343">_xlfn.STDEV.S(C77:C78)/SQRT(2)</f>
        <v>3.3000000000000002E-2</v>
      </c>
      <c r="F77" s="36">
        <f t="shared" ref="F77" si="344">(D77*1*0.2)/(6220*0.6*0.01*10^-3)</f>
        <v>0.27159699892818867</v>
      </c>
      <c r="G77" s="36">
        <f>F77/B77</f>
        <v>5.3098142507954769E-2</v>
      </c>
      <c r="H77" s="43">
        <f t="shared" ref="H77" si="345">G77*1000</f>
        <v>53.098142507954769</v>
      </c>
      <c r="I77" s="33"/>
      <c r="J77" s="34"/>
      <c r="K77" s="36">
        <v>8.8650000000000002</v>
      </c>
      <c r="L77" s="10">
        <v>2.3120000000000002E-2</v>
      </c>
      <c r="M77" s="36">
        <f t="shared" ref="M77" si="346">AVERAGE(L77:L78)</f>
        <v>2.3120000000000002E-2</v>
      </c>
      <c r="N77" s="36" t="e">
        <f t="shared" ref="N77" si="347">_xlfn.STDEV.S(L77:L78)/SQRT(2)</f>
        <v>#DIV/0!</v>
      </c>
      <c r="O77" s="36">
        <f t="shared" ref="O77" si="348">(M77*1*0.2)/(6220*0.6*0.01*10^-3)</f>
        <v>0.12390139335476957</v>
      </c>
      <c r="P77" s="36">
        <f t="shared" ref="P77" si="349">O77/K77</f>
        <v>1.3976468511536331E-2</v>
      </c>
      <c r="Q77" s="33">
        <f t="shared" ref="Q77" si="350">P77*1000</f>
        <v>13.976468511536332</v>
      </c>
      <c r="R77" s="33"/>
      <c r="S77" s="34"/>
    </row>
    <row r="78" spans="1:19" x14ac:dyDescent="0.35">
      <c r="A78" s="37"/>
      <c r="B78" s="38"/>
      <c r="C78" s="10">
        <v>8.3680000000000004E-2</v>
      </c>
      <c r="D78" s="36"/>
      <c r="E78" s="36"/>
      <c r="F78" s="36"/>
      <c r="G78" s="36"/>
      <c r="H78" s="43"/>
      <c r="I78" s="33"/>
      <c r="J78" s="34"/>
      <c r="K78" s="36"/>
      <c r="L78" s="10" t="s">
        <v>1</v>
      </c>
      <c r="M78" s="36"/>
      <c r="N78" s="36"/>
      <c r="O78" s="36"/>
      <c r="P78" s="36"/>
      <c r="Q78" s="33"/>
      <c r="R78" s="33"/>
      <c r="S78" s="34"/>
    </row>
    <row r="79" spans="1:19" x14ac:dyDescent="0.35">
      <c r="A79" s="37">
        <v>39</v>
      </c>
      <c r="B79" s="38">
        <v>5.2350000000000003</v>
      </c>
      <c r="C79" s="10">
        <v>2.526E-3</v>
      </c>
      <c r="D79" s="36">
        <f>AVERAGE(C79:C80)</f>
        <v>1.2483000000000001E-2</v>
      </c>
      <c r="E79" s="36">
        <f t="shared" ref="E79" si="351">_xlfn.STDEV.S(C79:C80)/SQRT(2)</f>
        <v>9.9570000000000006E-3</v>
      </c>
      <c r="F79" s="36">
        <f t="shared" ref="F79" si="352">(D79*1*0.2)/(6220*0.6*0.01*10^-3)</f>
        <v>6.6897106109324769E-2</v>
      </c>
      <c r="G79" s="36">
        <f>F79/B79</f>
        <v>1.2778816830816574E-2</v>
      </c>
      <c r="H79" s="33">
        <f t="shared" ref="H79" si="353">G79*1000</f>
        <v>12.778816830816574</v>
      </c>
      <c r="I79" s="33"/>
      <c r="J79" s="34"/>
      <c r="K79" s="36">
        <v>10.215</v>
      </c>
      <c r="L79" s="10">
        <v>2.7699999999999999E-2</v>
      </c>
      <c r="M79" s="36">
        <f>AVERAGE(L79:L80)</f>
        <v>1.7239999999999998E-2</v>
      </c>
      <c r="N79" s="36">
        <f t="shared" ref="N79" si="354">_xlfn.STDEV.S(L79:L80)/SQRT(2)</f>
        <v>1.0459999999999999E-2</v>
      </c>
      <c r="O79" s="36">
        <f t="shared" ref="O79" si="355">(M79*1*0.2)/(6220*0.6*0.01*10^-3)</f>
        <v>9.2390139335476948E-2</v>
      </c>
      <c r="P79" s="36">
        <f t="shared" ref="P79" si="356">O79/K79</f>
        <v>9.0445559799781639E-3</v>
      </c>
      <c r="Q79" s="33">
        <f t="shared" ref="Q79" si="357">P79*1000</f>
        <v>9.0445559799781634</v>
      </c>
      <c r="R79" s="33"/>
      <c r="S79" s="34"/>
    </row>
    <row r="80" spans="1:19" x14ac:dyDescent="0.35">
      <c r="A80" s="37"/>
      <c r="B80" s="38"/>
      <c r="C80" s="10">
        <v>2.2440000000000002E-2</v>
      </c>
      <c r="D80" s="36"/>
      <c r="E80" s="36"/>
      <c r="F80" s="36"/>
      <c r="G80" s="36"/>
      <c r="H80" s="33"/>
      <c r="I80" s="33"/>
      <c r="J80" s="34"/>
      <c r="K80" s="36"/>
      <c r="L80" s="10">
        <v>6.7800000000000004E-3</v>
      </c>
      <c r="M80" s="36"/>
      <c r="N80" s="36"/>
      <c r="O80" s="36"/>
      <c r="P80" s="36"/>
      <c r="Q80" s="33"/>
      <c r="R80" s="33"/>
      <c r="S80" s="34"/>
    </row>
    <row r="81" spans="1:19" x14ac:dyDescent="0.35">
      <c r="A81" s="37">
        <v>40</v>
      </c>
      <c r="B81" s="38">
        <v>6.15</v>
      </c>
      <c r="C81" s="10">
        <v>8.2330000000000007E-3</v>
      </c>
      <c r="D81" s="36">
        <f t="shared" ref="D81" si="358">AVERAGE(C81:C82)</f>
        <v>7.5565000000000007E-3</v>
      </c>
      <c r="E81" s="36">
        <f t="shared" ref="E81" si="359">_xlfn.STDEV.S(C81:C82)/SQRT(2)</f>
        <v>6.7650000000000045E-4</v>
      </c>
      <c r="F81" s="36">
        <f t="shared" ref="F81" si="360">(D81*1*0.2)/(6220*0.6*0.01*10^-3)</f>
        <v>4.0495712754555206E-2</v>
      </c>
      <c r="G81" s="36">
        <f>F81/B81</f>
        <v>6.5846687405780816E-3</v>
      </c>
      <c r="H81" s="33">
        <f t="shared" ref="H81" si="361">G81*1000</f>
        <v>6.5846687405780813</v>
      </c>
      <c r="I81" s="33">
        <f t="shared" ref="I81" si="362">AVERAGE(H81:H86)</f>
        <v>5.4197095949396648</v>
      </c>
      <c r="J81" s="34">
        <f t="shared" ref="J81" si="363">(_xlfn.STDEV.S(H81:H86)/SQRT(3))/I81</f>
        <v>0.15713502701829088</v>
      </c>
      <c r="K81" s="36">
        <v>9.09</v>
      </c>
      <c r="L81" s="10">
        <v>1.2630000000000001E-2</v>
      </c>
      <c r="M81" s="36">
        <f t="shared" ref="M81" si="364">AVERAGE(L81:L82)</f>
        <v>8.0254999999999996E-3</v>
      </c>
      <c r="N81" s="36">
        <f t="shared" ref="N81" si="365">_xlfn.STDEV.S(L81:L82)/SQRT(2)</f>
        <v>4.6045000000000001E-3</v>
      </c>
      <c r="O81" s="36">
        <f t="shared" ref="O81" si="366">(M81*1*0.2)/(6220*0.6*0.01*10^-3)</f>
        <v>4.3009110396570203E-2</v>
      </c>
      <c r="P81" s="36">
        <f t="shared" ref="P81" si="367">O81/K81</f>
        <v>4.7314752911518376E-3</v>
      </c>
      <c r="Q81" s="33">
        <f t="shared" ref="Q81" si="368">P81*1000</f>
        <v>4.7314752911518374</v>
      </c>
      <c r="R81" s="33">
        <f t="shared" ref="R81" si="369">AVERAGE(Q81:Q86)</f>
        <v>4.8426084593508572</v>
      </c>
      <c r="S81" s="34">
        <f t="shared" ref="S81" si="370">(_xlfn.STDEV.S(Q81:Q86)/SQRT(3))/R81</f>
        <v>0.46295572817377267</v>
      </c>
    </row>
    <row r="82" spans="1:19" x14ac:dyDescent="0.35">
      <c r="A82" s="37"/>
      <c r="B82" s="38"/>
      <c r="C82" s="10">
        <v>6.8799999999999998E-3</v>
      </c>
      <c r="D82" s="36"/>
      <c r="E82" s="36"/>
      <c r="F82" s="36"/>
      <c r="G82" s="36"/>
      <c r="H82" s="33"/>
      <c r="I82" s="33"/>
      <c r="J82" s="34"/>
      <c r="K82" s="36"/>
      <c r="L82" s="10">
        <v>3.421E-3</v>
      </c>
      <c r="M82" s="36"/>
      <c r="N82" s="36"/>
      <c r="O82" s="36"/>
      <c r="P82" s="36"/>
      <c r="Q82" s="33"/>
      <c r="R82" s="33"/>
      <c r="S82" s="34"/>
    </row>
    <row r="83" spans="1:19" x14ac:dyDescent="0.35">
      <c r="A83" s="37">
        <v>41</v>
      </c>
      <c r="B83" s="38">
        <v>7.1549999999999994</v>
      </c>
      <c r="C83" s="10">
        <v>7.8949999999999992E-3</v>
      </c>
      <c r="D83" s="36">
        <f t="shared" ref="D83" si="371">AVERAGE(C83:C84)</f>
        <v>7.8949999999999992E-3</v>
      </c>
      <c r="E83" s="36" t="e">
        <f t="shared" ref="E83" si="372">_xlfn.STDEV.S(C83:C84)/SQRT(2)</f>
        <v>#DIV/0!</v>
      </c>
      <c r="F83" s="36">
        <f t="shared" ref="F83" si="373">(D83*1*0.2)/(6220*0.6*0.01*10^-3)</f>
        <v>4.2309753483386919E-2</v>
      </c>
      <c r="G83" s="36">
        <f>F83/B83</f>
        <v>5.9133128558192761E-3</v>
      </c>
      <c r="H83" s="33">
        <f t="shared" ref="H83" si="374">G83*1000</f>
        <v>5.9133128558192762</v>
      </c>
      <c r="I83" s="33"/>
      <c r="J83" s="34"/>
      <c r="K83" s="36">
        <v>9.5400000000000009</v>
      </c>
      <c r="L83" s="10">
        <v>1.8970000000000001E-2</v>
      </c>
      <c r="M83" s="36">
        <f t="shared" ref="M83" si="375">AVERAGE(L83:L84)</f>
        <v>1.5630000000000002E-2</v>
      </c>
      <c r="N83" s="36">
        <f t="shared" ref="N83" si="376">_xlfn.STDEV.S(L83:L84)/SQRT(2)</f>
        <v>3.3399999999999975E-3</v>
      </c>
      <c r="O83" s="36">
        <f t="shared" ref="O83" si="377">(M83*1*0.2)/(6220*0.6*0.01*10^-3)</f>
        <v>8.3762057877813517E-2</v>
      </c>
      <c r="P83" s="36">
        <f t="shared" ref="P83" si="378">O83/K83</f>
        <v>8.7800899242991108E-3</v>
      </c>
      <c r="Q83" s="33">
        <f t="shared" ref="Q83" si="379">P83*1000</f>
        <v>8.7800899242991104</v>
      </c>
      <c r="R83" s="33"/>
      <c r="S83" s="34"/>
    </row>
    <row r="84" spans="1:19" x14ac:dyDescent="0.35">
      <c r="A84" s="37"/>
      <c r="B84" s="38"/>
      <c r="C84" s="10" t="s">
        <v>1</v>
      </c>
      <c r="D84" s="36"/>
      <c r="E84" s="36"/>
      <c r="F84" s="36"/>
      <c r="G84" s="36"/>
      <c r="H84" s="33"/>
      <c r="I84" s="33"/>
      <c r="J84" s="34"/>
      <c r="K84" s="36"/>
      <c r="L84" s="10">
        <v>1.2290000000000001E-2</v>
      </c>
      <c r="M84" s="36"/>
      <c r="N84" s="36"/>
      <c r="O84" s="36"/>
      <c r="P84" s="36"/>
      <c r="Q84" s="33"/>
      <c r="R84" s="33"/>
      <c r="S84" s="34"/>
    </row>
    <row r="85" spans="1:19" x14ac:dyDescent="0.35">
      <c r="A85" s="37">
        <v>42</v>
      </c>
      <c r="B85" s="38">
        <v>3.8250000000000002</v>
      </c>
      <c r="C85" s="10">
        <v>1.895E-3</v>
      </c>
      <c r="D85" s="36">
        <f t="shared" ref="D85" si="380">AVERAGE(C85:C86)</f>
        <v>2.6845000000000003E-3</v>
      </c>
      <c r="E85" s="36">
        <f t="shared" ref="E85" si="381">_xlfn.STDEV.S(C85:C86)/SQRT(2)</f>
        <v>7.8949999999999995E-4</v>
      </c>
      <c r="F85" s="36">
        <f t="shared" ref="F85" si="382">(D85*1*0.2)/(6220*0.6*0.01*10^-3)</f>
        <v>1.4386387995712758E-2</v>
      </c>
      <c r="G85" s="36">
        <f>F85/B85</f>
        <v>3.7611471884216358E-3</v>
      </c>
      <c r="H85" s="33">
        <f t="shared" ref="H85" si="383">G85*1000</f>
        <v>3.7611471884216359</v>
      </c>
      <c r="I85" s="33"/>
      <c r="J85" s="34"/>
      <c r="K85" s="36">
        <v>9.8399999999999981</v>
      </c>
      <c r="L85" s="10">
        <v>1.39E-3</v>
      </c>
      <c r="M85" s="36">
        <f t="shared" ref="M85" si="384">AVERAGE(L85:L86)</f>
        <v>1.866E-3</v>
      </c>
      <c r="N85" s="36">
        <f t="shared" ref="N85" si="385">_xlfn.STDEV.S(L85:L86)/SQRT(2)</f>
        <v>4.7600000000000019E-4</v>
      </c>
      <c r="O85" s="36">
        <f t="shared" ref="O85" si="386">(M85*1*0.2)/(6220*0.6*0.01*10^-3)</f>
        <v>0.01</v>
      </c>
      <c r="P85" s="36">
        <f t="shared" ref="P85" si="387">O85/K85</f>
        <v>1.0162601626016263E-3</v>
      </c>
      <c r="Q85" s="33">
        <f t="shared" ref="Q85" si="388">P85*1000</f>
        <v>1.0162601626016263</v>
      </c>
      <c r="R85" s="33"/>
      <c r="S85" s="34"/>
    </row>
    <row r="86" spans="1:19" x14ac:dyDescent="0.35">
      <c r="A86" s="37"/>
      <c r="B86" s="38"/>
      <c r="C86" s="10">
        <v>3.4740000000000001E-3</v>
      </c>
      <c r="D86" s="36"/>
      <c r="E86" s="36"/>
      <c r="F86" s="36"/>
      <c r="G86" s="36"/>
      <c r="H86" s="33"/>
      <c r="I86" s="33"/>
      <c r="J86" s="34"/>
      <c r="K86" s="36"/>
      <c r="L86" s="10">
        <v>2.3420000000000003E-3</v>
      </c>
      <c r="M86" s="36"/>
      <c r="N86" s="36"/>
      <c r="O86" s="36"/>
      <c r="P86" s="36"/>
      <c r="Q86" s="33"/>
      <c r="R86" s="33"/>
      <c r="S86" s="34"/>
    </row>
    <row r="87" spans="1:19" x14ac:dyDescent="0.35">
      <c r="A87" s="37">
        <v>43</v>
      </c>
      <c r="B87" s="38">
        <v>8.3249999999999993</v>
      </c>
      <c r="C87" s="10">
        <v>1.2449999999999999E-2</v>
      </c>
      <c r="D87" s="36">
        <f t="shared" ref="D87" si="389">AVERAGE(C87:C88)</f>
        <v>1.2449999999999999E-2</v>
      </c>
      <c r="E87" s="36" t="e">
        <f t="shared" ref="E87" si="390">_xlfn.STDEV.S(C87:C88)/SQRT(2)</f>
        <v>#DIV/0!</v>
      </c>
      <c r="F87" s="36">
        <f t="shared" ref="F87" si="391">(D87*1*0.2)/(6220*0.6*0.01*10^-3)</f>
        <v>6.6720257234726688E-2</v>
      </c>
      <c r="G87" s="36">
        <f>F87/B87</f>
        <v>8.0144453134806844E-3</v>
      </c>
      <c r="H87" s="43">
        <f t="shared" ref="H87" si="392">G87*1000</f>
        <v>8.0144453134806852</v>
      </c>
      <c r="I87" s="33">
        <f>AVERAGE(H89:H92)</f>
        <v>1.986637942893785</v>
      </c>
      <c r="J87" s="34">
        <f>(_xlfn.STDEV.S(H89:H92)/SQRT(2))/I87</f>
        <v>0.20890240318892045</v>
      </c>
      <c r="K87" s="36">
        <v>12.375</v>
      </c>
      <c r="L87" s="10">
        <v>2.053E-2</v>
      </c>
      <c r="M87" s="36">
        <f t="shared" ref="M87" si="393">AVERAGE(L87:L88)</f>
        <v>1.2648E-2</v>
      </c>
      <c r="N87" s="36">
        <f t="shared" ref="N87" si="394">_xlfn.STDEV.S(L87:L88)/SQRT(2)</f>
        <v>7.8820000000000001E-3</v>
      </c>
      <c r="O87" s="36">
        <f t="shared" ref="O87" si="395">(M87*1*0.2)/(6220*0.6*0.01*10^-3)</f>
        <v>6.7781350482315109E-2</v>
      </c>
      <c r="P87" s="36">
        <f t="shared" ref="P87" si="396">O87/K87</f>
        <v>5.477280847055766E-3</v>
      </c>
      <c r="Q87" s="33">
        <f t="shared" ref="Q87" si="397">P87*1000</f>
        <v>5.4772808470557663</v>
      </c>
      <c r="R87" s="33">
        <f t="shared" ref="R87" si="398">AVERAGE(Q87:Q92)</f>
        <v>4.408045988049512</v>
      </c>
      <c r="S87" s="34">
        <f t="shared" ref="S87" si="399">(_xlfn.STDEV.S(Q87:Q92)/SQRT(3))/R87</f>
        <v>0.21594306858105158</v>
      </c>
    </row>
    <row r="88" spans="1:19" x14ac:dyDescent="0.35">
      <c r="A88" s="37"/>
      <c r="B88" s="38"/>
      <c r="C88" s="10" t="s">
        <v>1</v>
      </c>
      <c r="D88" s="36"/>
      <c r="E88" s="36"/>
      <c r="F88" s="36"/>
      <c r="G88" s="36"/>
      <c r="H88" s="43"/>
      <c r="I88" s="33"/>
      <c r="J88" s="34"/>
      <c r="K88" s="36"/>
      <c r="L88" s="10">
        <v>4.7660000000000003E-3</v>
      </c>
      <c r="M88" s="36"/>
      <c r="N88" s="36"/>
      <c r="O88" s="36"/>
      <c r="P88" s="36"/>
      <c r="Q88" s="33"/>
      <c r="R88" s="33"/>
      <c r="S88" s="34"/>
    </row>
    <row r="89" spans="1:19" x14ac:dyDescent="0.35">
      <c r="A89" s="37">
        <v>44</v>
      </c>
      <c r="B89" s="38">
        <v>5.8650000000000002</v>
      </c>
      <c r="C89" s="10">
        <v>1.5789999999999999E-3</v>
      </c>
      <c r="D89" s="36">
        <f t="shared" ref="D89" si="400">AVERAGE(C89:C90)</f>
        <v>1.72E-3</v>
      </c>
      <c r="E89" s="36">
        <f t="shared" ref="E89" si="401">_xlfn.STDEV.S(C89:C90)/SQRT(2)</f>
        <v>1.4100000000000004E-4</v>
      </c>
      <c r="F89" s="36">
        <f t="shared" ref="F89" si="402">(D89*1*0.2)/(6220*0.6*0.01*10^-3)</f>
        <v>9.2175777063236881E-3</v>
      </c>
      <c r="G89" s="36">
        <f>F89/B89</f>
        <v>1.57162450235698E-3</v>
      </c>
      <c r="H89" s="33">
        <f t="shared" ref="H89" si="403">G89*1000</f>
        <v>1.5716245023569799</v>
      </c>
      <c r="I89" s="33"/>
      <c r="J89" s="34"/>
      <c r="K89" s="36">
        <v>8.49</v>
      </c>
      <c r="L89" s="10">
        <v>4.0049999999999999E-3</v>
      </c>
      <c r="M89" s="36">
        <f t="shared" ref="M89" si="404">AVERAGE(L89:L90)</f>
        <v>8.2974999999999993E-3</v>
      </c>
      <c r="N89" s="36">
        <f t="shared" ref="N89" si="405">_xlfn.STDEV.S(L89:L90)/SQRT(2)</f>
        <v>4.2925000000000012E-3</v>
      </c>
      <c r="O89" s="36">
        <f t="shared" ref="O89" si="406">(M89*1*0.2)/(6220*0.6*0.01*10^-3)</f>
        <v>4.4466773847802787E-2</v>
      </c>
      <c r="P89" s="36">
        <f t="shared" ref="P89" si="407">O89/K89</f>
        <v>5.2375469785397866E-3</v>
      </c>
      <c r="Q89" s="33">
        <f t="shared" ref="Q89" si="408">P89*1000</f>
        <v>5.2375469785397861</v>
      </c>
      <c r="R89" s="33"/>
      <c r="S89" s="34"/>
    </row>
    <row r="90" spans="1:19" x14ac:dyDescent="0.35">
      <c r="A90" s="37"/>
      <c r="B90" s="38"/>
      <c r="C90" s="10">
        <v>1.861E-3</v>
      </c>
      <c r="D90" s="36"/>
      <c r="E90" s="36"/>
      <c r="F90" s="36"/>
      <c r="G90" s="36"/>
      <c r="H90" s="33"/>
      <c r="I90" s="33"/>
      <c r="J90" s="34"/>
      <c r="K90" s="36"/>
      <c r="L90" s="10">
        <v>1.259E-2</v>
      </c>
      <c r="M90" s="36"/>
      <c r="N90" s="36"/>
      <c r="O90" s="36"/>
      <c r="P90" s="36"/>
      <c r="Q90" s="33"/>
      <c r="R90" s="33"/>
      <c r="S90" s="34"/>
    </row>
    <row r="91" spans="1:19" x14ac:dyDescent="0.35">
      <c r="A91" s="37">
        <v>45</v>
      </c>
      <c r="B91" s="38">
        <v>6.3450000000000006</v>
      </c>
      <c r="C91" s="10">
        <v>3.4910000000000002E-3</v>
      </c>
      <c r="D91" s="36">
        <f t="shared" ref="D91" si="409">AVERAGE(C91:C92)</f>
        <v>2.8435000000000001E-3</v>
      </c>
      <c r="E91" s="36">
        <f t="shared" ref="E91" si="410">_xlfn.STDEV.S(C91:C92)/SQRT(2)</f>
        <v>6.4750000000000007E-4</v>
      </c>
      <c r="F91" s="36">
        <f t="shared" ref="F91" si="411">(D91*1*0.2)/(6220*0.6*0.01*10^-3)</f>
        <v>1.5238478027867096E-2</v>
      </c>
      <c r="G91" s="36">
        <f>F91/B91</f>
        <v>2.4016513834305901E-3</v>
      </c>
      <c r="H91" s="33">
        <f t="shared" ref="H91" si="412">G91*1000</f>
        <v>2.4016513834305901</v>
      </c>
      <c r="I91" s="33"/>
      <c r="J91" s="34"/>
      <c r="K91" s="36">
        <v>10.41</v>
      </c>
      <c r="L91" s="10">
        <v>7.4870000000000004E-4</v>
      </c>
      <c r="M91" s="36">
        <f t="shared" ref="M91" si="413">AVERAGE(L91:L92)</f>
        <v>4.8743500000000004E-3</v>
      </c>
      <c r="N91" s="36">
        <f t="shared" ref="N91" si="414">_xlfn.STDEV.S(L91:L92)/SQRT(2)</f>
        <v>4.1256500000000007E-3</v>
      </c>
      <c r="O91" s="36">
        <f t="shared" ref="O91" si="415">(M91*1*0.2)/(6220*0.6*0.01*10^-3)</f>
        <v>2.6121918542336552E-2</v>
      </c>
      <c r="P91" s="36">
        <f t="shared" ref="P91" si="416">O91/K91</f>
        <v>2.5093101385529827E-3</v>
      </c>
      <c r="Q91" s="33">
        <f t="shared" ref="Q91" si="417">P91*1000</f>
        <v>2.5093101385529826</v>
      </c>
      <c r="R91" s="33"/>
      <c r="S91" s="34"/>
    </row>
    <row r="92" spans="1:19" x14ac:dyDescent="0.35">
      <c r="A92" s="37"/>
      <c r="B92" s="38"/>
      <c r="C92" s="10">
        <v>2.196E-3</v>
      </c>
      <c r="D92" s="36"/>
      <c r="E92" s="36"/>
      <c r="F92" s="36"/>
      <c r="G92" s="36"/>
      <c r="H92" s="33"/>
      <c r="I92" s="33"/>
      <c r="J92" s="34"/>
      <c r="K92" s="36"/>
      <c r="L92" s="10">
        <v>9.0000000000000011E-3</v>
      </c>
      <c r="M92" s="36"/>
      <c r="N92" s="36"/>
      <c r="O92" s="36"/>
      <c r="P92" s="36"/>
      <c r="Q92" s="33"/>
      <c r="R92" s="33"/>
      <c r="S92" s="34"/>
    </row>
    <row r="93" spans="1:19" x14ac:dyDescent="0.35">
      <c r="A93" s="37">
        <v>46</v>
      </c>
      <c r="B93" s="38">
        <v>7.9949999999999992</v>
      </c>
      <c r="C93" s="10">
        <v>2.1989999999999999E-2</v>
      </c>
      <c r="D93" s="36">
        <f t="shared" ref="D93" si="418">AVERAGE(C93:C94)</f>
        <v>1.28895E-2</v>
      </c>
      <c r="E93" s="36">
        <f t="shared" ref="E93" si="419">_xlfn.STDEV.S(C93:C94)/SQRT(2)</f>
        <v>9.1004999999999992E-3</v>
      </c>
      <c r="F93" s="36">
        <f t="shared" ref="F93" si="420">(D93*1*0.2)/(6220*0.6*0.01*10^-3)</f>
        <v>6.9075562700964641E-2</v>
      </c>
      <c r="G93" s="36">
        <f>F93/B93</f>
        <v>8.6398452408961417E-3</v>
      </c>
      <c r="H93" s="33">
        <f t="shared" ref="H93" si="421">G93*1000</f>
        <v>8.6398452408961415</v>
      </c>
      <c r="I93" s="33">
        <f>AVERAGE(H93,H97)</f>
        <v>7.5318979354198197</v>
      </c>
      <c r="J93" s="34">
        <f>(_xlfn.STDEV.S(H93,H97)/SQRT(2))/I93</f>
        <v>0.14710067966614934</v>
      </c>
      <c r="K93" s="36">
        <v>9.0150000000000006</v>
      </c>
      <c r="L93" s="10">
        <v>1.9190000000000001E-3</v>
      </c>
      <c r="M93" s="36">
        <f t="shared" ref="M93" si="422">AVERAGE(L93:L94)</f>
        <v>3.1965000000000006E-3</v>
      </c>
      <c r="N93" s="36">
        <f t="shared" ref="N93" si="423">_xlfn.STDEV.S(L93:L94)/SQRT(2)</f>
        <v>1.2774999999999996E-3</v>
      </c>
      <c r="O93" s="36">
        <f t="shared" ref="O93" si="424">(M93*1*0.2)/(6220*0.6*0.01*10^-3)</f>
        <v>1.7130225080385857E-2</v>
      </c>
      <c r="P93" s="36">
        <f t="shared" ref="P93" si="425">O93/K93</f>
        <v>1.9001913566706441E-3</v>
      </c>
      <c r="Q93" s="33">
        <f t="shared" ref="Q93" si="426">P93*1000</f>
        <v>1.9001913566706441</v>
      </c>
      <c r="R93" s="33">
        <f t="shared" ref="R93" si="427">AVERAGE(Q93:Q98)</f>
        <v>2.1322069423111527</v>
      </c>
      <c r="S93" s="34">
        <f t="shared" ref="S93" si="428">(_xlfn.STDEV.S(Q93:Q98)/SQRT(3))/R93</f>
        <v>0.10517235622589437</v>
      </c>
    </row>
    <row r="94" spans="1:19" x14ac:dyDescent="0.35">
      <c r="A94" s="37"/>
      <c r="B94" s="38"/>
      <c r="C94" s="10">
        <v>3.7890000000000003E-3</v>
      </c>
      <c r="D94" s="36"/>
      <c r="E94" s="36"/>
      <c r="F94" s="36"/>
      <c r="G94" s="36"/>
      <c r="H94" s="33"/>
      <c r="I94" s="33"/>
      <c r="J94" s="34"/>
      <c r="K94" s="36"/>
      <c r="L94" s="10">
        <v>4.4740000000000005E-3</v>
      </c>
      <c r="M94" s="36"/>
      <c r="N94" s="36"/>
      <c r="O94" s="36"/>
      <c r="P94" s="36"/>
      <c r="Q94" s="33"/>
      <c r="R94" s="33"/>
      <c r="S94" s="34"/>
    </row>
    <row r="95" spans="1:19" x14ac:dyDescent="0.35">
      <c r="A95" s="37">
        <v>47</v>
      </c>
      <c r="B95" s="38">
        <v>6.0600000000000005</v>
      </c>
      <c r="C95" s="10">
        <v>1.714E-3</v>
      </c>
      <c r="D95" s="36">
        <f t="shared" ref="D95" si="429">AVERAGE(C95:C96)</f>
        <v>1.5150000000000001E-3</v>
      </c>
      <c r="E95" s="36">
        <f t="shared" ref="E95" si="430">_xlfn.STDEV.S(C95:C96)/SQRT(2)</f>
        <v>1.9899999999999993E-4</v>
      </c>
      <c r="F95" s="36">
        <f t="shared" ref="F95" si="431">(D95*1*0.2)/(6220*0.6*0.01*10^-3)</f>
        <v>8.1189710610932494E-3</v>
      </c>
      <c r="G95" s="36">
        <f>F95/B95</f>
        <v>1.3397642015005361E-3</v>
      </c>
      <c r="H95" s="43">
        <f t="shared" ref="H95" si="432">G95*1000</f>
        <v>1.3397642015005362</v>
      </c>
      <c r="I95" s="33"/>
      <c r="J95" s="34"/>
      <c r="K95" s="36">
        <v>7.26</v>
      </c>
      <c r="L95" s="10">
        <v>3.751E-3</v>
      </c>
      <c r="M95" s="36">
        <f t="shared" ref="M95" si="433">AVERAGE(L95:L96)</f>
        <v>3.496E-3</v>
      </c>
      <c r="N95" s="36">
        <f t="shared" ref="N95" si="434">_xlfn.STDEV.S(L95:L96)/SQRT(2)</f>
        <v>2.5500000000000002E-4</v>
      </c>
      <c r="O95" s="36">
        <f t="shared" ref="O95" si="435">(M95*1*0.2)/(6220*0.6*0.01*10^-3)</f>
        <v>1.8735262593783497E-2</v>
      </c>
      <c r="P95" s="36">
        <f t="shared" ref="P95" si="436">O95/K95</f>
        <v>2.5806146823393245E-3</v>
      </c>
      <c r="Q95" s="33">
        <f t="shared" ref="Q95" si="437">P95*1000</f>
        <v>2.5806146823393243</v>
      </c>
      <c r="R95" s="33"/>
      <c r="S95" s="34"/>
    </row>
    <row r="96" spans="1:19" x14ac:dyDescent="0.35">
      <c r="A96" s="37"/>
      <c r="B96" s="38"/>
      <c r="C96" s="10">
        <v>1.3160000000000001E-3</v>
      </c>
      <c r="D96" s="36"/>
      <c r="E96" s="36"/>
      <c r="F96" s="36"/>
      <c r="G96" s="36"/>
      <c r="H96" s="43"/>
      <c r="I96" s="33"/>
      <c r="J96" s="34"/>
      <c r="K96" s="36"/>
      <c r="L96" s="10">
        <v>3.241E-3</v>
      </c>
      <c r="M96" s="36"/>
      <c r="N96" s="36"/>
      <c r="O96" s="36"/>
      <c r="P96" s="36"/>
      <c r="Q96" s="33"/>
      <c r="R96" s="33"/>
      <c r="S96" s="34"/>
    </row>
    <row r="97" spans="1:19" x14ac:dyDescent="0.35">
      <c r="A97" s="37">
        <v>48</v>
      </c>
      <c r="B97" s="38">
        <v>6.585</v>
      </c>
      <c r="C97" s="10">
        <v>1.1050000000000001E-2</v>
      </c>
      <c r="D97" s="36">
        <f t="shared" ref="D97" si="438">AVERAGE(C97:C98)</f>
        <v>7.8935000000000012E-3</v>
      </c>
      <c r="E97" s="36">
        <f t="shared" ref="E97" si="439">_xlfn.STDEV.S(C97:C98)/SQRT(2)</f>
        <v>3.1564999999999992E-3</v>
      </c>
      <c r="F97" s="36">
        <f t="shared" ref="F97" si="440">(D97*1*0.2)/(6220*0.6*0.01*10^-3)</f>
        <v>4.2301714898177932E-2</v>
      </c>
      <c r="G97" s="36">
        <f>F97/B97</f>
        <v>6.4239506299434979E-3</v>
      </c>
      <c r="H97" s="33">
        <f t="shared" ref="H97" si="441">G97*1000</f>
        <v>6.4239506299434979</v>
      </c>
      <c r="I97" s="33"/>
      <c r="J97" s="34"/>
      <c r="K97" s="36">
        <v>6.9750000000000005</v>
      </c>
      <c r="L97" s="10">
        <v>2.2109999999999999E-3</v>
      </c>
      <c r="M97" s="36">
        <f t="shared" ref="M97" si="442">AVERAGE(L97:L98)</f>
        <v>2.4935000000000001E-3</v>
      </c>
      <c r="N97" s="36">
        <f t="shared" ref="N97" si="443">_xlfn.STDEV.S(L97:L98)/SQRT(2)</f>
        <v>2.8249999999999993E-4</v>
      </c>
      <c r="O97" s="36">
        <f t="shared" ref="O97" si="444">(M97*1*0.2)/(6220*0.6*0.01*10^-3)</f>
        <v>1.3362808145766345E-2</v>
      </c>
      <c r="P97" s="36">
        <f t="shared" ref="P97" si="445">O97/K97</f>
        <v>1.9158147879234902E-3</v>
      </c>
      <c r="Q97" s="33">
        <f t="shared" ref="Q97" si="446">P97*1000</f>
        <v>1.9158147879234901</v>
      </c>
      <c r="R97" s="33"/>
      <c r="S97" s="34"/>
    </row>
    <row r="98" spans="1:19" x14ac:dyDescent="0.35">
      <c r="A98" s="37"/>
      <c r="B98" s="38"/>
      <c r="C98" s="10">
        <v>4.7369999999999999E-3</v>
      </c>
      <c r="D98" s="36"/>
      <c r="E98" s="36"/>
      <c r="F98" s="36"/>
      <c r="G98" s="36"/>
      <c r="H98" s="33"/>
      <c r="I98" s="33"/>
      <c r="J98" s="34"/>
      <c r="K98" s="36"/>
      <c r="L98" s="10">
        <v>2.7759999999999998E-3</v>
      </c>
      <c r="M98" s="36"/>
      <c r="N98" s="36"/>
      <c r="O98" s="36"/>
      <c r="P98" s="36"/>
      <c r="Q98" s="33"/>
      <c r="R98" s="33"/>
      <c r="S98" s="34"/>
    </row>
    <row r="99" spans="1:19" x14ac:dyDescent="0.35">
      <c r="A99" s="37">
        <v>49</v>
      </c>
      <c r="B99" s="38">
        <v>7.1849999999999996</v>
      </c>
      <c r="C99" s="2">
        <v>6.8799999999999998E-3</v>
      </c>
      <c r="D99" s="36">
        <f>AVERAGE(C99:C100)</f>
        <v>6.7670000000000004E-3</v>
      </c>
      <c r="E99" s="36">
        <f t="shared" ref="E99" si="447">_xlfn.STDEV.S(C99:C100)/SQRT(2)</f>
        <v>1.1299999999999981E-4</v>
      </c>
      <c r="F99" s="36">
        <f t="shared" ref="F99" si="448">(D99*1*0.2)/(6220*0.6*0.01*10^-3)</f>
        <v>3.6264737406216517E-2</v>
      </c>
      <c r="G99" s="36">
        <f>F99/B99</f>
        <v>5.0472842597378597E-3</v>
      </c>
      <c r="H99" s="33">
        <f t="shared" ref="H99" si="449">G99*1000</f>
        <v>5.04728425973786</v>
      </c>
      <c r="I99" s="33">
        <f t="shared" ref="I99" si="450">AVERAGE(H99:H104)</f>
        <v>10.304115365287565</v>
      </c>
      <c r="J99" s="34">
        <f t="shared" ref="J99" si="451">(_xlfn.STDEV.S(H99:H104)/SQRT(3))/I99</f>
        <v>0.27516955548825545</v>
      </c>
      <c r="K99" s="36">
        <v>7.7925000000000013</v>
      </c>
      <c r="L99" s="10">
        <v>1.7999999999999999E-2</v>
      </c>
      <c r="M99" s="36">
        <f>AVERAGE(L99:L100)</f>
        <v>6.4250000000000002E-2</v>
      </c>
      <c r="N99" s="36">
        <f t="shared" ref="N99" si="452">_xlfn.STDEV.S(L99:L100)/SQRT(2)</f>
        <v>4.6249999999999999E-2</v>
      </c>
      <c r="O99" s="36">
        <f t="shared" ref="O99" si="453">(M99*1*0.2)/(6220*0.6*0.01*10^-3)</f>
        <v>0.34431939978563775</v>
      </c>
      <c r="P99" s="36">
        <f t="shared" ref="P99" si="454">O99/K99</f>
        <v>4.4185999330848595E-2</v>
      </c>
      <c r="Q99" s="43">
        <f t="shared" ref="Q99" si="455">P99*1000</f>
        <v>44.185999330848595</v>
      </c>
      <c r="R99" s="33">
        <f>AVERAGE(Q103)</f>
        <v>2.5350145116032619</v>
      </c>
      <c r="S99" s="34" t="e">
        <f>(_xlfn.STDEV.S(Q103)/SQRT(1))/R99</f>
        <v>#DIV/0!</v>
      </c>
    </row>
    <row r="100" spans="1:19" x14ac:dyDescent="0.35">
      <c r="A100" s="37"/>
      <c r="B100" s="38"/>
      <c r="C100" s="2">
        <v>6.6540000000000002E-3</v>
      </c>
      <c r="D100" s="36"/>
      <c r="E100" s="36"/>
      <c r="F100" s="36"/>
      <c r="G100" s="36"/>
      <c r="H100" s="33"/>
      <c r="I100" s="33"/>
      <c r="J100" s="34"/>
      <c r="K100" s="36"/>
      <c r="L100" s="10">
        <v>0.1105</v>
      </c>
      <c r="M100" s="36"/>
      <c r="N100" s="36"/>
      <c r="O100" s="36"/>
      <c r="P100" s="36"/>
      <c r="Q100" s="43"/>
      <c r="R100" s="33"/>
      <c r="S100" s="34"/>
    </row>
    <row r="101" spans="1:19" x14ac:dyDescent="0.35">
      <c r="A101" s="37">
        <v>50</v>
      </c>
      <c r="B101" s="38">
        <v>4.9050000000000002</v>
      </c>
      <c r="C101" s="2">
        <v>1.516E-2</v>
      </c>
      <c r="D101" s="36">
        <f>AVERAGE(C101:C102)</f>
        <v>1.0151E-2</v>
      </c>
      <c r="E101" s="36">
        <f t="shared" ref="E101" si="456">_xlfn.STDEV.S(C101:C102)/SQRT(2)</f>
        <v>5.0090000000000004E-3</v>
      </c>
      <c r="F101" s="36">
        <f t="shared" ref="F101" si="457">(D101*1*0.2)/(6220*0.6*0.01*10^-3)</f>
        <v>5.4399785637727766E-2</v>
      </c>
      <c r="G101" s="36">
        <f>F101/B101</f>
        <v>1.1090680048466415E-2</v>
      </c>
      <c r="H101" s="33">
        <f t="shared" ref="H101" si="458">G101*1000</f>
        <v>11.090680048466416</v>
      </c>
      <c r="I101" s="33"/>
      <c r="J101" s="34"/>
      <c r="K101" s="36">
        <v>7.8825000000000012</v>
      </c>
      <c r="L101" s="2">
        <v>2.6800000000000001E-2</v>
      </c>
      <c r="M101" s="36">
        <f>AVERAGE(L101:L102)</f>
        <v>0.11094999999999999</v>
      </c>
      <c r="N101" s="36">
        <f t="shared" ref="N101" si="459">_xlfn.STDEV.S(L101:L102)/SQRT(2)</f>
        <v>8.4149999999999989E-2</v>
      </c>
      <c r="O101" s="36">
        <f t="shared" ref="O101" si="460">(M101*1*0.2)/(6220*0.6*0.01*10^-3)</f>
        <v>0.59458735262593787</v>
      </c>
      <c r="P101" s="36">
        <f t="shared" ref="P101" si="461">O101/K101</f>
        <v>7.5431316539922327E-2</v>
      </c>
      <c r="Q101" s="43">
        <f t="shared" ref="Q101" si="462">P101*1000</f>
        <v>75.431316539922321</v>
      </c>
      <c r="R101" s="33"/>
      <c r="S101" s="34"/>
    </row>
    <row r="102" spans="1:19" x14ac:dyDescent="0.35">
      <c r="A102" s="37"/>
      <c r="B102" s="38"/>
      <c r="C102" s="2">
        <v>5.1420000000000007E-3</v>
      </c>
      <c r="D102" s="36"/>
      <c r="E102" s="36"/>
      <c r="F102" s="36"/>
      <c r="G102" s="36"/>
      <c r="H102" s="33"/>
      <c r="I102" s="33"/>
      <c r="J102" s="34"/>
      <c r="K102" s="36"/>
      <c r="L102" s="2">
        <v>0.1951</v>
      </c>
      <c r="M102" s="36"/>
      <c r="N102" s="36"/>
      <c r="O102" s="36"/>
      <c r="P102" s="36"/>
      <c r="Q102" s="43"/>
      <c r="R102" s="33"/>
      <c r="S102" s="34"/>
    </row>
    <row r="103" spans="1:19" x14ac:dyDescent="0.35">
      <c r="A103" s="37">
        <v>51</v>
      </c>
      <c r="B103" s="38">
        <v>5.58</v>
      </c>
      <c r="C103" s="2">
        <v>2.4E-2</v>
      </c>
      <c r="D103" s="36">
        <f>AVERAGE(C103:C104)</f>
        <v>1.5383500000000001E-2</v>
      </c>
      <c r="E103" s="36">
        <f t="shared" ref="E103" si="463">_xlfn.STDEV.S(C103:C104)/SQRT(2)</f>
        <v>8.6164999999999992E-3</v>
      </c>
      <c r="F103" s="36">
        <f t="shared" ref="F103" si="464">(D103*1*0.2)/(6220*0.6*0.01*10^-3)</f>
        <v>8.2441050375133981E-2</v>
      </c>
      <c r="G103" s="36">
        <f>F103/B103</f>
        <v>1.4774381787658419E-2</v>
      </c>
      <c r="H103" s="33">
        <f t="shared" ref="H103" si="465">G103*1000</f>
        <v>14.774381787658418</v>
      </c>
      <c r="I103" s="33"/>
      <c r="J103" s="34"/>
      <c r="K103" s="38">
        <v>8.01</v>
      </c>
      <c r="L103" s="2">
        <v>3.7890000000000003E-3</v>
      </c>
      <c r="M103" s="36">
        <f>AVERAGE(L103:L104)</f>
        <v>3.7890000000000003E-3</v>
      </c>
      <c r="N103" s="36" t="e">
        <f t="shared" ref="N103" si="466">_xlfn.STDEV.S(L103:L104)/SQRT(2)</f>
        <v>#DIV/0!</v>
      </c>
      <c r="O103" s="36">
        <f t="shared" ref="O103" si="467">(M103*1*0.2)/(6220*0.6*0.01*10^-3)</f>
        <v>2.0305466237942126E-2</v>
      </c>
      <c r="P103" s="36">
        <f t="shared" ref="P103" si="468">O103/K103</f>
        <v>2.5350145116032619E-3</v>
      </c>
      <c r="Q103" s="33">
        <f t="shared" ref="Q103" si="469">P103*1000</f>
        <v>2.5350145116032619</v>
      </c>
      <c r="R103" s="33"/>
      <c r="S103" s="34"/>
    </row>
    <row r="104" spans="1:19" x14ac:dyDescent="0.35">
      <c r="A104" s="37"/>
      <c r="B104" s="38"/>
      <c r="C104" s="2">
        <v>6.7670000000000004E-3</v>
      </c>
      <c r="D104" s="36"/>
      <c r="E104" s="36"/>
      <c r="F104" s="36"/>
      <c r="G104" s="36"/>
      <c r="H104" s="33"/>
      <c r="I104" s="33"/>
      <c r="J104" s="34"/>
      <c r="K104" s="38"/>
      <c r="L104" s="5"/>
      <c r="M104" s="36"/>
      <c r="N104" s="36"/>
      <c r="O104" s="36"/>
      <c r="P104" s="36"/>
      <c r="Q104" s="33"/>
      <c r="R104" s="33"/>
      <c r="S104" s="34"/>
    </row>
  </sheetData>
  <mergeCells count="725">
    <mergeCell ref="Q3:Q4"/>
    <mergeCell ref="A5:A6"/>
    <mergeCell ref="B5:B6"/>
    <mergeCell ref="D5:D6"/>
    <mergeCell ref="E5:E6"/>
    <mergeCell ref="F5:F6"/>
    <mergeCell ref="G5:G6"/>
    <mergeCell ref="H5:H6"/>
    <mergeCell ref="K5:K6"/>
    <mergeCell ref="M5:M6"/>
    <mergeCell ref="H3:H4"/>
    <mergeCell ref="K3:K4"/>
    <mergeCell ref="M3:M4"/>
    <mergeCell ref="N3:N4"/>
    <mergeCell ref="O3:O4"/>
    <mergeCell ref="P3:P4"/>
    <mergeCell ref="A3:A4"/>
    <mergeCell ref="B3:B4"/>
    <mergeCell ref="N7:N8"/>
    <mergeCell ref="O7:O8"/>
    <mergeCell ref="P7:P8"/>
    <mergeCell ref="G3:G4"/>
    <mergeCell ref="N5:N6"/>
    <mergeCell ref="O5:O6"/>
    <mergeCell ref="A9:A10"/>
    <mergeCell ref="B9:B10"/>
    <mergeCell ref="D9:D10"/>
    <mergeCell ref="A11:A12"/>
    <mergeCell ref="B11:B12"/>
    <mergeCell ref="D11:D12"/>
    <mergeCell ref="E11:E12"/>
    <mergeCell ref="F11:F12"/>
    <mergeCell ref="G11:G12"/>
    <mergeCell ref="Q11:Q12"/>
    <mergeCell ref="H11:H12"/>
    <mergeCell ref="K11:K12"/>
    <mergeCell ref="M11:M12"/>
    <mergeCell ref="N11:N12"/>
    <mergeCell ref="O11:O12"/>
    <mergeCell ref="P11:P12"/>
    <mergeCell ref="I3:I12"/>
    <mergeCell ref="J3:J12"/>
    <mergeCell ref="K9:K10"/>
    <mergeCell ref="M9:M10"/>
    <mergeCell ref="P5:P6"/>
    <mergeCell ref="Q5:Q6"/>
    <mergeCell ref="A7:A8"/>
    <mergeCell ref="D3:D4"/>
    <mergeCell ref="E3:E4"/>
    <mergeCell ref="F3:F4"/>
    <mergeCell ref="G7:G8"/>
    <mergeCell ref="Q15:Q16"/>
    <mergeCell ref="H15:H16"/>
    <mergeCell ref="K15:K16"/>
    <mergeCell ref="M15:M16"/>
    <mergeCell ref="N15:N16"/>
    <mergeCell ref="O15:O16"/>
    <mergeCell ref="P15:P16"/>
    <mergeCell ref="B7:B8"/>
    <mergeCell ref="D7:D8"/>
    <mergeCell ref="E7:E8"/>
    <mergeCell ref="F7:F8"/>
    <mergeCell ref="E9:E10"/>
    <mergeCell ref="F9:F10"/>
    <mergeCell ref="G9:G10"/>
    <mergeCell ref="H9:H10"/>
    <mergeCell ref="Q13:Q14"/>
    <mergeCell ref="N9:N10"/>
    <mergeCell ref="O9:O10"/>
    <mergeCell ref="P9:P10"/>
    <mergeCell ref="Q9:Q10"/>
    <mergeCell ref="Q7:Q8"/>
    <mergeCell ref="H7:H8"/>
    <mergeCell ref="K7:K8"/>
    <mergeCell ref="M7:M8"/>
    <mergeCell ref="A13:A14"/>
    <mergeCell ref="B13:B14"/>
    <mergeCell ref="D13:D14"/>
    <mergeCell ref="E13:E14"/>
    <mergeCell ref="F13:F14"/>
    <mergeCell ref="G13:G14"/>
    <mergeCell ref="K21:K22"/>
    <mergeCell ref="M21:M22"/>
    <mergeCell ref="N17:N18"/>
    <mergeCell ref="N21:N22"/>
    <mergeCell ref="A15:A16"/>
    <mergeCell ref="B15:B16"/>
    <mergeCell ref="D15:D16"/>
    <mergeCell ref="E15:E16"/>
    <mergeCell ref="F15:F16"/>
    <mergeCell ref="G15:G16"/>
    <mergeCell ref="O17:O18"/>
    <mergeCell ref="P17:P18"/>
    <mergeCell ref="H13:H14"/>
    <mergeCell ref="K13:K14"/>
    <mergeCell ref="M13:M14"/>
    <mergeCell ref="G17:G18"/>
    <mergeCell ref="H17:H18"/>
    <mergeCell ref="K17:K18"/>
    <mergeCell ref="M17:M18"/>
    <mergeCell ref="Q17:Q18"/>
    <mergeCell ref="A19:A20"/>
    <mergeCell ref="B19:B20"/>
    <mergeCell ref="D19:D20"/>
    <mergeCell ref="E19:E20"/>
    <mergeCell ref="F19:F20"/>
    <mergeCell ref="G19:G20"/>
    <mergeCell ref="Q19:Q20"/>
    <mergeCell ref="H19:H20"/>
    <mergeCell ref="K19:K20"/>
    <mergeCell ref="M19:M20"/>
    <mergeCell ref="N19:N20"/>
    <mergeCell ref="O19:O20"/>
    <mergeCell ref="P19:P20"/>
    <mergeCell ref="A17:A18"/>
    <mergeCell ref="B17:B18"/>
    <mergeCell ref="D17:D18"/>
    <mergeCell ref="E17:E18"/>
    <mergeCell ref="F17:F18"/>
    <mergeCell ref="I13:I22"/>
    <mergeCell ref="J13:J22"/>
    <mergeCell ref="N13:N14"/>
    <mergeCell ref="O13:O14"/>
    <mergeCell ref="P13:P14"/>
    <mergeCell ref="O21:O22"/>
    <mergeCell ref="P21:P22"/>
    <mergeCell ref="Q21:Q22"/>
    <mergeCell ref="A23:A24"/>
    <mergeCell ref="B23:B24"/>
    <mergeCell ref="D23:D24"/>
    <mergeCell ref="E23:E24"/>
    <mergeCell ref="F23:F24"/>
    <mergeCell ref="G23:G24"/>
    <mergeCell ref="Q23:Q24"/>
    <mergeCell ref="H23:H24"/>
    <mergeCell ref="K23:K24"/>
    <mergeCell ref="M23:M24"/>
    <mergeCell ref="N23:N24"/>
    <mergeCell ref="O23:O24"/>
    <mergeCell ref="P23:P24"/>
    <mergeCell ref="A21:A22"/>
    <mergeCell ref="B21:B22"/>
    <mergeCell ref="D21:D22"/>
    <mergeCell ref="E21:E22"/>
    <mergeCell ref="F21:F22"/>
    <mergeCell ref="G21:G22"/>
    <mergeCell ref="H21:H22"/>
    <mergeCell ref="Q25:Q26"/>
    <mergeCell ref="A27:A28"/>
    <mergeCell ref="B27:B28"/>
    <mergeCell ref="D27:D28"/>
    <mergeCell ref="E27:E28"/>
    <mergeCell ref="F27:F28"/>
    <mergeCell ref="G27:G28"/>
    <mergeCell ref="Q27:Q28"/>
    <mergeCell ref="H27:H28"/>
    <mergeCell ref="K27:K28"/>
    <mergeCell ref="M27:M28"/>
    <mergeCell ref="N27:N28"/>
    <mergeCell ref="O27:O28"/>
    <mergeCell ref="P27:P28"/>
    <mergeCell ref="A25:A26"/>
    <mergeCell ref="B25:B26"/>
    <mergeCell ref="D25:D26"/>
    <mergeCell ref="E25:E26"/>
    <mergeCell ref="F25:F26"/>
    <mergeCell ref="G25:G26"/>
    <mergeCell ref="H25:H26"/>
    <mergeCell ref="K25:K26"/>
    <mergeCell ref="M25:M26"/>
    <mergeCell ref="Q29:Q30"/>
    <mergeCell ref="A31:A32"/>
    <mergeCell ref="B31:B32"/>
    <mergeCell ref="D31:D32"/>
    <mergeCell ref="E31:E32"/>
    <mergeCell ref="F31:F32"/>
    <mergeCell ref="G31:G32"/>
    <mergeCell ref="Q31:Q32"/>
    <mergeCell ref="H31:H32"/>
    <mergeCell ref="K31:K32"/>
    <mergeCell ref="M31:M32"/>
    <mergeCell ref="N31:N32"/>
    <mergeCell ref="O31:O32"/>
    <mergeCell ref="P31:P32"/>
    <mergeCell ref="A29:A30"/>
    <mergeCell ref="B29:B30"/>
    <mergeCell ref="D29:D30"/>
    <mergeCell ref="E29:E30"/>
    <mergeCell ref="F29:F30"/>
    <mergeCell ref="G29:G30"/>
    <mergeCell ref="H29:H30"/>
    <mergeCell ref="K29:K30"/>
    <mergeCell ref="M29:M30"/>
    <mergeCell ref="F33:F34"/>
    <mergeCell ref="G33:G34"/>
    <mergeCell ref="H33:H34"/>
    <mergeCell ref="K33:K34"/>
    <mergeCell ref="M33:M34"/>
    <mergeCell ref="N29:N30"/>
    <mergeCell ref="O29:O30"/>
    <mergeCell ref="P29:P30"/>
    <mergeCell ref="I23:I32"/>
    <mergeCell ref="J23:J32"/>
    <mergeCell ref="I33:I38"/>
    <mergeCell ref="J33:J38"/>
    <mergeCell ref="N25:N26"/>
    <mergeCell ref="O25:O26"/>
    <mergeCell ref="P25:P26"/>
    <mergeCell ref="N33:N34"/>
    <mergeCell ref="O33:O34"/>
    <mergeCell ref="P33:P34"/>
    <mergeCell ref="N37:N38"/>
    <mergeCell ref="O37:O38"/>
    <mergeCell ref="P37:P38"/>
    <mergeCell ref="A43:A44"/>
    <mergeCell ref="B43:B44"/>
    <mergeCell ref="G37:G38"/>
    <mergeCell ref="H37:H38"/>
    <mergeCell ref="K37:K38"/>
    <mergeCell ref="M37:M38"/>
    <mergeCell ref="Q33:Q34"/>
    <mergeCell ref="A35:A36"/>
    <mergeCell ref="B35:B36"/>
    <mergeCell ref="D35:D36"/>
    <mergeCell ref="E35:E36"/>
    <mergeCell ref="F35:F36"/>
    <mergeCell ref="G35:G36"/>
    <mergeCell ref="Q35:Q36"/>
    <mergeCell ref="H35:H36"/>
    <mergeCell ref="K35:K36"/>
    <mergeCell ref="M35:M36"/>
    <mergeCell ref="N35:N36"/>
    <mergeCell ref="O35:O36"/>
    <mergeCell ref="P35:P36"/>
    <mergeCell ref="A33:A34"/>
    <mergeCell ref="B33:B34"/>
    <mergeCell ref="D33:D34"/>
    <mergeCell ref="E33:E34"/>
    <mergeCell ref="Q37:Q38"/>
    <mergeCell ref="A39:A40"/>
    <mergeCell ref="B39:B40"/>
    <mergeCell ref="D39:D40"/>
    <mergeCell ref="E39:E40"/>
    <mergeCell ref="F39:F40"/>
    <mergeCell ref="G39:G40"/>
    <mergeCell ref="Q39:Q40"/>
    <mergeCell ref="H39:H40"/>
    <mergeCell ref="K39:K40"/>
    <mergeCell ref="M39:M40"/>
    <mergeCell ref="N39:N40"/>
    <mergeCell ref="O39:O40"/>
    <mergeCell ref="P39:P40"/>
    <mergeCell ref="A37:A38"/>
    <mergeCell ref="B37:B38"/>
    <mergeCell ref="D37:D38"/>
    <mergeCell ref="E37:E38"/>
    <mergeCell ref="F37:F38"/>
    <mergeCell ref="D43:D44"/>
    <mergeCell ref="E43:E44"/>
    <mergeCell ref="F43:F44"/>
    <mergeCell ref="G43:G44"/>
    <mergeCell ref="Q43:Q44"/>
    <mergeCell ref="H43:H44"/>
    <mergeCell ref="K43:K44"/>
    <mergeCell ref="M43:M44"/>
    <mergeCell ref="N43:N44"/>
    <mergeCell ref="O43:O44"/>
    <mergeCell ref="P43:P44"/>
    <mergeCell ref="I39:I44"/>
    <mergeCell ref="J39:J44"/>
    <mergeCell ref="Q41:Q42"/>
    <mergeCell ref="A41:A42"/>
    <mergeCell ref="B41:B42"/>
    <mergeCell ref="D41:D42"/>
    <mergeCell ref="E41:E42"/>
    <mergeCell ref="F41:F42"/>
    <mergeCell ref="G41:G42"/>
    <mergeCell ref="H41:H42"/>
    <mergeCell ref="K41:K42"/>
    <mergeCell ref="M41:M42"/>
    <mergeCell ref="H45:H46"/>
    <mergeCell ref="K45:K46"/>
    <mergeCell ref="M45:M46"/>
    <mergeCell ref="N41:N42"/>
    <mergeCell ref="O41:O42"/>
    <mergeCell ref="P41:P42"/>
    <mergeCell ref="I45:I50"/>
    <mergeCell ref="J45:J50"/>
    <mergeCell ref="K49:K50"/>
    <mergeCell ref="M49:M50"/>
    <mergeCell ref="N45:N46"/>
    <mergeCell ref="O45:O46"/>
    <mergeCell ref="P45:P46"/>
    <mergeCell ref="N49:N50"/>
    <mergeCell ref="O49:O50"/>
    <mergeCell ref="P49:P50"/>
    <mergeCell ref="G49:G50"/>
    <mergeCell ref="H49:H50"/>
    <mergeCell ref="I51:I56"/>
    <mergeCell ref="J51:J56"/>
    <mergeCell ref="Q45:Q46"/>
    <mergeCell ref="A47:A48"/>
    <mergeCell ref="B47:B48"/>
    <mergeCell ref="D47:D48"/>
    <mergeCell ref="E47:E48"/>
    <mergeCell ref="F47:F48"/>
    <mergeCell ref="G47:G48"/>
    <mergeCell ref="Q47:Q48"/>
    <mergeCell ref="H47:H48"/>
    <mergeCell ref="K47:K48"/>
    <mergeCell ref="M47:M48"/>
    <mergeCell ref="N47:N48"/>
    <mergeCell ref="O47:O48"/>
    <mergeCell ref="P47:P48"/>
    <mergeCell ref="A45:A46"/>
    <mergeCell ref="B45:B46"/>
    <mergeCell ref="D45:D46"/>
    <mergeCell ref="E45:E46"/>
    <mergeCell ref="F45:F46"/>
    <mergeCell ref="G45:G46"/>
    <mergeCell ref="F53:F54"/>
    <mergeCell ref="G53:G54"/>
    <mergeCell ref="H53:H54"/>
    <mergeCell ref="K53:K54"/>
    <mergeCell ref="M53:M54"/>
    <mergeCell ref="Q49:Q50"/>
    <mergeCell ref="A51:A52"/>
    <mergeCell ref="B51:B52"/>
    <mergeCell ref="D51:D52"/>
    <mergeCell ref="E51:E52"/>
    <mergeCell ref="F51:F52"/>
    <mergeCell ref="G51:G52"/>
    <mergeCell ref="Q51:Q52"/>
    <mergeCell ref="H51:H52"/>
    <mergeCell ref="K51:K52"/>
    <mergeCell ref="M51:M52"/>
    <mergeCell ref="N51:N52"/>
    <mergeCell ref="O51:O52"/>
    <mergeCell ref="P51:P52"/>
    <mergeCell ref="A49:A50"/>
    <mergeCell ref="B49:B50"/>
    <mergeCell ref="D49:D50"/>
    <mergeCell ref="E49:E50"/>
    <mergeCell ref="F49:F50"/>
    <mergeCell ref="F57:F58"/>
    <mergeCell ref="G57:G58"/>
    <mergeCell ref="H57:H58"/>
    <mergeCell ref="K57:K58"/>
    <mergeCell ref="M57:M58"/>
    <mergeCell ref="P53:P54"/>
    <mergeCell ref="Q53:Q54"/>
    <mergeCell ref="A55:A56"/>
    <mergeCell ref="B55:B56"/>
    <mergeCell ref="D55:D56"/>
    <mergeCell ref="E55:E56"/>
    <mergeCell ref="F55:F56"/>
    <mergeCell ref="G55:G56"/>
    <mergeCell ref="Q55:Q56"/>
    <mergeCell ref="H55:H56"/>
    <mergeCell ref="K55:K56"/>
    <mergeCell ref="M55:M56"/>
    <mergeCell ref="N55:N56"/>
    <mergeCell ref="O55:O56"/>
    <mergeCell ref="P55:P56"/>
    <mergeCell ref="A53:A54"/>
    <mergeCell ref="B53:B54"/>
    <mergeCell ref="D53:D54"/>
    <mergeCell ref="E53:E54"/>
    <mergeCell ref="A61:A62"/>
    <mergeCell ref="B61:B62"/>
    <mergeCell ref="D61:D62"/>
    <mergeCell ref="E61:E62"/>
    <mergeCell ref="F61:F62"/>
    <mergeCell ref="G61:G62"/>
    <mergeCell ref="H61:H62"/>
    <mergeCell ref="K61:K62"/>
    <mergeCell ref="M61:M62"/>
    <mergeCell ref="I57:I62"/>
    <mergeCell ref="J57:J62"/>
    <mergeCell ref="A59:A60"/>
    <mergeCell ref="B59:B60"/>
    <mergeCell ref="D59:D60"/>
    <mergeCell ref="E59:E60"/>
    <mergeCell ref="F59:F60"/>
    <mergeCell ref="G59:G60"/>
    <mergeCell ref="H59:H60"/>
    <mergeCell ref="K59:K60"/>
    <mergeCell ref="M59:M60"/>
    <mergeCell ref="A57:A58"/>
    <mergeCell ref="B57:B58"/>
    <mergeCell ref="D57:D58"/>
    <mergeCell ref="E57:E58"/>
    <mergeCell ref="A63:A64"/>
    <mergeCell ref="B63:B64"/>
    <mergeCell ref="D63:D64"/>
    <mergeCell ref="E63:E64"/>
    <mergeCell ref="F63:F64"/>
    <mergeCell ref="G63:G64"/>
    <mergeCell ref="Q63:Q64"/>
    <mergeCell ref="H63:H64"/>
    <mergeCell ref="K63:K64"/>
    <mergeCell ref="M63:M64"/>
    <mergeCell ref="N63:N64"/>
    <mergeCell ref="O63:O64"/>
    <mergeCell ref="P63:P64"/>
    <mergeCell ref="A67:A68"/>
    <mergeCell ref="B67:B68"/>
    <mergeCell ref="D67:D68"/>
    <mergeCell ref="E67:E68"/>
    <mergeCell ref="F67:F68"/>
    <mergeCell ref="G67:G68"/>
    <mergeCell ref="Q67:Q68"/>
    <mergeCell ref="H67:H68"/>
    <mergeCell ref="K67:K68"/>
    <mergeCell ref="M67:M68"/>
    <mergeCell ref="N67:N68"/>
    <mergeCell ref="O67:O68"/>
    <mergeCell ref="P67:P68"/>
    <mergeCell ref="I63:I68"/>
    <mergeCell ref="J63:J68"/>
    <mergeCell ref="A65:A66"/>
    <mergeCell ref="B65:B66"/>
    <mergeCell ref="D65:D66"/>
    <mergeCell ref="E65:E66"/>
    <mergeCell ref="F65:F66"/>
    <mergeCell ref="G65:G66"/>
    <mergeCell ref="H65:H66"/>
    <mergeCell ref="K65:K66"/>
    <mergeCell ref="M65:M66"/>
    <mergeCell ref="A69:A70"/>
    <mergeCell ref="B69:B70"/>
    <mergeCell ref="D69:D70"/>
    <mergeCell ref="E69:E70"/>
    <mergeCell ref="F69:F70"/>
    <mergeCell ref="G69:G70"/>
    <mergeCell ref="H69:H70"/>
    <mergeCell ref="K69:K70"/>
    <mergeCell ref="M69:M70"/>
    <mergeCell ref="A71:A72"/>
    <mergeCell ref="B71:B72"/>
    <mergeCell ref="D71:D72"/>
    <mergeCell ref="E71:E72"/>
    <mergeCell ref="F71:F72"/>
    <mergeCell ref="G71:G72"/>
    <mergeCell ref="Q71:Q72"/>
    <mergeCell ref="H71:H72"/>
    <mergeCell ref="K71:K72"/>
    <mergeCell ref="M71:M72"/>
    <mergeCell ref="N71:N72"/>
    <mergeCell ref="O71:O72"/>
    <mergeCell ref="P71:P72"/>
    <mergeCell ref="A73:A74"/>
    <mergeCell ref="B73:B74"/>
    <mergeCell ref="D73:D74"/>
    <mergeCell ref="E73:E74"/>
    <mergeCell ref="F73:F74"/>
    <mergeCell ref="G73:G74"/>
    <mergeCell ref="H73:H74"/>
    <mergeCell ref="K73:K74"/>
    <mergeCell ref="M73:M74"/>
    <mergeCell ref="A75:A76"/>
    <mergeCell ref="B75:B76"/>
    <mergeCell ref="D75:D76"/>
    <mergeCell ref="E75:E76"/>
    <mergeCell ref="F75:F76"/>
    <mergeCell ref="G75:G76"/>
    <mergeCell ref="Q75:Q76"/>
    <mergeCell ref="H75:H76"/>
    <mergeCell ref="K75:K76"/>
    <mergeCell ref="M75:M76"/>
    <mergeCell ref="N75:N76"/>
    <mergeCell ref="O75:O76"/>
    <mergeCell ref="P75:P76"/>
    <mergeCell ref="A77:A78"/>
    <mergeCell ref="B77:B78"/>
    <mergeCell ref="D77:D78"/>
    <mergeCell ref="E77:E78"/>
    <mergeCell ref="F77:F78"/>
    <mergeCell ref="G77:G78"/>
    <mergeCell ref="H77:H78"/>
    <mergeCell ref="K77:K78"/>
    <mergeCell ref="M77:M78"/>
    <mergeCell ref="A79:A80"/>
    <mergeCell ref="B79:B80"/>
    <mergeCell ref="D79:D80"/>
    <mergeCell ref="E79:E80"/>
    <mergeCell ref="F79:F80"/>
    <mergeCell ref="G79:G80"/>
    <mergeCell ref="Q79:Q80"/>
    <mergeCell ref="H79:H80"/>
    <mergeCell ref="K79:K80"/>
    <mergeCell ref="M79:M80"/>
    <mergeCell ref="N79:N80"/>
    <mergeCell ref="O79:O80"/>
    <mergeCell ref="P79:P80"/>
    <mergeCell ref="A81:A82"/>
    <mergeCell ref="B81:B82"/>
    <mergeCell ref="D81:D82"/>
    <mergeCell ref="E81:E82"/>
    <mergeCell ref="F81:F82"/>
    <mergeCell ref="G81:G82"/>
    <mergeCell ref="H81:H82"/>
    <mergeCell ref="K81:K82"/>
    <mergeCell ref="M81:M82"/>
    <mergeCell ref="A83:A84"/>
    <mergeCell ref="B83:B84"/>
    <mergeCell ref="D83:D84"/>
    <mergeCell ref="E83:E84"/>
    <mergeCell ref="F83:F84"/>
    <mergeCell ref="G83:G84"/>
    <mergeCell ref="Q83:Q84"/>
    <mergeCell ref="H83:H84"/>
    <mergeCell ref="K83:K84"/>
    <mergeCell ref="M83:M84"/>
    <mergeCell ref="N83:N84"/>
    <mergeCell ref="O83:O84"/>
    <mergeCell ref="P83:P84"/>
    <mergeCell ref="A85:A86"/>
    <mergeCell ref="B85:B86"/>
    <mergeCell ref="D85:D86"/>
    <mergeCell ref="E85:E86"/>
    <mergeCell ref="F85:F86"/>
    <mergeCell ref="G85:G86"/>
    <mergeCell ref="H85:H86"/>
    <mergeCell ref="K85:K86"/>
    <mergeCell ref="M85:M86"/>
    <mergeCell ref="A87:A88"/>
    <mergeCell ref="B87:B88"/>
    <mergeCell ref="D87:D88"/>
    <mergeCell ref="E87:E88"/>
    <mergeCell ref="F87:F88"/>
    <mergeCell ref="G87:G88"/>
    <mergeCell ref="Q87:Q88"/>
    <mergeCell ref="H87:H88"/>
    <mergeCell ref="K87:K88"/>
    <mergeCell ref="M87:M88"/>
    <mergeCell ref="N87:N88"/>
    <mergeCell ref="O87:O88"/>
    <mergeCell ref="P87:P88"/>
    <mergeCell ref="F89:F90"/>
    <mergeCell ref="G89:G90"/>
    <mergeCell ref="H89:H90"/>
    <mergeCell ref="K89:K90"/>
    <mergeCell ref="M89:M90"/>
    <mergeCell ref="N85:N86"/>
    <mergeCell ref="O85:O86"/>
    <mergeCell ref="P85:P86"/>
    <mergeCell ref="Q85:Q86"/>
    <mergeCell ref="H93:H94"/>
    <mergeCell ref="K93:K94"/>
    <mergeCell ref="M93:M94"/>
    <mergeCell ref="N89:N90"/>
    <mergeCell ref="O89:O90"/>
    <mergeCell ref="P89:P90"/>
    <mergeCell ref="Q89:Q90"/>
    <mergeCell ref="A91:A92"/>
    <mergeCell ref="B91:B92"/>
    <mergeCell ref="D91:D92"/>
    <mergeCell ref="E91:E92"/>
    <mergeCell ref="F91:F92"/>
    <mergeCell ref="G91:G92"/>
    <mergeCell ref="Q91:Q92"/>
    <mergeCell ref="H91:H92"/>
    <mergeCell ref="K91:K92"/>
    <mergeCell ref="M91:M92"/>
    <mergeCell ref="N91:N92"/>
    <mergeCell ref="O91:O92"/>
    <mergeCell ref="P91:P92"/>
    <mergeCell ref="A89:A90"/>
    <mergeCell ref="B89:B90"/>
    <mergeCell ref="D89:D90"/>
    <mergeCell ref="E89:E90"/>
    <mergeCell ref="A95:A96"/>
    <mergeCell ref="B95:B96"/>
    <mergeCell ref="D95:D96"/>
    <mergeCell ref="E95:E96"/>
    <mergeCell ref="F95:F96"/>
    <mergeCell ref="G95:G96"/>
    <mergeCell ref="A93:A94"/>
    <mergeCell ref="B93:B94"/>
    <mergeCell ref="D93:D94"/>
    <mergeCell ref="E93:E94"/>
    <mergeCell ref="F93:F94"/>
    <mergeCell ref="G93:G94"/>
    <mergeCell ref="A97:A98"/>
    <mergeCell ref="B97:B98"/>
    <mergeCell ref="D97:D98"/>
    <mergeCell ref="E97:E98"/>
    <mergeCell ref="F97:F98"/>
    <mergeCell ref="G97:G98"/>
    <mergeCell ref="H97:H98"/>
    <mergeCell ref="K97:K98"/>
    <mergeCell ref="M97:M98"/>
    <mergeCell ref="A103:A104"/>
    <mergeCell ref="B103:B104"/>
    <mergeCell ref="D103:D104"/>
    <mergeCell ref="E103:E104"/>
    <mergeCell ref="F103:F104"/>
    <mergeCell ref="G103:G104"/>
    <mergeCell ref="Q99:Q100"/>
    <mergeCell ref="A101:A102"/>
    <mergeCell ref="B101:B102"/>
    <mergeCell ref="D101:D102"/>
    <mergeCell ref="E101:E102"/>
    <mergeCell ref="F101:F102"/>
    <mergeCell ref="G101:G102"/>
    <mergeCell ref="H101:H102"/>
    <mergeCell ref="K101:K102"/>
    <mergeCell ref="M101:M102"/>
    <mergeCell ref="H99:H100"/>
    <mergeCell ref="K99:K100"/>
    <mergeCell ref="M99:M100"/>
    <mergeCell ref="N99:N100"/>
    <mergeCell ref="O99:O100"/>
    <mergeCell ref="P99:P100"/>
    <mergeCell ref="A99:A100"/>
    <mergeCell ref="B99:B100"/>
    <mergeCell ref="B1:H1"/>
    <mergeCell ref="K1:Q1"/>
    <mergeCell ref="H103:H104"/>
    <mergeCell ref="K103:K104"/>
    <mergeCell ref="M103:M104"/>
    <mergeCell ref="N103:N104"/>
    <mergeCell ref="O103:O104"/>
    <mergeCell ref="P103:P104"/>
    <mergeCell ref="N101:N102"/>
    <mergeCell ref="O101:O102"/>
    <mergeCell ref="P101:P102"/>
    <mergeCell ref="Q101:Q102"/>
    <mergeCell ref="N97:N98"/>
    <mergeCell ref="O97:O98"/>
    <mergeCell ref="P97:P98"/>
    <mergeCell ref="Q97:Q98"/>
    <mergeCell ref="D99:D100"/>
    <mergeCell ref="E99:E100"/>
    <mergeCell ref="F99:F100"/>
    <mergeCell ref="G99:G100"/>
    <mergeCell ref="Q95:Q96"/>
    <mergeCell ref="H95:H96"/>
    <mergeCell ref="K95:K96"/>
    <mergeCell ref="M95:M96"/>
    <mergeCell ref="R75:R80"/>
    <mergeCell ref="R45:R50"/>
    <mergeCell ref="P69:P70"/>
    <mergeCell ref="Q69:Q70"/>
    <mergeCell ref="N65:N66"/>
    <mergeCell ref="O65:O66"/>
    <mergeCell ref="P65:P66"/>
    <mergeCell ref="Q65:Q66"/>
    <mergeCell ref="N61:N62"/>
    <mergeCell ref="O61:O62"/>
    <mergeCell ref="P61:P62"/>
    <mergeCell ref="Q61:Q62"/>
    <mergeCell ref="N57:N58"/>
    <mergeCell ref="O57:O58"/>
    <mergeCell ref="P57:P58"/>
    <mergeCell ref="Q57:Q58"/>
    <mergeCell ref="N53:N54"/>
    <mergeCell ref="O53:O54"/>
    <mergeCell ref="Q59:Q60"/>
    <mergeCell ref="N59:N60"/>
    <mergeCell ref="O59:O60"/>
    <mergeCell ref="P59:P60"/>
    <mergeCell ref="S75:S80"/>
    <mergeCell ref="I69:I74"/>
    <mergeCell ref="J69:J74"/>
    <mergeCell ref="I75:I80"/>
    <mergeCell ref="J75:J80"/>
    <mergeCell ref="I81:I86"/>
    <mergeCell ref="J81:J86"/>
    <mergeCell ref="I87:I92"/>
    <mergeCell ref="J87:J92"/>
    <mergeCell ref="N81:N82"/>
    <mergeCell ref="O81:O82"/>
    <mergeCell ref="P81:P82"/>
    <mergeCell ref="Q81:Q82"/>
    <mergeCell ref="N77:N78"/>
    <mergeCell ref="O77:O78"/>
    <mergeCell ref="P77:P78"/>
    <mergeCell ref="Q77:Q78"/>
    <mergeCell ref="N73:N74"/>
    <mergeCell ref="O73:O74"/>
    <mergeCell ref="P73:P74"/>
    <mergeCell ref="Q73:Q74"/>
    <mergeCell ref="N69:N70"/>
    <mergeCell ref="O69:O70"/>
    <mergeCell ref="R81:R86"/>
    <mergeCell ref="S45:S50"/>
    <mergeCell ref="R51:R56"/>
    <mergeCell ref="S51:S56"/>
    <mergeCell ref="R57:R62"/>
    <mergeCell ref="S57:S62"/>
    <mergeCell ref="R63:R68"/>
    <mergeCell ref="S63:S68"/>
    <mergeCell ref="R69:R74"/>
    <mergeCell ref="S69:S74"/>
    <mergeCell ref="R3:R12"/>
    <mergeCell ref="S3:S12"/>
    <mergeCell ref="R13:R22"/>
    <mergeCell ref="S13:S22"/>
    <mergeCell ref="R23:R32"/>
    <mergeCell ref="S23:S32"/>
    <mergeCell ref="R33:R38"/>
    <mergeCell ref="S33:S38"/>
    <mergeCell ref="R39:R44"/>
    <mergeCell ref="S39:S44"/>
    <mergeCell ref="S81:S86"/>
    <mergeCell ref="R87:R92"/>
    <mergeCell ref="S87:S92"/>
    <mergeCell ref="R93:R98"/>
    <mergeCell ref="S93:S98"/>
    <mergeCell ref="R99:R104"/>
    <mergeCell ref="S99:S104"/>
    <mergeCell ref="I99:I104"/>
    <mergeCell ref="J99:J104"/>
    <mergeCell ref="I93:I98"/>
    <mergeCell ref="J93:J98"/>
    <mergeCell ref="Q103:Q104"/>
    <mergeCell ref="N95:N96"/>
    <mergeCell ref="O95:O96"/>
    <mergeCell ref="P95:P96"/>
    <mergeCell ref="N93:N94"/>
    <mergeCell ref="O93:O94"/>
    <mergeCell ref="P93:P94"/>
    <mergeCell ref="Q93:Q94"/>
  </mergeCells>
  <conditionalFormatting sqref="C1:C1048576 L1:L1048576">
    <cfRule type="beginsWith" dxfId="1" priority="4" operator="beginsWith" text="NA">
      <formula>LEFT(C1,LEN("NA"))="NA"</formula>
    </cfRule>
  </conditionalFormatting>
  <conditionalFormatting sqref="J3:J104">
    <cfRule type="iconSet" priority="2">
      <iconSet reverse="1">
        <cfvo type="percent" val="0"/>
        <cfvo type="num" val="0.1"/>
        <cfvo type="num" val="0.15"/>
      </iconSet>
    </cfRule>
  </conditionalFormatting>
  <conditionalFormatting sqref="N1:N1048576 E1:E1048576">
    <cfRule type="iconSet" priority="3">
      <iconSet reverse="1">
        <cfvo type="percent" val="0"/>
        <cfvo type="num" val="1"/>
        <cfvo type="num" val="5"/>
      </iconSet>
    </cfRule>
  </conditionalFormatting>
  <conditionalFormatting sqref="S3:S104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BD9B-C214-4470-BFB4-9548F21FDBC7}">
  <dimension ref="B2:N122"/>
  <sheetViews>
    <sheetView topLeftCell="B55" workbookViewId="0">
      <selection activeCell="H19" sqref="H19:N70"/>
    </sheetView>
  </sheetViews>
  <sheetFormatPr baseColWidth="10" defaultRowHeight="14.5" x14ac:dyDescent="0.35"/>
  <cols>
    <col min="8" max="8" width="15.54296875" bestFit="1" customWidth="1"/>
    <col min="9" max="9" width="12.26953125" bestFit="1" customWidth="1"/>
    <col min="10" max="10" width="15.54296875" bestFit="1" customWidth="1"/>
    <col min="13" max="13" width="15.54296875" bestFit="1" customWidth="1"/>
  </cols>
  <sheetData>
    <row r="2" spans="2:14" x14ac:dyDescent="0.35">
      <c r="B2" t="s">
        <v>38</v>
      </c>
      <c r="C2" t="s">
        <v>39</v>
      </c>
      <c r="M2" t="s">
        <v>40</v>
      </c>
    </row>
    <row r="3" spans="2:14" x14ac:dyDescent="0.35">
      <c r="B3">
        <v>0.11600000000000001</v>
      </c>
      <c r="C3">
        <v>4.7389999999999999</v>
      </c>
      <c r="M3" t="s">
        <v>41</v>
      </c>
      <c r="N3">
        <v>1.6619999999999999E-2</v>
      </c>
    </row>
    <row r="4" spans="2:14" x14ac:dyDescent="0.35">
      <c r="B4">
        <v>0.12</v>
      </c>
      <c r="C4">
        <v>4.9800000000000004</v>
      </c>
      <c r="M4" t="s">
        <v>42</v>
      </c>
      <c r="N4">
        <v>3.7240000000000002E-2</v>
      </c>
    </row>
    <row r="5" spans="2:14" x14ac:dyDescent="0.35">
      <c r="B5">
        <v>0.20399999999999999</v>
      </c>
      <c r="C5">
        <v>10.034000000000001</v>
      </c>
    </row>
    <row r="6" spans="2:14" x14ac:dyDescent="0.35">
      <c r="B6">
        <v>0.186</v>
      </c>
      <c r="C6">
        <v>8.9510000000000005</v>
      </c>
    </row>
    <row r="7" spans="2:14" x14ac:dyDescent="0.35">
      <c r="B7">
        <v>0.29699999999999999</v>
      </c>
      <c r="C7">
        <v>15.631</v>
      </c>
      <c r="M7" t="s">
        <v>43</v>
      </c>
    </row>
    <row r="8" spans="2:14" x14ac:dyDescent="0.35">
      <c r="B8">
        <v>0.35299999999999998</v>
      </c>
      <c r="C8">
        <v>19</v>
      </c>
    </row>
    <row r="9" spans="2:14" x14ac:dyDescent="0.35">
      <c r="B9">
        <v>0.35399999999999998</v>
      </c>
      <c r="C9">
        <v>19.059999999999999</v>
      </c>
    </row>
    <row r="10" spans="2:14" x14ac:dyDescent="0.35">
      <c r="B10">
        <v>0.48399999999999999</v>
      </c>
      <c r="C10">
        <v>26.882999999999999</v>
      </c>
    </row>
    <row r="11" spans="2:14" x14ac:dyDescent="0.35">
      <c r="B11">
        <v>0.60399999999999998</v>
      </c>
      <c r="C11">
        <v>34.103999999999999</v>
      </c>
    </row>
    <row r="19" spans="2:14" x14ac:dyDescent="0.35">
      <c r="B19" t="s">
        <v>0</v>
      </c>
      <c r="C19" t="s">
        <v>44</v>
      </c>
      <c r="D19" t="s">
        <v>45</v>
      </c>
      <c r="E19" t="s">
        <v>46</v>
      </c>
      <c r="F19" t="s">
        <v>47</v>
      </c>
      <c r="H19" t="s">
        <v>0</v>
      </c>
      <c r="I19" s="17" t="s">
        <v>48</v>
      </c>
      <c r="J19" s="17" t="s">
        <v>49</v>
      </c>
      <c r="K19" s="17" t="s">
        <v>37</v>
      </c>
      <c r="L19" s="17" t="s">
        <v>50</v>
      </c>
      <c r="M19" s="17" t="s">
        <v>49</v>
      </c>
      <c r="N19" s="17" t="s">
        <v>37</v>
      </c>
    </row>
    <row r="20" spans="2:14" x14ac:dyDescent="0.35">
      <c r="B20">
        <v>1</v>
      </c>
      <c r="C20">
        <v>0.53200000000000003</v>
      </c>
      <c r="D20">
        <f>(C20-$N$4)/$N$3</f>
        <v>29.768953068592062</v>
      </c>
      <c r="E20">
        <v>0.46500000000000002</v>
      </c>
      <c r="F20" s="16">
        <f>(E20-$N$4)/$N$3</f>
        <v>25.737665463297233</v>
      </c>
      <c r="H20">
        <v>1</v>
      </c>
      <c r="I20" s="18">
        <v>28.685920577617331</v>
      </c>
      <c r="J20" s="42">
        <f>AVERAGE(I20:I24)</f>
        <v>23.860409145607708</v>
      </c>
      <c r="K20" s="45">
        <f>(_xlfn.STDEV.S(I20:I24)/SQRT(5))/J20</f>
        <v>5.704476252221654E-2</v>
      </c>
      <c r="L20" s="19">
        <v>26.399518652226234</v>
      </c>
      <c r="M20" s="42">
        <f>AVERAGE(L21:L24)</f>
        <v>50.654933814681101</v>
      </c>
      <c r="N20" s="45">
        <f>(_xlfn.STDEV.S(L21:L24)/SQRT(4))/M20</f>
        <v>0.12763470651411607</v>
      </c>
    </row>
    <row r="21" spans="2:14" x14ac:dyDescent="0.35">
      <c r="C21">
        <v>0.496</v>
      </c>
      <c r="D21">
        <f t="shared" ref="D21:F84" si="0">(C21-$N$4)/$N$3</f>
        <v>27.602888086642601</v>
      </c>
      <c r="E21">
        <v>0.48699999999999999</v>
      </c>
      <c r="F21" s="16">
        <f t="shared" si="0"/>
        <v>27.061371841155236</v>
      </c>
      <c r="H21">
        <v>2</v>
      </c>
      <c r="I21" s="18">
        <v>24.985559566787003</v>
      </c>
      <c r="J21" s="42"/>
      <c r="K21" s="45"/>
      <c r="L21" s="18">
        <v>66.953068592057761</v>
      </c>
      <c r="M21" s="42"/>
      <c r="N21" s="45"/>
    </row>
    <row r="22" spans="2:14" x14ac:dyDescent="0.35">
      <c r="B22">
        <v>2</v>
      </c>
      <c r="C22">
        <v>0.46800000000000003</v>
      </c>
      <c r="D22">
        <f t="shared" si="0"/>
        <v>25.918170878459691</v>
      </c>
      <c r="E22">
        <v>1.1399999999999999</v>
      </c>
      <c r="F22">
        <f t="shared" si="0"/>
        <v>66.351383874849574</v>
      </c>
      <c r="H22">
        <v>3</v>
      </c>
      <c r="I22" s="18">
        <v>21.194945848375454</v>
      </c>
      <c r="J22" s="42"/>
      <c r="K22" s="45"/>
      <c r="L22" s="18">
        <v>41.29121540312876</v>
      </c>
      <c r="M22" s="42"/>
      <c r="N22" s="45"/>
    </row>
    <row r="23" spans="2:14" x14ac:dyDescent="0.35">
      <c r="C23">
        <v>0.437</v>
      </c>
      <c r="D23">
        <f t="shared" si="0"/>
        <v>24.05294825511432</v>
      </c>
      <c r="E23">
        <v>1.1599999999999999</v>
      </c>
      <c r="F23">
        <f t="shared" si="0"/>
        <v>67.554753309265948</v>
      </c>
      <c r="H23">
        <v>4</v>
      </c>
      <c r="I23" s="18">
        <v>22.217809867629363</v>
      </c>
      <c r="J23" s="42"/>
      <c r="K23" s="45"/>
      <c r="L23" s="18">
        <v>39.305655836341757</v>
      </c>
      <c r="M23" s="42"/>
      <c r="N23" s="45"/>
    </row>
    <row r="24" spans="2:14" x14ac:dyDescent="0.35">
      <c r="B24">
        <v>3</v>
      </c>
      <c r="C24">
        <v>0.38300000000000001</v>
      </c>
      <c r="D24">
        <f t="shared" si="0"/>
        <v>20.803850782190136</v>
      </c>
      <c r="E24">
        <v>0.71699999999999997</v>
      </c>
      <c r="F24">
        <f t="shared" si="0"/>
        <v>40.900120336943438</v>
      </c>
      <c r="H24">
        <v>5</v>
      </c>
      <c r="I24" s="18">
        <v>22.217809867629363</v>
      </c>
      <c r="J24" s="42"/>
      <c r="K24" s="45"/>
      <c r="L24" s="18">
        <v>55.069795427196148</v>
      </c>
      <c r="M24" s="42"/>
      <c r="N24" s="45"/>
    </row>
    <row r="25" spans="2:14" x14ac:dyDescent="0.35">
      <c r="C25">
        <v>0.39600000000000002</v>
      </c>
      <c r="D25">
        <f t="shared" si="0"/>
        <v>21.586040914560773</v>
      </c>
      <c r="E25">
        <v>0.73</v>
      </c>
      <c r="F25">
        <f t="shared" si="0"/>
        <v>41.682310469314075</v>
      </c>
      <c r="H25">
        <v>6</v>
      </c>
      <c r="I25" s="18">
        <v>22.247894103489774</v>
      </c>
      <c r="J25" s="42">
        <f t="shared" ref="J25" si="1">AVERAGE(I25:I29)</f>
        <v>26.682310469314082</v>
      </c>
      <c r="K25" s="45">
        <f t="shared" ref="K25" si="2">(_xlfn.STDEV.S(I25:I29)/SQRT(5))/J25</f>
        <v>5.4185137067287038E-2</v>
      </c>
      <c r="L25" s="18">
        <v>36.598074608904938</v>
      </c>
      <c r="M25" s="42">
        <f t="shared" ref="M25" si="3">AVERAGE(L25:L29)</f>
        <v>46.766546329723226</v>
      </c>
      <c r="N25" s="45">
        <f t="shared" ref="N25" si="4">(_xlfn.STDEV.S(L25:L29)/SQRT(5))/M25</f>
        <v>8.672932858441823E-2</v>
      </c>
    </row>
    <row r="26" spans="2:14" x14ac:dyDescent="0.35">
      <c r="B26">
        <v>4</v>
      </c>
      <c r="C26">
        <v>0.40400000000000003</v>
      </c>
      <c r="D26">
        <f t="shared" si="0"/>
        <v>22.06738868832732</v>
      </c>
      <c r="E26">
        <v>0.66300000000000003</v>
      </c>
      <c r="F26">
        <f t="shared" si="0"/>
        <v>37.651022864019254</v>
      </c>
      <c r="H26">
        <v>7</v>
      </c>
      <c r="I26" s="18">
        <v>25.617328519855597</v>
      </c>
      <c r="J26" s="42"/>
      <c r="K26" s="45"/>
      <c r="L26" s="18">
        <v>53.264741275571595</v>
      </c>
      <c r="M26" s="42"/>
      <c r="N26" s="45"/>
    </row>
    <row r="27" spans="2:14" x14ac:dyDescent="0.35">
      <c r="C27">
        <v>0.40899999999999997</v>
      </c>
      <c r="D27">
        <f t="shared" si="0"/>
        <v>22.368231046931406</v>
      </c>
      <c r="E27">
        <v>0.71799999999999997</v>
      </c>
      <c r="F27">
        <f t="shared" si="0"/>
        <v>40.960288808664259</v>
      </c>
      <c r="H27">
        <v>8</v>
      </c>
      <c r="I27" s="18">
        <v>28.32490974729242</v>
      </c>
      <c r="J27" s="42"/>
      <c r="K27" s="45"/>
      <c r="L27" s="18">
        <v>39.275571600481342</v>
      </c>
      <c r="M27" s="42"/>
      <c r="N27" s="45"/>
    </row>
    <row r="28" spans="2:14" x14ac:dyDescent="0.35">
      <c r="B28">
        <v>5</v>
      </c>
      <c r="C28">
        <v>0.39500000000000002</v>
      </c>
      <c r="D28">
        <f t="shared" si="0"/>
        <v>21.525872442839955</v>
      </c>
      <c r="E28">
        <v>0.95399999999999996</v>
      </c>
      <c r="F28">
        <f t="shared" si="0"/>
        <v>55.160048134777377</v>
      </c>
      <c r="H28">
        <v>9</v>
      </c>
      <c r="I28" s="18">
        <v>30.942238267148014</v>
      </c>
      <c r="J28" s="42"/>
      <c r="K28" s="45"/>
      <c r="L28" s="18">
        <v>58.048134777376646</v>
      </c>
      <c r="M28" s="42"/>
      <c r="N28" s="45"/>
    </row>
    <row r="29" spans="2:14" x14ac:dyDescent="0.35">
      <c r="C29">
        <v>0.41799999999999998</v>
      </c>
      <c r="D29">
        <f t="shared" si="0"/>
        <v>22.909747292418771</v>
      </c>
      <c r="E29">
        <v>0.95099999999999996</v>
      </c>
      <c r="F29">
        <f t="shared" si="0"/>
        <v>54.979542719614919</v>
      </c>
      <c r="H29">
        <v>10</v>
      </c>
      <c r="I29" s="18">
        <v>26.279181708784598</v>
      </c>
      <c r="J29" s="42"/>
      <c r="K29" s="45"/>
      <c r="L29" s="18">
        <v>46.646209386281583</v>
      </c>
      <c r="M29" s="42"/>
      <c r="N29" s="45"/>
    </row>
    <row r="30" spans="2:14" x14ac:dyDescent="0.35">
      <c r="B30">
        <v>6</v>
      </c>
      <c r="C30">
        <v>0.41</v>
      </c>
      <c r="D30">
        <f t="shared" si="0"/>
        <v>22.428399518652228</v>
      </c>
      <c r="E30">
        <v>0.64100000000000001</v>
      </c>
      <c r="F30">
        <f t="shared" si="0"/>
        <v>36.327316486161251</v>
      </c>
      <c r="H30">
        <v>11</v>
      </c>
      <c r="I30" s="18">
        <v>26.730445246690735</v>
      </c>
      <c r="J30" s="42">
        <f t="shared" ref="J30" si="5">AVERAGE(I30:I34)</f>
        <v>21.832731648616129</v>
      </c>
      <c r="K30" s="45">
        <f t="shared" ref="K30" si="6">(_xlfn.STDEV.S(I30:I34)/SQRT(5))/J30</f>
        <v>6.5993779629065843E-2</v>
      </c>
      <c r="L30" s="18">
        <v>33.499398315282789</v>
      </c>
      <c r="M30" s="42">
        <f t="shared" ref="M30" si="7">AVERAGE(L30:L34)</f>
        <v>35.087845968712394</v>
      </c>
      <c r="N30" s="45">
        <f t="shared" ref="N30" si="8">(_xlfn.STDEV.S(L30:L34)/SQRT(5))/M30</f>
        <v>5.0609270330046231E-2</v>
      </c>
    </row>
    <row r="31" spans="2:14" x14ac:dyDescent="0.35">
      <c r="C31">
        <v>0.40400000000000003</v>
      </c>
      <c r="D31">
        <f t="shared" si="0"/>
        <v>22.06738868832732</v>
      </c>
      <c r="E31">
        <v>0.65</v>
      </c>
      <c r="F31">
        <f t="shared" si="0"/>
        <v>36.868832731648617</v>
      </c>
      <c r="H31">
        <v>12</v>
      </c>
      <c r="I31" s="18">
        <v>20.412755716004817</v>
      </c>
      <c r="J31" s="42"/>
      <c r="K31" s="45"/>
      <c r="L31" s="18">
        <v>33.07821901323706</v>
      </c>
      <c r="M31" s="42"/>
      <c r="N31" s="45"/>
    </row>
    <row r="32" spans="2:14" x14ac:dyDescent="0.35">
      <c r="B32">
        <v>7</v>
      </c>
      <c r="C32">
        <v>0.45200000000000001</v>
      </c>
      <c r="D32">
        <f t="shared" si="0"/>
        <v>24.955475330926596</v>
      </c>
      <c r="E32">
        <v>0.89500000000000002</v>
      </c>
      <c r="F32">
        <f t="shared" si="0"/>
        <v>51.610108303249099</v>
      </c>
      <c r="H32">
        <v>13</v>
      </c>
      <c r="I32" s="18">
        <v>20.503008423586042</v>
      </c>
      <c r="J32" s="42"/>
      <c r="K32" s="45"/>
      <c r="L32" s="18">
        <v>31.363417569193743</v>
      </c>
      <c r="M32" s="42"/>
      <c r="N32" s="45"/>
    </row>
    <row r="33" spans="2:14" x14ac:dyDescent="0.35">
      <c r="C33">
        <v>0.47399999999999998</v>
      </c>
      <c r="D33">
        <f t="shared" si="0"/>
        <v>26.279181708784598</v>
      </c>
      <c r="E33">
        <v>0.95</v>
      </c>
      <c r="F33">
        <f t="shared" si="0"/>
        <v>54.919374247894098</v>
      </c>
      <c r="H33">
        <v>14</v>
      </c>
      <c r="I33" s="18">
        <v>23.15042117930205</v>
      </c>
      <c r="J33" s="42"/>
      <c r="K33" s="45"/>
      <c r="L33" s="18">
        <v>35.936221419975929</v>
      </c>
      <c r="M33" s="42"/>
      <c r="N33" s="45"/>
    </row>
    <row r="34" spans="2:14" x14ac:dyDescent="0.35">
      <c r="B34">
        <v>8</v>
      </c>
      <c r="C34">
        <v>0.497</v>
      </c>
      <c r="D34">
        <f t="shared" si="0"/>
        <v>27.663056558363419</v>
      </c>
      <c r="E34">
        <v>0.71899999999999997</v>
      </c>
      <c r="F34">
        <f t="shared" si="0"/>
        <v>41.020457280385074</v>
      </c>
      <c r="H34">
        <v>15</v>
      </c>
      <c r="I34" s="18">
        <v>18.367027677496992</v>
      </c>
      <c r="J34" s="42"/>
      <c r="K34" s="45"/>
      <c r="L34" s="18">
        <v>41.561973525872446</v>
      </c>
      <c r="M34" s="42"/>
      <c r="N34" s="45"/>
    </row>
    <row r="35" spans="2:14" x14ac:dyDescent="0.35">
      <c r="C35">
        <v>0.51900000000000002</v>
      </c>
      <c r="D35">
        <f t="shared" si="0"/>
        <v>28.986762936221421</v>
      </c>
      <c r="E35">
        <v>0.66100000000000003</v>
      </c>
      <c r="F35">
        <f t="shared" si="0"/>
        <v>37.530685920577618</v>
      </c>
      <c r="H35">
        <v>16</v>
      </c>
      <c r="I35" s="18">
        <v>27.061371841155236</v>
      </c>
      <c r="J35" s="42">
        <f>AVERAGE(I35:I37)</f>
        <v>25.727637384677099</v>
      </c>
      <c r="K35" s="45">
        <f>(_xlfn.STDEV.S(I35:I37)/SQRT(3))/J35</f>
        <v>0.13185750422971829</v>
      </c>
      <c r="L35" s="18">
        <v>47.518652226233456</v>
      </c>
      <c r="M35" s="42">
        <f>AVERAGE(L35:L37)</f>
        <v>47.819494584837543</v>
      </c>
      <c r="N35" s="45">
        <f>(_xlfn.STDEV.S(L35:L37)/SQRT(3))/M35</f>
        <v>0.18454410955045145</v>
      </c>
    </row>
    <row r="36" spans="2:14" x14ac:dyDescent="0.35">
      <c r="B36">
        <v>9</v>
      </c>
      <c r="C36">
        <v>0.52</v>
      </c>
      <c r="D36">
        <f t="shared" si="0"/>
        <v>29.046931407942242</v>
      </c>
      <c r="E36">
        <v>0.99299999999999999</v>
      </c>
      <c r="F36">
        <f t="shared" si="0"/>
        <v>57.506618531889288</v>
      </c>
      <c r="H36">
        <v>17</v>
      </c>
      <c r="I36" s="18">
        <v>19.299638989169679</v>
      </c>
      <c r="J36" s="42"/>
      <c r="K36" s="45"/>
      <c r="L36" s="18">
        <v>32.687123947051738</v>
      </c>
      <c r="M36" s="42"/>
      <c r="N36" s="45"/>
    </row>
    <row r="37" spans="2:14" x14ac:dyDescent="0.35">
      <c r="C37">
        <v>0.58299999999999996</v>
      </c>
      <c r="D37">
        <f t="shared" si="0"/>
        <v>32.837545126353788</v>
      </c>
      <c r="E37">
        <v>1.0109999999999999</v>
      </c>
      <c r="F37">
        <f t="shared" si="0"/>
        <v>58.589651022864011</v>
      </c>
      <c r="H37">
        <v>18</v>
      </c>
      <c r="I37" s="18">
        <v>30.821901323706378</v>
      </c>
      <c r="J37" s="42"/>
      <c r="K37" s="45"/>
      <c r="L37" s="18">
        <v>63.25270758122744</v>
      </c>
      <c r="M37" s="42"/>
      <c r="N37" s="45"/>
    </row>
    <row r="38" spans="2:14" x14ac:dyDescent="0.35">
      <c r="B38">
        <v>10</v>
      </c>
      <c r="C38">
        <v>0.47499999999999998</v>
      </c>
      <c r="D38">
        <f t="shared" si="0"/>
        <v>26.339350180505416</v>
      </c>
      <c r="E38">
        <v>0.746</v>
      </c>
      <c r="F38">
        <f t="shared" si="0"/>
        <v>42.645006016847169</v>
      </c>
      <c r="H38">
        <v>19</v>
      </c>
      <c r="I38" s="18">
        <v>26.610108303249099</v>
      </c>
      <c r="J38" s="42">
        <f t="shared" ref="J38" si="9">AVERAGE(I38:I40)</f>
        <v>28.62575210589651</v>
      </c>
      <c r="K38" s="45">
        <f t="shared" ref="K38" si="10">(_xlfn.STDEV.S(I38:I40)/SQRT(3))/J38</f>
        <v>8.224537573513041E-2</v>
      </c>
      <c r="L38" s="18">
        <v>52.42238267148015</v>
      </c>
      <c r="M38" s="42">
        <f t="shared" ref="M38" si="11">AVERAGE(L38:L40)</f>
        <v>41.622141997593268</v>
      </c>
      <c r="N38" s="45">
        <f t="shared" ref="N38" si="12">(_xlfn.STDEV.S(L38:L40)/SQRT(3))/M38</f>
        <v>0.15129433345482676</v>
      </c>
    </row>
    <row r="39" spans="2:14" x14ac:dyDescent="0.35">
      <c r="C39">
        <v>0.47299999999999998</v>
      </c>
      <c r="D39">
        <f t="shared" si="0"/>
        <v>26.219013237063777</v>
      </c>
      <c r="E39">
        <v>0.879</v>
      </c>
      <c r="F39">
        <f t="shared" si="0"/>
        <v>50.647412755716005</v>
      </c>
      <c r="H39">
        <v>20</v>
      </c>
      <c r="I39" s="18">
        <v>25.948255114320098</v>
      </c>
      <c r="J39" s="42"/>
      <c r="K39" s="45"/>
      <c r="L39" s="18">
        <v>30.611311672683513</v>
      </c>
      <c r="M39" s="42"/>
      <c r="N39" s="45"/>
    </row>
    <row r="40" spans="2:14" x14ac:dyDescent="0.35">
      <c r="B40">
        <v>11</v>
      </c>
      <c r="C40">
        <v>0.47499999999999998</v>
      </c>
      <c r="D40">
        <f t="shared" si="0"/>
        <v>26.339350180505416</v>
      </c>
      <c r="E40">
        <v>0.59</v>
      </c>
      <c r="F40">
        <f t="shared" si="0"/>
        <v>33.258724428399518</v>
      </c>
      <c r="H40">
        <v>21</v>
      </c>
      <c r="I40" s="18">
        <v>33.318892900120339</v>
      </c>
      <c r="J40" s="42"/>
      <c r="K40" s="45"/>
      <c r="L40" s="18">
        <v>41.832731648616125</v>
      </c>
      <c r="M40" s="42"/>
      <c r="N40" s="45"/>
    </row>
    <row r="41" spans="2:14" x14ac:dyDescent="0.35">
      <c r="C41">
        <v>0.48799999999999999</v>
      </c>
      <c r="D41">
        <f t="shared" si="0"/>
        <v>27.121540312876053</v>
      </c>
      <c r="E41">
        <v>0.59799999999999998</v>
      </c>
      <c r="F41">
        <f t="shared" si="0"/>
        <v>33.740072202166061</v>
      </c>
      <c r="H41">
        <v>22</v>
      </c>
      <c r="I41" s="18">
        <v>24.955475330926596</v>
      </c>
      <c r="J41" s="42">
        <f t="shared" ref="J41" si="13">AVERAGE(I41:I43)</f>
        <v>26.951062976333734</v>
      </c>
      <c r="K41" s="45">
        <f t="shared" ref="K41" si="14">(_xlfn.STDEV.S(I41:I43)/SQRT(3))/J41</f>
        <v>3.9309125779226482E-2</v>
      </c>
      <c r="L41" s="18">
        <v>40.388688327316487</v>
      </c>
      <c r="M41" s="42">
        <f t="shared" ref="M41" si="15">AVERAGE(L41:L43)</f>
        <v>49.454071399919776</v>
      </c>
      <c r="N41" s="45">
        <f t="shared" ref="N41" si="16">(_xlfn.STDEV.S(L41:L43)/SQRT(3))/M41</f>
        <v>9.5561104002268457E-2</v>
      </c>
    </row>
    <row r="42" spans="2:14" x14ac:dyDescent="0.35">
      <c r="B42">
        <v>12</v>
      </c>
      <c r="C42">
        <v>0.36799999999999999</v>
      </c>
      <c r="D42">
        <f t="shared" si="0"/>
        <v>19.901323706377859</v>
      </c>
      <c r="E42">
        <v>0.57899999999999996</v>
      </c>
      <c r="F42">
        <f t="shared" si="0"/>
        <v>32.596871239470516</v>
      </c>
      <c r="H42">
        <v>23</v>
      </c>
      <c r="I42" s="18">
        <v>27.332129963898918</v>
      </c>
      <c r="J42" s="42"/>
      <c r="K42" s="45"/>
      <c r="L42" s="18">
        <v>56.303249097472921</v>
      </c>
      <c r="M42" s="42"/>
      <c r="N42" s="45"/>
    </row>
    <row r="43" spans="2:14" x14ac:dyDescent="0.35">
      <c r="C43">
        <v>0.38500000000000001</v>
      </c>
      <c r="D43">
        <f t="shared" si="0"/>
        <v>20.924187725631771</v>
      </c>
      <c r="E43">
        <v>0.59499999999999997</v>
      </c>
      <c r="F43">
        <f t="shared" si="0"/>
        <v>33.559566787003604</v>
      </c>
      <c r="H43">
        <v>24</v>
      </c>
      <c r="I43" s="18">
        <v>28.565583634175695</v>
      </c>
      <c r="J43" s="42"/>
      <c r="K43" s="45"/>
      <c r="L43" s="18">
        <v>51.670276774969913</v>
      </c>
      <c r="M43" s="42"/>
      <c r="N43" s="45"/>
    </row>
    <row r="44" spans="2:14" x14ac:dyDescent="0.35">
      <c r="B44">
        <v>13</v>
      </c>
      <c r="C44">
        <v>0.36799999999999999</v>
      </c>
      <c r="D44">
        <f t="shared" si="0"/>
        <v>19.901323706377859</v>
      </c>
      <c r="E44">
        <v>0.55900000000000005</v>
      </c>
      <c r="F44">
        <f t="shared" si="0"/>
        <v>31.393501805054154</v>
      </c>
      <c r="H44">
        <v>25</v>
      </c>
      <c r="I44" s="18">
        <v>29.979542719614926</v>
      </c>
      <c r="J44" s="42">
        <f>AVERAGE(I44:I45)</f>
        <v>33.935619735258726</v>
      </c>
      <c r="K44" s="45">
        <f>(_xlfn.STDEV.S(I44:I45)/SQRT(2))/J44</f>
        <v>0.11657594723497813</v>
      </c>
      <c r="L44" s="18">
        <v>37.651022864019254</v>
      </c>
      <c r="M44" s="42">
        <f t="shared" ref="M44" si="17">AVERAGE(L44:L46)</f>
        <v>54.568391496189328</v>
      </c>
      <c r="N44" s="45">
        <f t="shared" ref="N44" si="18">(_xlfn.STDEV.S(L44:L46)/SQRT(3))/M44</f>
        <v>0.18264906934725239</v>
      </c>
    </row>
    <row r="45" spans="2:14" x14ac:dyDescent="0.35">
      <c r="C45">
        <v>0.38800000000000001</v>
      </c>
      <c r="D45">
        <f t="shared" si="0"/>
        <v>21.104693140794225</v>
      </c>
      <c r="E45">
        <v>0.55800000000000005</v>
      </c>
      <c r="F45">
        <f t="shared" si="0"/>
        <v>31.333333333333336</v>
      </c>
      <c r="H45">
        <v>26</v>
      </c>
      <c r="I45" s="18">
        <v>37.891696750902526</v>
      </c>
      <c r="J45" s="42"/>
      <c r="K45" s="45"/>
      <c r="L45" s="18">
        <v>72.157641395908541</v>
      </c>
      <c r="M45" s="42"/>
      <c r="N45" s="45"/>
    </row>
    <row r="46" spans="2:14" x14ac:dyDescent="0.35">
      <c r="B46">
        <v>14</v>
      </c>
      <c r="C46">
        <v>0.46700000000000003</v>
      </c>
      <c r="D46">
        <f t="shared" si="0"/>
        <v>25.858002406738873</v>
      </c>
      <c r="E46">
        <v>0.57999999999999996</v>
      </c>
      <c r="F46">
        <f t="shared" si="0"/>
        <v>32.657039711191331</v>
      </c>
      <c r="H46">
        <v>27</v>
      </c>
      <c r="I46" s="19">
        <v>14.425992779783396</v>
      </c>
      <c r="J46" s="42"/>
      <c r="K46" s="45"/>
      <c r="L46" s="18">
        <v>53.896510228640196</v>
      </c>
      <c r="M46" s="42"/>
      <c r="N46" s="45"/>
    </row>
    <row r="47" spans="2:14" x14ac:dyDescent="0.35">
      <c r="C47">
        <v>0.377</v>
      </c>
      <c r="D47">
        <f t="shared" si="0"/>
        <v>20.442839951865224</v>
      </c>
      <c r="E47">
        <v>0.68899999999999995</v>
      </c>
      <c r="F47">
        <f t="shared" si="0"/>
        <v>39.215403128760528</v>
      </c>
      <c r="H47">
        <v>28</v>
      </c>
      <c r="I47" s="18">
        <v>29.347773766546332</v>
      </c>
      <c r="J47" s="42">
        <f t="shared" ref="J47" si="19">AVERAGE(I47:I49)</f>
        <v>30.190132370637787</v>
      </c>
      <c r="K47" s="45">
        <f t="shared" ref="K47" si="20">(_xlfn.STDEV.S(I47:I49)/SQRT(3))/J47</f>
        <v>8.0611242092460941E-2</v>
      </c>
      <c r="L47" s="18">
        <v>50.406738868832733</v>
      </c>
      <c r="M47" s="42">
        <f t="shared" ref="M47" si="21">AVERAGE(L47:L49)</f>
        <v>52.582831929402325</v>
      </c>
      <c r="N47" s="45">
        <f t="shared" ref="N47" si="22">(_xlfn.STDEV.S(L47:L49)/SQRT(3))/M47</f>
        <v>8.2092458974235796E-2</v>
      </c>
    </row>
    <row r="48" spans="2:14" x14ac:dyDescent="0.35">
      <c r="B48">
        <v>15</v>
      </c>
      <c r="C48">
        <v>0.33</v>
      </c>
      <c r="D48">
        <f t="shared" si="0"/>
        <v>17.614921780986766</v>
      </c>
      <c r="E48">
        <v>0.72699999999999998</v>
      </c>
      <c r="F48">
        <f t="shared" si="0"/>
        <v>41.501805054151625</v>
      </c>
      <c r="H48">
        <v>29</v>
      </c>
      <c r="I48" s="18">
        <v>34.762936221419977</v>
      </c>
      <c r="J48" s="42"/>
      <c r="K48" s="45"/>
      <c r="L48" s="18">
        <v>60.906137184115529</v>
      </c>
      <c r="M48" s="42"/>
      <c r="N48" s="45"/>
    </row>
    <row r="49" spans="2:14" x14ac:dyDescent="0.35">
      <c r="C49">
        <v>0.35499999999999998</v>
      </c>
      <c r="D49">
        <f t="shared" si="0"/>
        <v>19.119133574007222</v>
      </c>
      <c r="E49">
        <v>0.72899999999999998</v>
      </c>
      <c r="F49">
        <f t="shared" si="0"/>
        <v>41.62214199759326</v>
      </c>
      <c r="H49">
        <v>30</v>
      </c>
      <c r="I49" s="18">
        <v>26.459687123947052</v>
      </c>
      <c r="J49" s="42"/>
      <c r="K49" s="45"/>
      <c r="L49" s="18">
        <v>46.435619735258726</v>
      </c>
      <c r="M49" s="42"/>
      <c r="N49" s="45"/>
    </row>
    <row r="50" spans="2:14" x14ac:dyDescent="0.35">
      <c r="B50">
        <v>16</v>
      </c>
      <c r="C50">
        <v>0.45300000000000001</v>
      </c>
      <c r="D50">
        <f t="shared" si="0"/>
        <v>25.015643802647414</v>
      </c>
      <c r="E50">
        <v>0.81899999999999995</v>
      </c>
      <c r="F50">
        <f t="shared" si="0"/>
        <v>47.037304452466906</v>
      </c>
      <c r="H50">
        <v>31</v>
      </c>
      <c r="I50" s="19">
        <v>14.516245487364621</v>
      </c>
      <c r="J50" s="42">
        <f>AVERAGE(I51:I52)</f>
        <v>36.447653429602887</v>
      </c>
      <c r="K50" s="45">
        <f>(_xlfn.STDEV.S(I51:I52)/SQRT(2))/J50</f>
        <v>0.10069994717379754</v>
      </c>
      <c r="L50" s="18">
        <v>64.967509025270772</v>
      </c>
      <c r="M50" s="42">
        <f t="shared" ref="M50" si="23">AVERAGE(L50:L52)</f>
        <v>51.249097472924198</v>
      </c>
      <c r="N50" s="45">
        <f t="shared" ref="N50" si="24">(_xlfn.STDEV.S(L50:L52)/SQRT(3))/M50</f>
        <v>0.14544830154924893</v>
      </c>
    </row>
    <row r="51" spans="2:14" x14ac:dyDescent="0.35">
      <c r="C51">
        <v>0.52100000000000002</v>
      </c>
      <c r="D51">
        <f t="shared" si="0"/>
        <v>29.10709987966306</v>
      </c>
      <c r="E51">
        <v>0.83499999999999996</v>
      </c>
      <c r="F51">
        <f t="shared" si="0"/>
        <v>48</v>
      </c>
      <c r="H51">
        <v>32</v>
      </c>
      <c r="I51" s="18">
        <v>40.117930204572801</v>
      </c>
      <c r="J51" s="42"/>
      <c r="K51" s="45"/>
      <c r="L51" s="18">
        <v>39.335740072202171</v>
      </c>
      <c r="M51" s="42"/>
      <c r="N51" s="45"/>
    </row>
    <row r="52" spans="2:14" x14ac:dyDescent="0.35">
      <c r="B52">
        <v>17</v>
      </c>
      <c r="C52">
        <v>0.33200000000000002</v>
      </c>
      <c r="D52">
        <f t="shared" si="0"/>
        <v>17.735258724428402</v>
      </c>
      <c r="E52">
        <v>0.56799999999999995</v>
      </c>
      <c r="F52">
        <f t="shared" si="0"/>
        <v>31.935018050541512</v>
      </c>
      <c r="H52">
        <v>33</v>
      </c>
      <c r="I52" s="18">
        <v>32.777376654632974</v>
      </c>
      <c r="J52" s="42"/>
      <c r="K52" s="45"/>
      <c r="L52" s="18">
        <v>49.444043321299631</v>
      </c>
      <c r="M52" s="42"/>
      <c r="N52" s="45"/>
    </row>
    <row r="53" spans="2:14" x14ac:dyDescent="0.35">
      <c r="C53">
        <v>0.38400000000000001</v>
      </c>
      <c r="D53">
        <f t="shared" si="0"/>
        <v>20.864019253910953</v>
      </c>
      <c r="E53">
        <v>0.59299999999999997</v>
      </c>
      <c r="F53">
        <f t="shared" si="0"/>
        <v>33.439229843561968</v>
      </c>
      <c r="H53">
        <v>34</v>
      </c>
      <c r="I53" s="18">
        <v>26.219013237063777</v>
      </c>
      <c r="J53" s="42">
        <f t="shared" ref="J53" si="25">AVERAGE(I53:I55)</f>
        <v>26.359406337745686</v>
      </c>
      <c r="K53" s="45">
        <f t="shared" ref="K53" si="26">(_xlfn.STDEV.S(I53:I55)/SQRT(3))/J53</f>
        <v>8.7020209242670662E-2</v>
      </c>
      <c r="L53" s="18">
        <v>46.616125150421183</v>
      </c>
      <c r="M53" s="42">
        <f t="shared" ref="M53" si="27">AVERAGE(L53:L55)</f>
        <v>45.974328118732451</v>
      </c>
      <c r="N53" s="45">
        <f t="shared" ref="N53" si="28">(_xlfn.STDEV.S(L53:L55)/SQRT(3))/M53</f>
        <v>5.4099890146143963E-2</v>
      </c>
    </row>
    <row r="54" spans="2:14" x14ac:dyDescent="0.35">
      <c r="B54">
        <v>18</v>
      </c>
      <c r="C54">
        <v>0.53200000000000003</v>
      </c>
      <c r="D54">
        <f t="shared" si="0"/>
        <v>29.768953068592062</v>
      </c>
      <c r="E54">
        <v>1.1000000000000001</v>
      </c>
      <c r="F54">
        <f t="shared" si="0"/>
        <v>63.944645006016856</v>
      </c>
      <c r="H54">
        <v>35</v>
      </c>
      <c r="I54" s="18">
        <v>30.400722021660648</v>
      </c>
      <c r="J54" s="42"/>
      <c r="K54" s="45"/>
      <c r="L54" s="18">
        <v>41.381468110709989</v>
      </c>
      <c r="M54" s="42"/>
      <c r="N54" s="45"/>
    </row>
    <row r="55" spans="2:14" x14ac:dyDescent="0.35">
      <c r="C55">
        <v>0.56699999999999995</v>
      </c>
      <c r="D55">
        <f t="shared" si="0"/>
        <v>31.874849578820694</v>
      </c>
      <c r="E55">
        <v>1.077</v>
      </c>
      <c r="F55">
        <f t="shared" si="0"/>
        <v>62.560770156438032</v>
      </c>
      <c r="H55">
        <v>36</v>
      </c>
      <c r="I55" s="18">
        <v>22.458483754512635</v>
      </c>
      <c r="J55" s="42"/>
      <c r="K55" s="45"/>
      <c r="L55" s="18">
        <v>49.925391095066182</v>
      </c>
      <c r="M55" s="42"/>
      <c r="N55" s="45"/>
    </row>
    <row r="56" spans="2:14" x14ac:dyDescent="0.35">
      <c r="B56">
        <v>19</v>
      </c>
      <c r="C56">
        <v>0.45900000000000002</v>
      </c>
      <c r="D56">
        <f t="shared" si="0"/>
        <v>25.376654632972325</v>
      </c>
      <c r="E56">
        <v>0.89500000000000002</v>
      </c>
      <c r="F56">
        <f t="shared" si="0"/>
        <v>51.610108303249099</v>
      </c>
      <c r="H56">
        <v>37</v>
      </c>
      <c r="I56" s="18">
        <v>35.755716004813479</v>
      </c>
      <c r="J56" s="42">
        <f t="shared" ref="J56" si="29">AVERAGE(I56:I58)</f>
        <v>34.782992378660246</v>
      </c>
      <c r="K56" s="45">
        <f t="shared" ref="K56" si="30">(_xlfn.STDEV.S(I56:I58)/SQRT(3))/J56</f>
        <v>1.6488876326577948E-2</v>
      </c>
      <c r="L56" s="18">
        <v>47.067388688327313</v>
      </c>
      <c r="M56" s="42">
        <f t="shared" ref="M56" si="31">AVERAGE(L56:L58)</f>
        <v>45.877390025404459</v>
      </c>
      <c r="N56" s="45">
        <f t="shared" ref="N56" si="32">(_xlfn.STDEV.S(L56:L58)/SQRT(3))/M56</f>
        <v>0.14809645425808862</v>
      </c>
    </row>
    <row r="57" spans="2:14" x14ac:dyDescent="0.35">
      <c r="C57">
        <v>0.5</v>
      </c>
      <c r="D57">
        <f t="shared" si="0"/>
        <v>27.843561973525873</v>
      </c>
      <c r="E57">
        <v>0.92200000000000004</v>
      </c>
      <c r="F57">
        <f t="shared" si="0"/>
        <v>53.234657039711195</v>
      </c>
      <c r="H57">
        <v>38</v>
      </c>
      <c r="I57" s="18">
        <v>33.770156438026476</v>
      </c>
      <c r="J57" s="42"/>
      <c r="K57" s="45"/>
      <c r="L57" s="18">
        <v>33.559566787003604</v>
      </c>
      <c r="M57" s="42"/>
      <c r="N57" s="45"/>
    </row>
    <row r="58" spans="2:14" x14ac:dyDescent="0.35">
      <c r="B58">
        <v>20</v>
      </c>
      <c r="C58">
        <v>0.47299999999999998</v>
      </c>
      <c r="D58">
        <f t="shared" si="0"/>
        <v>26.219013237063777</v>
      </c>
      <c r="E58">
        <v>0.54</v>
      </c>
      <c r="F58">
        <f t="shared" si="0"/>
        <v>30.250300842358605</v>
      </c>
      <c r="H58">
        <v>39</v>
      </c>
      <c r="I58" s="18">
        <v>34.823104693140792</v>
      </c>
      <c r="J58" s="42"/>
      <c r="K58" s="45"/>
      <c r="L58" s="18">
        <v>57.005214600882475</v>
      </c>
      <c r="M58" s="42"/>
      <c r="N58" s="45"/>
    </row>
    <row r="59" spans="2:14" x14ac:dyDescent="0.35">
      <c r="C59">
        <v>0.46400000000000002</v>
      </c>
      <c r="D59">
        <f t="shared" si="0"/>
        <v>25.677496991576415</v>
      </c>
      <c r="E59">
        <v>0.55200000000000005</v>
      </c>
      <c r="F59">
        <f t="shared" si="0"/>
        <v>30.972322503008424</v>
      </c>
      <c r="H59">
        <v>40</v>
      </c>
      <c r="I59" s="18">
        <v>26.249097472924188</v>
      </c>
      <c r="J59" s="42">
        <f t="shared" ref="J59" si="33">AVERAGE(I59:I61)</f>
        <v>27.793421580425189</v>
      </c>
      <c r="K59" s="45">
        <f t="shared" ref="K59" si="34">(_xlfn.STDEV.S(I59:I61)/SQRT(3))/J59</f>
        <v>0.23599246447029543</v>
      </c>
      <c r="L59" s="19">
        <v>75.376654632972333</v>
      </c>
      <c r="M59" s="42">
        <f>AVERAGE(L60:L61)</f>
        <v>37.801444043321297</v>
      </c>
      <c r="N59" s="45">
        <f>(_xlfn.STDEV.S(L60:L61)/SQRT(2))/M59</f>
        <v>4.0588291471683705E-2</v>
      </c>
    </row>
    <row r="60" spans="2:14" x14ac:dyDescent="0.35">
      <c r="B60">
        <v>21</v>
      </c>
      <c r="C60">
        <v>0.623</v>
      </c>
      <c r="D60">
        <f t="shared" si="0"/>
        <v>35.244283995186521</v>
      </c>
      <c r="E60">
        <v>0.69099999999999995</v>
      </c>
      <c r="F60">
        <f t="shared" si="0"/>
        <v>39.335740072202164</v>
      </c>
      <c r="H60">
        <v>41</v>
      </c>
      <c r="I60" s="18">
        <v>39.847172081829122</v>
      </c>
      <c r="J60" s="42"/>
      <c r="K60" s="45"/>
      <c r="L60" s="18">
        <v>39.335740072202164</v>
      </c>
      <c r="M60" s="42"/>
      <c r="N60" s="45"/>
    </row>
    <row r="61" spans="2:14" x14ac:dyDescent="0.35">
      <c r="C61">
        <v>0.55900000000000005</v>
      </c>
      <c r="D61">
        <f t="shared" si="0"/>
        <v>31.393501805054154</v>
      </c>
      <c r="E61">
        <v>0.77400000000000002</v>
      </c>
      <c r="F61">
        <f t="shared" si="0"/>
        <v>44.329723225030087</v>
      </c>
      <c r="H61">
        <v>42</v>
      </c>
      <c r="I61" s="18">
        <v>17.283995186522265</v>
      </c>
      <c r="J61" s="42"/>
      <c r="K61" s="45"/>
      <c r="L61" s="18">
        <v>36.26714801444043</v>
      </c>
      <c r="M61" s="42"/>
      <c r="N61" s="45"/>
    </row>
    <row r="62" spans="2:14" x14ac:dyDescent="0.35">
      <c r="B62">
        <v>22</v>
      </c>
      <c r="C62">
        <v>0.441</v>
      </c>
      <c r="D62">
        <f t="shared" si="0"/>
        <v>24.293622141997595</v>
      </c>
      <c r="E62">
        <v>0.69299999999999995</v>
      </c>
      <c r="F62">
        <f t="shared" si="0"/>
        <v>39.4560770156438</v>
      </c>
      <c r="H62">
        <v>43</v>
      </c>
      <c r="I62" s="18">
        <v>29.257521058965104</v>
      </c>
      <c r="J62" s="42">
        <f t="shared" ref="J62" si="35">AVERAGE(I62:I64)</f>
        <v>26.419574809466507</v>
      </c>
      <c r="K62" s="45">
        <f t="shared" ref="K62" si="36">(_xlfn.STDEV.S(I62:I64)/SQRT(3))/J62</f>
        <v>5.7563392726993283E-2</v>
      </c>
      <c r="L62" s="18">
        <v>47.097472924187727</v>
      </c>
      <c r="M62" s="42">
        <f t="shared" ref="M62" si="37">AVERAGE(L62:L64)</f>
        <v>50.396710790212602</v>
      </c>
      <c r="N62" s="45">
        <f t="shared" ref="N62" si="38">(_xlfn.STDEV.S(L62:L64)/SQRT(3))/M62</f>
        <v>0.133824920162043</v>
      </c>
    </row>
    <row r="63" spans="2:14" x14ac:dyDescent="0.35">
      <c r="C63">
        <v>0.46300000000000002</v>
      </c>
      <c r="D63">
        <f t="shared" si="0"/>
        <v>25.617328519855597</v>
      </c>
      <c r="E63">
        <v>0.72399999999999998</v>
      </c>
      <c r="F63">
        <f t="shared" si="0"/>
        <v>41.321299638989167</v>
      </c>
      <c r="H63">
        <v>44</v>
      </c>
      <c r="I63" s="18">
        <v>24.05294825511432</v>
      </c>
      <c r="J63" s="42"/>
      <c r="K63" s="45"/>
      <c r="L63" s="18">
        <v>63.373044524669083</v>
      </c>
      <c r="M63" s="42"/>
      <c r="N63" s="45"/>
    </row>
    <row r="64" spans="2:14" x14ac:dyDescent="0.35">
      <c r="B64">
        <v>23</v>
      </c>
      <c r="C64">
        <v>0.49299999999999999</v>
      </c>
      <c r="D64">
        <f t="shared" si="0"/>
        <v>27.422382671480147</v>
      </c>
      <c r="E64">
        <v>0.94399999999999995</v>
      </c>
      <c r="F64">
        <f t="shared" si="0"/>
        <v>54.55836341756919</v>
      </c>
      <c r="H64">
        <v>45</v>
      </c>
      <c r="I64" s="18">
        <v>25.948255114320098</v>
      </c>
      <c r="J64" s="42"/>
      <c r="K64" s="45"/>
      <c r="L64" s="18">
        <v>40.719614921780988</v>
      </c>
      <c r="M64" s="42"/>
      <c r="N64" s="45"/>
    </row>
    <row r="65" spans="2:14" x14ac:dyDescent="0.35">
      <c r="C65">
        <v>0.49</v>
      </c>
      <c r="D65">
        <f t="shared" si="0"/>
        <v>27.241877256317689</v>
      </c>
      <c r="E65">
        <v>1.002</v>
      </c>
      <c r="F65">
        <f t="shared" si="0"/>
        <v>58.048134777376653</v>
      </c>
      <c r="H65">
        <v>46</v>
      </c>
      <c r="I65" s="18">
        <v>28.445246690734059</v>
      </c>
      <c r="J65" s="42">
        <f t="shared" ref="J65" si="39">AVERAGE(I65:I67)</f>
        <v>26.97111913357401</v>
      </c>
      <c r="K65" s="45">
        <f t="shared" ref="K65" si="40">(_xlfn.STDEV.S(I65:I67)/SQRT(3))/J65</f>
        <v>8.4706159807538817E-2</v>
      </c>
      <c r="L65" s="18">
        <v>42.825511432009627</v>
      </c>
      <c r="M65" s="42">
        <f t="shared" ref="M65" si="41">AVERAGE(L65:L67)</f>
        <v>33.499398315282797</v>
      </c>
      <c r="N65" s="45">
        <f t="shared" ref="N65" si="42">(_xlfn.STDEV.S(L65:L67)/SQRT(3))/M65</f>
        <v>0.14058569959132072</v>
      </c>
    </row>
    <row r="66" spans="2:14" x14ac:dyDescent="0.35">
      <c r="B66">
        <v>24</v>
      </c>
      <c r="C66">
        <v>0.51700000000000002</v>
      </c>
      <c r="D66">
        <f t="shared" si="0"/>
        <v>28.866425992779785</v>
      </c>
      <c r="E66">
        <v>0.89800000000000002</v>
      </c>
      <c r="F66">
        <f t="shared" si="0"/>
        <v>51.790613718411549</v>
      </c>
      <c r="H66">
        <v>47</v>
      </c>
      <c r="I66" s="18">
        <v>22.488567990373046</v>
      </c>
      <c r="J66" s="42"/>
      <c r="K66" s="45"/>
      <c r="L66" s="18">
        <v>27.693140794223829</v>
      </c>
      <c r="M66" s="42"/>
      <c r="N66" s="45"/>
    </row>
    <row r="67" spans="2:14" x14ac:dyDescent="0.35">
      <c r="C67">
        <v>0.50700000000000001</v>
      </c>
      <c r="D67">
        <f t="shared" si="0"/>
        <v>28.264741275571602</v>
      </c>
      <c r="E67">
        <v>0.89400000000000002</v>
      </c>
      <c r="F67">
        <f t="shared" si="0"/>
        <v>51.549939831528278</v>
      </c>
      <c r="H67">
        <v>48</v>
      </c>
      <c r="I67" s="18">
        <v>29.979542719614926</v>
      </c>
      <c r="J67" s="42"/>
      <c r="K67" s="45"/>
      <c r="L67" s="18">
        <v>29.979542719614923</v>
      </c>
      <c r="M67" s="42"/>
      <c r="N67" s="45"/>
    </row>
    <row r="68" spans="2:14" x14ac:dyDescent="0.35">
      <c r="B68">
        <v>25</v>
      </c>
      <c r="C68">
        <v>0.53900000000000003</v>
      </c>
      <c r="D68">
        <f t="shared" si="0"/>
        <v>30.190132370637787</v>
      </c>
      <c r="E68">
        <v>0.65</v>
      </c>
      <c r="F68">
        <f t="shared" si="0"/>
        <v>36.868832731648617</v>
      </c>
      <c r="H68">
        <v>49</v>
      </c>
      <c r="I68" s="18">
        <v>22.819494584837546</v>
      </c>
      <c r="J68" s="42">
        <f t="shared" ref="J68" si="43">AVERAGE(I68:I70)</f>
        <v>19.740874448455678</v>
      </c>
      <c r="K68" s="45">
        <f t="shared" ref="K68" si="44">(_xlfn.STDEV.S(I68:I70)/SQRT(3))/J68</f>
        <v>7.8185228135209006E-2</v>
      </c>
      <c r="L68" s="18">
        <v>30.069795427196148</v>
      </c>
      <c r="M68" s="42">
        <f t="shared" ref="M68" si="45">AVERAGE(L68:L70)</f>
        <v>38.724027276373839</v>
      </c>
      <c r="N68" s="45">
        <f t="shared" ref="N68" si="46">(_xlfn.STDEV.S(L68:L70)/SQRT(3))/M68</f>
        <v>0.11176063255096026</v>
      </c>
    </row>
    <row r="69" spans="2:14" x14ac:dyDescent="0.35">
      <c r="C69">
        <v>0.53200000000000003</v>
      </c>
      <c r="D69">
        <f t="shared" si="0"/>
        <v>29.768953068592062</v>
      </c>
      <c r="E69">
        <v>0.67600000000000005</v>
      </c>
      <c r="F69">
        <f t="shared" si="0"/>
        <v>38.433212996389891</v>
      </c>
      <c r="H69">
        <v>50</v>
      </c>
      <c r="I69" s="18">
        <v>18.006016847172084</v>
      </c>
      <c r="J69" s="42"/>
      <c r="K69" s="45"/>
      <c r="L69" s="18">
        <v>43.186522262334535</v>
      </c>
      <c r="M69" s="42"/>
      <c r="N69" s="45"/>
    </row>
    <row r="70" spans="2:14" x14ac:dyDescent="0.35">
      <c r="B70">
        <v>26</v>
      </c>
      <c r="C70">
        <v>0.66800000000000004</v>
      </c>
      <c r="D70">
        <f t="shared" si="0"/>
        <v>37.951865222623347</v>
      </c>
      <c r="E70">
        <v>1.2070000000000001</v>
      </c>
      <c r="F70">
        <f t="shared" si="0"/>
        <v>70.38267148014441</v>
      </c>
      <c r="H70">
        <v>51</v>
      </c>
      <c r="I70" s="18">
        <v>18.397111913357399</v>
      </c>
      <c r="J70" s="42"/>
      <c r="K70" s="45"/>
      <c r="L70" s="18">
        <v>42.915764139590848</v>
      </c>
      <c r="M70" s="42"/>
      <c r="N70" s="45"/>
    </row>
    <row r="71" spans="2:14" x14ac:dyDescent="0.35">
      <c r="C71">
        <v>0.66600000000000004</v>
      </c>
      <c r="D71">
        <f t="shared" si="0"/>
        <v>37.831528279181711</v>
      </c>
      <c r="E71">
        <v>1.266</v>
      </c>
      <c r="F71">
        <f t="shared" si="0"/>
        <v>73.932611311672687</v>
      </c>
    </row>
    <row r="72" spans="2:14" x14ac:dyDescent="0.35">
      <c r="B72">
        <v>27</v>
      </c>
      <c r="C72">
        <v>0.27700000000000002</v>
      </c>
      <c r="D72">
        <f t="shared" si="0"/>
        <v>14.425992779783396</v>
      </c>
      <c r="E72">
        <v>0.93799999999999994</v>
      </c>
      <c r="F72">
        <f t="shared" si="0"/>
        <v>54.197352587244282</v>
      </c>
    </row>
    <row r="73" spans="2:14" x14ac:dyDescent="0.35">
      <c r="C73">
        <v>0.27700000000000002</v>
      </c>
      <c r="D73">
        <f t="shared" si="0"/>
        <v>14.425992779783396</v>
      </c>
      <c r="E73">
        <v>0.92800000000000005</v>
      </c>
      <c r="F73">
        <f t="shared" si="0"/>
        <v>53.595667870036102</v>
      </c>
    </row>
    <row r="74" spans="2:14" x14ac:dyDescent="0.35">
      <c r="B74">
        <v>28</v>
      </c>
      <c r="C74">
        <v>0.55200000000000005</v>
      </c>
      <c r="D74">
        <f t="shared" si="0"/>
        <v>30.972322503008424</v>
      </c>
      <c r="E74">
        <v>0.87</v>
      </c>
      <c r="F74">
        <f t="shared" si="0"/>
        <v>50.105896510228639</v>
      </c>
    </row>
    <row r="75" spans="2:14" x14ac:dyDescent="0.35">
      <c r="C75">
        <v>0.498</v>
      </c>
      <c r="D75">
        <f t="shared" si="0"/>
        <v>27.723225030084237</v>
      </c>
      <c r="E75">
        <v>0.88</v>
      </c>
      <c r="F75">
        <f t="shared" si="0"/>
        <v>50.707581227436819</v>
      </c>
    </row>
    <row r="76" spans="2:14" x14ac:dyDescent="0.35">
      <c r="B76">
        <v>29</v>
      </c>
      <c r="C76">
        <v>0.623</v>
      </c>
      <c r="D76">
        <f t="shared" si="0"/>
        <v>35.244283995186521</v>
      </c>
      <c r="E76">
        <v>1.125</v>
      </c>
      <c r="F76">
        <f t="shared" si="0"/>
        <v>65.448856799037316</v>
      </c>
    </row>
    <row r="77" spans="2:14" x14ac:dyDescent="0.35">
      <c r="C77">
        <v>0.60699999999999998</v>
      </c>
      <c r="D77">
        <f t="shared" si="0"/>
        <v>34.281588447653426</v>
      </c>
      <c r="E77">
        <v>0.97399999999999998</v>
      </c>
      <c r="F77">
        <f t="shared" si="0"/>
        <v>56.363417569193743</v>
      </c>
    </row>
    <row r="78" spans="2:14" x14ac:dyDescent="0.35">
      <c r="B78">
        <v>30</v>
      </c>
      <c r="C78">
        <v>0.47</v>
      </c>
      <c r="D78">
        <f t="shared" si="0"/>
        <v>26.038507821901323</v>
      </c>
      <c r="E78">
        <v>0.80700000000000005</v>
      </c>
      <c r="F78">
        <f t="shared" si="0"/>
        <v>46.31528279181709</v>
      </c>
    </row>
    <row r="79" spans="2:14" x14ac:dyDescent="0.35">
      <c r="C79">
        <v>0.48399999999999999</v>
      </c>
      <c r="D79">
        <f t="shared" si="0"/>
        <v>26.880866425992782</v>
      </c>
      <c r="E79">
        <v>0.81100000000000005</v>
      </c>
      <c r="F79">
        <f t="shared" si="0"/>
        <v>46.555956678700362</v>
      </c>
    </row>
    <row r="80" spans="2:14" x14ac:dyDescent="0.35">
      <c r="B80">
        <v>31</v>
      </c>
      <c r="C80">
        <v>0.29799999999999999</v>
      </c>
      <c r="D80">
        <f t="shared" si="0"/>
        <v>15.689530685920579</v>
      </c>
      <c r="E80">
        <v>1.1319999999999999</v>
      </c>
      <c r="F80">
        <f t="shared" si="0"/>
        <v>65.870036101083031</v>
      </c>
    </row>
    <row r="81" spans="2:6" x14ac:dyDescent="0.35">
      <c r="C81">
        <v>0.25900000000000001</v>
      </c>
      <c r="D81">
        <f t="shared" si="0"/>
        <v>13.342960288808666</v>
      </c>
      <c r="E81">
        <v>1.1020000000000001</v>
      </c>
      <c r="F81">
        <f t="shared" si="0"/>
        <v>64.064981949458499</v>
      </c>
    </row>
    <row r="82" spans="2:6" x14ac:dyDescent="0.35">
      <c r="B82">
        <v>32</v>
      </c>
      <c r="C82">
        <v>0.73899999999999999</v>
      </c>
      <c r="D82">
        <f t="shared" si="0"/>
        <v>42.22382671480144</v>
      </c>
      <c r="E82">
        <v>0.68400000000000005</v>
      </c>
      <c r="F82">
        <f t="shared" si="0"/>
        <v>38.914560770156442</v>
      </c>
    </row>
    <row r="83" spans="2:6" x14ac:dyDescent="0.35">
      <c r="C83">
        <v>0.66900000000000004</v>
      </c>
      <c r="D83">
        <f t="shared" si="0"/>
        <v>38.012033694344161</v>
      </c>
      <c r="E83">
        <v>0.69799999999999995</v>
      </c>
      <c r="F83">
        <f t="shared" si="0"/>
        <v>39.756919374247893</v>
      </c>
    </row>
    <row r="84" spans="2:6" x14ac:dyDescent="0.35">
      <c r="B84">
        <v>33</v>
      </c>
      <c r="C84">
        <v>0.55300000000000005</v>
      </c>
      <c r="D84">
        <f t="shared" si="0"/>
        <v>31.032490974729242</v>
      </c>
      <c r="E84">
        <v>0.99</v>
      </c>
      <c r="F84">
        <f t="shared" si="0"/>
        <v>57.32611311672683</v>
      </c>
    </row>
    <row r="85" spans="2:6" x14ac:dyDescent="0.35">
      <c r="C85">
        <v>0.61099999999999999</v>
      </c>
      <c r="D85">
        <f t="shared" ref="D85:F122" si="47">(C85-$N$4)/$N$3</f>
        <v>34.522262334536698</v>
      </c>
      <c r="E85">
        <v>0.72799999999999998</v>
      </c>
      <c r="F85">
        <f t="shared" si="47"/>
        <v>41.561973525872439</v>
      </c>
    </row>
    <row r="86" spans="2:6" x14ac:dyDescent="0.35">
      <c r="B86">
        <v>34</v>
      </c>
      <c r="C86">
        <v>0.46300000000000002</v>
      </c>
      <c r="D86">
        <f t="shared" si="47"/>
        <v>25.617328519855597</v>
      </c>
      <c r="E86">
        <v>0.84099999999999997</v>
      </c>
      <c r="F86">
        <f t="shared" si="47"/>
        <v>48.361010830324908</v>
      </c>
    </row>
    <row r="87" spans="2:6" x14ac:dyDescent="0.35">
      <c r="C87">
        <v>0.48299999999999998</v>
      </c>
      <c r="D87">
        <f t="shared" si="47"/>
        <v>26.82069795427196</v>
      </c>
      <c r="E87">
        <v>0.78300000000000003</v>
      </c>
      <c r="F87">
        <f t="shared" si="47"/>
        <v>44.871239470517452</v>
      </c>
    </row>
    <row r="88" spans="2:6" x14ac:dyDescent="0.35">
      <c r="B88">
        <v>35</v>
      </c>
      <c r="C88">
        <v>0.56299999999999994</v>
      </c>
      <c r="D88">
        <f t="shared" si="47"/>
        <v>31.634175691937418</v>
      </c>
      <c r="E88">
        <v>0.72</v>
      </c>
      <c r="F88">
        <f t="shared" si="47"/>
        <v>41.080625752105895</v>
      </c>
    </row>
    <row r="89" spans="2:6" x14ac:dyDescent="0.35">
      <c r="C89">
        <v>0.52200000000000002</v>
      </c>
      <c r="D89">
        <f t="shared" si="47"/>
        <v>29.167268351383878</v>
      </c>
      <c r="E89">
        <v>0.73</v>
      </c>
      <c r="F89">
        <f t="shared" si="47"/>
        <v>41.682310469314075</v>
      </c>
    </row>
    <row r="90" spans="2:6" x14ac:dyDescent="0.35">
      <c r="B90">
        <v>36</v>
      </c>
      <c r="C90">
        <v>0.46800000000000003</v>
      </c>
      <c r="D90">
        <f t="shared" si="47"/>
        <v>25.918170878459691</v>
      </c>
      <c r="E90">
        <v>0.86699999999999999</v>
      </c>
      <c r="F90">
        <f t="shared" si="47"/>
        <v>49.925391095066182</v>
      </c>
    </row>
    <row r="91" spans="2:6" x14ac:dyDescent="0.35">
      <c r="C91">
        <v>0.35299999999999998</v>
      </c>
      <c r="D91">
        <f t="shared" si="47"/>
        <v>18.998796630565582</v>
      </c>
      <c r="E91">
        <v>0.86699999999999999</v>
      </c>
      <c r="F91">
        <f t="shared" si="47"/>
        <v>49.925391095066182</v>
      </c>
    </row>
    <row r="92" spans="2:6" x14ac:dyDescent="0.35">
      <c r="B92">
        <v>37</v>
      </c>
      <c r="C92">
        <v>0.63200000000000001</v>
      </c>
      <c r="D92">
        <f t="shared" si="47"/>
        <v>35.785800240673886</v>
      </c>
      <c r="E92">
        <v>0.82099999999999995</v>
      </c>
      <c r="F92">
        <f t="shared" si="47"/>
        <v>47.157641395908541</v>
      </c>
    </row>
    <row r="93" spans="2:6" x14ac:dyDescent="0.35">
      <c r="C93">
        <v>0.63100000000000001</v>
      </c>
      <c r="D93">
        <f t="shared" si="47"/>
        <v>35.725631768953065</v>
      </c>
      <c r="E93">
        <v>0.81799999999999995</v>
      </c>
      <c r="F93">
        <f t="shared" si="47"/>
        <v>46.977135980746084</v>
      </c>
    </row>
    <row r="94" spans="2:6" x14ac:dyDescent="0.35">
      <c r="B94">
        <v>38</v>
      </c>
      <c r="C94">
        <v>0.57799999999999996</v>
      </c>
      <c r="D94">
        <f t="shared" si="47"/>
        <v>32.536702767749695</v>
      </c>
      <c r="E94">
        <v>0.58299999999999996</v>
      </c>
      <c r="F94">
        <f t="shared" si="47"/>
        <v>32.837545126353788</v>
      </c>
    </row>
    <row r="95" spans="2:6" x14ac:dyDescent="0.35">
      <c r="C95">
        <v>0.61899999999999999</v>
      </c>
      <c r="D95">
        <f t="shared" si="47"/>
        <v>35.003610108303249</v>
      </c>
      <c r="E95">
        <v>0.60699999999999998</v>
      </c>
      <c r="F95">
        <f t="shared" si="47"/>
        <v>34.281588447653426</v>
      </c>
    </row>
    <row r="96" spans="2:6" x14ac:dyDescent="0.35">
      <c r="B96">
        <v>39</v>
      </c>
      <c r="C96">
        <v>0.61699999999999999</v>
      </c>
      <c r="D96">
        <f t="shared" si="47"/>
        <v>34.883273164861613</v>
      </c>
      <c r="E96">
        <v>1.194</v>
      </c>
      <c r="F96">
        <f t="shared" si="47"/>
        <v>69.600481347773766</v>
      </c>
    </row>
    <row r="97" spans="2:6" x14ac:dyDescent="0.35">
      <c r="C97">
        <v>0.61499999999999999</v>
      </c>
      <c r="D97">
        <f t="shared" si="47"/>
        <v>34.76293622141997</v>
      </c>
      <c r="E97">
        <v>1.1240000000000001</v>
      </c>
      <c r="F97">
        <f t="shared" si="47"/>
        <v>65.388688327316501</v>
      </c>
    </row>
    <row r="98" spans="2:6" x14ac:dyDescent="0.35">
      <c r="E98">
        <v>0.63600000000000001</v>
      </c>
      <c r="F98">
        <f t="shared" si="47"/>
        <v>36.026474127557158</v>
      </c>
    </row>
    <row r="99" spans="2:6" x14ac:dyDescent="0.35">
      <c r="B99">
        <v>40</v>
      </c>
      <c r="C99">
        <v>0.45500000000000002</v>
      </c>
      <c r="D99">
        <f t="shared" si="47"/>
        <v>25.13598074608905</v>
      </c>
      <c r="E99">
        <v>1.3260000000000001</v>
      </c>
      <c r="F99">
        <f t="shared" si="47"/>
        <v>77.542719614921793</v>
      </c>
    </row>
    <row r="100" spans="2:6" x14ac:dyDescent="0.35">
      <c r="C100">
        <v>0.49199999999999999</v>
      </c>
      <c r="D100">
        <f t="shared" si="47"/>
        <v>27.362214199759325</v>
      </c>
      <c r="E100">
        <v>1.254</v>
      </c>
      <c r="F100">
        <f t="shared" si="47"/>
        <v>73.210589651022872</v>
      </c>
    </row>
    <row r="101" spans="2:6" x14ac:dyDescent="0.35">
      <c r="B101">
        <v>41</v>
      </c>
      <c r="C101">
        <v>0.79600000000000004</v>
      </c>
      <c r="D101">
        <f t="shared" si="47"/>
        <v>45.653429602888089</v>
      </c>
      <c r="E101">
        <v>0.66700000000000004</v>
      </c>
      <c r="F101">
        <f t="shared" si="47"/>
        <v>37.891696750902526</v>
      </c>
    </row>
    <row r="102" spans="2:6" x14ac:dyDescent="0.35">
      <c r="C102">
        <v>0.60299999999999998</v>
      </c>
      <c r="D102">
        <f t="shared" si="47"/>
        <v>34.040914560770155</v>
      </c>
      <c r="E102">
        <v>0.71499999999999997</v>
      </c>
      <c r="F102">
        <f t="shared" si="47"/>
        <v>40.779783393501802</v>
      </c>
    </row>
    <row r="103" spans="2:6" x14ac:dyDescent="0.35">
      <c r="B103">
        <v>42</v>
      </c>
      <c r="C103">
        <v>0.32100000000000001</v>
      </c>
      <c r="D103">
        <f t="shared" si="47"/>
        <v>17.073405535499401</v>
      </c>
      <c r="E103">
        <v>0.629</v>
      </c>
      <c r="F103">
        <f t="shared" si="47"/>
        <v>35.605294825511429</v>
      </c>
    </row>
    <row r="104" spans="2:6" x14ac:dyDescent="0.35">
      <c r="C104">
        <v>0.32800000000000001</v>
      </c>
      <c r="D104">
        <f t="shared" si="47"/>
        <v>17.49458483754513</v>
      </c>
      <c r="E104">
        <v>0.65100000000000002</v>
      </c>
      <c r="F104">
        <f t="shared" si="47"/>
        <v>36.929001203369431</v>
      </c>
    </row>
    <row r="105" spans="2:6" x14ac:dyDescent="0.35">
      <c r="B105">
        <v>43</v>
      </c>
      <c r="C105">
        <v>0.51</v>
      </c>
      <c r="D105">
        <f t="shared" si="47"/>
        <v>28.445246690734056</v>
      </c>
      <c r="E105">
        <v>0.82899999999999996</v>
      </c>
      <c r="F105">
        <f t="shared" si="47"/>
        <v>47.638989169675085</v>
      </c>
    </row>
    <row r="106" spans="2:6" x14ac:dyDescent="0.35">
      <c r="C106">
        <v>0.53700000000000003</v>
      </c>
      <c r="D106">
        <f t="shared" si="47"/>
        <v>30.069795427196151</v>
      </c>
      <c r="E106">
        <v>0.81100000000000005</v>
      </c>
      <c r="F106">
        <f t="shared" si="47"/>
        <v>46.555956678700362</v>
      </c>
    </row>
    <row r="107" spans="2:6" x14ac:dyDescent="0.35">
      <c r="B107">
        <v>44</v>
      </c>
      <c r="C107">
        <v>0.42799999999999999</v>
      </c>
      <c r="D107">
        <f t="shared" si="47"/>
        <v>23.511432009626954</v>
      </c>
      <c r="E107">
        <v>1.081</v>
      </c>
      <c r="F107">
        <f t="shared" si="47"/>
        <v>62.801444043321304</v>
      </c>
    </row>
    <row r="108" spans="2:6" x14ac:dyDescent="0.35">
      <c r="C108">
        <v>0.44600000000000001</v>
      </c>
      <c r="D108">
        <f t="shared" si="47"/>
        <v>24.594464500601685</v>
      </c>
      <c r="E108">
        <v>1.1000000000000001</v>
      </c>
      <c r="F108">
        <f t="shared" si="47"/>
        <v>63.944645006016856</v>
      </c>
    </row>
    <row r="109" spans="2:6" x14ac:dyDescent="0.35">
      <c r="B109">
        <v>45</v>
      </c>
      <c r="C109">
        <v>0.45600000000000002</v>
      </c>
      <c r="D109">
        <f t="shared" si="47"/>
        <v>25.196149217809872</v>
      </c>
      <c r="E109">
        <v>0.74099999999999999</v>
      </c>
      <c r="F109">
        <f t="shared" si="47"/>
        <v>42.344163658243076</v>
      </c>
    </row>
    <row r="110" spans="2:6" x14ac:dyDescent="0.35">
      <c r="C110">
        <v>0.48099999999999998</v>
      </c>
      <c r="D110">
        <f t="shared" si="47"/>
        <v>26.700361010830324</v>
      </c>
      <c r="E110">
        <v>0.68700000000000006</v>
      </c>
      <c r="F110">
        <f t="shared" si="47"/>
        <v>39.095066185318892</v>
      </c>
    </row>
    <row r="111" spans="2:6" x14ac:dyDescent="0.35">
      <c r="B111">
        <v>46</v>
      </c>
      <c r="C111">
        <v>0.51400000000000001</v>
      </c>
      <c r="D111">
        <f t="shared" si="47"/>
        <v>28.685920577617331</v>
      </c>
      <c r="E111">
        <v>0.77100000000000002</v>
      </c>
      <c r="F111">
        <f t="shared" si="47"/>
        <v>44.149217809867629</v>
      </c>
    </row>
    <row r="112" spans="2:6" x14ac:dyDescent="0.35">
      <c r="C112">
        <v>0.50600000000000001</v>
      </c>
      <c r="D112">
        <f t="shared" si="47"/>
        <v>28.204572803850784</v>
      </c>
      <c r="E112">
        <v>0.72699999999999998</v>
      </c>
      <c r="F112">
        <f t="shared" si="47"/>
        <v>41.501805054151625</v>
      </c>
    </row>
    <row r="113" spans="2:6" x14ac:dyDescent="0.35">
      <c r="B113">
        <v>47</v>
      </c>
      <c r="C113">
        <v>0.44600000000000001</v>
      </c>
      <c r="D113">
        <f t="shared" si="47"/>
        <v>24.594464500601685</v>
      </c>
      <c r="E113">
        <v>0.47499999999999998</v>
      </c>
      <c r="F113">
        <f t="shared" si="47"/>
        <v>26.339350180505416</v>
      </c>
    </row>
    <row r="114" spans="2:6" x14ac:dyDescent="0.35">
      <c r="C114">
        <v>0.376</v>
      </c>
      <c r="D114">
        <f t="shared" si="47"/>
        <v>20.382671480144406</v>
      </c>
      <c r="E114">
        <v>0.52</v>
      </c>
      <c r="F114">
        <f t="shared" si="47"/>
        <v>29.046931407942242</v>
      </c>
    </row>
    <row r="115" spans="2:6" x14ac:dyDescent="0.35">
      <c r="B115">
        <v>48</v>
      </c>
      <c r="C115">
        <v>0.55000000000000004</v>
      </c>
      <c r="D115">
        <f t="shared" si="47"/>
        <v>30.851985559566788</v>
      </c>
      <c r="E115">
        <v>0.51800000000000002</v>
      </c>
      <c r="F115">
        <f t="shared" si="47"/>
        <v>28.926594464500603</v>
      </c>
    </row>
    <row r="116" spans="2:6" x14ac:dyDescent="0.35">
      <c r="C116">
        <v>0.52100000000000002</v>
      </c>
      <c r="D116">
        <f t="shared" si="47"/>
        <v>29.10709987966306</v>
      </c>
      <c r="E116">
        <v>0.55300000000000005</v>
      </c>
      <c r="F116">
        <f t="shared" si="47"/>
        <v>31.032490974729242</v>
      </c>
    </row>
    <row r="117" spans="2:6" x14ac:dyDescent="0.35">
      <c r="B117">
        <v>49</v>
      </c>
      <c r="C117">
        <v>0.38900000000000001</v>
      </c>
      <c r="D117">
        <f t="shared" si="47"/>
        <v>21.164861612515043</v>
      </c>
      <c r="E117">
        <v>0.49</v>
      </c>
      <c r="F117">
        <f t="shared" si="47"/>
        <v>27.241877256317689</v>
      </c>
    </row>
    <row r="118" spans="2:6" x14ac:dyDescent="0.35">
      <c r="C118">
        <v>0.44400000000000001</v>
      </c>
      <c r="D118">
        <f t="shared" si="47"/>
        <v>24.474127557160049</v>
      </c>
      <c r="E118">
        <v>0.58399999999999996</v>
      </c>
      <c r="F118">
        <f t="shared" si="47"/>
        <v>32.897713598074603</v>
      </c>
    </row>
    <row r="119" spans="2:6" x14ac:dyDescent="0.35">
      <c r="B119">
        <v>50</v>
      </c>
      <c r="C119">
        <v>0.34100000000000003</v>
      </c>
      <c r="D119">
        <f t="shared" si="47"/>
        <v>18.276774969915767</v>
      </c>
      <c r="E119">
        <v>0.73799999999999999</v>
      </c>
      <c r="F119">
        <f t="shared" si="47"/>
        <v>42.163658243080626</v>
      </c>
    </row>
    <row r="120" spans="2:6" x14ac:dyDescent="0.35">
      <c r="C120">
        <v>0.33200000000000002</v>
      </c>
      <c r="D120">
        <f t="shared" si="47"/>
        <v>17.735258724428402</v>
      </c>
      <c r="E120">
        <v>0.77200000000000002</v>
      </c>
      <c r="F120">
        <f t="shared" si="47"/>
        <v>44.209386281588451</v>
      </c>
    </row>
    <row r="121" spans="2:6" x14ac:dyDescent="0.35">
      <c r="B121">
        <v>51</v>
      </c>
      <c r="C121">
        <v>0.36199999999999999</v>
      </c>
      <c r="D121">
        <f t="shared" si="47"/>
        <v>19.540312876052948</v>
      </c>
      <c r="E121">
        <v>0.79500000000000004</v>
      </c>
      <c r="F121">
        <f t="shared" si="47"/>
        <v>45.593261131167267</v>
      </c>
    </row>
    <row r="122" spans="2:6" x14ac:dyDescent="0.35">
      <c r="C122">
        <v>0.32400000000000001</v>
      </c>
      <c r="D122">
        <f t="shared" si="47"/>
        <v>17.253910950661854</v>
      </c>
      <c r="E122">
        <v>0.70599999999999996</v>
      </c>
      <c r="F122">
        <f t="shared" si="47"/>
        <v>40.238267148014437</v>
      </c>
    </row>
  </sheetData>
  <mergeCells count="60">
    <mergeCell ref="J20:J24"/>
    <mergeCell ref="J25:J29"/>
    <mergeCell ref="J30:J34"/>
    <mergeCell ref="K20:K24"/>
    <mergeCell ref="K25:K29"/>
    <mergeCell ref="K30:K34"/>
    <mergeCell ref="M20:M24"/>
    <mergeCell ref="N20:N24"/>
    <mergeCell ref="M25:M29"/>
    <mergeCell ref="N25:N29"/>
    <mergeCell ref="M30:M34"/>
    <mergeCell ref="N30:N34"/>
    <mergeCell ref="J35:J37"/>
    <mergeCell ref="K35:K37"/>
    <mergeCell ref="J38:J40"/>
    <mergeCell ref="K38:K40"/>
    <mergeCell ref="J41:J43"/>
    <mergeCell ref="K41:K43"/>
    <mergeCell ref="J44:J46"/>
    <mergeCell ref="K44:K46"/>
    <mergeCell ref="J47:J49"/>
    <mergeCell ref="K47:K49"/>
    <mergeCell ref="J50:J52"/>
    <mergeCell ref="K50:K52"/>
    <mergeCell ref="J53:J55"/>
    <mergeCell ref="K53:K55"/>
    <mergeCell ref="J56:J58"/>
    <mergeCell ref="K56:K58"/>
    <mergeCell ref="J59:J61"/>
    <mergeCell ref="K59:K61"/>
    <mergeCell ref="J62:J64"/>
    <mergeCell ref="K62:K64"/>
    <mergeCell ref="J65:J67"/>
    <mergeCell ref="K65:K67"/>
    <mergeCell ref="J68:J70"/>
    <mergeCell ref="K68:K70"/>
    <mergeCell ref="M35:M37"/>
    <mergeCell ref="N35:N37"/>
    <mergeCell ref="M38:M40"/>
    <mergeCell ref="N38:N40"/>
    <mergeCell ref="M41:M43"/>
    <mergeCell ref="N41:N43"/>
    <mergeCell ref="M44:M46"/>
    <mergeCell ref="N44:N46"/>
    <mergeCell ref="M47:M49"/>
    <mergeCell ref="N47:N49"/>
    <mergeCell ref="M50:M52"/>
    <mergeCell ref="N50:N52"/>
    <mergeCell ref="M53:M55"/>
    <mergeCell ref="N53:N55"/>
    <mergeCell ref="M56:M58"/>
    <mergeCell ref="N56:N58"/>
    <mergeCell ref="M59:M61"/>
    <mergeCell ref="N59:N61"/>
    <mergeCell ref="M62:M64"/>
    <mergeCell ref="N62:N64"/>
    <mergeCell ref="M65:M67"/>
    <mergeCell ref="N65:N67"/>
    <mergeCell ref="M68:M70"/>
    <mergeCell ref="N68:N70"/>
  </mergeCells>
  <conditionalFormatting sqref="K20:K70 N20:N70">
    <cfRule type="iconSet" priority="1">
      <iconSet reverse="1">
        <cfvo type="percent" val="0"/>
        <cfvo type="num" val="0.1"/>
        <cfvo type="num" val="0.15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SOD</vt:lpstr>
      <vt:lpstr>CAT</vt:lpstr>
      <vt:lpstr>exportable revisado</vt:lpstr>
      <vt:lpstr>GPx</vt:lpstr>
      <vt:lpstr>GR</vt:lpstr>
      <vt:lpstr>GST</vt:lpstr>
      <vt:lpstr>DTD</vt:lpstr>
      <vt:lpstr>G6PDH</vt:lpstr>
      <vt:lpstr>MDA</vt:lpstr>
      <vt:lpstr>TEAC</vt:lpstr>
      <vt:lpstr>GPx 2025</vt:lpstr>
      <vt:lpstr>Hoja2</vt:lpstr>
      <vt:lpstr>exportable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collfernandezalberto@gmail.com</dc:creator>
  <cp:lastModifiedBy>collfernandezalberto@gmail.com</cp:lastModifiedBy>
  <dcterms:created xsi:type="dcterms:W3CDTF">2022-05-19T12:00:35Z</dcterms:created>
  <dcterms:modified xsi:type="dcterms:W3CDTF">2025-07-14T08:18:19Z</dcterms:modified>
</cp:coreProperties>
</file>